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ape Raw" sheetId="1" r:id="rId4"/>
    <sheet state="visible" name="Institutions" sheetId="2" r:id="rId5"/>
    <sheet state="visible" name="Pubs per year" sheetId="3" r:id="rId6"/>
    <sheet state="visible" name="Aggregated" sheetId="4" r:id="rId7"/>
  </sheets>
  <definedNames>
    <definedName hidden="1" localSheetId="3" name="_xlnm._FilterDatabase">Aggregated!$A$1:$Z$56</definedName>
  </definedNames>
  <calcPr/>
</workbook>
</file>

<file path=xl/sharedStrings.xml><?xml version="1.0" encoding="utf-8"?>
<sst xmlns="http://schemas.openxmlformats.org/spreadsheetml/2006/main" count="19960" uniqueCount="2329">
  <si>
    <t>Institution</t>
  </si>
  <si>
    <t>Year</t>
  </si>
  <si>
    <t>Title</t>
  </si>
  <si>
    <t>Institutions</t>
  </si>
  <si>
    <t>Countries</t>
  </si>
  <si>
    <t>Digital Design</t>
  </si>
  <si>
    <t>2024</t>
  </si>
  <si>
    <t>When Theory Becomes Action: The Data Commons Concept as Intervention</t>
  </si>
  <si>
    <t>Denmark</t>
  </si>
  <si>
    <t>University of Copenhagen</t>
  </si>
  <si>
    <t>Machine Learning Processes as Sources of Ambiguity: Insights from AI Art</t>
  </si>
  <si>
    <t>Aalborg University</t>
  </si>
  <si>
    <t>Curious interdisciplinarity</t>
  </si>
  <si>
    <t>Technical University of Denmark</t>
  </si>
  <si>
    <t>Design Goals for End-User Development of Robot-Assisted Physical Training Activities: A Participatory Design Study</t>
  </si>
  <si>
    <t>Aarhus University</t>
  </si>
  <si>
    <t>The never-ending story–How companies transition to and sustain continuous software engineering practices</t>
  </si>
  <si>
    <t>University of Southern Denmark</t>
  </si>
  <si>
    <t>Using Tangible Interaction to Design Musicking Artifacts for Non-musicians</t>
  </si>
  <si>
    <t>France</t>
  </si>
  <si>
    <t>The French National Institute for Computer Science (INRIA)</t>
  </si>
  <si>
    <t>User Participation through WhatsApp – Mobile Instant Messaging as a Medium for Distributed Co-design</t>
  </si>
  <si>
    <t>Canada</t>
  </si>
  <si>
    <t>University of Waterloo</t>
  </si>
  <si>
    <t>Navigating complexity: design facilitation for collaborative solutions to urban challenges</t>
  </si>
  <si>
    <t>Sweden</t>
  </si>
  <si>
    <t>Uppsala University</t>
  </si>
  <si>
    <t>‘Not for Profit’ Financial Actors: An Autoethnography on Building ESG Measurement with Fintech Startups</t>
  </si>
  <si>
    <t>Lund University</t>
  </si>
  <si>
    <t>2023</t>
  </si>
  <si>
    <t>Exploring a Digital Art Collection through Drawing Interactions with a Deep Generative Model</t>
  </si>
  <si>
    <t>United States</t>
  </si>
  <si>
    <t>Carnegie Mellon University</t>
  </si>
  <si>
    <t>Gender Differences in the Group Dynamics of Smaller CS1 Project Groups</t>
  </si>
  <si>
    <t>University of California</t>
  </si>
  <si>
    <t>3.6 Sustainable Software Engineering for Sustainable Development</t>
  </si>
  <si>
    <t>Netherlands</t>
  </si>
  <si>
    <t>University of Groningen</t>
  </si>
  <si>
    <t>“How Trustworthy Is This Research?” Designing a Tool to Help Readers Understand Evidence and Uncertainty in Science Journalism</t>
  </si>
  <si>
    <t>United Kingdom</t>
  </si>
  <si>
    <t>University of Edinburgh</t>
  </si>
  <si>
    <t>The Art of Inquiry: Toward Robots that Infer Speech and Movement Characteristics</t>
  </si>
  <si>
    <t>New York University</t>
  </si>
  <si>
    <t>Towards Self-Assembling Artificial Neural Networks through Neural Developmental Programs</t>
  </si>
  <si>
    <t>University of Nottingham</t>
  </si>
  <si>
    <t>On the Effect of Onboarding Computing Students without Programming-Confidence or -Experience</t>
  </si>
  <si>
    <t>University of Amsterdam</t>
  </si>
  <si>
    <t>ESG in Fintech: An Overview</t>
  </si>
  <si>
    <t>Chalmers University of Technology</t>
  </si>
  <si>
    <t>CastNet: a systems-level sequence evolution simulator</t>
  </si>
  <si>
    <t>Ireland</t>
  </si>
  <si>
    <t>University of Limerick</t>
  </si>
  <si>
    <t>Educating the attention of museum visitors through non-verbal art mediation</t>
  </si>
  <si>
    <t>Switzerland</t>
  </si>
  <si>
    <t>Swiss Federal Institute of Technology Zürich</t>
  </si>
  <si>
    <t>CooRnet</t>
  </si>
  <si>
    <t>Imperial College London</t>
  </si>
  <si>
    <t>Critically assessing AI/ML for cultural heritage: potentials and challenges</t>
  </si>
  <si>
    <t>Google Inc.</t>
  </si>
  <si>
    <t>Cracking Open the European Newsfeed</t>
  </si>
  <si>
    <t>Queen Mary University of London</t>
  </si>
  <si>
    <t>Gaze Reveals Emotion Perception: Insights from Modelling Naturalistic Face Viewing</t>
  </si>
  <si>
    <t>University of Oxford</t>
  </si>
  <si>
    <t>Stairway to Heaven: Designing for an Embodied Experience with Satellite Data</t>
  </si>
  <si>
    <t>Germany</t>
  </si>
  <si>
    <t>Technical University of Berlin</t>
  </si>
  <si>
    <t>Procedurally generating rules to adapt difficulty for narrative puzzle games</t>
  </si>
  <si>
    <t>Lero</t>
  </si>
  <si>
    <t>An Interactive Device And A Method For Diverting The Mental Focus Of A Person</t>
  </si>
  <si>
    <t>IBM</t>
  </si>
  <si>
    <t>Affecta-context: The Context-Guided Behavior Adaptation Framework</t>
  </si>
  <si>
    <t>Karlsruher Institut für Technologie</t>
  </si>
  <si>
    <t>Subtle Sound Design: Designing for Experience Blend in a Historic House Museum</t>
  </si>
  <si>
    <t>Karlsruhe Institute of Technology</t>
  </si>
  <si>
    <t>Collocated Distance: A Fundamental Challenge for the Design of Hybrid Work Technologies</t>
  </si>
  <si>
    <t>Finland</t>
  </si>
  <si>
    <t>University of Helsinki</t>
  </si>
  <si>
    <t>2022</t>
  </si>
  <si>
    <t>How might we? Co-constructing recommendations on digital and organizational change</t>
  </si>
  <si>
    <t>Norway</t>
  </si>
  <si>
    <t>University of Oslo</t>
  </si>
  <si>
    <t>At the onset of an infodemic: Geographic and disciplinary boundaries in researching problematic COVID-19 information</t>
  </si>
  <si>
    <t>Spain</t>
  </si>
  <si>
    <t>Universidade da Coruña</t>
  </si>
  <si>
    <t>Hybrid Museum Experiences</t>
  </si>
  <si>
    <t>Technical University of Braunschweig</t>
  </si>
  <si>
    <t>Designing Game Feel: A Survey</t>
  </si>
  <si>
    <t>University of Gothenburg</t>
  </si>
  <si>
    <t>Bringing robotics taxonomies to continuous domains via GPLVM on hyperbolic manifolds</t>
  </si>
  <si>
    <t>Italy</t>
  </si>
  <si>
    <t>University of Trento</t>
  </si>
  <si>
    <t>Ideation Tools for Experience Design</t>
  </si>
  <si>
    <t>Australia</t>
  </si>
  <si>
    <t>University of Adelaide</t>
  </si>
  <si>
    <t>Computing Educational Programmes with more Women are more about People &amp; less about Things</t>
  </si>
  <si>
    <t>Linköping University</t>
  </si>
  <si>
    <t>Diagnosing Expressed</t>
  </si>
  <si>
    <t>University of Bergen</t>
  </si>
  <si>
    <t>Exploring affordances through design-after-design: the re-purposing of an exhibition artefact by museum visitors</t>
  </si>
  <si>
    <t>University of Padova</t>
  </si>
  <si>
    <t>Repair of electronic products: consumer practices and institutional initiatives</t>
  </si>
  <si>
    <t>Iceland</t>
  </si>
  <si>
    <t>Reykjavík University</t>
  </si>
  <si>
    <t>Enhancing teacher collaboration in higher education: the potential of activity-oriented design for professional development</t>
  </si>
  <si>
    <t>University of Agder</t>
  </si>
  <si>
    <t>Variational Neural Cellular Automata</t>
  </si>
  <si>
    <t>Blekinge Institute of Technology</t>
  </si>
  <si>
    <t>Towards a Framework for Human-AI Interaction Patterns in Co-Creative GAN Applications</t>
  </si>
  <si>
    <t>Technical University of Munich</t>
  </si>
  <si>
    <t>Becoming Sustainable Together: ESG Data Commons for Fintech Startups</t>
  </si>
  <si>
    <t>Czech Republic</t>
  </si>
  <si>
    <t>Czech Technical University in Prague</t>
  </si>
  <si>
    <t>Brazil</t>
  </si>
  <si>
    <t>Federal University of Pernambuco</t>
  </si>
  <si>
    <t>Expressing undergoing Diagnosis</t>
  </si>
  <si>
    <t>Exformatics</t>
  </si>
  <si>
    <t>Seeing Images from Conflict through Computer Vision</t>
  </si>
  <si>
    <t>Nokia Bell Labs</t>
  </si>
  <si>
    <t>Remediating, Reframing and Restaging the Museum</t>
  </si>
  <si>
    <t>The Open University</t>
  </si>
  <si>
    <t>How minimizing conflicts could lead to polarization on social media: An agent-based model investigation</t>
  </si>
  <si>
    <t>University of Passau</t>
  </si>
  <si>
    <t>Facts and Politics of Air Pollution in Copenhagen</t>
  </si>
  <si>
    <t>University of Washington</t>
  </si>
  <si>
    <t>Pulling back information geometry</t>
  </si>
  <si>
    <t>Darmstadt University of Technology</t>
  </si>
  <si>
    <t>Action Research as a Method for Reflective Practice in Museums</t>
  </si>
  <si>
    <t>University of Bari</t>
  </si>
  <si>
    <t>Introduction</t>
  </si>
  <si>
    <t>Research Institute Computer And Systems Aléatoires</t>
  </si>
  <si>
    <t>Mario Plays on a Manifold: Generating Functional Content in Latent Space through Differential Geometry</t>
  </si>
  <si>
    <t>University of Bologna</t>
  </si>
  <si>
    <t>You have been in Close Contact with a Person Infected with COVID-19 and you may have been Infected: Understanding Privacy Concerns, Trust and Adoption in Mobile COVID-19 Tracing Across Four Countries</t>
  </si>
  <si>
    <t>University of A Coruna</t>
  </si>
  <si>
    <t>Peripheral Awareness in Virtual Presence</t>
  </si>
  <si>
    <t>Harvard University</t>
  </si>
  <si>
    <t>Hybrid Museum Experiences: Theory and Design</t>
  </si>
  <si>
    <t>University of Cambridge</t>
  </si>
  <si>
    <t>Designing for Design-after-Design in a Museum Installation</t>
  </si>
  <si>
    <t>Colombia</t>
  </si>
  <si>
    <t>University of Turin</t>
  </si>
  <si>
    <t>Designing for Shared Remote Video Experiences</t>
  </si>
  <si>
    <t>KTH Royal Institute of Technology</t>
  </si>
  <si>
    <t>Navigating the Resources of the Migrant Digital Space</t>
  </si>
  <si>
    <t>Hungary</t>
  </si>
  <si>
    <t>National University of Colombia</t>
  </si>
  <si>
    <t>Sensitive Pictures: Emotional Interpretation in the Museum</t>
  </si>
  <si>
    <t>Delft University of Technology</t>
  </si>
  <si>
    <t>Minimal Neural Network Models for Permutation Invariant Agents</t>
  </si>
  <si>
    <t>Austria</t>
  </si>
  <si>
    <t>Central European University</t>
  </si>
  <si>
    <t>Robot Vulnerability and the Elicitation of User Empathy</t>
  </si>
  <si>
    <t>Aalto University</t>
  </si>
  <si>
    <t>Measuring Violence: A Computational Analysis of Violence and Propagation of Image Tweets From Political Protest</t>
  </si>
  <si>
    <t>Vienna University of Technology</t>
  </si>
  <si>
    <t>Physical Neural Cellular Automata for 2D Shape Classification</t>
  </si>
  <si>
    <t>Estonia</t>
  </si>
  <si>
    <t>University of Melbourne</t>
  </si>
  <si>
    <t>2021</t>
  </si>
  <si>
    <t>Analysis of Multiplex Social Networks with R</t>
  </si>
  <si>
    <t>Reutlingen University</t>
  </si>
  <si>
    <t>Den grønne omstilling kan i værste fald forværre klimakrisen</t>
  </si>
  <si>
    <t>Tallinn University</t>
  </si>
  <si>
    <t>Community Detection in Multiplex Networks</t>
  </si>
  <si>
    <t>German Research Center for Artificial Intelligence</t>
  </si>
  <si>
    <t>A large-scale, light-weight, and soft braided robot manipulator with rapid expansion capabilities</t>
  </si>
  <si>
    <t>Clausthal University of Technology</t>
  </si>
  <si>
    <t>Interpersonalizing Intimate Museum Experiences</t>
  </si>
  <si>
    <t>Humboldt University of Berlin</t>
  </si>
  <si>
    <t>Computing Educational Activities Involving People Rather Than Things Appeal More to Women (Recruitment Perspective)</t>
  </si>
  <si>
    <t>Cornell University</t>
  </si>
  <si>
    <t>" We Would Never Write That Down" Classifications of Unemployed and Data Challenges for AI</t>
  </si>
  <si>
    <t>Bocconi University</t>
  </si>
  <si>
    <t>We Dare You: A Lifecycle Study of a Substitutional Reality Installation in a Museum Space</t>
  </si>
  <si>
    <t>Copenhagen Business School</t>
  </si>
  <si>
    <t>Toward Context-Aware, Affective, and Impactful Social Robots</t>
  </si>
  <si>
    <t>Ludwig Maximilian University of Munich</t>
  </si>
  <si>
    <t>EvoCraft: A New Challenge for Open-Endedness</t>
  </si>
  <si>
    <t>Japan</t>
  </si>
  <si>
    <t>University of Bristol</t>
  </si>
  <si>
    <t>Rapid Risk Minimization with Bayesian Models Through Deep Learning Approximation</t>
  </si>
  <si>
    <t>Eindhoven University of Technology</t>
  </si>
  <si>
    <t>Safer Reinforcement Learning through Transferable Instinct Networks</t>
  </si>
  <si>
    <t>Poland</t>
  </si>
  <si>
    <t>University of Massachusetts</t>
  </si>
  <si>
    <t>Improving Object Detection in Art Images Using Only Style Transfer</t>
  </si>
  <si>
    <t>Pontifical Catholic University of Rio de Janeiro</t>
  </si>
  <si>
    <t>Challenges in Generating Juice Effects For Automatically Designed Games</t>
  </si>
  <si>
    <t>Massachusetts Institute of Technology</t>
  </si>
  <si>
    <t>Migrant Digital Space: Building an Incomplete Map to Navigate Public Online Migration</t>
  </si>
  <si>
    <t>India</t>
  </si>
  <si>
    <t>Microsoft Research</t>
  </si>
  <si>
    <t>Finding the needle in a haystack: Extraction of Informative COVID-19 Danish Tweets</t>
  </si>
  <si>
    <t>University of Stuttgart</t>
  </si>
  <si>
    <t>Zoom and enhance: Action refinement via subprocesses in timed declarative processes</t>
  </si>
  <si>
    <t>University of Maryland</t>
  </si>
  <si>
    <t>Lightweight Quaternion Transition Generation with Neural Networks</t>
  </si>
  <si>
    <t>Ethiopia</t>
  </si>
  <si>
    <t>Sapienza University of Rome</t>
  </si>
  <si>
    <t>ReGraDa: Reactive graph data</t>
  </si>
  <si>
    <t>IBM Research</t>
  </si>
  <si>
    <t>(Nearly) Ten Years of Social Media and Political Elections in Italy: Questions, Platforms, and Methods</t>
  </si>
  <si>
    <t>Tokyo Institute of Technology</t>
  </si>
  <si>
    <t>Player-AI Interaction: What Neural Network Games Reveal About AI as Play</t>
  </si>
  <si>
    <t>Alexandra Instituttet A/S</t>
  </si>
  <si>
    <t>Fast Game Content Adaptation Through Bayesian-based Player Modelling</t>
  </si>
  <si>
    <t>New Zealand</t>
  </si>
  <si>
    <t>University of Warsaw</t>
  </si>
  <si>
    <t>Dealing with Adversarial Player Strategies in the Neural Network Game iNNk through Ensemble Learning</t>
  </si>
  <si>
    <t>University of Tartu</t>
  </si>
  <si>
    <t>Growing Simulated Robots with Environmental Feedback: an Eco-Evo-Devo Approach</t>
  </si>
  <si>
    <t>Meta</t>
  </si>
  <si>
    <t>Evolving and Merging Hebbian Learning Rules: Increasing Generalization by Decreasing the Number of Rule</t>
  </si>
  <si>
    <t>Israel</t>
  </si>
  <si>
    <t>Srishti Manipal Institute of Art, Design and Technology</t>
  </si>
  <si>
    <t>High-Accuracy Gaze Estimation for Interpolation-Based Eye-Tracking Methods</t>
  </si>
  <si>
    <t>City University of New York</t>
  </si>
  <si>
    <t>Handling digital reproductions of artworks</t>
  </si>
  <si>
    <t>Università della Svizzera italiana</t>
  </si>
  <si>
    <t>Playing Games with Tito: Designing Hybrid Museum Experiences for Critical Play</t>
  </si>
  <si>
    <t>Addis Ababa University</t>
  </si>
  <si>
    <t>Invisible Data: A Framework for Understanding Visibility Processes in Social Media Data</t>
  </si>
  <si>
    <t>Leibniz Universität Hannover</t>
  </si>
  <si>
    <t>Computing Educational Activities Involving People Rather Than Things Appeal More to Women (CS1 Appeal Perspective)</t>
  </si>
  <si>
    <t>IBM Brazil</t>
  </si>
  <si>
    <t>BioAcoustic Tool: long-term biodiversity monitoring using on-sensor acoustic index calculations</t>
  </si>
  <si>
    <t>University of Sheffield</t>
  </si>
  <si>
    <t>Agency Deficits in a Human Genetic Model of Schizophrenia: Insights From 22q11DS Patients</t>
  </si>
  <si>
    <t>Auckland University of Technology</t>
  </si>
  <si>
    <t>Preface to the special issue on process querying and declarative, decision and hybrid approaches to processes 2019</t>
  </si>
  <si>
    <t>Dublin City University</t>
  </si>
  <si>
    <t>Developing Evaluation Metrics for Active Reading Support</t>
  </si>
  <si>
    <t>National ICT Australia</t>
  </si>
  <si>
    <t>Interacting with academic readings — A comparison of paper and laptop</t>
  </si>
  <si>
    <t>Technion - Israel Institute of Technology</t>
  </si>
  <si>
    <t>Contrapuntal Connectedness: Analysing Relations Between Social Media Data and Ethnography in Digital Migration Studies</t>
  </si>
  <si>
    <t>Luxembourg</t>
  </si>
  <si>
    <t>FOM University of Applied Sciences</t>
  </si>
  <si>
    <t>Robotics, Evolution, and Art Lab (REAL)</t>
  </si>
  <si>
    <t>Local Estimation vs Global Information: the Benefits of Slower Timescales</t>
  </si>
  <si>
    <t>Drexel University</t>
  </si>
  <si>
    <t>Ilmenau University of Technology</t>
  </si>
  <si>
    <t>Engineering Morphological Development in a Robotic Bipedal Walking Problem: An Empirical Study</t>
  </si>
  <si>
    <t>Belgium</t>
  </si>
  <si>
    <t>Independent Research Fund Denmark</t>
  </si>
  <si>
    <t>Utrecht University</t>
  </si>
  <si>
    <t>University of Salamanca</t>
  </si>
  <si>
    <t>Guiding the Exploration of the Solution Space in Walking Robots Through Growth-Based Morphological Development</t>
  </si>
  <si>
    <t>University of Innsbruck</t>
  </si>
  <si>
    <t>China</t>
  </si>
  <si>
    <t>Leibniz University Hannover</t>
  </si>
  <si>
    <t>Fraunhofer Institute for Experimental Software Engineering</t>
  </si>
  <si>
    <t>CISPA Helmholtz Center for Information Security</t>
  </si>
  <si>
    <t>The impact of multi-scale control topology on asset distribution in dynamic environments</t>
  </si>
  <si>
    <t>University Libre du Bruxelles</t>
  </si>
  <si>
    <t>Near Infrared Sensor Setup for General Interface Detection in Automatic Liquid-Liquid Extraction Processes</t>
  </si>
  <si>
    <t>Hasso Plattner Institute</t>
  </si>
  <si>
    <t>Harnessing Growth-Based Morphological Development to Facilitate Learning ANN-Controlled Bipedal Walking</t>
  </si>
  <si>
    <t>Ulm University</t>
  </si>
  <si>
    <t>German Aerospace Center</t>
  </si>
  <si>
    <t>Interactions and information: exploring task allocation in ant colonies using network analysis</t>
  </si>
  <si>
    <t>Peking University</t>
  </si>
  <si>
    <t>An Agent-Based Model of Collective Decision-making in Correlated Environments</t>
  </si>
  <si>
    <t>Villum Foundation</t>
  </si>
  <si>
    <t>Hong Kong</t>
  </si>
  <si>
    <t>Australian National University</t>
  </si>
  <si>
    <t>University of the Americas</t>
  </si>
  <si>
    <t>Portugal</t>
  </si>
  <si>
    <t>Bar-Ilan University</t>
  </si>
  <si>
    <t>Roskilde University</t>
  </si>
  <si>
    <t>University of Texas</t>
  </si>
  <si>
    <t>Growth-based morphological development: a natural approach to fitness landscape shaping</t>
  </si>
  <si>
    <t>Applied research, technology and innovation</t>
  </si>
  <si>
    <t>Efficiency Through GPU-based Co-Evolution of Control and Pose in Evolutionary Robotics</t>
  </si>
  <si>
    <t>Northeastern University</t>
  </si>
  <si>
    <t>Designing Tools for the Invisible Art of Game Feel</t>
  </si>
  <si>
    <t>Stockholm University</t>
  </si>
  <si>
    <t>A Study of Growth Based Morphological Development in Neural Network Controlled Walkers</t>
  </si>
  <si>
    <t>Leipzig University</t>
  </si>
  <si>
    <t>University of Zurich</t>
  </si>
  <si>
    <t>The Hong Kong University of Science and Technology</t>
  </si>
  <si>
    <t>Systematic evaluation of isolation processes of microorganisms using spatial statistics</t>
  </si>
  <si>
    <t>IBM Research – Almaden</t>
  </si>
  <si>
    <t>Multi-Scale Asset Distribution Model for Dynamic Environments</t>
  </si>
  <si>
    <t>Rigshospitalet</t>
  </si>
  <si>
    <t>Learning Hands-On Electronics from Home: A Simulator for Fritzing</t>
  </si>
  <si>
    <t>Computer Science Laboratory of the École polytechnique</t>
  </si>
  <si>
    <t>University of Lisbon</t>
  </si>
  <si>
    <t>Saarland University</t>
  </si>
  <si>
    <t>Free University of Bozen-Bolzano</t>
  </si>
  <si>
    <t>Photoelectric sensor setup and characterization for general interface detection in laboratory scale liquid-liquid extraction processes</t>
  </si>
  <si>
    <t>Johannes Kepler University Linz</t>
  </si>
  <si>
    <t>HoRoSim, a Holistic Robot Simulator: Arduino Code, Electronic Circuits and Physics</t>
  </si>
  <si>
    <t>Syracuse University</t>
  </si>
  <si>
    <t>University of York</t>
  </si>
  <si>
    <t>University of New South Wales</t>
  </si>
  <si>
    <t>Radboud University Nijmegen</t>
  </si>
  <si>
    <t>Polytechnic University of Milan</t>
  </si>
  <si>
    <t>Oracle Corporation</t>
  </si>
  <si>
    <t>University of Milan</t>
  </si>
  <si>
    <t>University of Hamburg</t>
  </si>
  <si>
    <t>Meta AI</t>
  </si>
  <si>
    <t>Morphological Development in robotic learning: A survey</t>
  </si>
  <si>
    <t>King's College London</t>
  </si>
  <si>
    <t>Co-evolution of Initial Configuration and Control in Evolutionary Robotics</t>
  </si>
  <si>
    <t>Eberhard Karls University of Tübingen</t>
  </si>
  <si>
    <t>Turkey</t>
  </si>
  <si>
    <t>Saïd Business School, University of Oxford</t>
  </si>
  <si>
    <t>Lancaster University</t>
  </si>
  <si>
    <t>Singapore</t>
  </si>
  <si>
    <t>Hebrew University of Jerusalem</t>
  </si>
  <si>
    <t>Innopolis University</t>
  </si>
  <si>
    <t>Russia</t>
  </si>
  <si>
    <t>University of Leeds</t>
  </si>
  <si>
    <t>Evolving Modular Robots: Challenges and Opportunities</t>
  </si>
  <si>
    <t>Greece</t>
  </si>
  <si>
    <t>Ecole Polytechnique Fédérale de Lausanne</t>
  </si>
  <si>
    <t>Max Planck Institute for Informatics</t>
  </si>
  <si>
    <t>Makerere University</t>
  </si>
  <si>
    <t>Uganda</t>
  </si>
  <si>
    <t>On the Use of Handheld Augmented Reality for Inventory Tasks: A Study with Magazine Retailers</t>
  </si>
  <si>
    <t>Chinese Academy of Sciences</t>
  </si>
  <si>
    <t>EMERGE Modular Robot: A Tool for Fast Deployment of Evolved Robots</t>
  </si>
  <si>
    <t>University of Urbino Carlo Bo</t>
  </si>
  <si>
    <t>Learning Bipedal Walking Through Morphological Development</t>
  </si>
  <si>
    <t>Federal Fluminense University</t>
  </si>
  <si>
    <t>Squeezer - A Mixed-Initiative Tool for Designing Juice Effects</t>
  </si>
  <si>
    <t>Dundalk Institute of Technology</t>
  </si>
  <si>
    <t>Growing 3D Artefacts and Functional Machines with Neural Cellular Automata</t>
  </si>
  <si>
    <t>University of Liverpool</t>
  </si>
  <si>
    <t>2020</t>
  </si>
  <si>
    <t>Using Evolution to Design Modular Robots: An Empirical Approach to Select Module Designs</t>
  </si>
  <si>
    <t>Paris Diderot University</t>
  </si>
  <si>
    <t>Machine Learning and Notions of the Image</t>
  </si>
  <si>
    <t>Stanford University</t>
  </si>
  <si>
    <t>Robots can defuse high-intensity conflict situations</t>
  </si>
  <si>
    <t>Royal Danish Academy</t>
  </si>
  <si>
    <t>On the causality between affective impact and coordinated human-robot reactions</t>
  </si>
  <si>
    <t>Data 61 - Commonwealth Scientific and Industrial Research Organisation</t>
  </si>
  <si>
    <t>Robophony: A new voice in the soundscape</t>
  </si>
  <si>
    <t>Korea Advanced Institute of Science and Technology</t>
  </si>
  <si>
    <t>South Korea</t>
  </si>
  <si>
    <t>Evolving HyperNetworks for Game-Playing Agents</t>
  </si>
  <si>
    <t>RWTH Aachen University</t>
  </si>
  <si>
    <t>Finding Game Levels with the Right Difficulty in a Few Trials through Intelligent Trial-and-Error</t>
  </si>
  <si>
    <t>DCR Solutions</t>
  </si>
  <si>
    <t>iNNk: A Multi-Player Game to Deceive a Neural Network</t>
  </si>
  <si>
    <t>Abertay University</t>
  </si>
  <si>
    <t>Safer reinforcement learning through evolved instincts</t>
  </si>
  <si>
    <t>University Savoie Mont Blanc</t>
  </si>
  <si>
    <t>Safe Reinforcement Learning through Meta-learned Instincts</t>
  </si>
  <si>
    <t>Institute for Scientific Interchange Foundation</t>
  </si>
  <si>
    <t>On the Plausibility of Virtual Body Animation Features in Virtual Reality</t>
  </si>
  <si>
    <t>NaturBornholm</t>
  </si>
  <si>
    <t>Adapting to a changing environment: Simulating the effects of noise on animal sonification</t>
  </si>
  <si>
    <t>Universita' degli Studi de Urbino Carlo Bo</t>
  </si>
  <si>
    <t>Learning a Behavioral Repertoire from Demonstrations</t>
  </si>
  <si>
    <t>Simon Fraser University</t>
  </si>
  <si>
    <t>EvoBot: An Open-Source, Modular, Liquid Handling Robot for Scientific Experiments</t>
  </si>
  <si>
    <t>Jozef Stefan Institute</t>
  </si>
  <si>
    <t>Slovenia</t>
  </si>
  <si>
    <t>Designing Endemic Robots: An Experiment in Sound</t>
  </si>
  <si>
    <t>UNITEC Institute of Technology</t>
  </si>
  <si>
    <t>Mexico</t>
  </si>
  <si>
    <t>Some Experiments on the influence of Problem Hardness in Morphological Development based Learning of Neural Controllers</t>
  </si>
  <si>
    <t>University of British Columbia</t>
  </si>
  <si>
    <t>Sound as Material for Eco-technogenesis</t>
  </si>
  <si>
    <t>CNRS - Centre national de la recherche scientifique</t>
  </si>
  <si>
    <t>An open-source robotic platform that enables automated monitoring of replicate biofilm cultivations using optical coherence tomography</t>
  </si>
  <si>
    <t>Bilkent University</t>
  </si>
  <si>
    <t>An Experiment in Morphological Development for Learning ANN Based Controllers</t>
  </si>
  <si>
    <t>Copenhagen University Hospital</t>
  </si>
  <si>
    <t>Content Format and Quality of Experience in Virtual Reality</t>
  </si>
  <si>
    <t>Nanyang Technological University</t>
  </si>
  <si>
    <t>Reusability vs Morphological Space in Physical Robot Evolution</t>
  </si>
  <si>
    <t>Lappeenranta–Lahti University of Technology</t>
  </si>
  <si>
    <t>CG-GAN: An Interactive Evolutionary GAN-Based Approach for Facial Composite Generation</t>
  </si>
  <si>
    <t>Factmata</t>
  </si>
  <si>
    <t>2019</t>
  </si>
  <si>
    <t>Constructing living buildings: a review of relevant technologies for a novel application of biohybrid robotics</t>
  </si>
  <si>
    <t>Athens University of Economics and Business</t>
  </si>
  <si>
    <t>Deconstructing Representation</t>
  </si>
  <si>
    <t>University of Münster</t>
  </si>
  <si>
    <t>Characterizing Asymmetric Collaborative Interactions in Virtual and Augmented Realities</t>
  </si>
  <si>
    <t>Polytechnic University of Catalonia</t>
  </si>
  <si>
    <t>image machine / machine image</t>
  </si>
  <si>
    <t>Børneernæring og international ernæring</t>
  </si>
  <si>
    <t>EvoBot in service: interface and interconnection of Microbial Fuel Cells (MFCs) with a liquid handling robot for optimised performance</t>
  </si>
  <si>
    <t>University of Genoa</t>
  </si>
  <si>
    <t>Constructing Soft Robot Aesthetics - Art, Sensation, and Materiality in Practice</t>
  </si>
  <si>
    <t>The University of Auckland</t>
  </si>
  <si>
    <t>A systematic comparison of affective robot expression modalities</t>
  </si>
  <si>
    <t>University of Ottawa</t>
  </si>
  <si>
    <t>Engineering Modular Playware</t>
  </si>
  <si>
    <t>Allen Institute for AI</t>
  </si>
  <si>
    <t>Video Game Description Language Environment for Unity Machine Learning Agents</t>
  </si>
  <si>
    <t>Heidelberg University</t>
  </si>
  <si>
    <t>Towards Continual Reinforcement Learning through Evolutionary Meta-Learning</t>
  </si>
  <si>
    <t>Duke University</t>
  </si>
  <si>
    <t>The Watchmaker's guide to Artificial Life: On the Role of Death, Modularity and Physicality in Evolutionary Robotics</t>
  </si>
  <si>
    <t>Indian Institute of Technology Bombay</t>
  </si>
  <si>
    <t>An artificial life approach to studying niche differentiation in soundscape ecology</t>
  </si>
  <si>
    <t>Universidade Federal de Minas Gerais</t>
  </si>
  <si>
    <t>2018</t>
  </si>
  <si>
    <t>Automated Reconfiguration of Modular Robots Using Robot Manipulators</t>
  </si>
  <si>
    <t>The Alan Turing Institute</t>
  </si>
  <si>
    <t>Cloud-Enabled, Reactive Liquid Handling Robot</t>
  </si>
  <si>
    <t>City, University of London</t>
  </si>
  <si>
    <t>The Dark Side of Making - Reflecting on Promises, Practices and Problems of the Last 25 Years</t>
  </si>
  <si>
    <t>University of Ioannina</t>
  </si>
  <si>
    <t>Appeal and Perceived Naturalness of a Soft Robotic Tentacle</t>
  </si>
  <si>
    <t>German Cancer Research Center</t>
  </si>
  <si>
    <t>Unruly Connections</t>
  </si>
  <si>
    <t>The IMDEA Software Institute</t>
  </si>
  <si>
    <t>Perceptions of a Soft Robotic Tentacle in Interaction</t>
  </si>
  <si>
    <t>Indian Institute of Technology Mandi</t>
  </si>
  <si>
    <t>Beyond Digital - Towards Biological (BDTB)</t>
  </si>
  <si>
    <t>Queen’s University</t>
  </si>
  <si>
    <t>Enacting the Soft Automaton: Empirical Ontologies of Two Soft Robots from Technical Research and Media Art</t>
  </si>
  <si>
    <t>Protocol Labs</t>
  </si>
  <si>
    <t>Evolution of Fin Undulation on a Physical Knifefish-inspired Soft Robot</t>
  </si>
  <si>
    <t>Videntifier</t>
  </si>
  <si>
    <t>Algorithms</t>
  </si>
  <si>
    <t>Finding the saddlepoint faster than sorting</t>
  </si>
  <si>
    <t>UNICEF</t>
  </si>
  <si>
    <t>Count on CFI graphs for #P-hardness</t>
  </si>
  <si>
    <t>China University of Mining and Technology</t>
  </si>
  <si>
    <t>An Algorithm for Bichromatic Sorting with Polylog Competitive Ratio</t>
  </si>
  <si>
    <t>Universität Potsdam</t>
  </si>
  <si>
    <t>On Instance-Optimal Algorithms for a Generalization of Nuts and Bolts and Generalized Sorting</t>
  </si>
  <si>
    <t>Namibia University of Science and Technology</t>
  </si>
  <si>
    <t>Namibia</t>
  </si>
  <si>
    <t>Using edge contractions to reduce the semitotal domination number</t>
  </si>
  <si>
    <t>Cork Constraint Computation Centre</t>
  </si>
  <si>
    <t>Overview of the SISAP 2023 Indexing Challenge</t>
  </si>
  <si>
    <t>University of Kent</t>
  </si>
  <si>
    <t>b-Coloring Parameterized by Clique-Width</t>
  </si>
  <si>
    <t>Amazon.com, Inc.</t>
  </si>
  <si>
    <t>Treewidth is NP-complete on cubic graphs (and related results)</t>
  </si>
  <si>
    <t>Télécom Paris</t>
  </si>
  <si>
    <t>Fixed-parameter tractability of DIRECTED MULTICUT with three terminal pairs parameterized by the size of the cutset: twin-width meets flow-augmentation</t>
  </si>
  <si>
    <t>NextGame</t>
  </si>
  <si>
    <t>Correlated-Output Differential Privacy and Applications to Dark Pools</t>
  </si>
  <si>
    <t>Monash University</t>
  </si>
  <si>
    <t>Recent Approaches and Trends in Approximate Nearest Neighbor Search</t>
  </si>
  <si>
    <t>Federal University of Para</t>
  </si>
  <si>
    <t>A tight quasi-polynomial bound for Global Label Min-Cut</t>
  </si>
  <si>
    <t>University of Lübeck</t>
  </si>
  <si>
    <t>Solving k-Closest Pairs in High-Dimensional Data</t>
  </si>
  <si>
    <t>Saint Mary's University of Minnesota</t>
  </si>
  <si>
    <t>On the maximum number of edges in planar graphs of bounded degree and matching number</t>
  </si>
  <si>
    <t>University of Southern California</t>
  </si>
  <si>
    <t>Reducing the vertex cover number via edge contractions</t>
  </si>
  <si>
    <t>University of the West of England</t>
  </si>
  <si>
    <t>Suitability of Nearest Neighbour Indexes for Multimedia Relevance Feedback</t>
  </si>
  <si>
    <t>University of Strathclyde</t>
  </si>
  <si>
    <t>Better Differentially Private Approximate Histograms and Heavy Hitters using the Misra-Gries Sketch</t>
  </si>
  <si>
    <t>University of Eastern Finland</t>
  </si>
  <si>
    <t>Structural Parameterizations of b-Coloring</t>
  </si>
  <si>
    <t>Mälardalen University</t>
  </si>
  <si>
    <t>Optimal Parallel Sorting with Comparison Errors</t>
  </si>
  <si>
    <t>The Eye Tribe Aps</t>
  </si>
  <si>
    <t>A #SAT Algorithm for Small Constant-Depth Circuits with PTF gates.</t>
  </si>
  <si>
    <t>Université de Lyon, CNRS</t>
  </si>
  <si>
    <t>On the Complexity of Rainbow Vertex Colouring Diametral Path Graphs</t>
  </si>
  <si>
    <t>University of Fribourg</t>
  </si>
  <si>
    <t>On the Maximum Number of Edges in Chordal Graphs of Bounded Degree and Matching Number</t>
  </si>
  <si>
    <t>Kvorning Design</t>
  </si>
  <si>
    <t>Implementing Distributed Approximate Similarity Joins using Locality Sensitive Hashing</t>
  </si>
  <si>
    <t>University of Glasgow</t>
  </si>
  <si>
    <t>Determinants from Homomorphisms</t>
  </si>
  <si>
    <t>University of Pittsburgh</t>
  </si>
  <si>
    <t>Approximately Counting and Sampling Small Witnesses Using a Colorful Decision Oracle</t>
  </si>
  <si>
    <t>Portland State University</t>
  </si>
  <si>
    <t>On the VNP-Hardness of Some Monomial Symmetric Polynomials</t>
  </si>
  <si>
    <t>The University of Sydney</t>
  </si>
  <si>
    <t>Reducing the Vertex Cover Number via Edge Contractions</t>
  </si>
  <si>
    <t>Yale University</t>
  </si>
  <si>
    <t>On the Partial Derivative Method Applied to Lopsided Set-Multilinear Polynomials.</t>
  </si>
  <si>
    <t>University of Sassari</t>
  </si>
  <si>
    <t>Sampling a Near Neighbor in High Dimensions — Who is the Fairest of Them All?</t>
  </si>
  <si>
    <t>Rhodes University</t>
  </si>
  <si>
    <t>South Africa</t>
  </si>
  <si>
    <t>On the Closures of Monotone Algebraic Classes and Variants of the Determinant</t>
  </si>
  <si>
    <t>Department of Information Engineering and Computer Science, University of Trento</t>
  </si>
  <si>
    <t>XNLP-Completeness for Parameterized Problems on Graphs with a Linear Structure</t>
  </si>
  <si>
    <t>Ruhr University Bochum</t>
  </si>
  <si>
    <t>Parameterizing the permanent: Hardness for fixed excluded minors</t>
  </si>
  <si>
    <t>University of Versailles</t>
  </si>
  <si>
    <t>DEANN: Speeding up Kernel-Density Estimation using Approximate Nearest Neighbor Search</t>
  </si>
  <si>
    <t>The National Research Council of Canada Industrial Research Assistance Program</t>
  </si>
  <si>
    <t>Well-partitioned chordal graphs</t>
  </si>
  <si>
    <t>Hugging Face</t>
  </si>
  <si>
    <t>Fragile complexity of adaptive algorithms</t>
  </si>
  <si>
    <t>Rochester Institute of Technology</t>
  </si>
  <si>
    <t>Representing Sparse Vectors with Differential Privacy, Low Error, Optimal Space, and Fast Access</t>
  </si>
  <si>
    <t>University of Illinois</t>
  </si>
  <si>
    <t>Set-multilinear and non-commutative formula lower bounds for iterated matrix multiplication.</t>
  </si>
  <si>
    <t>University of Birmingham</t>
  </si>
  <si>
    <t>Taming Graphs with No Large Creatures and Skinny Ladders</t>
  </si>
  <si>
    <t>University of Graz</t>
  </si>
  <si>
    <t>Guest Column: Lower Bounds Against Constant-Depth Algebraic Circuits.</t>
  </si>
  <si>
    <t>University of Otago</t>
  </si>
  <si>
    <t>Results of the NeurIPS’21 Challenge on Billion-Scale Approximate Nearest Neighbor Search</t>
  </si>
  <si>
    <t>University of Vienna</t>
  </si>
  <si>
    <t>Graph Square Roots of Small Distance from Degree One Graphs</t>
  </si>
  <si>
    <t>University of Namur</t>
  </si>
  <si>
    <t>Sampling near neighbors in search for fairness</t>
  </si>
  <si>
    <t>Carleton University</t>
  </si>
  <si>
    <t>Planar Graph Isomorphism Is in Log-Space</t>
  </si>
  <si>
    <t>Fraunhofer Institute for Manufacturing Engineering and Automation IPA</t>
  </si>
  <si>
    <t>Universal Sorting: Finding a DAG using Priced Comparisons</t>
  </si>
  <si>
    <t>Georgetown University</t>
  </si>
  <si>
    <t>Improved Differentially Private Euclidean Distance Approximation</t>
  </si>
  <si>
    <t>Instituto Superior Tecnológico 17 de Julio</t>
  </si>
  <si>
    <t>Cuba</t>
  </si>
  <si>
    <t>Fair near neighbor search via sampling</t>
  </si>
  <si>
    <t>Stony Brook University</t>
  </si>
  <si>
    <t>Differentially Private Sparse Vectors with Low Error, Optimal Space, and Fast Access</t>
  </si>
  <si>
    <t>Federal University of Amazonas</t>
  </si>
  <si>
    <t>Computational Complexity of Computing a Quasi-Proper Equilibrium</t>
  </si>
  <si>
    <t>Martin Luther University Halle-Wittenberg</t>
  </si>
  <si>
    <t>Differential Privacy in Distributed Settings</t>
  </si>
  <si>
    <t>Helsinki Institute for Information Technology</t>
  </si>
  <si>
    <t>Efficient Differentially Private F0 Linear Sketching</t>
  </si>
  <si>
    <t>Victoria University of Wellington</t>
  </si>
  <si>
    <t>Fine-Grained Reductions from Approximate Counting to Decision</t>
  </si>
  <si>
    <t>Carlsberg Foundation</t>
  </si>
  <si>
    <t>Modular Counting of Subgraphs: Matchings, Matching-Splittable Graphs, and Paths</t>
  </si>
  <si>
    <t>CERSA/CNRS France</t>
  </si>
  <si>
    <t>A full complexity dichotomy for immanant families</t>
  </si>
  <si>
    <t>University of Valencia</t>
  </si>
  <si>
    <t>The role of local dimensionality measures in benchmarking nearest neighbor search</t>
  </si>
  <si>
    <t>McGill University</t>
  </si>
  <si>
    <t>Atomic Power in Forks: A Super-Logarithmic Lower Bound for Implementing Butterfly Networks in the Nonatomic Binary Fork-Join Model</t>
  </si>
  <si>
    <t>Bern University of Applied Sciences</t>
  </si>
  <si>
    <t>Fragile Complexity of Adaptive Algorithms</t>
  </si>
  <si>
    <t>Westerdals Oslo School of Arts</t>
  </si>
  <si>
    <t>Differentially Private Sketches for Jaccard Similarity Estimation</t>
  </si>
  <si>
    <t>University of Rome Tor Vergata</t>
  </si>
  <si>
    <t>Confirmation Sampling for Exact Nearest Neighbor Search</t>
  </si>
  <si>
    <t>Tokyo Metropolitan University</t>
  </si>
  <si>
    <t>Running Experiments with Confidence and Sanity</t>
  </si>
  <si>
    <t>Blast Theory</t>
  </si>
  <si>
    <t>Space-Efficient Feature Maps for String Alignment Kernels</t>
  </si>
  <si>
    <t>University of Turku</t>
  </si>
  <si>
    <t>Algorithm Engineering for High-Dimensional Similarity Search Problems (Invited Talk)</t>
  </si>
  <si>
    <t>Heidelberg Institute for Theoretical Studies</t>
  </si>
  <si>
    <t>On the I/O Complexity of the k-Nearest Neighbors Problem</t>
  </si>
  <si>
    <t>Configit</t>
  </si>
  <si>
    <t>Reproducibility Companion Paper: Visual Sentiment Analysis for Review Images with Item-Oriented and User-Oriented CNN</t>
  </si>
  <si>
    <t>University of Padua</t>
  </si>
  <si>
    <t>The space complexity of inner product filters</t>
  </si>
  <si>
    <t>The University of Hong Kong</t>
  </si>
  <si>
    <t>Pure Differentially Private Summation from Anonymous Messages</t>
  </si>
  <si>
    <t>University of Aberdeen</t>
  </si>
  <si>
    <t>Fair Near Neighbor Search: Independent Range Sampling in High Dimensions. PODS</t>
  </si>
  <si>
    <t>Hasselt University</t>
  </si>
  <si>
    <t>Approximately counting and sampling small witnesses using a colourful decision oracle</t>
  </si>
  <si>
    <t>NEC Laboratories Europe GmbH</t>
  </si>
  <si>
    <t>Private Aggregation from Fewer Anonymous Messages</t>
  </si>
  <si>
    <t>Harz University of Applied Sciences</t>
  </si>
  <si>
    <t>DaNewsroom: A Large-scale Danish Summarisation Dataset</t>
  </si>
  <si>
    <t>University of Applied Sciences Baden-Württemberg Lörrach</t>
  </si>
  <si>
    <t>Composable Sketches for Functions of Frequencies: Beyond the Worst Case</t>
  </si>
  <si>
    <t>RIKEN Center for Computational Science</t>
  </si>
  <si>
    <t>Private Counting from Anonymous Messages: Near-Optimal Accuracy with Vanishing Communication Overhead</t>
  </si>
  <si>
    <t>Ericsson</t>
  </si>
  <si>
    <t>WOR and p’s: Sketches for Lp-sampling Without Replacement</t>
  </si>
  <si>
    <t>Higher National School of Computer Science</t>
  </si>
  <si>
    <t>Oblivious Sketching of High-Degree Polynomial Kernels</t>
  </si>
  <si>
    <t>Sealytix</t>
  </si>
  <si>
    <t>Partially Exchangeable Networks and Architectures for Learning Summary Statistics in Approximate Bayesian Computation</t>
  </si>
  <si>
    <t>TU Dresden</t>
  </si>
  <si>
    <t>MIWAE: Deep Generative Modelling and Imputation of Incomplete Data</t>
  </si>
  <si>
    <t>Indian Institute of Science Education and Research Pune</t>
  </si>
  <si>
    <t>Recurrent models and lower bounds for projective syntactic decoding</t>
  </si>
  <si>
    <t>Fondazione Bruno Kessler</t>
  </si>
  <si>
    <t>The Exponential-Time Complexity of Counting (Quantum) Graph Homomorphisms</t>
  </si>
  <si>
    <t>Indian Institute of Technology Delhi</t>
  </si>
  <si>
    <t>Space-efficient Feature Maps for String Alignment Kernels</t>
  </si>
  <si>
    <t>Mohammed VI Polytechnic University</t>
  </si>
  <si>
    <t>Morocco</t>
  </si>
  <si>
    <t>A Fixed-Parameter Perspective on #BIS</t>
  </si>
  <si>
    <t>University of Klagenfurt</t>
  </si>
  <si>
    <t>The Lacunae of Danish Natural Language Processing</t>
  </si>
  <si>
    <t>University College London - Institute of Education</t>
  </si>
  <si>
    <t>The Role of Local Intrinsic Dimensionality in Benchmarking Nearest Neighbor Search</t>
  </si>
  <si>
    <t>Catholic University of the Sacred Heart</t>
  </si>
  <si>
    <t>Benchmarking Nearest Neighbor Search: Influence of Local Intrinsic Dimensionality and Result Diversity in Real-World Datasets</t>
  </si>
  <si>
    <t>Pontifical Catholic University of Rio Grande do Sul</t>
  </si>
  <si>
    <t>ANN-Benchmarks: A benchmarking tool for approximate nearest neighbor algorithms</t>
  </si>
  <si>
    <t>Universite Cote d'Azur</t>
  </si>
  <si>
    <t>Simple and Fast BlockQuicksort using Lomuto's Partitioning Scheme</t>
  </si>
  <si>
    <t>Kyushu Institute of Technology</t>
  </si>
  <si>
    <t>Similarity Search: Algorithms for Sets and other High Dimensional Data</t>
  </si>
  <si>
    <t>Intel</t>
  </si>
  <si>
    <t>Lower Bounds for Oblivious Data Structures</t>
  </si>
  <si>
    <t>RIKEN Center for Advanced Intelligence Project</t>
  </si>
  <si>
    <t>Fragile Complexity of Comparison-Based Algorithms</t>
  </si>
  <si>
    <t>École Normale Supérieure Paris-Saclay</t>
  </si>
  <si>
    <t>External memory priority queues with decrease-key and applications to graph algorithms</t>
  </si>
  <si>
    <t>University of Twente</t>
  </si>
  <si>
    <t>Parameterized Streaming Algorithms for Min-Ones d-SAT</t>
  </si>
  <si>
    <t>Alfréd Rényi Institute of Mathematics</t>
  </si>
  <si>
    <t>Hardness of Bichromatic Closest Pair with Jaccard Similarity</t>
  </si>
  <si>
    <t>Access Microfinance Holding AG</t>
  </si>
  <si>
    <t>PUFFINN: Parameterless and Universally Fast FInding of Nearest Neighbors</t>
  </si>
  <si>
    <t>LFCS, School of Informatics, Edinburgh University</t>
  </si>
  <si>
    <t>Dynamic Planar Convex Hull</t>
  </si>
  <si>
    <t>Instituto de Telecomunicações</t>
  </si>
  <si>
    <t>The Word Analogy Testing Caveat</t>
  </si>
  <si>
    <t>Swinburne University of Technology</t>
  </si>
  <si>
    <t>Refit your Encoder when New Data Comes by</t>
  </si>
  <si>
    <t>Ithaca College</t>
  </si>
  <si>
    <t>Sparse Matrix Multiplication Kernels</t>
  </si>
  <si>
    <t>University Grenoble Alpes</t>
  </si>
  <si>
    <t>Distant Supervision from Disparate Sources for Low-Resource Part-of-Speech Tagging</t>
  </si>
  <si>
    <t>Parameter Lab</t>
  </si>
  <si>
    <t>Leveraging the Exact Likelihood of Deep Latent Variable Models</t>
  </si>
  <si>
    <t>Qatar Computing Research Institute</t>
  </si>
  <si>
    <t>Qatar</t>
  </si>
  <si>
    <t>Counting Connected Subgraphs with Maximum-Degree-Aware Sieving</t>
  </si>
  <si>
    <t>Malmö University</t>
  </si>
  <si>
    <t>Bloom Filters, Adaptivity, and the Dictionary Problem</t>
  </si>
  <si>
    <t>Max Planck Institute for Intelligent Systems</t>
  </si>
  <si>
    <t>Algorithms for Similarity Search and Pseudorandomness</t>
  </si>
  <si>
    <t>Tel Aviv University</t>
  </si>
  <si>
    <t>Play, Culture and AI Section</t>
  </si>
  <si>
    <t>University of Calgary</t>
  </si>
  <si>
    <t>NII - National Institute of Informatics</t>
  </si>
  <si>
    <t>Newcastle University</t>
  </si>
  <si>
    <t>i2cat</t>
  </si>
  <si>
    <t>Østfold University College</t>
  </si>
  <si>
    <t>Northern Arizona University</t>
  </si>
  <si>
    <t>Université catholique de Louvain</t>
  </si>
  <si>
    <t>University of Toronto</t>
  </si>
  <si>
    <t>York University</t>
  </si>
  <si>
    <t>Southern Methodist University</t>
  </si>
  <si>
    <t>University of Costa Rica</t>
  </si>
  <si>
    <t>Costa Rica</t>
  </si>
  <si>
    <t>TU Dortmund University</t>
  </si>
  <si>
    <t>Federal University of Rio Grande do Sul</t>
  </si>
  <si>
    <t>Universite du Luxembourg</t>
  </si>
  <si>
    <t>KU Leuven</t>
  </si>
  <si>
    <t>Beijing Institute of Technology</t>
  </si>
  <si>
    <t>Naver AI Lab</t>
  </si>
  <si>
    <t>Swiss National Science Foundation</t>
  </si>
  <si>
    <t>Queensland University of Technology</t>
  </si>
  <si>
    <t>ABB Corporate Research Center</t>
  </si>
  <si>
    <t>University of South Africa</t>
  </si>
  <si>
    <t>Huygens Institute for the History of the Netherlands</t>
  </si>
  <si>
    <t>Friedrich Schiller University Jena</t>
  </si>
  <si>
    <t>Indiana University</t>
  </si>
  <si>
    <t>University of Catalonia/URV</t>
  </si>
  <si>
    <t>Polytechnic University of Turin</t>
  </si>
  <si>
    <t>World Maritime University, Malmö</t>
  </si>
  <si>
    <t>University of Castilla-La Mancha</t>
  </si>
  <si>
    <t>University of Montpellier</t>
  </si>
  <si>
    <t>University of Colorado</t>
  </si>
  <si>
    <t>Toyota Technological Institute at Chicago</t>
  </si>
  <si>
    <t>University of Salzburg</t>
  </si>
  <si>
    <t>Federal University of Alagoas</t>
  </si>
  <si>
    <t>Tübingen AI Center</t>
  </si>
  <si>
    <t>Dalhousie University</t>
  </si>
  <si>
    <t>Technical University of Madrid</t>
  </si>
  <si>
    <t>Fraunhofer Institute for Mechatronic Design</t>
  </si>
  <si>
    <t>Keele University</t>
  </si>
  <si>
    <t>Laboratory of Cognitive Neuroscience, EPFL</t>
  </si>
  <si>
    <t>Indian Institute of Technology Madras</t>
  </si>
  <si>
    <t>University of Bremen</t>
  </si>
  <si>
    <t>University of Hildesheim</t>
  </si>
  <si>
    <t>SAP Research</t>
  </si>
  <si>
    <t>Johns Hopkins University</t>
  </si>
  <si>
    <t>University of Calabria</t>
  </si>
  <si>
    <t>Artanim Foundation</t>
  </si>
  <si>
    <t>Tampere University</t>
  </si>
  <si>
    <t>MITRE Corporation</t>
  </si>
  <si>
    <t>University of Basel</t>
  </si>
  <si>
    <t>Accenture Bengaluru Innovation Hub</t>
  </si>
  <si>
    <t>École normale supérieure de Rennes</t>
  </si>
  <si>
    <t>Copenhagen School of Design and Technology</t>
  </si>
  <si>
    <t>Heriot-Watt University</t>
  </si>
  <si>
    <t>Institute for Renewable Energy – EURAC Research</t>
  </si>
  <si>
    <t>University of Leicester</t>
  </si>
  <si>
    <t>University of Barcelona</t>
  </si>
  <si>
    <t>Three +1 Perspectives on Computational Thinking</t>
  </si>
  <si>
    <t>United States Military Academy</t>
  </si>
  <si>
    <t>Jivass Technologies</t>
  </si>
  <si>
    <t>DeepMind</t>
  </si>
  <si>
    <t>GIFT Project Deliverable D6.3 Design of the Final Toolbox</t>
  </si>
  <si>
    <t>Pompeu Fabra University</t>
  </si>
  <si>
    <t>GIFT Project Deliverable D3.2 Report on Closed Beta</t>
  </si>
  <si>
    <t>Data to Decisions Cooperative Research Center (CRC)</t>
  </si>
  <si>
    <t>GIFT Project Deliverable D5.2 Final Report: Life-cycle Analysis</t>
  </si>
  <si>
    <t>Homi Bhabha National Institute</t>
  </si>
  <si>
    <t>GIFT Project Deliverable D5.3 Anthology on Meaningful Personalization</t>
  </si>
  <si>
    <t>Bielefeld University of Applied Sciences</t>
  </si>
  <si>
    <t>Darmstadt University of Applied Sciences</t>
  </si>
  <si>
    <t>Watching Together but Apart: Shared Video Experiences During COVID-19 Outbreak</t>
  </si>
  <si>
    <t>Snowflake</t>
  </si>
  <si>
    <t>Université d’Orléans</t>
  </si>
  <si>
    <t>Bootstrapping Conditional GANs for Video Game Level Generation</t>
  </si>
  <si>
    <t>University of the Free State</t>
  </si>
  <si>
    <t>Designing for interpersonal museum experiences</t>
  </si>
  <si>
    <t>Washington University in St. Louis</t>
  </si>
  <si>
    <t>GIFT Project Deliverable D4.4 The GIFT Framework</t>
  </si>
  <si>
    <t>Vector Consulting Services</t>
  </si>
  <si>
    <t>AI for Digitalisation of Cultural Heritage: potentials and ethical challenges</t>
  </si>
  <si>
    <t>Økonomi- og Indenrigsministeriet</t>
  </si>
  <si>
    <t>GIFT Project Deliverable D7.5 Final Conference Report</t>
  </si>
  <si>
    <t>Samsung Semiconductor Denmark Research</t>
  </si>
  <si>
    <t>CYBERTRONICA UG (HAFTUNGSBESCHRANKT) GMBH</t>
  </si>
  <si>
    <t>Co-designing a co-design tool to strengthen ideation in digital experience design at museums</t>
  </si>
  <si>
    <t>Sant'Anna School of Advanced Studies</t>
  </si>
  <si>
    <t>GIFT Project Deliverable D7.4 Europeana Dissemination Report</t>
  </si>
  <si>
    <t>Enabling Women of Kamand Valley</t>
  </si>
  <si>
    <t>GIFT Project Deliverable D4.2 Interim Evaluation Report</t>
  </si>
  <si>
    <t>Fraunhofer FIT</t>
  </si>
  <si>
    <t>GIFT Project Deliverable D6.4 Package and Release of the Final Toolbox</t>
  </si>
  <si>
    <t>Laboratoire d'informatique de Grenoble</t>
  </si>
  <si>
    <t>Sensitizing Scenarios: Sensitizing Designer Teams to Theory</t>
  </si>
  <si>
    <t>Georgia State University</t>
  </si>
  <si>
    <t>GIFT Project Deliverable D4.3 Final Evaluation Report on Lead User Change Process</t>
  </si>
  <si>
    <t>Tencent</t>
  </si>
  <si>
    <t>GIFT Project Deliverable D3.4 Report on Sensitive Pictures</t>
  </si>
  <si>
    <t>Aix-Marseille University</t>
  </si>
  <si>
    <t>University of Murcia</t>
  </si>
  <si>
    <t>Designing a “No Interface” Audio Walk</t>
  </si>
  <si>
    <t>Octotext AB</t>
  </si>
  <si>
    <t>University of Victoria</t>
  </si>
  <si>
    <t>Seeing with New Eyes: Designing for In-the-Wild Museum Gifting</t>
  </si>
  <si>
    <t>modl.ai</t>
  </si>
  <si>
    <t>ABB Corporate Research Center Germany</t>
  </si>
  <si>
    <t>The GIFT framework: Give visitors the tools to tell their own stories</t>
  </si>
  <si>
    <t>KAI Kompetenzzentrum Automobil- und Industrieelektronik GmbH</t>
  </si>
  <si>
    <t>La Trobe University</t>
  </si>
  <si>
    <t>Speaking Through Omission: Game Maps as Spatial Rhetoric</t>
  </si>
  <si>
    <t>Simula Metropolitan Center for Digital Engineering AS</t>
  </si>
  <si>
    <t>Goethe University Frankfurt</t>
  </si>
  <si>
    <t>GIFT Project Deliverable D4.1 Evaluation Strategy and Change Process Report</t>
  </si>
  <si>
    <t>Autonomous University of Barcelona</t>
  </si>
  <si>
    <t>Adam Mickiewicz University in Poznań</t>
  </si>
  <si>
    <t>Canva</t>
  </si>
  <si>
    <t>George Mason University</t>
  </si>
  <si>
    <t>GIFT Project Deliverable D7.2 Communication Strategy</t>
  </si>
  <si>
    <t>University of Warwick</t>
  </si>
  <si>
    <t>‘Friends call me racist’: Experiences of repercussions from writing comments on newspaper websites</t>
  </si>
  <si>
    <t>Biomediq A/S</t>
  </si>
  <si>
    <t>Universität Mannheim</t>
  </si>
  <si>
    <t>GIFT: Hybrid Museum Experiences through Gifting and Play</t>
  </si>
  <si>
    <t>CENTAI</t>
  </si>
  <si>
    <t>East China University of Science and Technology</t>
  </si>
  <si>
    <t>Mediterranean Institute of Technology</t>
  </si>
  <si>
    <t>Glimpses of the future: designing fictions for mixed-reality performances</t>
  </si>
  <si>
    <t>University of Koblenz</t>
  </si>
  <si>
    <t>Word By Word: A Mobile Game To Encourage Collaborative Storytelling Within The Museum</t>
  </si>
  <si>
    <t>Moesgaard Museum</t>
  </si>
  <si>
    <t>Machine Learning</t>
  </si>
  <si>
    <t>University of Bayreuth</t>
  </si>
  <si>
    <t>Danish Pioneer Centre for AI</t>
  </si>
  <si>
    <t>Uncertainty Driven Active Learning for Image Segmentation in Underwater Inspection</t>
  </si>
  <si>
    <t>University of Manitoba</t>
  </si>
  <si>
    <t>Invisible Women in IT: Examining Gender Representation in K-12 ICT Teaching Materials</t>
  </si>
  <si>
    <t>MakerSpace Foundation</t>
  </si>
  <si>
    <t>Zengo</t>
  </si>
  <si>
    <t>Discovering Interpretable Directions in the Semantic Latent Space of Diffusion Models</t>
  </si>
  <si>
    <t>Institute for Basic Science</t>
  </si>
  <si>
    <t>University of Wolverhampton</t>
  </si>
  <si>
    <t>Challenges and Opportunities of Using Redirection of Activity for Self-Regulation Online</t>
  </si>
  <si>
    <t>Universität für Bodenkultur Wien</t>
  </si>
  <si>
    <t>Deep Generative Models for Faces and Expressions</t>
  </si>
  <si>
    <t>Institute for Advanced Studies in Basic Sciences</t>
  </si>
  <si>
    <t>Iran</t>
  </si>
  <si>
    <t>TemPose: a new skeleton-based transformer model designed for fine-grained motion recognition in badminton</t>
  </si>
  <si>
    <t>University of Cincinnati</t>
  </si>
  <si>
    <t>Ecole Polytechnique de Montreal</t>
  </si>
  <si>
    <t>Metropolitan University College</t>
  </si>
  <si>
    <t>Towards a Deep Reinforcement Learning Model of Master Bay Stowage Planning</t>
  </si>
  <si>
    <t>Chemnitz University of Technology</t>
  </si>
  <si>
    <t>Literature survey on the container stowage planning problem</t>
  </si>
  <si>
    <t>Nottingham Trent University</t>
  </si>
  <si>
    <t>Designing Participatory AI: Creative Professionals’ Worries and Expectations about Generative AI</t>
  </si>
  <si>
    <t>Mohamed bin Zayed University of Artificial Intelligence</t>
  </si>
  <si>
    <t>United Arab Emirates</t>
  </si>
  <si>
    <t>Neural Network-Based Human Motion Predictor and Smoother</t>
  </si>
  <si>
    <t>Autodesk Inc</t>
  </si>
  <si>
    <t>Controllable GAN Synthesis Using Non-Rigid Structure-From-Motion</t>
  </si>
  <si>
    <t>Ensenada Center for Scientific Research and Higher Education</t>
  </si>
  <si>
    <t>Prior and Posterior Networks: A Survey on Evidential Deep Learning Methods For Uncertainty Estimation</t>
  </si>
  <si>
    <t>Université Paris-Saclay</t>
  </si>
  <si>
    <t>Ange Optimization</t>
  </si>
  <si>
    <t>The Creativity Game: A Game for Teaching First Steps of Theoretical Creativity</t>
  </si>
  <si>
    <t>University of Hawaii</t>
  </si>
  <si>
    <t>VMware Research</t>
  </si>
  <si>
    <t>University of Nigeria</t>
  </si>
  <si>
    <t>Nigeria</t>
  </si>
  <si>
    <t>Mavenoid</t>
  </si>
  <si>
    <t>Predicting Bearings Degradation Stages for Predictive Maintenance in the Pharmaceutical Industry</t>
  </si>
  <si>
    <t>Federal University of Paraná</t>
  </si>
  <si>
    <t>Revenue management in liner shipping: Addressing the vessel capacity challenge</t>
  </si>
  <si>
    <t>National Research Council of Italy</t>
  </si>
  <si>
    <t>Handling and Presenting Harmful Text in NLP Research</t>
  </si>
  <si>
    <t>University of Leon</t>
  </si>
  <si>
    <t>Materializing the Abstract: Understanding AI by Game Jamming</t>
  </si>
  <si>
    <t>Dansk Sprognævn</t>
  </si>
  <si>
    <t>Tensor-based Emotion Editing in the StyleGAN Latent Space</t>
  </si>
  <si>
    <t>Google Brain</t>
  </si>
  <si>
    <t>Modelling Persuasion through Misuse of Rhetorical Appeals</t>
  </si>
  <si>
    <t>Sheffield Teaching Hospital</t>
  </si>
  <si>
    <t>GSI Technology</t>
  </si>
  <si>
    <t>How Researchers Manage Ideas</t>
  </si>
  <si>
    <t>University of Stirling</t>
  </si>
  <si>
    <t>Bridging the Domain Gap for Stance Detection for the Zulu language</t>
  </si>
  <si>
    <t>University of Primorska</t>
  </si>
  <si>
    <t>Fondazione the Microsoft Research – University of Trento Centre for Computational and Systems Biology, Italy</t>
  </si>
  <si>
    <t>Neural Network-Based Human Motion Smoother</t>
  </si>
  <si>
    <t>Universidad Nacional de Tres de Febrero</t>
  </si>
  <si>
    <t>Argentina</t>
  </si>
  <si>
    <t>deep-significance - Easy and Meaningful Statistical Significance Testing in the Age of Neural Networks</t>
  </si>
  <si>
    <t>Copenhagen Institute of Interaction Design</t>
  </si>
  <si>
    <t>Exploring Predictive Uncertainty and Calibration in NLP: A Study on the Impact of Method &amp; Data Scarcity</t>
  </si>
  <si>
    <t>Troyes University of Technology</t>
  </si>
  <si>
    <t>Charles University</t>
  </si>
  <si>
    <t>Set Interdependence Transformer: Set-to-Sequence Neural Networks for Permutation Learning and Structure Prediction</t>
  </si>
  <si>
    <t>Blackwood Seven Danmark A/S</t>
  </si>
  <si>
    <t>Evaluating Academic Reading Support Tools: Developing the aRSX-Questionnaire</t>
  </si>
  <si>
    <t>Rutgers University</t>
  </si>
  <si>
    <t>Semantic Object Accuracy for Generative Text-to-Image Synthesis</t>
  </si>
  <si>
    <t>Entropy Studio</t>
  </si>
  <si>
    <t>Babeș-Bolyai University</t>
  </si>
  <si>
    <t>Romania</t>
  </si>
  <si>
    <t>Tensor-Based Non-Rigid Structure from Motion</t>
  </si>
  <si>
    <t>Sorbonne University</t>
  </si>
  <si>
    <t>MUNCH</t>
  </si>
  <si>
    <t>University of Nebraska</t>
  </si>
  <si>
    <t>Annotating Online Misogyny</t>
  </si>
  <si>
    <t>Bremen, Research and Technology Group</t>
  </si>
  <si>
    <t>Netcompany IT &amp; Business Consulting A/S</t>
  </si>
  <si>
    <t>Edge Hill University</t>
  </si>
  <si>
    <t>Rensselaer Polytechnic Institute</t>
  </si>
  <si>
    <t>The Danish Gigaword Corpus</t>
  </si>
  <si>
    <t>Bosch Center for AI</t>
  </si>
  <si>
    <t>Tensor-based Subspace Factorization for StyleGAN</t>
  </si>
  <si>
    <t>Sofia University St. Kliment Ohridski</t>
  </si>
  <si>
    <t>North Macedonia</t>
  </si>
  <si>
    <t>University of Torino</t>
  </si>
  <si>
    <t>Discriminating Between Similar Nordic Languages</t>
  </si>
  <si>
    <t>ScaDS.AI</t>
  </si>
  <si>
    <t>Abusive Language Recognition in Russian</t>
  </si>
  <si>
    <t>Alibaba Group</t>
  </si>
  <si>
    <t>Set-to-Sequence Methods in Machine Learning: A Review</t>
  </si>
  <si>
    <t>Public University of Navarra</t>
  </si>
  <si>
    <t>Umeå University</t>
  </si>
  <si>
    <t>Hyperparameter Power Impact in Transformer Language Model Training</t>
  </si>
  <si>
    <t>National Technical University of Athens</t>
  </si>
  <si>
    <t>Multilinear Modelling of Faces and Expressions</t>
  </si>
  <si>
    <t>Research Institute in Communications and Cybernetic of Nantes - Ecole Centrale de Nantes</t>
  </si>
  <si>
    <t>Shenkar College of Engineering, Design and Art</t>
  </si>
  <si>
    <t>An IDR Framework of Opportunities and Barriers between HCI and NLP</t>
  </si>
  <si>
    <t>Austrian Science Fund</t>
  </si>
  <si>
    <t>DanFEVER: claim verification dataset for Danish</t>
  </si>
  <si>
    <t>Mozilla Foundation</t>
  </si>
  <si>
    <t>ACE Centre</t>
  </si>
  <si>
    <t>PROCAT: Product Catalogue Dataset for Implicit Clustering, Permutation Learning and Structure Prediction</t>
  </si>
  <si>
    <t>Mother Teresa University</t>
  </si>
  <si>
    <t>Analysis of iris obfuscation: Generalising eye information processes for privacy studies in eye tracking</t>
  </si>
  <si>
    <t>Science and Technology of the Northern Minas Gerais</t>
  </si>
  <si>
    <t>Beijing Language and Culture University</t>
  </si>
  <si>
    <t>University of Bonn</t>
  </si>
  <si>
    <t>Alexandria University</t>
  </si>
  <si>
    <t>Egypt</t>
  </si>
  <si>
    <t>Analysis of the Effect of Dataset Construction Methodology on Transferability of Music Emotion Recognition Models</t>
  </si>
  <si>
    <t>Open Data Institute</t>
  </si>
  <si>
    <t>SHR++: An Interface for Morpho-syntactic annotation of Sanskrit Corpora</t>
  </si>
  <si>
    <t>TechWolf</t>
  </si>
  <si>
    <t>University of Zagreb</t>
  </si>
  <si>
    <t>Croatia</t>
  </si>
  <si>
    <t>Indian Institute of Technology Roorkee</t>
  </si>
  <si>
    <t>Detection and Resolution of Rumors and Misinformation with NLP</t>
  </si>
  <si>
    <t>Yandex</t>
  </si>
  <si>
    <t>Create-Net</t>
  </si>
  <si>
    <t>Warsaw University of Technology</t>
  </si>
  <si>
    <t>Princeton University</t>
  </si>
  <si>
    <t>University of Cauca</t>
  </si>
  <si>
    <t>Manchester Metropolitan University</t>
  </si>
  <si>
    <t>Maintaining quality in FEVER annotation</t>
  </si>
  <si>
    <t>Seoul National University</t>
  </si>
  <si>
    <t>Offensive Language and Hate Speech Detection for Danish</t>
  </si>
  <si>
    <t>Georgia Institute of Technology</t>
  </si>
  <si>
    <t>GESIS – Leibniz Institute for the Social Sciences</t>
  </si>
  <si>
    <t>The Rumour Mill: Making the Spread of Misinformation Explicit and Tangible</t>
  </si>
  <si>
    <t>University of Houston</t>
  </si>
  <si>
    <t>Orangulas: effect of scheduled visual enrichment on behavioral and endocrine aspects of a captive orangutan (Pongo pygmaeus)</t>
  </si>
  <si>
    <t>University College Cork</t>
  </si>
  <si>
    <t>University of Luxembourg</t>
  </si>
  <si>
    <t>Directions in abusive language training data, a systematic review: Garbage in, garbage out</t>
  </si>
  <si>
    <t>AstraZeneca</t>
  </si>
  <si>
    <t>Wellesley College</t>
  </si>
  <si>
    <t>Accelerated High-Quality Mutual-Information Based Word Clustering</t>
  </si>
  <si>
    <t>Google DeepMind</t>
  </si>
  <si>
    <t>3DInteractive</t>
  </si>
  <si>
    <t>University of Aveiro</t>
  </si>
  <si>
    <t>Label Likelihood Maximisation: Adapting iris segmentation models using domain adaptation</t>
  </si>
  <si>
    <t>University of Maribor</t>
  </si>
  <si>
    <t>Pedal Me</t>
  </si>
  <si>
    <t>University of Chemistry and Technology Prague</t>
  </si>
  <si>
    <t>Constructor University</t>
  </si>
  <si>
    <t>Spanish National Research Council</t>
  </si>
  <si>
    <t>EIVA</t>
  </si>
  <si>
    <t>Mental health-related conversations on social media and crisis episodes: a time-series regression analysis</t>
  </si>
  <si>
    <t>IOHK Research</t>
  </si>
  <si>
    <t>Infosys Ltd. Bangalore, India</t>
  </si>
  <si>
    <t>SemEval-2020 Task 12: Multilingual Offensive Language Identification in Social Media (OffensEval 2020)</t>
  </si>
  <si>
    <t>Huazhong University of Science and Technology</t>
  </si>
  <si>
    <t>Fontys University of Applied Sciences</t>
  </si>
  <si>
    <t>Software Engineering</t>
  </si>
  <si>
    <t>On the Energy Consumption of CPython</t>
  </si>
  <si>
    <t>Tools for monitoring software quality in information systems development and maintenance: five key challenges and a design proposal</t>
  </si>
  <si>
    <t>Immersive Software Archaeology: Collaborative Exploration and Note Taking in Virtual Reality</t>
  </si>
  <si>
    <t>Collaborative Software Exploration with Multimedia Note Taking in Virtual Reality</t>
  </si>
  <si>
    <t>Live Is Life: Teaching Software Engineering on Live Systems</t>
  </si>
  <si>
    <t>Programming under the influence: On the effect of Heat, Noise, and Alcohol on Novice programmers</t>
  </si>
  <si>
    <t>The Future Workplace: Characterizing the Spectrum of Hybrid Work Arrangements for Software Teams</t>
  </si>
  <si>
    <t>Towards a Basic Security Framework for SMEs: Results From an Investigation of Cybersecurity Challenges in Denmark</t>
  </si>
  <si>
    <t>Preparing Software Re-Engineering via Freehand Sketches in Virtual Reality</t>
  </si>
  <si>
    <t>Respond to change or die: an educational scrum simulation for distributed teams</t>
  </si>
  <si>
    <t>DaSEA – A Dataset for Software Ecosystem Analysis</t>
  </si>
  <si>
    <t>Can Git Repository Visualization Support Educators in Assessing Group Projects?</t>
  </si>
  <si>
    <t>Analyzing user interactions to estimate reading time in web-based L2 reader applications</t>
  </si>
  <si>
    <t>Learning Soft Skills through Distributed Software Development</t>
  </si>
  <si>
    <t>Searching for Technical Debt – An Empirical, Exploratory, and Descriptive Case Study</t>
  </si>
  <si>
    <t>Consent verification monitoring</t>
  </si>
  <si>
    <t>Building a Toolbox for Working with Psychological Safety in Agile Software Teams</t>
  </si>
  <si>
    <t>Git-Truck: Hierarchy-Oriented Visualization of Git Repository Evolution</t>
  </si>
  <si>
    <t>A Study on Security and Privacy Practices in Danish Companies</t>
  </si>
  <si>
    <t>Philanthropic conference-based requirements engineering in time of pandemic and beyond</t>
  </si>
  <si>
    <t>Fostering resilience: The potential of design to support strategic agility</t>
  </si>
  <si>
    <t>Aiki - Turning Online Procrastination into Microlearning</t>
  </si>
  <si>
    <t>What Makes Agile Software Development Agile</t>
  </si>
  <si>
    <t>Global Software Engineering: Challenges and solutions</t>
  </si>
  <si>
    <t>Towards the statistical construction of hybrid development methods</t>
  </si>
  <si>
    <t>Automatically Assessing Complexity of Contributions to Git Repositories</t>
  </si>
  <si>
    <t>A Data-Driven, Goal-Oriented Framework for Process-Focused Enterprise Re-engineering</t>
  </si>
  <si>
    <t>Identifying Critical Projects via PageRank and Truck Factor</t>
  </si>
  <si>
    <t>How Do Agile Practitioners Interpret and Foster "Technical Excellence"?</t>
  </si>
  <si>
    <t>React-bratus: Visualising React Component Hierarchies</t>
  </si>
  <si>
    <t>The Impact of Continuous Code Quality Assessment on Defects</t>
  </si>
  <si>
    <t>Codoc: Code-driven Architectural View Specification Framework in Python</t>
  </si>
  <si>
    <t>Knowledge-Driven Data Ecosystems Toward Data Transparency</t>
  </si>
  <si>
    <t>Determining Context Factors for Hybrid Development Methods with Trained Models</t>
  </si>
  <si>
    <t>Summary of the 1st ICSSP-ICGSE Joint Event</t>
  </si>
  <si>
    <t>Evolution of technical debt remediation in Python: A case study on the Apache Software Ecosystem</t>
  </si>
  <si>
    <t>Exploring the evolution of software practices</t>
  </si>
  <si>
    <t>What are Hybrid Development Methods Made Of?</t>
  </si>
  <si>
    <t>Technical Debt Management: A Systematic Literature Review and Research Agenda for Digital Government</t>
  </si>
  <si>
    <t>Co-designing Data Experiments: Domain Experts’ Exploration and Experimentation with self-selected Data Sources</t>
  </si>
  <si>
    <t>ACM SIGSOFT Empirical Standards</t>
  </si>
  <si>
    <t>Designing an organisation’s design culture: How appropriation of service design tools and methods cultivates sustainable design capabilities in SMEs</t>
  </si>
  <si>
    <t>Towards a Co-design Perspective on Data: Foregrounding Data in the Design and Innovation of Data-based Services</t>
  </si>
  <si>
    <t>Understanding Data and Cooperation in a Public Sector Arena</t>
  </si>
  <si>
    <t>Unleashing the Potentials of Immersive Augmented Reality for Software Engineering</t>
  </si>
  <si>
    <t>Systematic literature review: Technical debt management</t>
  </si>
  <si>
    <t>What constitutes Software? An Empirical, Descriptive Study of Artifacts</t>
  </si>
  <si>
    <t>Foregrounding data in co-design – An exploration of how data may become an object of design</t>
  </si>
  <si>
    <t>Proceedings of the 2nd Symposium on Software Engineering in Africa, SEiA@ICSE 2019, Montreal, QC, Canada, May 28, 2019</t>
  </si>
  <si>
    <t>Summary of the 14th International Conference on Global Software Engineering (ICGSE)</t>
  </si>
  <si>
    <t>Use-Oriented Design and Software Ecosystems</t>
  </si>
  <si>
    <t>What are Hybrid Development Methods Made Of? An Evidence-Based Characterization</t>
  </si>
  <si>
    <t>Sustaining platforms as commons: perspectives on participation, infrastructure, and governance</t>
  </si>
  <si>
    <t>Consent Verification Under Evolving Privacy Policies</t>
  </si>
  <si>
    <t>Hybrid Software Development Approaches in Practice: A European Perspective</t>
  </si>
  <si>
    <t>Designing Personalized Learning Environments throughMonitoring and Guiding User Interactions with Code andNatural Language</t>
  </si>
  <si>
    <t>API Fluency</t>
  </si>
  <si>
    <t>Catching up with Method and Process Practice: An Industry-Informed Baseline for Researchers</t>
  </si>
  <si>
    <t>Proceedings of the 12th International Workshop on Cooperative and Human Aspects of Software Engineering, CHASE@ICSE 2019, Montréal, QC, Canada, 27 May 2019</t>
  </si>
  <si>
    <t>Activity-Centric Computing Systems</t>
  </si>
  <si>
    <t>Walking Through the Method Zoo: Does Higher Education Really Meet Software Industry Demands?</t>
  </si>
  <si>
    <t>Embedding Internet-of-Things in Large-Scale Socio-Technical Systems: A Community-Oriented Design in Future Smart Grids</t>
  </si>
  <si>
    <t>Researching Cooperation and Communication in Continuous Software Engineering</t>
  </si>
  <si>
    <t>From Scrum to Agile: A Journey to Tackle the Challenges of Distributed Development in an Agile Team</t>
  </si>
  <si>
    <t>Summary of the 1st International Workshop on Hybrid Development Approaches in Software Systems Development</t>
  </si>
  <si>
    <t>Virtual by Design: How a Work Environment Can Support Agile Distributed Software Development</t>
  </si>
  <si>
    <t>An empirical investigation of transferring research to software technology innovation: a case of data-driven national security software</t>
  </si>
  <si>
    <t>The Hidden Cost of Window Management</t>
  </si>
  <si>
    <t>Community-based Participatory Design of Technological Alternative for a Development Context: (The Case Study of ICT appropriation for Ethiopian Rural Communities)</t>
  </si>
  <si>
    <t>An Empirical Study of Security Issues Posted in Open Source Projects</t>
  </si>
  <si>
    <t>Matters of concerns and user stories: ontological and methodological considerations for collaborative design processes</t>
  </si>
  <si>
    <t>Data as Infrastructure – Infrastructuring for Data Analytics</t>
  </si>
  <si>
    <t>Participatory Design and Sustainability: a literature review of PDC Proceedings</t>
  </si>
  <si>
    <t>Influencers of Quality Assurance in an Open Source Community</t>
  </si>
  <si>
    <t>An empirical study of architecting for continuous delivery and deployment</t>
  </si>
  <si>
    <t>Adapting Lightweight User-centered Design with the Scrum-based Development Process</t>
  </si>
  <si>
    <t>3rd Workshop on Hybrid Development Approaches in Software System Development</t>
  </si>
  <si>
    <t>Hybrid Software and System Development in Practice</t>
  </si>
  <si>
    <t>Data Work in a Knowledge-Broker Organization: How Cross-Organizational Data Maintenance shapes Human Data Interactions.</t>
  </si>
  <si>
    <t>What works for consumer engagement in the energy transition: Experimenting with a behavioural-sociological approach</t>
  </si>
  <si>
    <t>2017</t>
  </si>
  <si>
    <t>Is Scrum fit for global software engineering?</t>
  </si>
  <si>
    <t>Data Visualisation and Decision Making Solutions to Forecast and Manage Complex Urban Challenges: STAKEHOLDER EVALUATION REPORT</t>
  </si>
  <si>
    <t>Integrating discount usability in scrum development process in Ethiopia</t>
  </si>
  <si>
    <t>HELENA Stage 2—Danish Overview</t>
  </si>
  <si>
    <t>Contextualizing user centered design with agile methods in Ethiopia</t>
  </si>
  <si>
    <t>Security Support in Continuous Deployment Pipeline</t>
  </si>
  <si>
    <t>Usability Evaluation in Ethiopian Software Organizations</t>
  </si>
  <si>
    <t>Who designs the ‘Smart City’? An argument for democratising Big Data</t>
  </si>
  <si>
    <t>Using Reference Architectures for Design and Evaluation of Web of Things Systems: A Case of Smart Homes Domain</t>
  </si>
  <si>
    <t>Programming Logic and Semantics</t>
  </si>
  <si>
    <t>Taming Differentiable Logics with Coq Formalisation</t>
  </si>
  <si>
    <t>A Probabilistic Choreography Language for PRISM</t>
  </si>
  <si>
    <t>Asynchronous Modal FRP</t>
  </si>
  <si>
    <t>A Sound and Complete Projection for Global Types</t>
  </si>
  <si>
    <t>Calculating Compilers for Concurrency</t>
  </si>
  <si>
    <t>Extended Formal Analysis of the EDHOC Protocol in Tamarin</t>
  </si>
  <si>
    <t>A Logical Interpretation of Asynchronous Multiparty Compatibility</t>
  </si>
  <si>
    <t>Greatest HITs: Higher Inductive Types in Coinductive Definitions via Induction under Clocks</t>
  </si>
  <si>
    <t>Modal FRP for all: Functional reactive programming without space leaks in Haskell</t>
  </si>
  <si>
    <t>Monadic Compiler Calculation (Functional Pearl)</t>
  </si>
  <si>
    <t>Security Protocols as Choreographies</t>
  </si>
  <si>
    <t>A Sound Algorithm for Asynchronous Session Subtyping and its Implementation</t>
  </si>
  <si>
    <t>Diamonds are not forever: Liveness in reactive programming with guarded recursion</t>
  </si>
  <si>
    <t>Trimming Data Sets: a Verified Algorithm for Robust Mean Estimation</t>
  </si>
  <si>
    <t>Type Theories for Reactive Programming</t>
  </si>
  <si>
    <t>Sessions and Separation</t>
  </si>
  <si>
    <t>Two Guarded Recursive Powerdomains for Applicative Simulation</t>
  </si>
  <si>
    <t>Machine-Checked Semantic Session Typing</t>
  </si>
  <si>
    <t>Formal Analysis of EDHOC Key Establishment for Constrained IoT Devices</t>
  </si>
  <si>
    <t>Ticking clocks as dependent right adjoints: Denotational semantics for clocked type theory</t>
  </si>
  <si>
    <t>Privacy-Preserving Dispute Resolution in the Improved Bingo Voting</t>
  </si>
  <si>
    <t>Actris: session-type based reasoning in separation logic</t>
  </si>
  <si>
    <t>Denotational semantics for guarded dependent type theory</t>
  </si>
  <si>
    <t>Galois Connections for Recursive Types</t>
  </si>
  <si>
    <t>Calculating Correct Compilers II: Return of the Register Machines</t>
  </si>
  <si>
    <t>Declarative Choreographies and Liveness</t>
  </si>
  <si>
    <t>Technical and Socio-Technical Attacks on the Danish Party Endorsement System</t>
  </si>
  <si>
    <t>Bisimulation as path type for guarded recursive types</t>
  </si>
  <si>
    <t>Simply RaTT: A Fitch-style Modal Calculus for Reactive Programming</t>
  </si>
  <si>
    <t>Exploring the Modeling of Declarative Processes Using a Hybrid Approach</t>
  </si>
  <si>
    <t>Assisted Declarative Process Creation from Natural Language Descriptions</t>
  </si>
  <si>
    <t>A Sound Algorithm for Asynchronous Session Subtyping</t>
  </si>
  <si>
    <t>Modal dependent type theory and dependent right adjoints</t>
  </si>
  <si>
    <t>The Process Highlighter: From Texts to Declarative Processes and Back</t>
  </si>
  <si>
    <t>Strict Ideal Completions of the Lambda Calculus</t>
  </si>
  <si>
    <t>On the boundary between decidability and undecidability of asynchronous session subtyping</t>
  </si>
  <si>
    <t>Multparty Classical Choreographies</t>
  </si>
  <si>
    <t>Denotational semantics of recursive types in synthetic guarded domain theory</t>
  </si>
  <si>
    <t>Dynamic Evaluation Forms using Declarative Modeling</t>
  </si>
  <si>
    <t>On Purpose and by Necessity: Compliance under the GDPR</t>
  </si>
  <si>
    <t>The Clocks They Are Adjunctions: Denotational Semantics for Clocked Type Theory</t>
  </si>
  <si>
    <t>Choreographies, logically</t>
  </si>
  <si>
    <t>Formal Verification of Ephemeral Diffie-Hellman Over COSE (EDHOC)</t>
  </si>
  <si>
    <t>Convergence in infinitary term graph rewriting systems is simple</t>
  </si>
  <si>
    <t>What makes guarded types tick?</t>
  </si>
  <si>
    <t>Towards a Mechanized Proof of Selene Receipt-Freeness and Vote-Privacy</t>
  </si>
  <si>
    <t>Declarative Process Mining for DCR Graphs</t>
  </si>
  <si>
    <t>Multiparty session types as coherence proofs</t>
  </si>
  <si>
    <t>The DCR Workbench: Declarative Choreographies for Collaborative Processes</t>
  </si>
  <si>
    <t>Generalising tree traversals and tree transformations to DAGs: Exploiting sharing without the pain</t>
  </si>
  <si>
    <t>Böhm Reduction in Infinitary Term Graph Rewriting Systems</t>
  </si>
  <si>
    <t>Automated Analysis of Accountability</t>
  </si>
  <si>
    <t>Compiling a 50-year journey</t>
  </si>
  <si>
    <t>Managing complexity in process digitalisation with dynamic condition response graphs</t>
  </si>
  <si>
    <t>Modern Logical Frameworks Design</t>
  </si>
  <si>
    <t>The Clocks Are Ticking: No More Delays! Reduction Semantics for Type Theory with Guarded Recursion</t>
  </si>
  <si>
    <t>Lincx: A Linear Logical Framework with First-class Contexts</t>
  </si>
  <si>
    <t>The Independence of Markov's Principle in Type Theory</t>
  </si>
  <si>
    <t>Modelling Cooperative Work at a Medical Department</t>
  </si>
  <si>
    <t>Undecidability of asynchronous session subtyping</t>
  </si>
  <si>
    <t>Stack semantics of type theory</t>
  </si>
  <si>
    <t>Replication, refinement &amp; reachability: complexity in dynamic condition-response graphs</t>
  </si>
  <si>
    <t>Hybrid Process Technologies in the Financial Sector: The Case of BRFkredit</t>
  </si>
  <si>
    <t>2016</t>
  </si>
  <si>
    <t>Applied Formal Methods for Elections</t>
  </si>
  <si>
    <t>Coherence Generalises Duality: A Logical Explanation of Multiparty Session Types</t>
  </si>
  <si>
    <t>Smart-Guard: Defending User Input from Malware</t>
  </si>
  <si>
    <t>Coqoon - An IDE for Interactive Proof Development in Coq</t>
  </si>
  <si>
    <t>Measuring Voter Lines</t>
  </si>
  <si>
    <t>Foundations of Session Types and Behavioural Contracts</t>
  </si>
  <si>
    <t>Extensible and Efficient Automation Through Reflective Tactics</t>
  </si>
  <si>
    <t>AIF-ω: Set-Based Protocol Abstraction with Countable Families</t>
  </si>
  <si>
    <t>Guarded Dependent Type Theory with Coinductive Types</t>
  </si>
  <si>
    <t>Expert System</t>
  </si>
  <si>
    <t>Type-checking Liveness for Collaborative Processes with Bounded and Unbounded Recursion</t>
  </si>
  <si>
    <t>Experience Report: Constraint-Based Modelling and Simulation of Railway Emergency Response Plans</t>
  </si>
  <si>
    <t>Cutting Out Continuations</t>
  </si>
  <si>
    <t>A Type Theoretic Investigation of the Verification of Voting Protocols</t>
  </si>
  <si>
    <t>Flexible Process Notations for Cross-organizational Case Management Systems</t>
  </si>
  <si>
    <t>Multiparty Asynchronous Session Types</t>
  </si>
  <si>
    <t>Psi-calculi in Isabelle</t>
  </si>
  <si>
    <t>In the Nick of Time: Proactive Prevention of Obligation Violations</t>
  </si>
  <si>
    <t>Representing Session Types</t>
  </si>
  <si>
    <t>Deriving Consistent GSM Schemas from DCR Graphs</t>
  </si>
  <si>
    <t>Denotational semantics in Synthetic Guarded Domain Theory</t>
  </si>
  <si>
    <t>2015</t>
  </si>
  <si>
    <t>Cut elimination in multifocused linear logic</t>
  </si>
  <si>
    <t>Bridging the Valley of Death: A Success Story on Danish Funding Schemes Paving a Path from Technology Readiness Level 1 to 9</t>
  </si>
  <si>
    <t>A Model of PCF in Guarded Type Theory</t>
  </si>
  <si>
    <t>Concurrency &amp; Asynchrony in Declarative Workflows</t>
  </si>
  <si>
    <t>A model of guarded recursion with clock synchronisation</t>
  </si>
  <si>
    <t>Vote Counting as Mathematical Proof</t>
  </si>
  <si>
    <t>The Analysis of a Real Life Declarative Process</t>
  </si>
  <si>
    <t>Type Families with Class, Type Classes with Family</t>
  </si>
  <si>
    <t>Safety, Liveness and Run-time Refinement for Modular Process-Aware Information Systems with Dynamic Sub Processes</t>
  </si>
  <si>
    <t>NLPnorth</t>
  </si>
  <si>
    <t>JobSkape: A Framework for Generating Synthetic Job Postings to Enhance Skill Matching</t>
  </si>
  <si>
    <t>Deep Learning-based Computational Job Market Analysis: A Survey on Skill Extraction and Classification from Job Postings</t>
  </si>
  <si>
    <t>Non-exchangeable conformal risk control</t>
  </si>
  <si>
    <t>TRAP: Targeted Random Adversarial Prompt Honeypot for Black-Box Identification</t>
  </si>
  <si>
    <t>AI ‘News’ Content Farms Are Easy to Make and Hard to Detect: A Case Study in Italian</t>
  </si>
  <si>
    <t>How to Encode Domain Information in Relation Classification</t>
  </si>
  <si>
    <t>Calibrating Large Language Models Using Their Generations Only</t>
  </si>
  <si>
    <t>Can Humans Identify Domains?</t>
  </si>
  <si>
    <t>Computational Job Market Analysis: with Natural Language Processing</t>
  </si>
  <si>
    <t>NNOSE: Nearest Neighbor Occupational Skill Extraction</t>
  </si>
  <si>
    <t>Entity Linking in the Job Market Domain</t>
  </si>
  <si>
    <t>Rethinking Skill Extraction in the Job Market Domain using Large Language Models</t>
  </si>
  <si>
    <t>Using sequences of life-events to predict human lives</t>
  </si>
  <si>
    <t>What Can Natural Language Processing Do for Peer Review?</t>
  </si>
  <si>
    <t>Position: Key Claims in LLM Research Have a Long Tail of Footnotes</t>
  </si>
  <si>
    <t>Proceedings of the Fifth Workshop on Insights from Negative Results in NLP</t>
  </si>
  <si>
    <t>NarrativeTime: Dense Temporal Annotation on a Timeline</t>
  </si>
  <si>
    <t>Quantifying Linguistic Variation: Data-driven Navigation of Variety Space</t>
  </si>
  <si>
    <t>Non-Exchangeable Conformal Language Generation with Nearest Neighbors</t>
  </si>
  <si>
    <t>Proceedings of the 1st Workshop on Uncertainty-Aware NLP (UncertaiNLP 2024)</t>
  </si>
  <si>
    <t>Bootstrapping LLM-based Task-Oriented Dialogue Agents via Self-Talk</t>
  </si>
  <si>
    <t>What Comes Next? Evaluating Uncertainty in Neural Text Generators Against Human Production Variability</t>
  </si>
  <si>
    <t>Proceedings of the 61st Annual Meeting of the Association for Computational Linguistics (Volume 1: Long Papers)</t>
  </si>
  <si>
    <t>The Fourth Workshop on Insights from Negative Results in NLP</t>
  </si>
  <si>
    <t>MaChAmp at SemEval-2023 Tasks 2, 3, 4, 5, 6, 7, 8, 9, 10, 11, and 12: On the Effectiveness of Intermediate Training on an Uncurated Collection of Datasets</t>
  </si>
  <si>
    <t>Findings of the VarDial Evaluation Campaign 2023</t>
  </si>
  <si>
    <t>Parallel Data Helps Neural Entity Coreference Resolution</t>
  </si>
  <si>
    <t>Establishing Trustworthiness: Rethinking Tasks and Model Evaluation</t>
  </si>
  <si>
    <t>Proceedings of the 8th Workshop on Representation Learning for NLP (RepL4NLP 2023)</t>
  </si>
  <si>
    <t>Program Chairs' Report on Peer Review at ACL 2023</t>
  </si>
  <si>
    <t>Proceedings of the 4th Workshop on Computational Approaches to Discourse (CODI 2023)</t>
  </si>
  <si>
    <t>Dyslexia Prediction from Natural Reading of Danish Texts</t>
  </si>
  <si>
    <t>SafeNet: Challenges and strategies in combatting online hate speech</t>
  </si>
  <si>
    <t>Native Language Prediction from Gaze: a Reproducibility Study</t>
  </si>
  <si>
    <t>The ROOTS Search Tool: Data Transparency for LLMs</t>
  </si>
  <si>
    <t>DanTok: Domain Beats Language for Danish Social Media POS Tagging</t>
  </si>
  <si>
    <t>Subspace Chronicles: How Linguistic Information Emerges, Shifts and Interacts during Language Model Training</t>
  </si>
  <si>
    <t>On Language Spaces, Scales and Cross-Lingual Transfer of UD Parsers</t>
  </si>
  <si>
    <t>ESCOXLM-R: Multilingual Taxonomy-driven Pre-training for the Job Market Domain</t>
  </si>
  <si>
    <t>From Dissonance to Insights: Dissecting Disagreements in Rationale Construction for Case Outcome Classification</t>
  </si>
  <si>
    <t>Unpacking Ambiguous Structure: A Dataset for Ambiguous Implicit Discourse Relations for English and Egyptian Arabic</t>
  </si>
  <si>
    <t>Mind Your Language (Model): Fact-Checking LLMs and Their Role in NLP Research and Practice</t>
  </si>
  <si>
    <t>Proceedings of the 61st Annual Meeting of the Association for Computational Linguistics (Volume 2: Short Papers)</t>
  </si>
  <si>
    <t>Multi-CrossRE A Multi-Lingual Multi-Domain Dataset for Relation Extraction</t>
  </si>
  <si>
    <t>Silver Syntax Pre-training for Cross-Domain Relation Extraction</t>
  </si>
  <si>
    <t>Findings of the Association for Computational Linguistics: ACL 2023</t>
  </si>
  <si>
    <t>A taxonomy and review of generalization research in NLP</t>
  </si>
  <si>
    <t>Proceedings of the 4th Workshop on Gender Bias in Natural Language Processing (GeBNLP)</t>
  </si>
  <si>
    <t>Tafsir Dataset: A Novel Multi-Task Benchmark for Named Entity Recognition and Topic Modeling in Classical Arabic Literature</t>
  </si>
  <si>
    <t>The Sensitivity of Annotator Bias to Task Definitions in Argument Mining</t>
  </si>
  <si>
    <t>What do You Mean by Relation Extraction? A Survey on Datasets and Study on Scientific Relation Classification</t>
  </si>
  <si>
    <t>CrossRE: A Cross-Domain Dataset for Relation Extraction</t>
  </si>
  <si>
    <t>Spectral Probing</t>
  </si>
  <si>
    <t>Frustratingly Easy Performance Improvements for Low-resource Setups: A Tale on BERT and Segment Embeddings</t>
  </si>
  <si>
    <t>Sort by Structure: Language Model Ranking as Dependency Probing</t>
  </si>
  <si>
    <t>ParCorFull2.0: A parallel corpus annotated with full coreference</t>
  </si>
  <si>
    <t>SkillSpan: Hard and Soft Skill Extraction from English Job Postings</t>
  </si>
  <si>
    <t>Experimental Standards for Deep Learning Research: A Natural Language Processing Perspective</t>
  </si>
  <si>
    <t>Evidence &gt; Intuition: Transferability Estimation for Encoder Selection</t>
  </si>
  <si>
    <t>Increasing Robustness for Cross-domain Dialogue Act Classification on Social Media Data</t>
  </si>
  <si>
    <t>Probing for Labeled Dependency Trees</t>
  </si>
  <si>
    <t>Kompetencer: Fine-grained Skill Classification in Danish Job Postings via Distant Supervision and Transfer Learning</t>
  </si>
  <si>
    <t>Experimental Standards for Deep Learning in Natural Language Processing Research</t>
  </si>
  <si>
    <t>The Copenhagen Corpus of Eye Tracking Recordings from Natural Reading of Danish Texts</t>
  </si>
  <si>
    <t>A dataset of offensive language in Kosovo social media</t>
  </si>
  <si>
    <t>MaChAmp at SemEval-2022 Tasks 2, 3, 4, 6, 10, 11, and 12: Multi-task Multi-lingual Learning for a Pre-selected Set of Semantic Datasets</t>
  </si>
  <si>
    <t>Skill Extraction from Job Postings using Weak Supervision</t>
  </si>
  <si>
    <t>Resources and Evaluations for Danish Entity Resolution</t>
  </si>
  <si>
    <t>Exploring the importance of source text in automatic post-editing for context-aware machine translation</t>
  </si>
  <si>
    <t>How to write a bias statement: Recommendations for submissions to the Workshop on Gender Bias in NLP</t>
  </si>
  <si>
    <t>From Masked Language Modeling to Translation: Non-English Auxiliary Tasks Improve Zero-shot Spoken Language Understanding</t>
  </si>
  <si>
    <t>Challenges in Annotating and Parsing Spoken, Code-switched, Frisian-Dutch Data</t>
  </si>
  <si>
    <t>Spurious Correlations in Cross-Topic Argument Mining</t>
  </si>
  <si>
    <t>We Need to Talk About train-dev-test Splits</t>
  </si>
  <si>
    <t>A mention-based system for revision requirements detection</t>
  </si>
  <si>
    <t>De-identification of Privacy-related Entities in Job Postings</t>
  </si>
  <si>
    <t>Cartography Active Learning</t>
  </si>
  <si>
    <t>Proceedings of the Second Workshop on Computational Approaches to Discourse (CODI)</t>
  </si>
  <si>
    <t>"I’ll be there for you": The One with Understanding Indirect Answers</t>
  </si>
  <si>
    <t>Much Gracias: Semi-supervised Code-switch Detection for Spanish-English: How far can we get?</t>
  </si>
  <si>
    <t>Decoding EEG brain activity for multi-modal natural language processing</t>
  </si>
  <si>
    <t>Event and entity coreference across five European languages: Effects of context and referring expression</t>
  </si>
  <si>
    <t>Cross-lingual Multi-task Transfer for Zero-shot Task-oriented Dialog</t>
  </si>
  <si>
    <t>Genre as Weak Supervision for Cross-lingual Dependency Parsing</t>
  </si>
  <si>
    <t>cisat.dk</t>
  </si>
  <si>
    <t>Encryption to the Future: A Paradigm for Sending Secret Messages to Future (Anonymous) Committees</t>
  </si>
  <si>
    <t>A Decentralized Information Marketplace Preserving Input and Output Privacy</t>
  </si>
  <si>
    <t>FairPoS: Input Fairness in Permissionless Consensus</t>
  </si>
  <si>
    <t>Investigating Transparency Dimensions for Internet Voting</t>
  </si>
  <si>
    <t>Curating Complexities in Art, Science, and Medicine: Art, Science, and Technology Studies (ASTS) in Public Practice</t>
  </si>
  <si>
    <t>Digitalization becoming a matter of security</t>
  </si>
  <si>
    <t>Local Differential Privacy in Voting</t>
  </si>
  <si>
    <t>YOLO YOSO: Fast and Simple Encryption and Secret Sharing in the YOSO Model</t>
  </si>
  <si>
    <t>Influence of URL Formatting on Users' Phishing URL Detection</t>
  </si>
  <si>
    <t>People want reassurance when making privacy-related decisions—Not technicalities</t>
  </si>
  <si>
    <t>PAPR: Publicly Auditable Privacy Revocation for Anonymous Credentials</t>
  </si>
  <si>
    <t>CRAFT: Composable Randomness Beacons and Output-Independent Abort MPC From Time</t>
  </si>
  <si>
    <t>Mt. Random: Multi-tiered Randomness Beacons</t>
  </si>
  <si>
    <t>Eagle: Efficient Privacy Preserving Smart Contracts</t>
  </si>
  <si>
    <t>Perfect MPC over Layered Graphs</t>
  </si>
  <si>
    <t>Understanding issues related to personal data and data protection in open source projects on GitHub</t>
  </si>
  <si>
    <t>SoK: Privacy-Enhancing Technologies in Finance</t>
  </si>
  <si>
    <t>Security Awareness Training Through Experiencing the Adversarial Mindset</t>
  </si>
  <si>
    <t>Receipt-Free Electronic Voting from zk-SNARK</t>
  </si>
  <si>
    <t>Organising artificial intelligence and representing work</t>
  </si>
  <si>
    <t>Increasing security without decreasing usability: A comparison of various verifiable voting systems</t>
  </si>
  <si>
    <t>“So I Sold My Soul'': Effects of Dark Patterns in Cookie Notices on End-User Behavior and Perceptions</t>
  </si>
  <si>
    <t>FAST: Fair Auctions via Secret Transactions</t>
  </si>
  <si>
    <t>Individual Verifiability with Return Codes: Manipulation Detection Efficacy</t>
  </si>
  <si>
    <t>The State of the Union: Union-Only Signatures for Data Aggregation</t>
  </si>
  <si>
    <t>POSTER: Enabling User-Accountable Mechanisms in Decision Systems</t>
  </si>
  <si>
    <t>Modelling human threats in security ceremonies</t>
  </si>
  <si>
    <t>Zswap: zk-SNARK Based Non-Interactive Multi-Asset Swaps</t>
  </si>
  <si>
    <t>How Attacker Knowledge Affects Privacy Risks: An Analysis Using Probabilistic Programming</t>
  </si>
  <si>
    <t>(Public) Verifiability for Composable Protocols Without Adaptivity or Zero-Knowledge</t>
  </si>
  <si>
    <t>Secure Internet Exams Despite Coercion</t>
  </si>
  <si>
    <t>German voters' attitudes towards voting online with a verifiable system</t>
  </si>
  <si>
    <t>Cookie Disclaimers: Impact of Design and Users’ Attitude</t>
  </si>
  <si>
    <t>Evaluating the Future Device Security Risk Indicator for Hundreds of IoT Devices</t>
  </si>
  <si>
    <t>Post-Election Audits in the Philippines</t>
  </si>
  <si>
    <t>What Will Make Me Trust or Not Trust Will Depend Upon How Secure the Technology Is”: Factors Influencing Trust Perceptions of the Use of Election Technologies</t>
  </si>
  <si>
    <t>Zero-knowledge for homomorphic key-value commitments with applications to privacy-preserving ledgers</t>
  </si>
  <si>
    <t>Competing Versions of Trust in the Making of Democracy</t>
  </si>
  <si>
    <t>Recent Developments in the Context of Online Elections and Digital Polls in Germany</t>
  </si>
  <si>
    <t>GearBox: Optimal-size Shard Committees by Leveraging the Safety-Liveness Dichotomy</t>
  </si>
  <si>
    <t>A Formal Approach to Coercion Resistance and Its Application to E-Voting</t>
  </si>
  <si>
    <t>TARDIS: A Foundation of Time-Lock Puzzles in UC</t>
  </si>
  <si>
    <t>A Declaration of Software Independence</t>
  </si>
  <si>
    <t>Dark Patterns in the Wild: Review of Cookie Disclaimer Designs on Top 500 German Websites</t>
  </si>
  <si>
    <t>Voter Perceptions of Trust in Risk-Limiting Audit</t>
  </si>
  <si>
    <t>"I need to know I'm safe and protected and will check": users want cues to signal data custodians' trustworthiness</t>
  </si>
  <si>
    <t>Introduktion</t>
  </si>
  <si>
    <t>Usable Verifiable Secrecy-Preserving E-Voting</t>
  </si>
  <si>
    <t>How to weaponize RLAs to discredit an election</t>
  </si>
  <si>
    <t>Privug: Using Probabilistic Programming for Quantifying Leakage in Privacy Risk Analysis</t>
  </si>
  <si>
    <t>P2DEX: Privacy-Preserving Decentralized Cryptocurrency Exchange</t>
  </si>
  <si>
    <t>Voter Perceptions of Trust in Risk-Limiting Audits (Extended)</t>
  </si>
  <si>
    <t>Videnskab, teknologi og samfund: en introduktion til STS</t>
  </si>
  <si>
    <t>Performativitetsbegrebet i STS</t>
  </si>
  <si>
    <t>Insured MPC: Efficient Secure Computation with Financial Penalties</t>
  </si>
  <si>
    <t>Marilyn Strathern: Antropologi som en uendelig samtale</t>
  </si>
  <si>
    <t>Towards improving the efficacy of code-based verification in internet voting</t>
  </si>
  <si>
    <t>Marshall Sahlins</t>
  </si>
  <si>
    <t>Data-intensive Systems and Applications</t>
  </si>
  <si>
    <t>Understanding metric-related pitfalls in image analysis validation</t>
  </si>
  <si>
    <t>An Analysis of Collocation on GPUs for Deep Learning Training</t>
  </si>
  <si>
    <t>Multi-Backend Zonal Statistics Execution with Raven</t>
  </si>
  <si>
    <t>Surprise Benchmarking: The Why, What, and How</t>
  </si>
  <si>
    <t>Efficient Placement of Decomposable Aggregation Functions for Stream Processing over Large Geo-Distributed Topologies</t>
  </si>
  <si>
    <t>Metrics reloaded: recommendations for image analysis validation</t>
  </si>
  <si>
    <t>Analysis of Geospatial Data Loading</t>
  </si>
  <si>
    <t>Optimized CNN Architectures Benchmarking in Hardware-Constrained Edge Devices in IoT Environments</t>
  </si>
  <si>
    <t>Reaching the Edge of the Edge: Image Analysis in Space</t>
  </si>
  <si>
    <t>Data Pipes: Declarative Control over Data Movement</t>
  </si>
  <si>
    <t>Workload Prediction for IoT Data Management Systems</t>
  </si>
  <si>
    <t>Diversity, Equity and Inclusion Activities in Database Conferences: A 2022 Report</t>
  </si>
  <si>
    <t>SheetReader: Efficient Specialized Spreadsheet Parsing</t>
  </si>
  <si>
    <t>Optimistic Data Parallelism for FPGA-Accelerated Sketching</t>
  </si>
  <si>
    <t>APRIL: Approximating Polygons as Raster Interval Lists</t>
  </si>
  <si>
    <t>Good Intentions: Adaptive Parameter Management via Intent Signaling</t>
  </si>
  <si>
    <t>Why is the winner the best?</t>
  </si>
  <si>
    <t>Hybrid Anomaly Detection Model on Trusted IoT Devices</t>
  </si>
  <si>
    <t>A Survey of Trusted Computing Solutions Using FPGAs</t>
  </si>
  <si>
    <t>Delilah: eBPF-offload on Computational Storage</t>
  </si>
  <si>
    <t>Learn What Really Matters: A Learning-to-Rank Approach for ML-based Query Optimization</t>
  </si>
  <si>
    <t>Ten simple rules for failing successfully in academia</t>
  </si>
  <si>
    <t>A Summary of ICDE 2022 Research Session Panels</t>
  </si>
  <si>
    <t>Detecting Shortcuts in Medical Images — A Case Study in Chest X-rays</t>
  </si>
  <si>
    <t>Edge Artificial Intelligence for Internet of Things Devices: Open Challenges</t>
  </si>
  <si>
    <t>Smart Farming Robot for Detecting Environmental Conditions in a Greenhouse</t>
  </si>
  <si>
    <t>Profiling and Monitoring Deep Learning Training Tasks</t>
  </si>
  <si>
    <t>Data Management and Visualization for Benchmarking Deep Learning Training Systems</t>
  </si>
  <si>
    <t>Artificial Intelligence in Science:Lessons from shortcomings in machine learning for medical imaging</t>
  </si>
  <si>
    <t>Apache Wayang: A Unified Data Analytics Framework</t>
  </si>
  <si>
    <t>Enhancing In-Memory Spatial Indexing with Learned Search</t>
  </si>
  <si>
    <t>D6.3 Prototype and overview of data path optimizations and placement</t>
  </si>
  <si>
    <t>Revisiting Hidden Representations in Transfer Learning for Medical Imaging</t>
  </si>
  <si>
    <t>Diversity and Inclusion Activities in Database Conferences: A 2021 Report</t>
  </si>
  <si>
    <t>D6.2 Prototype and Overview of Managed Storage Tiers and Near-Data Processing</t>
  </si>
  <si>
    <t>DBTest '22: 9th International Workshop on Testing Database Systems</t>
  </si>
  <si>
    <t>Proceedings of the 16th ACM International Conference on Distributed and Event-based Systems, DEBS 2022, Copenhagen, Denmark, June 27 - 30, 2022</t>
  </si>
  <si>
    <t>In-Place Updates in Tree-Encoded Bitmaps</t>
  </si>
  <si>
    <t>Statistical Analysis of the Impact of COVID-19 on PM2.5 Concentrations in Downtown Quito during the Lockdowns in 2020</t>
  </si>
  <si>
    <t>Transforming Domain Models to Efficient C# for the Danish Pension Industry</t>
  </si>
  <si>
    <t>DAPHNE: An Open and Extensible System Infrastructure for Integrated Data Analysis Pipelines</t>
  </si>
  <si>
    <t>Micro-architectural analysis of a learned index</t>
  </si>
  <si>
    <t>Spatio-Temporal Graph Convolutional Network for Stochastic Traffic Speed Imputation</t>
  </si>
  <si>
    <t>A New Data-Preprocessing-Related Taxonomy of Sensors for IoT Applications</t>
  </si>
  <si>
    <t>Smart and Portable Air-Quality Monitoring IoT Low-Cost Devices in Ibarra City, Ecuador</t>
  </si>
  <si>
    <t>TPCx-AI on NVIDIA Jetsons</t>
  </si>
  <si>
    <t>Efficient Specialized Spreadsheet Parsing for Data Science</t>
  </si>
  <si>
    <t>I/O interface independence with xNVMe</t>
  </si>
  <si>
    <t>Satellite Image Search in AgoraEO</t>
  </si>
  <si>
    <t>Memory-aware curriculum federated learning for breast cancer classification</t>
  </si>
  <si>
    <t>Database Indexing and Query Processing (Dagstuhl Seminar 22111)</t>
  </si>
  <si>
    <t>Influence of Late Fusion of High-Level Features on User Relevance Feedback for Videos</t>
  </si>
  <si>
    <t>Machine learning for medical imaging: methodological failures and recommendations for the future</t>
  </si>
  <si>
    <t>Efficient Lightweight Cryptography Algorithm in IoT Devices with Real-time Criteria</t>
  </si>
  <si>
    <t>ENHANCE (ENriching Health data by ANnotations of Crowd and Experts): A case study for skin lesion classification</t>
  </si>
  <si>
    <t>Not your Grandpa's SSD: The Era of Co-Designed Storage Devices</t>
  </si>
  <si>
    <t>LifeMon: A MongoDB-Based Lifelog Retrieval Prototype</t>
  </si>
  <si>
    <t>Better database cost/performance via batched I/O on programmable SSD</t>
  </si>
  <si>
    <t>Micro-architectural analysis of in-memory OLTP: Revisited</t>
  </si>
  <si>
    <t>Exquisitor at the Video Browser Showdown 2021: Relationships Between Semantic Classifiers</t>
  </si>
  <si>
    <t>High-level prior-based loss functions for medical image segmentation: A survey</t>
  </si>
  <si>
    <t>How I failed machine learning in medical imaging -- shortcomings and recommendations</t>
  </si>
  <si>
    <t>PhotoCube at the Lifelog Search Challenge 2021</t>
  </si>
  <si>
    <t>eBPF - From a Programmer’s Perspective</t>
  </si>
  <si>
    <t>Unionized Data Governance in Virtual Power Plants: Poster</t>
  </si>
  <si>
    <t>XQC at the Lifelog Search Challenge 2021: Interactive Learning on a Mobile Device</t>
  </si>
  <si>
    <t>Exquisitor at the Lifelog Search Challenge 2021: Relationships Between Semantic Classifiers</t>
  </si>
  <si>
    <t>ViRMA: Virtual Reality Multimedia Analytics at LSC 2021</t>
  </si>
  <si>
    <t>VLDB 2021: Designing a Hybrid Conference</t>
  </si>
  <si>
    <t>Is the Reign of Interactive Search Eternal? Findings from the Video Browser Showdown 2020</t>
  </si>
  <si>
    <t>A Survey on Security Concerns and Their Actual Solutions for using FPGAs in Cloud Computing</t>
  </si>
  <si>
    <t>Impact of Interaction Strategies on User Relevance Feedback</t>
  </si>
  <si>
    <t>XQM: Interactive Learning on Mobile Phones</t>
  </si>
  <si>
    <t>VRLE: Lifelog Interaction Prototype in Virtual Reality: Lifelog Search Challenge at ACM ICMR 2020</t>
  </si>
  <si>
    <t>Proceedings of the 8th International Workshop on Testing Database Systems, DBTest@SIGMOD 2020, Portland, Oregon, June 19, 2020</t>
  </si>
  <si>
    <t>An Interactive Learning System for Large-Scale Multimedia Analytics</t>
  </si>
  <si>
    <t>Open-Channel SSD (What is it Good For)</t>
  </si>
  <si>
    <t>Virtual Reality Lifelog Explorer: A Prototype for Immersive Lifelog Analytics</t>
  </si>
  <si>
    <t>Training for Speech Recognition on Coprocessors</t>
  </si>
  <si>
    <t>Letter from the Special Issue Editor</t>
  </si>
  <si>
    <t>Hash-Based Authentication Revisited in the Age of High-Performance Computers</t>
  </si>
  <si>
    <t>Exquisitor at the Lifelog Search Challenge 2020</t>
  </si>
  <si>
    <t>Exquisitor at the Video Browser Showdown 2020</t>
  </si>
  <si>
    <t>Interactive Learning for Multimedia at Large</t>
  </si>
  <si>
    <t>Unionized Data Governance in Virtual Power Plants</t>
  </si>
  <si>
    <t>WiSer: A Highly Available HTAP DBMS for IoT Applications</t>
  </si>
  <si>
    <t>Exquisitor at the Lifelog Search Challenge 2019</t>
  </si>
  <si>
    <t>Integration of Exploration and Search: A Case Study of the M3 Model</t>
  </si>
  <si>
    <t>Hardware-Assisted Transaction Processing</t>
  </si>
  <si>
    <t>Personal Data Management Systems: The security and functionality standpoint</t>
  </si>
  <si>
    <t>Exquisitor: Breaking the Interaction Barrier for Exploration of 100 Million Images</t>
  </si>
  <si>
    <t>Wildfire: HTAP for Big Data</t>
  </si>
  <si>
    <t>Umzi: Unified Multi-Zone Indexing for Large-Scale HTAP</t>
  </si>
  <si>
    <t>LSM Management on Computational Storage</t>
  </si>
  <si>
    <t>Data Storage and Management for Big Multimedia</t>
  </si>
  <si>
    <t>Scheduling Data-Intensive Tasks on Heterogeneous Many Cores</t>
  </si>
  <si>
    <t>Index Maintenance Strategy and Cost Model for Extended Cluster Pruning</t>
  </si>
  <si>
    <t>Center for Digital Play</t>
  </si>
  <si>
    <t>Monuments For A Departed Future: Designing For Critical Engagement With An Ideologically Contested Museum Collection</t>
  </si>
  <si>
    <t>‘You can dance your prototype if you like’: independent filmmakers adapting the hackathon</t>
  </si>
  <si>
    <t>Continual Online Evolutionary Planning for In-Game Build Order Adaptation in StarCraft</t>
  </si>
  <si>
    <t>Evolving Simulated Modular Robots</t>
  </si>
  <si>
    <t>User experiences with editorial control in online newspaper comment fields</t>
  </si>
  <si>
    <t>Evolution and Morphogenesis of Simulated Modular Robots: A Comparison Between a Direct and Generative Encoding</t>
  </si>
  <si>
    <t>Automating the Incremental Evolution of Controllers for Physical Robots</t>
  </si>
  <si>
    <t>From Playground to Salon: Challenges in Designing a System for Online Public Debate</t>
  </si>
  <si>
    <t>Affective evolutionary music composition with MetaCompose</t>
  </si>
  <si>
    <t>Interactive Evolution of Complex Behaviours Through Skill Encapsulation</t>
  </si>
  <si>
    <t>Hit Parade</t>
  </si>
  <si>
    <t>On the playful use of digital media</t>
  </si>
  <si>
    <t>Orthogonally Evolved AI to Improve Difficulty Adjustment in Video Games</t>
  </si>
  <si>
    <t>MetaCompose: A Compositional Evolutionary Music Composer</t>
  </si>
  <si>
    <t>Automatic Evolution of Multimodal Behavior with Multi-Brain HyperNEAT</t>
  </si>
  <si>
    <t>Interactive Super Mario Bros Evolution</t>
  </si>
  <si>
    <t>WebAL Comes of Age: A review of the first 21 years of Artificial Life on the Web</t>
  </si>
  <si>
    <t>Evolving Neural Turing Machines for Reward-based Learning</t>
  </si>
  <si>
    <t>Continual Learning through Evolvable Neural Turing Machines</t>
  </si>
  <si>
    <t>Creative Generation of 3D Objects with Deep Learning and Innovation Engines</t>
  </si>
  <si>
    <t>Evolvability Search: Directly Selecting for Evolvability in order to Study and Produce It</t>
  </si>
  <si>
    <t>Online evolution for multi-action adversarial games</t>
  </si>
  <si>
    <t>Digitale Medien spielerisch nutzen</t>
  </si>
  <si>
    <t>Accelerating the Evolution of Cognitive Behaviors Through Human-Computer Collaboration</t>
  </si>
  <si>
    <t>Breeding a Diversity of Super Mario Behaviors Through Interactive Evolution</t>
  </si>
  <si>
    <t>Flying Things</t>
  </si>
  <si>
    <t>Learning Behavior Characterizations for Novelty Search</t>
  </si>
  <si>
    <t>Screamy Bird</t>
  </si>
  <si>
    <t>Towards Adaptive Evolutionary Architecture</t>
  </si>
  <si>
    <t>EvoCommander: A Novel Game Based on Evolving and Switching Between Artificial Brains</t>
  </si>
  <si>
    <t>Generating Artificial Plant Morphologies for Function and Aesthetics through Evolving L-Systems</t>
  </si>
  <si>
    <t>Artefacts: Minecraft meets Collaborative Interactive Evolution</t>
  </si>
  <si>
    <t>Moody Music Generator: Characterising Control Parameters Using Crowdsourcing.</t>
  </si>
  <si>
    <t>Playful Computer Interaction</t>
  </si>
  <si>
    <t>Novelty-driven Particle Swarm Optimization</t>
  </si>
  <si>
    <t>Interactive evolution of levels for a competitive multiplayer FPS</t>
  </si>
  <si>
    <t>DrawCompileEvolve: Sparking interactive evolutionary art with human creations</t>
  </si>
  <si>
    <t>Why Greatness Cannot be Planned: The Myth of the Objective</t>
  </si>
  <si>
    <t>Extinction Events Can Accelerate Evolution</t>
  </si>
  <si>
    <t>Audio Twister</t>
  </si>
  <si>
    <t>Electromagnetic Landscape: In-between Signal, Noise and Environment</t>
  </si>
  <si>
    <t>Russian Reset</t>
  </si>
  <si>
    <t>Petalz: Search-based Procedural Content Generation for the Casual Gamer</t>
  </si>
  <si>
    <t>Interactively Evolving Compositional Sound Synthesis Networks</t>
  </si>
  <si>
    <t>Flora Robotica – Mixed Societies of Symbiotic Robot-Plant Bio-Hybrids</t>
  </si>
  <si>
    <t>Darwin's Avatars: a Novel Combination of Gameplay and Procedural Content Generation</t>
  </si>
  <si>
    <t>Investigating MCTS Modifications in General Video Game Playing</t>
  </si>
  <si>
    <t>Soft-Body Muscles for Evolved Virtual Creatures: The Next Step on a Bio-Mimetic Path to Meaningful Morphological Complexity</t>
  </si>
  <si>
    <t>Enhancing Divergent Search through Extinction Events</t>
  </si>
  <si>
    <t>SMUG: Scientific Music Generator</t>
  </si>
  <si>
    <t>Monte-Carlo Tree Search for Simulated Car Racing</t>
  </si>
  <si>
    <t>Neuroevolution in Games: State of the Art and Open Challenges</t>
  </si>
  <si>
    <t>Evolving self-organizing simulated plant-inspired robots</t>
  </si>
  <si>
    <t>BrainCrafter: An investigation into human-based neural network engineering</t>
  </si>
  <si>
    <t>2014</t>
  </si>
  <si>
    <t>Mood Expression in Real-Time Computer Generated Music using Pure Data</t>
  </si>
  <si>
    <t>Teaching to Tinker: Making as an Educational Strategy</t>
  </si>
  <si>
    <t>Trading Control Intelligence for Physical Intelligence: Muscle Drives in Evolved Virtual Creatures</t>
  </si>
  <si>
    <t>Adapting Morphology to Multiple Tasks in Evolved Virtual Creatures</t>
  </si>
  <si>
    <t>Script-and Cluster-based UCT for StarCraft</t>
  </si>
  <si>
    <t>An Anarchy of Methods: Current Trends in How Intelligence Is Abstracted in AI</t>
  </si>
  <si>
    <t>Evaluating Musical Foreshadowing of Videogame Narrative Experiences</t>
  </si>
  <si>
    <t>Automatically Categorizing Procedurally Generated Content for Collecting Games</t>
  </si>
  <si>
    <t>Guided Self-organization in Indirectly Encoded and Evolving Topographic Maps</t>
  </si>
  <si>
    <t>2013</t>
  </si>
  <si>
    <t>Filtering the W*</t>
  </si>
  <si>
    <t>Encouraging reactivity to create robust machines</t>
  </si>
  <si>
    <t>Confronting the challenge of learning a flexible neural controller for a diversity of morphologies</t>
  </si>
  <si>
    <t>Ribosomal robots: Evolved designs inspired by protein folding</t>
  </si>
  <si>
    <t>Open-Ended Behavioral Complexity for Evolved Virtual Creatures</t>
  </si>
  <si>
    <t>Makin' cake and the meaning in games</t>
  </si>
  <si>
    <t>Makin' f*Â¢&amp;|# cake: The innocent, the vulgar, and the scary</t>
  </si>
  <si>
    <t>Shadow Showdown</t>
  </si>
  <si>
    <t>Single-unit pattern generators for quadruped locomotion</t>
  </si>
  <si>
    <t>Shadow Showdown: Twister in a digital space</t>
  </si>
  <si>
    <t>Media filter access</t>
  </si>
  <si>
    <t>Making cake, swearing, and the indefinite meaning of media</t>
  </si>
  <si>
    <t>Generating Flower Images and Shapes with Compositional Pattern Producing Networks</t>
  </si>
  <si>
    <t>A Compiler for CPPNs: Transforming Phenotypic Descriptions Into Genotypic Representations</t>
  </si>
  <si>
    <t>2012</t>
  </si>
  <si>
    <t>An enhanced hypercube-based encoding for evolving the placement, density, and connectivity of neurons</t>
  </si>
  <si>
    <t>Combining Search-Based Procedural Content Generation and Social Gaming in the Petalz Video Game.</t>
  </si>
  <si>
    <t>Multirobot behavior synchronization through direct neural network communication</t>
  </si>
  <si>
    <t>On the Benefits of Divergent Search for Evolved Representations</t>
  </si>
  <si>
    <t>Activity-aware Recommendation for Collaborative Work in Operating Rooms</t>
  </si>
  <si>
    <t>A unified approach to evolving plasticity and neural geometry</t>
  </si>
  <si>
    <t>Business IT</t>
  </si>
  <si>
    <t>superblockify: A Python Package for Automated Generation, Visualization, and Analysis of Potential Superblocks in Cities</t>
  </si>
  <si>
    <t>How Good Is Open Bicycle Network Data? A Countrywide Case Study of Denmark</t>
  </si>
  <si>
    <t>Sidewalk networks: Review and outlook</t>
  </si>
  <si>
    <t>BikeDNA: A tool for bicycle infrastructure data and network assessment</t>
  </si>
  <si>
    <t>Distributed Ledger Technology for Collective Environmental Market Action</t>
  </si>
  <si>
    <t>To analyze or to throw away? On the stability of excitation-emission matrices for different water systems</t>
  </si>
  <si>
    <t>Taking Stock of the Situation: The Situational Context of Bureaucratic Encounters</t>
  </si>
  <si>
    <t>Enhanced statistical evaluation of fluorescence properties to identify dissolved organic matter dynamics during river high-flow events</t>
  </si>
  <si>
    <t>Explanations for budget and schedule overrun revisited – a configurational perspective on IT projects</t>
  </si>
  <si>
    <t>Multimodal urban mobility and multilayer transport networks</t>
  </si>
  <si>
    <t>Spotlight on the Positives: How Do Information Technology Projects Achieve Cost Underruns?</t>
  </si>
  <si>
    <t>Government IT Projects: Current Evidence of Cost and Schedule Overrun and Their Antecedents</t>
  </si>
  <si>
    <t>Data-driven micromobility network planning for demand and safety</t>
  </si>
  <si>
    <t>Growing urban bicycle networks</t>
  </si>
  <si>
    <t>Automated Detection of Missing Links in Bicycle Networks</t>
  </si>
  <si>
    <t>Better than you think? Exploring cost and schedule overruns in government IT projects</t>
  </si>
  <si>
    <t>Pull Request Governance In Open Source Communities</t>
  </si>
  <si>
    <t>Research Methodologies and Ethical Challenges in Digital Migration Studies: Caring For (Big) Data?</t>
  </si>
  <si>
    <t>Cost and schedule overrun in Government IT projects. An empirical analysis</t>
  </si>
  <si>
    <t>Data-driven strategies for optimal bicycle network growth</t>
  </si>
  <si>
    <t>Special Isssue: Engaging the Data Moment</t>
  </si>
  <si>
    <t>Extracting the multimodal fingerprint of urban transportation networks</t>
  </si>
  <si>
    <t>The Role of Domain-Skills in Bureaucratic Service Encounters</t>
  </si>
  <si>
    <t>How Do FOSS Communities Decide to Accept Pull Requests?</t>
  </si>
  <si>
    <t>Engaging the data moment: an introduction</t>
  </si>
  <si>
    <t>From Drifters to Asylum Seekers</t>
  </si>
  <si>
    <t>EmisChain - An application of blockchain technology for road-transport emissions monitoring to support an emissions market and an in-use emissions-based tolling system in the EU</t>
  </si>
  <si>
    <t>'Seeing’ Papua New Guinea: Making Order and Disorder through a Petroleum Project</t>
  </si>
  <si>
    <t>Why Does Code Review Work for Open Source Software Communities?</t>
  </si>
  <si>
    <t>Bear &amp; Co: Simulating Value Conflicts in IoT Development</t>
  </si>
  <si>
    <t>Local Government and Politics: Forms and Aspects of Authority</t>
  </si>
  <si>
    <t>Episodic use: Practices of care in self-tracking</t>
  </si>
  <si>
    <t>Integrated and seamless? Single Parents’ Experiences of Cross-Organizational Interaction</t>
  </si>
  <si>
    <t>Living with Carbon Data</t>
  </si>
  <si>
    <t>Beyond mystery: Putting algorithmic accountability in context</t>
  </si>
  <si>
    <t>Tales of Carbon Offsets</t>
  </si>
  <si>
    <t>An Analysis of the Consequences of the General Data Protection Regulation on Social Network Research</t>
  </si>
  <si>
    <t>How to Migrate Citizens Online and Reduce Traffic on Traditional Channels Through Multichannel Management: A case study of cross-organizational collaboration surrounding a mandatory self-service application</t>
  </si>
  <si>
    <t>Teaching big data management as ethics in action</t>
  </si>
  <si>
    <t>Close encounters of the digital kind: How digitalization of public services challenges the public encounter</t>
  </si>
  <si>
    <t>Translating telephone calls to spreadsheets: Creating data on citizen multichannel behavior through practioners’ involvement</t>
  </si>
  <si>
    <t>Going Beyond Obscurity: Organizational Approaches to Data Anonymization</t>
  </si>
  <si>
    <t>Proof of Stake Blockchain: Performance and Scalability for Groupware Communications</t>
  </si>
  <si>
    <t>Context and Natural Language in Formal Concept Analysis</t>
  </si>
  <si>
    <t>Scalable Performance of FCbO Algorithm on Museum Data</t>
  </si>
  <si>
    <t>Framing Electoral Transparency: A comparative analysis of three e-votes counting ceremonies</t>
  </si>
  <si>
    <t>Fast Bayesian Non-Negative Matrix Factorisation and Tri-Factorisation</t>
  </si>
  <si>
    <t>CONTEXT 2015 Doctorial Symposium: Proceedings of Doctoral Symposium of the 9th International and Interdisciplinary Conference on Modeling and Using Context (CONTEXT 2015)</t>
  </si>
  <si>
    <t>Toward Real-time Multi-criteria Decision Making for Bus Service Reliability Optimisation</t>
  </si>
  <si>
    <t>Global Software Development in a CSCW perspective</t>
  </si>
  <si>
    <t>Trust in Internet Election: Observing the Norwegian Decryption and Counting Ceremony</t>
  </si>
  <si>
    <t>Using Formal Concept Analysis to Create Pathways through Museum Collections</t>
  </si>
  <si>
    <t>Learning Diagnostic Diagrams in Transport-Based Data-Collection Systems</t>
  </si>
  <si>
    <t>Does distance still matter? Revisiting the CSCW fundamentals on distributed collaboration</t>
  </si>
  <si>
    <t>Routine and Standardization in Global Software Development</t>
  </si>
  <si>
    <t>Talkingbadge</t>
  </si>
  <si>
    <t>Making a Home for Social Media</t>
  </si>
  <si>
    <t>Time, Interaction, and Design in Support of a Good Life</t>
  </si>
  <si>
    <t>TalkingBadge demo</t>
  </si>
  <si>
    <t>2011</t>
  </si>
  <si>
    <t>Energy Efficiency of Robot Locomotion Increases Proportional to Weight: Proceedings of the 2nd European Future Technologies Conference and Exhibition 2011</t>
  </si>
  <si>
    <t>NEtwoRks, Data, and Society (NERDS)</t>
  </si>
  <si>
    <t>Failing Our Youngest: On the Biases, Pitfalls, and Risks in a Decision Support Algorithm Used for Child Protection</t>
  </si>
  <si>
    <t>Which sport is becoming more predictable? A cross-discipline analysis of predictability in team sports</t>
  </si>
  <si>
    <t>The Opportunities, Limitations, and Challenges in Using Machine Learning Technologies for Humanitarian Work and Development</t>
  </si>
  <si>
    <t>Traces Of Unequal Entry Requirement For Illustrious People On Wikipedia Based On Their Gender</t>
  </si>
  <si>
    <t>Future directions in human mobility science</t>
  </si>
  <si>
    <t>Quantifying Ideological Polarization on a Network Using Generalized Euclidean Distance</t>
  </si>
  <si>
    <t>Socioeconomic reorganization of communication and mobility networks in response to external shocks</t>
  </si>
  <si>
    <t>Algorithmic Fairness: Learnings From a Case That Used AI For Decision Support</t>
  </si>
  <si>
    <t>Collaboration Patterns and Impact of Sharing at CHIIR</t>
  </si>
  <si>
    <t>Social dimensions impact individual sleep quantity and quality</t>
  </si>
  <si>
    <t>Drivers of social influence in the Twitter migration to Mastodon</t>
  </si>
  <si>
    <t>How we Work, Share, and Re-use at CHIIR</t>
  </si>
  <si>
    <t>Third Workshop on Recommender Systems for Human Resources (RecSys in HR 2023)</t>
  </si>
  <si>
    <t>How Do US Congress Members Advertise Climate Change: An Analysis of Ads Run on Meta’s Platforms</t>
  </si>
  <si>
    <t>An Exploration of Sentence-Pair Classification for Algorithmic Recruiting</t>
  </si>
  <si>
    <t>Identifying urban features for vulnerable road user safety in Europe</t>
  </si>
  <si>
    <t>The language of opinion change on social media under the lens of communicative action</t>
  </si>
  <si>
    <t>Optimizing the mitigation of epidemic spreading through targeted adoption of contact tracing apps</t>
  </si>
  <si>
    <t>Urban form and COVID-19 cases and deaths in Greater London: An urban morphometric approach</t>
  </si>
  <si>
    <t>First passage time analysis of spatial mutation patterns reveals evolutionary dynamics of pre-existing resistance in colorectal cancer</t>
  </si>
  <si>
    <t>Heterogeneous rarity patterns drive price dynamics in NFT collections</t>
  </si>
  <si>
    <t>Epidemic dreams: dreaming about health during the COVID-19 pandemic</t>
  </si>
  <si>
    <t>A potential mechanism for low tolerance feedback loops in social media flagging systems</t>
  </si>
  <si>
    <t>Posts on central websites need less originality to be noticed</t>
  </si>
  <si>
    <t>From Reddit to Wall Street: the role of committed minorities in financial collective action</t>
  </si>
  <si>
    <t>Generalized Euclidean Measure to Estimate Distances on Multilayer Networks</t>
  </si>
  <si>
    <t>Multidimensional Tie Strength and Economic Development</t>
  </si>
  <si>
    <t>Computational Desire Line Analysis of Cyclists on the Dybbølsbro Intersection in Copenhagen</t>
  </si>
  <si>
    <t>Quantifying ethnic segregation in cities through random walks</t>
  </si>
  <si>
    <t>Multiplex Graph Association Rules for Link Prediction</t>
  </si>
  <si>
    <t>Pearson correlations on complex networks</t>
  </si>
  <si>
    <t>Streetonomics: Quantifying culture using street names</t>
  </si>
  <si>
    <t>Implementing Gehl’s Theory to Study Urban Space. The Case of Monotowns</t>
  </si>
  <si>
    <t>“They each have their forte”: An Exploratory Diary Study of Temporary Switching Behavior between Mobile Messenger Services</t>
  </si>
  <si>
    <t>The Language of Situational Empathy</t>
  </si>
  <si>
    <t>The Role of Different Types of Conversations for Meeting Success</t>
  </si>
  <si>
    <t>The universal visitation law of human mobility</t>
  </si>
  <si>
    <t>The Healthy States of America: Creating a Health Taxonomy with Social Media</t>
  </si>
  <si>
    <t>How epidemic psychology works on Twitter: evolution of responses to the COVID-19 pandemic in the U.S.</t>
  </si>
  <si>
    <t>The Dreamcatcher: Interactive Storytelling of Dreams</t>
  </si>
  <si>
    <t>Mapping the NFT revolution: market trends, trade networks, and visual features</t>
  </si>
  <si>
    <t>Noise Corrected Sampling of Online Social Networks</t>
  </si>
  <si>
    <t>Temporal and cultural limits of privacy in smartphone app usage</t>
  </si>
  <si>
    <t>Success and luck in creative careers</t>
  </si>
  <si>
    <t>Distortions of political bias in crowdsourced misinformation flagging</t>
  </si>
  <si>
    <t>It takes a village to manipulate the media: coordinated link sharing behavior during 2018 and 2019 Italian elections.</t>
  </si>
  <si>
    <t>The Node Vector Distance Problem in Complex Networks</t>
  </si>
  <si>
    <t>Historical comparison of gender inequality in scientific careers across countries and disciplines</t>
  </si>
  <si>
    <t>New and atypical combinations: An assessment of novelty and interdisciplinarity</t>
  </si>
  <si>
    <t>Generalized Euclidean Measure to Estimate Network Distances</t>
  </si>
  <si>
    <t>A Twitter-based study of the European Internet of Things</t>
  </si>
  <si>
    <t>Knowledge diffusion in the network of international business travel</t>
  </si>
  <si>
    <t>Mapping Socioeconomic Indicators Using Social Media Advertising Data</t>
  </si>
  <si>
    <t>Discovering Communities of Community Discovery</t>
  </si>
  <si>
    <t>The Meaning of Dissimilar: An Evaluation of Various Similarity Quantification Approaches Used to Evaluate Community Detection Solutions</t>
  </si>
  <si>
    <t>‘Fake news’ is the invention of a liar: How false information circulates within the hybrid news system</t>
  </si>
  <si>
    <t>The Impact of Projection and Backboning on Network Topologies</t>
  </si>
  <si>
    <t>An Innovative Way to Model Twitter Topic-Driven Interactions Using Multiplex Networks</t>
  </si>
  <si>
    <t>Human-Centric Data Science for Urban Studies</t>
  </si>
  <si>
    <t>Multi-Party Media Partisanship Attention Score. Estimating Partisan Attention of News Media Sources Using Twitter Data in the Lead-up to 2018 Italian Election</t>
  </si>
  <si>
    <t>Analysis of visitors’ mobility patterns through random walk in the Louvre Museum</t>
  </si>
  <si>
    <t>Images of protest in contested social media: Production, propagation, and narratives</t>
  </si>
  <si>
    <t>Overview of the CLEF 2016 Social Book Search Lab</t>
  </si>
  <si>
    <t>Media, Art &amp; Design (MAD)</t>
  </si>
  <si>
    <t>Making the city my own: uses and practices of mobile location technologies for exploration of a new city</t>
  </si>
  <si>
    <t>Constructive Comments? Designing an online debate system for the Danish Broadcasting Corporation</t>
  </si>
  <si>
    <t>GIFT Project Deliverable D1.2 Data Management Plan</t>
  </si>
  <si>
    <t>Hybrid Events: Mediating Collocated Participation</t>
  </si>
  <si>
    <t>Parametric Tool to Generate 3D Printable PneuNet Bending Actuator Molds</t>
  </si>
  <si>
    <t>Laser Cut Molds for PneuNet Bending Actuators</t>
  </si>
  <si>
    <t>Interaction with Soft Robotic Tentacles</t>
  </si>
  <si>
    <t>Musicians’ Initial Encounters with a Smart Guitar</t>
  </si>
  <si>
    <t>Full Synopsis of EVA Copenhagen 2018 - Politics of the Machines - Art and After</t>
  </si>
  <si>
    <t>GIFT Project Deliverable D7.3 Project Website</t>
  </si>
  <si>
    <t>Uncanny Realm: The Extension of The Natural</t>
  </si>
  <si>
    <t>Interactive Performance as a Means of Civic Dialogue</t>
  </si>
  <si>
    <t>From Soft Sculpture to Soft Robotics: Retracing a Physical Aesthetics of Bio-Morphic Softness</t>
  </si>
  <si>
    <t>Internet Ecologies of New Mothers: Trust, Variety and Strategies for Managing Diverse Information Sources</t>
  </si>
  <si>
    <t>Leveraging Morphological Computation for Expressive Movement Generation in a Soft Robotic Artwork</t>
  </si>
  <si>
    <t>Experiencing the World: Wearable Technology and the Umwelt</t>
  </si>
  <si>
    <t>On Scale and Fields: Artistic Practice and Agricultural Machines</t>
  </si>
  <si>
    <t>Prolegomena for a Transdisciplinary Investigation Into the Materialities of Soft Systems</t>
  </si>
  <si>
    <t>"People Are Either Too Fake or Too Real": Opportunities and Challenges in Tie-Based Anonymity</t>
  </si>
  <si>
    <t>Techno-Organic Practices in the Nordic Art</t>
  </si>
  <si>
    <t>Autonomous Agents as Artistic Collaborators</t>
  </si>
  <si>
    <t>Software Quality</t>
  </si>
  <si>
    <t>Immersive Software Archaeology: Exploring Software Architecture and Design in Virtual Reality</t>
  </si>
  <si>
    <t>Free open source communities sustainability: Does it make a difference in software quality?</t>
  </si>
  <si>
    <t>Domain-Specific Languages: Effective modeling, automation, and reuse</t>
  </si>
  <si>
    <t>Learning-based systems for assessing hazard places of contagious diseases and diagnosing patient possibility</t>
  </si>
  <si>
    <t>Towards Formal Specification of Reinforcement Learning</t>
  </si>
  <si>
    <t>Reliable Plan Selection with Quantified Risk-Sensitivity</t>
  </si>
  <si>
    <t>Autonomy Is An Acquired Taste: Exploring Developer Preferences for GitHub Bots</t>
  </si>
  <si>
    <t>MROS: A framework for robot self-adaptation</t>
  </si>
  <si>
    <t>Behavior Trees and State Machines in Robotics Applications</t>
  </si>
  <si>
    <t>Exact and Efficient Bayesian Inference for Privacy Risk Quantification</t>
  </si>
  <si>
    <t>Feedback on Student Programming Exercises: Teaching Assistants vs Automated Assessment Tool</t>
  </si>
  <si>
    <t>Uniquifying Architecture Visualization through Variable 3D Model Generation</t>
  </si>
  <si>
    <t>Formal Specification and Testing for Reinforcement Learning</t>
  </si>
  <si>
    <t>Testing, Validation, and Verification of Robotic and Autonomous Systems: A Systematic Review</t>
  </si>
  <si>
    <t>MROS: runtime adaptation for robot control architectures</t>
  </si>
  <si>
    <t>Belief-based fault recovery for marine robotics</t>
  </si>
  <si>
    <t>Survey of Established Practices in the Life Cycle of Domain-Specific Languages</t>
  </si>
  <si>
    <t>Guiding the Evolution of Product-Line Conﬁgurations</t>
  </si>
  <si>
    <t>A Specification Logic for Programs in the Probabilistic Guarded Command Language</t>
  </si>
  <si>
    <t>Feature-Interaction Sampling for Scenario-Based Testing of Advanced Driver Assistance Systems</t>
  </si>
  <si>
    <t>Experiences with Constructing and Evolving a Software Product Line with Delta-Oriented Programming</t>
  </si>
  <si>
    <t>Utilizing Software Architecture Recovery to Explore Large-Scale Software Systems in Virtual Reality</t>
  </si>
  <si>
    <t>Towards Trace-Based Synchronization of Variability Annotations in Evolving Model-Driven Product Lines</t>
  </si>
  <si>
    <t>Utilizing Multi-Level Concepts for Multi-Phase Modeling</t>
  </si>
  <si>
    <t>Patching Locking Bugs Statically with Crayons</t>
  </si>
  <si>
    <t>Unified Operations for Variability in Space and Time</t>
  </si>
  <si>
    <t>Privacy with Good Taste: A Case Study in Quantifying Privacy Risks in Genetic Scores</t>
  </si>
  <si>
    <t>Model-Based Testing for System-Level Safety of Autonomous Underwater Robots</t>
  </si>
  <si>
    <t>On Designing Applied DSLs for Non-programming Experts in Evolving Domains</t>
  </si>
  <si>
    <t>Co-designing DSL quality assurance measures for and with non-programming experts</t>
  </si>
  <si>
    <t>Reactive Programming of Robots with RxROS</t>
  </si>
  <si>
    <t>A Modeling Tool for Reconfigurable Skills in ROS</t>
  </si>
  <si>
    <t>Verification of Program Transformations with Inductive Refinement Types</t>
  </si>
  <si>
    <t>Dependency bugs: the dark side of variability, reuse and modularity</t>
  </si>
  <si>
    <t>Generalized abstraction-refinement for game-based CTL lifted model checking</t>
  </si>
  <si>
    <t>SoK: Three Facets of Privacy Policies</t>
  </si>
  <si>
    <t>Assessing Privacy Risks Using Probabilistic Programming</t>
  </si>
  <si>
    <t>Guest editorial to the special section on MODELS 2018</t>
  </si>
  <si>
    <t>A Tailored Participatory Action Research for FOSS Communities</t>
  </si>
  <si>
    <t>Intention-Based Integration of Software Variants</t>
  </si>
  <si>
    <t>Behavior trees in action: A study of robotics applications</t>
  </si>
  <si>
    <t>The forgotten case of the dependency bugs: on the example of the robot operating system</t>
  </si>
  <si>
    <t>Affiliated Participation in Open Source Communities</t>
  </si>
  <si>
    <t>Intention-based integration of software variants</t>
  </si>
  <si>
    <t>Finding suitable variability abstractions for lifted analysis</t>
  </si>
  <si>
    <t>Variability Abstraction and Refinement for Game-Based Lifted Model Checking of Full CTL</t>
  </si>
  <si>
    <t>Identifying Redundancies in Fork-based Development</t>
  </si>
  <si>
    <t>Effective Floating-Point Analysis via Weak-Distance Minimization</t>
  </si>
  <si>
    <t>Guest editorial to the special section on ECMFA and ICMT at STAF 2016: Modeling and model transformations research in 2016</t>
  </si>
  <si>
    <t>Detecting Floating-Point Errors via Atomic Conditions</t>
  </si>
  <si>
    <t>Model Transformation Languages under a Magnifying Glass: A Controlled Experiment with Xtend, ATL, and QVT</t>
  </si>
  <si>
    <t>Clafer: Lightweight Modeling of Structure, Behaviour, and Variability</t>
  </si>
  <si>
    <t>Foundational Analysis Techniques for High-Level Transformation Programs</t>
  </si>
  <si>
    <t>Editorial</t>
  </si>
  <si>
    <t>Verification of high-level transformations with inductive refinement types</t>
  </si>
  <si>
    <t>Model transformation languages under a magnifying glass: a controlled experiment with Xtend, ATL, and QVT</t>
  </si>
  <si>
    <t>Identifying Features in Forks</t>
  </si>
  <si>
    <t>Proceedings of the 21th ACM/IEEE International Conference on Model Driven Engineering Languages and Systems, MODELS 2018, Copenhagen, Denmark, October 14-19, 2018</t>
  </si>
  <si>
    <t>Variability abstractions for lifted analyses</t>
  </si>
  <si>
    <t>Effective Analysis of C Programs by Rewriting Variability</t>
  </si>
  <si>
    <t>Data-efficient performance learning for configurable systems</t>
  </si>
  <si>
    <t>From Transition Systems to Variability Models and from Lifted Model Checking Back to UPPAAL</t>
  </si>
  <si>
    <t>Controller synthesis for dynamic hierarchical real-time plants using timed automata</t>
  </si>
  <si>
    <t>Variability through the Eyes of the Programmer</t>
  </si>
  <si>
    <t>Systematic Reuse and Ad Hoc Forking to Develop Software Variants</t>
  </si>
  <si>
    <t>Variability-Specific Abstraction Refinement for Family-Based Model Checking</t>
  </si>
  <si>
    <t>Effective Bug Finding in C Programs with Shape and Effect Abstractions</t>
  </si>
  <si>
    <t>Variability Bugs: Program and Programmer Perspective</t>
  </si>
  <si>
    <t>Audio-Visual Computing</t>
  </si>
  <si>
    <t>The Diary of Niels: Affective engagement through tangible interaction with museum artifacts</t>
  </si>
  <si>
    <t>Uncalibrated Non-Rigid Factorisation by Independent Subspace Analysis</t>
  </si>
  <si>
    <t>Non-Rigid Structure-From-Motion by Rank-One Basis Shapes</t>
  </si>
  <si>
    <t>Integral Geometric Dual Distributions of Multilinear Models</t>
  </si>
  <si>
    <t>Research Centre for Government IT</t>
  </si>
  <si>
    <t>Five Bureaucratic Roles in the Age of Digital Transformation: – Insights from Scandinavian Public Organizations</t>
  </si>
  <si>
    <t>Rethinking digitalization and climate: don’t predict, mitigate</t>
  </si>
  <si>
    <t>What Public Services are Suitable for Digitalization? - A Classification of Public Service Characteristics</t>
  </si>
  <si>
    <t>Governing Large Projects: A Three-Stage Process to Get It Right</t>
  </si>
  <si>
    <t>Como fazer grandes coisas: The Surprising Factors that Determine the Fate of Every Project from Home Renovations to Space Exploration, and Everything in Between</t>
  </si>
  <si>
    <t>Mitigating risk of failure in information technology projects: Causes and mechanisms</t>
  </si>
  <si>
    <t>How Big Things Get Done: The Surprising Factors that Determine the Fate of Every Project from Home Renovations to Space Exploration, and Everything in Between</t>
  </si>
  <si>
    <t>How Frank Gehry Delivers on Time and on Budget: Lessons from the Master Architect in Managing Big Projects</t>
  </si>
  <si>
    <t>Omni-Channel Overtures: Defining the Concept and Its Applicability in Public Sector Channel Management</t>
  </si>
  <si>
    <t>Stakeholder influence on technical debt management in the public sector: An embedded case study</t>
  </si>
  <si>
    <t>Understanding Citizen Actions in Public Encounters: Towards a Multi-Channel Process Model</t>
  </si>
  <si>
    <t>A Platform Approach to Space Exploration</t>
  </si>
  <si>
    <t>How (In)Accurate Is Cost-Benefit Analysis? Data, Explanations, and Suggestions for Reform</t>
  </si>
  <si>
    <t>Administrative Burden in Digital Self-Service: An Empirical Study About Citizens in Need of Financial Assistance</t>
  </si>
  <si>
    <t>Heuristics for Masterbuilders: Fast and Frugal Ways to Become a Better Project Leader</t>
  </si>
  <si>
    <t>AI in Action: How the Hong Kong Development Bureau Built the PSS, an Early-Warning-Sign System for Public Works Projects</t>
  </si>
  <si>
    <t>IT project failure, termination, and the marginal cost trap</t>
  </si>
  <si>
    <t>The Empirical Reality of IT Project Cost Overrun: Discovering A Power-Law Distribution</t>
  </si>
  <si>
    <t>Exploring Citizens’ Channel Behavior in Benefit Application: Empirical Examples from Norwegian Welfare Services</t>
  </si>
  <si>
    <t>How to Solve Big Problems: Bespoke versus Platform Strategies</t>
  </si>
  <si>
    <t>Make Megaprojects More Modular</t>
  </si>
  <si>
    <t>The Cost-Benefit Fallacy: Why Cost-Benefit Analysis Is Broken and How to Fix It</t>
  </si>
  <si>
    <t>A citizen-centered analysis of what public services are suitable for digital communication channels</t>
  </si>
  <si>
    <t>Top Ten Behavioral Biases in Project Management: An Overview</t>
  </si>
  <si>
    <t>IT Portfolio management as a framework for managing Technical Debt: Theoretical framework applied on a case study</t>
  </si>
  <si>
    <t>The accidental caseworker: How digital self-service influences citizens' administrative burden</t>
  </si>
  <si>
    <t>Stakeholder mapping of a Danish Agency Portfolio Management combined with Technical Debt creation: An embedded case study</t>
  </si>
  <si>
    <t>Show me the money! Documenting efficiency benefits from e-government</t>
  </si>
  <si>
    <t>Developing an Analytical Framework for Analyzing and Comparing National E-Government Strategies</t>
  </si>
  <si>
    <t>Values, Benefits, Considerations and Risks of AI in Government: A Study of AI Policy Documents in Sweden</t>
  </si>
  <si>
    <t>The Relationship Between Outbound and Inbound Communication in Government-to-Citizen Interaction</t>
  </si>
  <si>
    <t>Learning from the best? A comparison of Denmark´s and Germany´s national e-government strategies</t>
  </si>
  <si>
    <t>Multichannel Management in the Public Sector - A Literature Review</t>
  </si>
  <si>
    <t>Close Encounters of the Digital Kind: A Research Agenda for the Digitalization of Public Services</t>
  </si>
  <si>
    <t>Channel choice complications: Exploring the multiplex nature of citizens' channel choices</t>
  </si>
  <si>
    <t>Artificial Intelligence in Swedish Policies: Values, benefits, considerations and risks</t>
  </si>
  <si>
    <t>2005</t>
  </si>
  <si>
    <t>MOBILE MEDIER – MOBILE UNGE: Formidlingsrapport 02/05</t>
  </si>
  <si>
    <t>Center for Computing Education Research (CCER)</t>
  </si>
  <si>
    <t>Teachers’ Knowledge and Capacity for Using Digital Resources in Mathematics Education</t>
  </si>
  <si>
    <t>Designing Activities for CAS-based Student Work Realising the Lever Potential</t>
  </si>
  <si>
    <t>Designing for the materialization of networked learning spaces</t>
  </si>
  <si>
    <t>Affect as future-making pedagogy: A post-qualitative inquiry in Brazilian primary schools</t>
  </si>
  <si>
    <t>A relação crítica entre inovação pedagógica e ensino remoto emergencial</t>
  </si>
  <si>
    <t>Teaching Social Entrepreneurship in Higher Education: Active Pedagogy in a Deweyan Perspective</t>
  </si>
  <si>
    <t>Percepção da autoeficácia computacional docente dos professores da educação básica</t>
  </si>
  <si>
    <t>The Invisible Made Visible through Technologies’ Agency: a Sociomaterial Inquiry on Emergency Remote Teaching in Higher Education</t>
  </si>
  <si>
    <t>Theory as inquiry, exploring the potential of post-qualitative computing education research</t>
  </si>
  <si>
    <t>Networked Learning in 2021: A Community Definition</t>
  </si>
  <si>
    <t>Teaching novice teachers to enhance learning in the hybrid university</t>
  </si>
  <si>
    <t>Care and Relational Practices for Alternative Future Imaginaries in Brazilian Public Education</t>
  </si>
  <si>
    <t>Re-imagining Digital Technology in Education through Critical and Neo-materialist Insights</t>
  </si>
  <si>
    <t>Exploring Enactivism as a Networked Learning Paradigm for the Use of Digital Learning Platforms</t>
  </si>
  <si>
    <t>STS Pedagogies In Higher Education Teacher Development: An Interdisciplinary Proposal From IT, Design And Law</t>
  </si>
  <si>
    <t>Sociomaterialidade e digitalização da educação: reformulando a prática e a pesquisa em uma perspectiva pós-humana</t>
  </si>
  <si>
    <t>Is technology enhancing education? Analyzing discourse and practices of Brazilian teachers through a sociomaterial perspective</t>
  </si>
  <si>
    <t>Cultura digital, capital cultural e capital tecnológico: Uma análise das práticas pedagógicas no Ensino Superior</t>
  </si>
  <si>
    <t>Teacher professional development in higher education and the Teknosofikum project</t>
  </si>
  <si>
    <t>Theorising a critical relational pedagogy for the future university</t>
  </si>
  <si>
    <t>Teachers' Practice and Knowledge of School Algebra with CAS</t>
  </si>
  <si>
    <t>Teaching as the emergent event of an ecological process: Complexity and choices in one-to-one programmes</t>
  </si>
  <si>
    <t>Combining CAS based teaching with lesson study: A Theoretical paper</t>
  </si>
  <si>
    <t>Design Research Section</t>
  </si>
  <si>
    <t>The Designer’s Body as Resource in Design: Exploring Combinations of Point-of-view and Tense</t>
  </si>
  <si>
    <t>Trækvejret: A Kinetic Device Encouraging Bodily Reflection</t>
  </si>
  <si>
    <t>ReRide: A Bike Area Network for Embodied Self-monitoring during Motorbike Commute</t>
  </si>
  <si>
    <t>Watching Your Back While Riding Your Bike: Designing for Preventive Self-care During Motorbike Commuting</t>
  </si>
  <si>
    <t>ReRide: A Platform to Explore Interaction with Personal Data Before, During, and After Motorcycle Commuting</t>
  </si>
  <si>
    <t>Designing for Lived Informatics in Out-of-Clinic Physical Rehabilitation</t>
  </si>
  <si>
    <t>Identification of a need for data representations in Service Design</t>
  </si>
  <si>
    <t>Technologies in Practice (TiP)</t>
  </si>
  <si>
    <t>Danish Institute for IT Program Management (DIIP)</t>
  </si>
  <si>
    <t>Creative AI Lab</t>
  </si>
  <si>
    <t>Center for Climate IT</t>
  </si>
  <si>
    <t>Air Lab</t>
  </si>
  <si>
    <t>The Maritime Hub (MHub)</t>
  </si>
  <si>
    <t>Deep Reinforcement Learning for Master Bay Planning on Container Vessels</t>
  </si>
  <si>
    <t>Destination Prediction of Oil Tankers Using Graph Abstractions and Recurrent Neural Networks</t>
  </si>
  <si>
    <t>Using Fourier-Motzkin-Elimination to Derive Capacity Models of Container Vessels</t>
  </si>
  <si>
    <t>End User Development and Infrastructuring - Sustaining Organizational Innovation Capabilities</t>
  </si>
  <si>
    <t>Solving the Liner Shipping Fleet Repositioning Problem with Cargo Flows</t>
  </si>
  <si>
    <t>On the complexity of container stowage planning problems</t>
  </si>
  <si>
    <t>Symbolic Configuration for Interactive Container Ship Stowage Planning</t>
  </si>
  <si>
    <t>Computational Logistics: 4th International Conference, ICCL 2013, Copenhagen, Denmark, September 25-27, 2013, Proceedings</t>
  </si>
  <si>
    <t>A Node Flow Model for the Inflexible Visitation Liner Shipping Fleet Repositioning Problem with Cargo Flows</t>
  </si>
  <si>
    <t>Stowing the Right Containers on Container Vessels</t>
  </si>
  <si>
    <t>A Constraint Programming Model for Fast Optimal Stowage of Container Vessel Bays</t>
  </si>
  <si>
    <t>A PDDL Domain for the Liner Shipping Fleet Repositioning Problem</t>
  </si>
  <si>
    <t>Fast Interactive Decision Support for Modifying Stowage Plans Using Binary Decision Diagrams</t>
  </si>
  <si>
    <t>Automated Planning for Liner Shipping Fleet Repositioning.</t>
  </si>
  <si>
    <t>Temporal Optimization Planning for Fleet Repositioning</t>
  </si>
  <si>
    <t>Liner Shipping Fleet Repositioning</t>
  </si>
  <si>
    <t>Fast Generation of Near-Optimal Plans for Eco-Efficient Stowage of Large Container Vessels</t>
  </si>
  <si>
    <t>2009</t>
  </si>
  <si>
    <t>Teaching information communication technology and its development to maritime education professionals</t>
  </si>
  <si>
    <t>Generating Optimal Stowage Plans for Container Vessel Bays</t>
  </si>
  <si>
    <t>Digital Societies and Participation Section</t>
  </si>
  <si>
    <t>Benchmarking API Costs of Network Sampling Strategies</t>
  </si>
  <si>
    <t>Human Data Interaction Lab (HDI)</t>
  </si>
  <si>
    <t>Human-Centered Data Science (HCDS)</t>
  </si>
  <si>
    <t>Games Research Group</t>
  </si>
  <si>
    <t>Information Systems and Digital Innovation (ISDI)</t>
  </si>
  <si>
    <t>Center for Digital Welfare (CDW)</t>
  </si>
  <si>
    <t>Co-Design</t>
  </si>
  <si>
    <t>Management</t>
  </si>
  <si>
    <t>Towards A Shared Mission</t>
  </si>
  <si>
    <t>Services in Context</t>
  </si>
  <si>
    <t>Research evaluation for computer science</t>
  </si>
  <si>
    <t>2008</t>
  </si>
  <si>
    <t>On Encoding the Pi-calculus in Higher-Order Calculi</t>
  </si>
  <si>
    <t>Dansk forskning med bedre flæsk</t>
  </si>
  <si>
    <t>Procedural eXpression Lab (PXL)</t>
  </si>
  <si>
    <t>REFLACT</t>
  </si>
  <si>
    <t>European Blockchain Center (EBC)</t>
  </si>
  <si>
    <t>IxD Lab</t>
  </si>
  <si>
    <t>Interaction Design Research Group</t>
  </si>
  <si>
    <t>Revisiting Grudin’s eight challenges for developers of groupware technologies 30 years later</t>
  </si>
  <si>
    <t>Longitudinal Citation Prediction using Temporal Graph Neural Networks</t>
  </si>
  <si>
    <t>Bornholmsk Natural Language Processing: Resources and Tools</t>
  </si>
  <si>
    <t>Entropy as a Measure of Log Variability</t>
  </si>
  <si>
    <t>Proceedings of the 22nd Nordic Conference on Computational Linguistics</t>
  </si>
  <si>
    <t>Character-level Supervision for Low-resource POS Tagging</t>
  </si>
  <si>
    <t>Open to Change: A Theory for Iterative Test-Driven Modelling</t>
  </si>
  <si>
    <t>RESEDA: Declaring Live Event-Driven Computations as REactive SEmi-Structured DAta</t>
  </si>
  <si>
    <t>Directional Statistics in Protein Bioinformatics</t>
  </si>
  <si>
    <t>Towards an Entropy-based Analysis of Log Variability</t>
  </si>
  <si>
    <t>Cross-lingual tagger evaluation without test data</t>
  </si>
  <si>
    <t>I/O-efficient Similarity Join</t>
  </si>
  <si>
    <t>Spherical convolutions and their application in molecular modelling</t>
  </si>
  <si>
    <t>Parsing Universal Dependencies without training</t>
  </si>
  <si>
    <t>Designing Context-aware Cognitive Behavioral Therapy for Unipolar and Bipolar Disorders</t>
  </si>
  <si>
    <t>Wrist-worn pervasive gaze interaction</t>
  </si>
  <si>
    <t>Certified Symbolic Management of Financial Multi-party Contracts</t>
  </si>
  <si>
    <t>Fast Output-sensitive Matrix Multiplication</t>
  </si>
  <si>
    <t>From Independence to Expansion and Back Again</t>
  </si>
  <si>
    <t>Generalising Tree Traversals to DAGs: Exploiting Sharing without the Pain</t>
  </si>
  <si>
    <t>Calculating Certified Compilers for Non-deterministic Languages</t>
  </si>
  <si>
    <t>Quicksort, Largest Bucket, and Min-Wise Hashing with Limited Independence</t>
  </si>
  <si>
    <t>Proving Correctness of Compilers Using Structured Graphs</t>
  </si>
  <si>
    <t>Partial Order Infinitary Term Rewriting</t>
  </si>
  <si>
    <t>Civile Droner i Danmark: Kortlægning og teknologivurdering</t>
  </si>
  <si>
    <t>Smartphone data as objective measures of bipolar disorder symptoms</t>
  </si>
  <si>
    <t>Towards Certified Management of Financial Contracts</t>
  </si>
  <si>
    <t>Pick'n'Fix: Capturing Control Flow in Modular Compilers</t>
  </si>
  <si>
    <t>Composing and Decomposing Data Types: A Closed Type Families Implementation of Data Types à La Carte</t>
  </si>
  <si>
    <t>Cache-oblivious Hashing</t>
  </si>
  <si>
    <t>Domain-Specific Languages for Enterprise Systems</t>
  </si>
  <si>
    <t>Daily electronic self-monitoring of subjective and objective symptoms in bipolar disorder - The MONARCA trial protocol (MONitoring, treAtment and pRediCtion of bipolAr disorder episodes): a randomised controlled single-blind trial</t>
  </si>
  <si>
    <t>Banana Algebra: Compositional Syntactic Language Extension</t>
  </si>
  <si>
    <t>Programming macro tree transducers</t>
  </si>
  <si>
    <t>Personal health systems for bipolar disorder: anecdotes, challenges and lessons learnt from MONARCA project</t>
  </si>
  <si>
    <t>Convergence in Infinitary Term Graph Rewriting Systems is Simple (Extended Abstract)</t>
  </si>
  <si>
    <t>Intraprocedural Dataflow Analysis for Software Product Lines</t>
  </si>
  <si>
    <t>Electronic self-monitoring of patients with bipolar disorder</t>
  </si>
  <si>
    <t>Supporting disease insight through data analysis: refinements of the monarca self-assessment system</t>
  </si>
  <si>
    <t>Trustworthy Pervasive Healthcare Services via Multi-party Session Types</t>
  </si>
  <si>
    <t>A distributed and morphology-independent strategy for adaptive locomotion in self-reconfigurable modular robots</t>
  </si>
  <si>
    <t>Modes of Convergence for Term Graph Rewriting</t>
  </si>
  <si>
    <t>Modular Tree Automata</t>
  </si>
  <si>
    <t>Infinitary Term Graph Rewriting is Simple, Sound and Complete</t>
  </si>
  <si>
    <t>Emergo: a Tool for Improving Maintainability of Preprocessor-based Product Lines</t>
  </si>
  <si>
    <t>Elektronisk monitorering af patienter med bipolar affektiv sindslidelse</t>
  </si>
  <si>
    <t>Parametric Compositional Data Types</t>
  </si>
  <si>
    <t>Private Cloud Configuration with MetaConfig</t>
  </si>
  <si>
    <t>Generalized programming of modular robots through kinematic configurations</t>
  </si>
  <si>
    <t>Evaluation à la Carte: Non-Strict Evaluation via Compositional Data Types</t>
  </si>
  <si>
    <t>On the cost semantics for spreadsheets with sheet-defined functions</t>
  </si>
  <si>
    <t>On the semantics for spreadsheets with sheet-defined functions</t>
  </si>
  <si>
    <t>Charting the Algorithmic Complexity of Waypoint Routing</t>
  </si>
  <si>
    <t>Concrete and Abstract Cost Semantics for Spreadsheets</t>
  </si>
  <si>
    <t>Computation of Stackelberg equilibria of finite sequential games</t>
  </si>
  <si>
    <t>Computation of Stackelberg Equilibria of Finite Sequential Games</t>
  </si>
  <si>
    <t>Approximate Range Emptiness in Constant Time and Optimal Space</t>
  </si>
  <si>
    <t>Robust synthesis for real-time systems</t>
  </si>
  <si>
    <t>Information Leakage of Non-Terminating Processes</t>
  </si>
  <si>
    <t>A modal specification theory for components with data</t>
  </si>
  <si>
    <t>EcoIS: An image serialization library for plot-based plant flowering phenology</t>
  </si>
  <si>
    <t>Real-time specifications</t>
  </si>
  <si>
    <t>Maximizing Entropy over Markov Processes</t>
  </si>
  <si>
    <t>Abstract Probabilistic Automata</t>
  </si>
  <si>
    <t>QUAIL: A Quantitative Security Analyzer for Imperative Code</t>
  </si>
  <si>
    <t>Intensional type theory with guarded recursive types qua fixed points on universes</t>
  </si>
  <si>
    <t>A Modal Specification Theory for Components with Data</t>
  </si>
  <si>
    <t>New Results on Timed Specifications</t>
  </si>
  <si>
    <t>WebSelF: A Web Scraping Framework</t>
  </si>
  <si>
    <t>Moving from Specifications to Contracts in Component-Based Design</t>
  </si>
  <si>
    <t>Consistency and refinement for Interval Markov Chains</t>
  </si>
  <si>
    <t>I/O-Efficient Data Structures for Colored Range and Prefix Reporting</t>
  </si>
  <si>
    <t>Compositional verification of real-time systems using Ecdar</t>
  </si>
  <si>
    <t>New results for Constraint Markov Chains</t>
  </si>
  <si>
    <t>New Results on Abstract Probabilistic Automata</t>
  </si>
  <si>
    <t>APAC: A Tool for Reasoning about Abstract Probabilistic Automata</t>
  </si>
  <si>
    <t>Methodology for designing, implementing and evaluating assistive mobility technology to enable the social inclusion and independence needs of an ageing population</t>
  </si>
  <si>
    <t>2010</t>
  </si>
  <si>
    <t>Compositional Design Methodology with Constraint Markov Chains</t>
  </si>
  <si>
    <t>Timed I/O Automata: A Complete Specification Theory for Real-time Systems</t>
  </si>
  <si>
    <t>ECDAR: An Environment for Compositional Design and Analysis of Real Time Systems</t>
  </si>
  <si>
    <t>Methodologies for Specification of Real-Time Systems Using Timed I/O Automata</t>
  </si>
  <si>
    <t>EXPTIME-complete Decision Problems for Modal and Mixed Specifications</t>
  </si>
  <si>
    <t>Mapping Social Networks in SPI</t>
  </si>
  <si>
    <t>Blockchains for Business Process Management - Challenges and Opportunities</t>
  </si>
  <si>
    <t>Container Vessel Stowage Planning</t>
  </si>
  <si>
    <t>Reducing the rate and duration of Re-ADMISsions among patients with unipolar disorder and bipolar disorder using smartphone-based monitoring and treatment -- the RADMIS trials: study protocol for two randomized controlled trials</t>
  </si>
  <si>
    <t>A Process Framework for Designing Software Reference Architectures for Providing Tools as a Service</t>
  </si>
  <si>
    <t>Dedicated workspaces: Faster resumption times and reduced cognitive load in sequential multitasking</t>
  </si>
  <si>
    <t>Activity-Based Collaboration for Interactive Spaces</t>
  </si>
  <si>
    <t>Behavioral activities collected through smartphones and the association with illness activity in bipolar disorder</t>
  </si>
  <si>
    <t>Voice analysis as an objective state marker in bipolar disorder</t>
  </si>
  <si>
    <t>Electronic self-monitoring of mood using IT platforms in adult patients with bipolar disorder: A systematic review of the validity and evidence</t>
  </si>
  <si>
    <t>The use of gaze to control drones.</t>
  </si>
  <si>
    <t>Fault-tolerant gait learning and morphology optimization of a polymorphic walking robot</t>
  </si>
  <si>
    <t>Column Generation for the Liner Shipping Fleet Repositioning Problem</t>
  </si>
  <si>
    <t>Gaze-controlled flying</t>
  </si>
  <si>
    <t>willingness to pay</t>
  </si>
  <si>
    <t>Fast and Cache-Oblivious Dynamic Programming with Local Dependencies</t>
  </si>
  <si>
    <t>Demo of gaze controlled flying</t>
  </si>
  <si>
    <t>A Distributed Strategy for Gait Adaptation in Modular Robots</t>
  </si>
  <si>
    <t>Anatomy-based organization of morphology and control in self-reconfigurable modular robots</t>
  </si>
  <si>
    <t>The Container Stowage Problem</t>
  </si>
  <si>
    <t>Location-based solutions in the experience centre</t>
  </si>
  <si>
    <t>Spatial Computing with Labels: Proceedings of the 2008 Second IEEE International Conference on Self-Adaptive and Self-Organizing Systems Workshops</t>
  </si>
  <si>
    <t>Gaze-controlled driving</t>
  </si>
  <si>
    <t>Morphology Independent Learning in Modular Robots: Proceedings of the International Symposium on Distributed Autonomous Robotic Systems</t>
  </si>
  <si>
    <t>Elements of a Development Ecosystem for Modular Robot Applications: Proceedings of the Fourth International Workshop on Software Development and Integration in Robotics (SDIR 2009)</t>
  </si>
  <si>
    <t>Location-based solutions in the experience center</t>
  </si>
  <si>
    <t>Reusable Electronics and Adaptable Communication as Implemented in the Odin Modular Robot: Robotics and Automation, 2009</t>
  </si>
  <si>
    <t>A Unified Simulator for Self-Reconfigurable Robots: Proceedings of the 2008 IEEE/RSJ International Conference on Intelligent Robots and Systems (IROS 2008)</t>
  </si>
  <si>
    <t>Towards Interactive Programming of Modular Robots:  IROS Workshop on Self-Reconfigurable Robots &amp; Systems and Applications</t>
  </si>
  <si>
    <t>2007</t>
  </si>
  <si>
    <t>Improving face detection with TOF cameras</t>
  </si>
  <si>
    <t>Neighbor Detection and Crosstalk Elimination in Self-Reconfigurable Robots: Proceedings of First International Conference on Robot Communication and Coordination (ROBOCOMM)</t>
  </si>
  <si>
    <t>A Self-Reconfigurable Communication Network for Modular Robots: Proceedings of the First International Conference on Robot Communication and Coordination (ROBOCOMM2007)</t>
  </si>
  <si>
    <t>A Domain-Specific Language for Programming Self-Reconfigurable Robots: APGES 2007 - Automatic Program Generation for Embedded Systems - Workshop Proceedings</t>
  </si>
  <si>
    <t>2006</t>
  </si>
  <si>
    <t>Selecting a Meta-Module to Shape-Change the ATRON Self-Reconfigurable Robot: Proceedings of IEEE International Conference (ICRA)</t>
  </si>
  <si>
    <t>Towards Artificial ATRON Animals: Proceedings of the RSS Workshop</t>
  </si>
  <si>
    <t>Design of A Development Platform for HW/SW Codesign ofWireless Integrated Sensor Nodes.</t>
  </si>
  <si>
    <t>One of these words is not like the other: a reproduction of outlier identification using non-contextual word representations</t>
  </si>
  <si>
    <t>Quantifying the morphosyntactic content of Brown Clusters</t>
  </si>
  <si>
    <t>Efficient UC Commitment Extension with Homomorphism for Free (and Applications)</t>
  </si>
  <si>
    <t>A Decomposed Fourier-Motzkin Elimination Framework to Derive Vessel Capacity Models</t>
  </si>
  <si>
    <t>Computational Complexity of Proper Equilibrium</t>
  </si>
  <si>
    <t>Lower Bounds in the Asymmetric External Memory Model</t>
  </si>
  <si>
    <t>The Complexity of Approximating a Trembling Hand Perfect Equilibrium of a Multi-player Game in Strategic Form</t>
  </si>
  <si>
    <t>Systematic Derivation of Static Analyses for Software Product Lines</t>
  </si>
  <si>
    <t>Typed and unambiguous pattern matching on strings using regular expressions</t>
  </si>
  <si>
    <t>Using the SOLO Taxonomy to Analyze Competence Progression of University Science Curricula</t>
  </si>
  <si>
    <t>Analyzing CS Competencies using The SOLO Taxonomy: (Keynote abstract for Keynote talk at ITiCSE'09)</t>
  </si>
  <si>
    <t>Constructive Alignment and the SOLO Taxonomy: A Comparative Study of University Competences in Computer Science vs. Mathematics</t>
  </si>
  <si>
    <t>Beyond the Spreadsheet: Reflections on Tool Support for Literature Studies</t>
  </si>
  <si>
    <t>How Does Software Process Improvement Address Global Software Engineering?</t>
  </si>
  <si>
    <t>Creating and Maintaining Chemical Artificial Life by Robotic Symbiosis</t>
  </si>
  <si>
    <t>Multiparty Session Types as Coherence Proofs</t>
  </si>
  <si>
    <t>Head mounted device for point-of-gaze estimation in three dimensions</t>
  </si>
  <si>
    <t>Choreographies, Logically</t>
  </si>
  <si>
    <t>Efficient Enumeration of Modular Robot Configurations and Shapes</t>
  </si>
  <si>
    <t>On Sub-Modularization and Morphological Heterogeneity in Modular Robotics</t>
  </si>
  <si>
    <t>Systematic, bottom-up robot design using a biomechanical experimental methodology</t>
  </si>
  <si>
    <t>LocoKit: A Robot Construction Kit for Studying and Developing Functional Morphologies</t>
  </si>
  <si>
    <t>Adaptive Strategy for Online Gait Learning Evaluated on the Polymorphic Robotic LocoKit</t>
  </si>
  <si>
    <t>LocoKit - A Construction Kit for Exploration of Morphology of Legged Robots</t>
  </si>
  <si>
    <t>Model-based Kinematics Generation for Modular Mechatronic Toolkits</t>
  </si>
  <si>
    <t>Locomotion: Energy Efficiency of Robot Locomotion Increases Proportional to Weight</t>
  </si>
  <si>
    <t>Robust and reversible execution of self-reconfiguration sequences</t>
  </si>
  <si>
    <t>A vacuum-based bonding mechanism for modular robotics</t>
  </si>
  <si>
    <t>Model-based Kinematics Generation for Modular Mechatronic Toolkits: Proceedings of the 9th ACM SIGPLAN/SIGSOFT International Conference on Generative Programming and Component Engineering (GPCE?10)</t>
  </si>
  <si>
    <t>Increased Versatility of Modular Robots through Layered Heterogeneity</t>
  </si>
  <si>
    <t>Robust and Reversible Self-Reconfiguration: Proceedings of the 2009 IEEE/RSJ International Conference on Intelligent Robots and Systems</t>
  </si>
  <si>
    <t>A Virtual Machine-Based Approach for Fast and Flexible Reprogramming of Modular Robots: Proceedings</t>
  </si>
  <si>
    <t>Representation and shape estimation of Odin, a parallel under-actuated modular robot: Proceedings of the RSJ/IEEE International Conference on Intelligent Robots and Systems</t>
  </si>
  <si>
    <t>On the Efficiency of Local and Global Communication in Modular Robots: Proceedings of the IEEE/RSJ 2009 International Conference on Intelligent Robots and Systems</t>
  </si>
  <si>
    <t>Mechanical Design of Odin, an Extendable Heterogeneous Deformable Modular Robot: Intelligent Robots and Systems, 2008</t>
  </si>
  <si>
    <t>The Deformatron Robot: IEEE International Conference (ICRA)</t>
  </si>
  <si>
    <t>2002</t>
  </si>
  <si>
    <t>How to Make a Self-Reconfigurable Robot Run: Proceedings of the 1st international joint conference on autonomous agents and multiagent systems (AAMAS'02), Bologna, Italy, 2002</t>
  </si>
  <si>
    <t>On the Use of Sensors in Self-Reconfigurable Robots: Proceedings of the 7th international conference on simulation of adaptive behavior (SAB02), Edinburgh, England, 2002</t>
  </si>
  <si>
    <t>MultiLexNorm: A Shared Task on Multilingual Lexical Normalization</t>
  </si>
  <si>
    <t>Class-specific Variable Selection in High-Dimensional Discriminant Analysis through Bayesian Sparsity</t>
  </si>
  <si>
    <t>Bayesian variable selection for globally sparse probabilistic PCA</t>
  </si>
  <si>
    <t>uFLIP-OC: Understanding Flash I/O Patterns on Open-Channel Solid State Drives</t>
  </si>
  <si>
    <t>Quantifying information leakage of randomized protocols</t>
  </si>
  <si>
    <t>Equality and fixpoints in the calculus of structures</t>
  </si>
  <si>
    <t>Sound Merging and Differencing for Class Diagrams</t>
  </si>
  <si>
    <t>Analysis, Test and Verification in The Presence of Variability (Dagstuhl Seminar 13091)</t>
  </si>
  <si>
    <t>Playing Attack and Defense with Trusted Storage</t>
  </si>
  <si>
    <t>Symmetric normalisation for intuitionistic logic</t>
  </si>
  <si>
    <t>EagleTree: Exploring the Design Space of SSD-Based Algorithms</t>
  </si>
  <si>
    <t>Quantifying Information Leakage of Randomized Protocols</t>
  </si>
  <si>
    <t>Trusted Cells: A Sea Change for Personal Data Services</t>
  </si>
  <si>
    <t>Variability for You: Proceedings of VARY International Workshop affiliated with ACM/IEEE 14th International Conference on Model Driven Engineering Languages and Systems (MODELS'11)</t>
  </si>
  <si>
    <t>System Co-Design and Data Management for Flash Devices</t>
  </si>
  <si>
    <t>Vision Paper: Make a Difference! (Semantically)</t>
  </si>
  <si>
    <t>A Few Considerations on Structural and Logical Composition in Specification Theories</t>
  </si>
  <si>
    <t>uFLIP: Understanding the Energy Consumption of Flash Devices</t>
  </si>
  <si>
    <t>Performing sound flash device measurements: some lessons from uFLIP</t>
  </si>
  <si>
    <t>uFlip: Understanding Flash IO Patterns</t>
  </si>
  <si>
    <t>Coevolution of variability models and related software artifacts</t>
  </si>
  <si>
    <t>Clafer: Unifying Class and Feature Modeling</t>
  </si>
  <si>
    <t>Variability mechanisms in software ecosystems</t>
  </si>
  <si>
    <t>Efficient synthesis of feature models</t>
  </si>
  <si>
    <t>The Hausdorff Core Problem on Simple Polygons</t>
  </si>
  <si>
    <t>Three Cases of Feature-Based Variability Modeling in Industry</t>
  </si>
  <si>
    <t>Variability-aware performance prediction: A statistical learning approach</t>
  </si>
  <si>
    <t>Coevolution of variability models and related artifacts: a case study from the Linux kernel</t>
  </si>
  <si>
    <t>A Study of Variability Models and Languages in the Systems Software Domain</t>
  </si>
  <si>
    <t>Feature-oriented software evolution</t>
  </si>
  <si>
    <t>Partial Instances via Subclassing</t>
  </si>
  <si>
    <t>CVL: common variability language</t>
  </si>
  <si>
    <t>Example-Driven Modeling using Clafer</t>
  </si>
  <si>
    <t>Example-driven modeling: model = abstractions + examples</t>
  </si>
  <si>
    <t>Towards a catalog of variability evolution patterns: the Linux kernel case</t>
  </si>
  <si>
    <t>Cool features and tough decisions: a comparison of variability modeling approaches</t>
  </si>
  <si>
    <t>Usage scenarios for feature model synthesis</t>
  </si>
  <si>
    <t>Feature and Meta-Models in Clafer: Mixed, Specialized, and Coupled</t>
  </si>
  <si>
    <t>Evolution of the Linux Kernel Variability Model</t>
  </si>
  <si>
    <t>Variability Modeling in The Real: A Perspective from The Operating Systems Domain</t>
  </si>
  <si>
    <t>Feature-to-Code Mapping in Two Large Product Lines</t>
  </si>
  <si>
    <t>The Variability Model of The Linux Kernel</t>
  </si>
  <si>
    <t>SAT-based Analysis of Feature Models is Easy</t>
  </si>
  <si>
    <t>Efficient Compilation Techniques for Large Scale Feature Models</t>
  </si>
  <si>
    <t>Sample Spaces and Feature Models: There and Back Again</t>
  </si>
  <si>
    <t>Learning Outcome Outcomes: An Evaluation of Quality</t>
  </si>
  <si>
    <t>Counting Shortest Two Disjoint Paths in Cubic Planar Graphs with an NC Algorithm</t>
  </si>
  <si>
    <t>Efficiently Correcting Matrix Products</t>
  </si>
  <si>
    <t>Exact Graph Coloring Using Inclusion-Exclusion</t>
  </si>
  <si>
    <t>The Parity of Set Systems under Random Restrictions with Applications to Exponential Time Problems</t>
  </si>
  <si>
    <t>Exponential Time Complexity of the Permanent and the Tutte Polynomial</t>
  </si>
  <si>
    <t>Shortest Two Disjoint Paths in Polynomial Time</t>
  </si>
  <si>
    <t>Why have microsaccades become larger? Investigating eye deformations and detection algorithms.</t>
  </si>
  <si>
    <t>Listing Triangles</t>
  </si>
  <si>
    <t>A Placement Heuristic for a Commercial Decision Support System for Container Vessel Stowage</t>
  </si>
  <si>
    <t>Covering and packing in linear space</t>
  </si>
  <si>
    <t>Evaluation of permanents in rings and semirings</t>
  </si>
  <si>
    <t>Trimmed Moebius Inversion and Graphs of Bounded Degree</t>
  </si>
  <si>
    <t>Exponential time complexity of the permanent and the Tutte polynomial</t>
  </si>
  <si>
    <t>Set partitioning via inclusion–exclusion</t>
  </si>
  <si>
    <t>Counting paths and packings in halves</t>
  </si>
  <si>
    <t>Computing the Tutte Polynomial in Vertex-Exponential Time</t>
  </si>
  <si>
    <t>Trimmed Moebius inversion and graphs of bounded degree</t>
  </si>
  <si>
    <t>The Travelling Salesman Problem in bounded degree graphs</t>
  </si>
  <si>
    <t>Exact algorithms for exact satisfiability and number of perfect matchings</t>
  </si>
  <si>
    <t>Impact factor analysis: combining prediction with parameter ranking to reveal the impact of behavior on health outcome</t>
  </si>
  <si>
    <t>Thresholds for Extreme Orientability</t>
  </si>
  <si>
    <t>Linear Logical Voting Protocols</t>
  </si>
  <si>
    <t>The MONARCA self-assessment system: a persuasive personal monitoring system for bipolar patients</t>
  </si>
  <si>
    <t>Trace Matching in a Concurrent Logical Framework</t>
  </si>
  <si>
    <t>Perspectives on Infrastructural Challenges in Persuasive Personal Monitoring Systems</t>
  </si>
  <si>
    <t>State-set branching: Leveraging BDDs for heuristic search</t>
  </si>
  <si>
    <t>Multiagent Planning in the Presence of Multiple Goals</t>
  </si>
  <si>
    <t>ASET: a Multi-Agent Planning Language with Nondeterministic Durative Tasks for BDD-Based Fault Tolerant Planning</t>
  </si>
  <si>
    <t>2004</t>
  </si>
  <si>
    <t>Fault Tolerant Planning: Toward Probabilistic Uncertainty Models in Symbolic Non-Deterministic Planning</t>
  </si>
  <si>
    <t>2003</t>
  </si>
  <si>
    <t>UMOP 1.2 Software Demonstration</t>
  </si>
  <si>
    <t>Guided Symbolic Universal Planning</t>
  </si>
  <si>
    <t>Synthesis of Fault Tolerant Plans for Non-Deterministic Domains</t>
  </si>
  <si>
    <t>SnapLink: Fast and Accurate Vision-Based Appliance Control in Large Commercial Buildings</t>
  </si>
  <si>
    <t>Towards adaptive actors for scalable iot applications at the edge</t>
  </si>
  <si>
    <t>Zephyr: Simple, Ready-to-use Software-based Power Evaluation for Background Sensing Smartphone Applications</t>
  </si>
  <si>
    <t>SOLID-STATE STORAGE DEVICE WITH PROGRAMMABLE PHYSICAL STORAGE ACCESS</t>
  </si>
  <si>
    <t>Crowd-sourced BMS point matching and metadata maintenance with Babel</t>
  </si>
  <si>
    <t>AppNVM: Software-Defined, Application_Driven SSD</t>
  </si>
  <si>
    <t>BUSICO 3D: building simulation and control in unity 3D</t>
  </si>
  <si>
    <t>Massive Choice, Ample Tasks (MaChAmp): A Toolkit for Multi-task Learning in NLP</t>
  </si>
  <si>
    <t>On the Effectiveness of Dataset Embeddings in Mono-lingual, Multi-lingual and Zero-shot Conditions</t>
  </si>
  <si>
    <t>Norm It! Lexical Normalization for Italian and Its Downstream Effects forDependency Parsing</t>
  </si>
  <si>
    <t>Synthetic Data for English Lexical Normalization: How Close Can We Get to Manually Annotated Data?</t>
  </si>
  <si>
    <t>Proceedings of the Third Workshop on Computational Modeling of People's Opinions, Personality, and Emotion's in Social Media</t>
  </si>
  <si>
    <t>Matching Theory and Data with Personal-ITY: What a Corpus of Italian YouTube Comments Reveals About Personality</t>
  </si>
  <si>
    <t>CiteTracked: A Longitudinal Dataset of Peer Reviews and Citations</t>
  </si>
  <si>
    <t>When Simple n-gram Models Outperform Syntactic Approaches: Discriminating between Dutch and Flemish</t>
  </si>
  <si>
    <t>Proceedings of the Second Workshop on Computational Modeling of People’s Opinions, Personality, and Emotions in Social Media</t>
  </si>
  <si>
    <t>Bleaching Text: Abstract Features for Cross-lingual Gender Prediction</t>
  </si>
  <si>
    <t>A Comparative Study of Challenges in Integrating Open Source Software and Inner Source Software</t>
  </si>
  <si>
    <t>The Importance of Architectural Knowledge in Integrating Open Source Software</t>
  </si>
  <si>
    <t>Identifying Architectural Patterns Used in Open Source Software: Approaches and Challenges</t>
  </si>
  <si>
    <t>A comparative study of architecture knowledge management tools</t>
  </si>
  <si>
    <t>PyTorch Geometric Temporal: Spatiotemporal Signal Processing with Neural Machine Learning Models</t>
  </si>
  <si>
    <t>Unsupervised discovery of unaccusative and unergative verbs</t>
  </si>
  <si>
    <t>Proceedings of the Second Workshop on Domain Adaptation for NLP</t>
  </si>
  <si>
    <t>The Enriched Eﬀect Calculus: Syntax and Semantics</t>
  </si>
  <si>
    <t>Linear-use CPS translations in the enriched effect calculus</t>
  </si>
  <si>
    <t>Linearly-used Continuations in the Enriched Effect Calculus</t>
  </si>
  <si>
    <t>A logic for parametric polymorphism with effects</t>
  </si>
  <si>
    <t>Relational parametricity for control considered as a computational effect</t>
  </si>
  <si>
    <t>Relational parametricity for Computational Effects</t>
  </si>
  <si>
    <t>Interpreting polymorphic FPC into domain theoretic models of parametric polymorphism</t>
  </si>
  <si>
    <t>Can You Feel It?: Evaluation of Affective Expression in Music Generated by MetaCompose</t>
  </si>
  <si>
    <t>Computational reproducibility: state-of-the-art, challenges, and database research opportunities</t>
  </si>
  <si>
    <t>Exploring the Coming Repositories of Reproducible Experiments: Challenges and Opportunities</t>
  </si>
  <si>
    <t>Schema Tuning</t>
  </si>
  <si>
    <t>Tuning the Application Interface</t>
  </si>
  <si>
    <t>Physical Layer Tuning</t>
  </si>
  <si>
    <t>Index Tuning</t>
  </si>
  <si>
    <t>Performance Monitoring Tools</t>
  </si>
  <si>
    <t>Administration Wizards</t>
  </si>
  <si>
    <t>Tuning Concurrency Control</t>
  </si>
  <si>
    <t>Beyond task success: A closer look at jointly learning to see, ask, and GuessWhat</t>
  </si>
  <si>
    <t>Measuring Catastrophic Forgetting in Visual Question Answering</t>
  </si>
  <si>
    <t>Psycholinguistics meets Continual Learning: Measuring Catastrophic Forgetting in Visual Question Answering</t>
  </si>
  <si>
    <t>Blackthorn: Large-Scale Interactive Multimodal Learning</t>
  </si>
  <si>
    <t>An Empirical Study of Learning by Osmosis in Global Software Engineering</t>
  </si>
  <si>
    <t>Cubical agda: a dependently typed programming language with univalence and higher inductive types</t>
  </si>
  <si>
    <t>Om frihet är målet behövs en plan för hur ett samhälle utan arbete ska organiseras</t>
  </si>
  <si>
    <t>Concepts, Operations, and Feasibility of a Projection-Based Variation Control System</t>
  </si>
  <si>
    <t>Names For Free: Polymorphic Views of Names and Binders</t>
  </si>
  <si>
    <t>Assessing Architectural Drift in Commercial Software Development: A Case Study</t>
  </si>
  <si>
    <t>Managing Variability in Software Product Lines</t>
  </si>
  <si>
    <t>Sequence labelling and sequence classification with gaze: Novel uses of eye‐tracking data for Natural Language Processing</t>
  </si>
  <si>
    <t>Monitoring the GDPR: European Symposium on Research in Computer Security</t>
  </si>
  <si>
    <t>Global communication schemes for the numerical solution of high-dimensional PDEs</t>
  </si>
  <si>
    <t>A Cache-Optimal Alternative to the Unidirectional Hierarchization Algorithm</t>
  </si>
  <si>
    <t>Does My Smart Device Provider Care About My Privacy? Investigating Trust Factors and User Attitudes in IoT Systems</t>
  </si>
  <si>
    <t>Type Checking Liveness for Collaborative Processes with Bounded and Unbounded Recursion</t>
  </si>
  <si>
    <t>Compositional Choreographies</t>
  </si>
  <si>
    <t>Structured Communication-Centered Programming for Web Services</t>
  </si>
  <si>
    <t>Modal and Mixed Specifications: Key Decision Problems and their Complexities</t>
  </si>
  <si>
    <t>Asynchronous Session Types – Exceptions and Multiparty Interactions</t>
  </si>
  <si>
    <t>Complexity of Decision Problems for Mixed and Modal Specifications</t>
  </si>
  <si>
    <t>Proceedings of the Third Workshop on Gender Bias in Natural Language Processing</t>
  </si>
  <si>
    <t>Beyond Black &amp; White: Leveraging Annotator Disagreement via Soft-Label Multi-Task Learning</t>
  </si>
  <si>
    <t>We Need to Consider Disagreement in Evaluation</t>
  </si>
  <si>
    <t>Learning from Disagreement: A Survey</t>
  </si>
  <si>
    <t>A Case for Soft Loss Functions</t>
  </si>
  <si>
    <t>SemEval-2019 Task 7: RumourEval 2019: Determining Rumour Veracity and Support for Rumours</t>
  </si>
  <si>
    <t>Timeability in Extensive-Form Games</t>
  </si>
  <si>
    <t>Category-theoretic models of linear Abadi &amp; Plotkin Logic.</t>
  </si>
  <si>
    <t>The struggle for existence in the world market ecosystem</t>
  </si>
  <si>
    <t>Incremental Techniques for Large-Scale Dynamic Query Processing</t>
  </si>
  <si>
    <t>Approximate Well-supported Nash Equilibria Below Two-thirds</t>
  </si>
  <si>
    <t>Automata, Languages, and Programming: 41st International Colloquium, ICALP 2014, Copenhagen, Denmark, July 8-11, 2014, Proceedings, Part I</t>
  </si>
  <si>
    <t>Preface</t>
  </si>
  <si>
    <t>Automata, Languages, and Programming: 41st International Colloquium, ICALP 2014, Copenhagen, Denmark, July 8-11, 2014, Proceedings, Part II</t>
  </si>
  <si>
    <t>Triangle Counting in Dynamic Graph Streams</t>
  </si>
  <si>
    <t>Autonomic Resource Provisioning for Cloud-Based Software</t>
  </si>
  <si>
    <t>Classification and Comparison of Architecture Evolution Reuse Knowledge - A Systematic Review</t>
  </si>
  <si>
    <t>A Pattern Language for the Evolution of Component-based Software Architectures</t>
  </si>
  <si>
    <t>Characterizing Architecturally Significant Requirements</t>
  </si>
  <si>
    <t>Design and Evaluation of a Process for Identifying Architecture Patterns in Open Source Software</t>
  </si>
  <si>
    <t>Supporting Customizable Architectural Design Decision Management</t>
  </si>
  <si>
    <t>Towards Evidence-Based Understanding of Electronic Data Sources</t>
  </si>
  <si>
    <t>Systematic Review of Comparative Evidence of Aspect-Oriented Programming</t>
  </si>
  <si>
    <t>Variability Management in Software Product Lines: An Investigation of Contemporary Industrial Challenges</t>
  </si>
  <si>
    <t>Model Construction with External Constraints: An interactive Journey from Semantics to Syntax</t>
  </si>
  <si>
    <t>Security and Privacy Awareness in Smart Environments--A Cross-Country Investigation</t>
  </si>
  <si>
    <t>Has the GDPR hype affected users’ reaction to cookie disclaimers?</t>
  </si>
  <si>
    <t>Comparing “Challenge-Based” and “Code-Based” Internet Voting Verification Implementations</t>
  </si>
  <si>
    <t>A Conceptual Model for Unifying Variability in Space and Time</t>
  </si>
  <si>
    <t>Automatic Margin Computation for Risk-Limiting Audits</t>
  </si>
  <si>
    <t>An Introduction to Voting Rule Verification</t>
  </si>
  <si>
    <t>Agility and Architecture</t>
  </si>
  <si>
    <t>Symbolic Semantics for Probabilistic Programs</t>
  </si>
  <si>
    <t>Consistency-Preserving Evolution Planning on Feature Models</t>
  </si>
  <si>
    <t>Declarative event based models of concurrency and refinement in psi-calculi</t>
  </si>
  <si>
    <t>Concurrency Models with Causality and Events as Psi-calculi</t>
  </si>
  <si>
    <t>An evolution friendly modular architecture to produce feasible robots</t>
  </si>
  <si>
    <t>A Modular Architecture for Developing Robots for Industrial Applications</t>
  </si>
  <si>
    <t>Morphologically intelligent underactuated robot for underwater hull cleaning</t>
  </si>
  <si>
    <t>From Virtual Creatures to Feasible Robots</t>
  </si>
  <si>
    <t>Incremental Construction of Modal Implication Graphs for Evolving Feature Models</t>
  </si>
  <si>
    <t>Augmenting Metamodels with Seamless Support for Planning, Tracking, and Slicing Model Evolution Timelines</t>
  </si>
  <si>
    <t>Incremental Feature Model Synthesis for Clone-and-Own Software Systems in MATLAB/Simulink</t>
  </si>
  <si>
    <t>A Technology-Neutral Role-Based Collaboration Model for Software Ecosystems</t>
  </si>
  <si>
    <t>Forked and Integrated Variants In An Open-Source Firmware Project</t>
  </si>
  <si>
    <t>A Core Language for Separate Variability Modeling</t>
  </si>
  <si>
    <t>Towards a core language for separate variability modeling</t>
  </si>
  <si>
    <t>Neural Unsupervised Domain Adaptation in NLP—A Survey</t>
  </si>
  <si>
    <t>Biomedical Event Extraction as Sequence Labeling</t>
  </si>
  <si>
    <t>Participatory Infrastructuring of Community Energy</t>
  </si>
  <si>
    <t>Beyond Continuous Delivery: An Empirical Investigation of Continuous Deployment Challenges</t>
  </si>
  <si>
    <t>Adopting Continuous Delivery and Deployment: Impacts on Team Structures, Collaboration and Responsibilities</t>
  </si>
  <si>
    <t>A Reference Architecture for Provisioning of Tools as a Service: Meta-Model, Ontologies and Design Elements</t>
  </si>
  <si>
    <t>A systematic review of knowledge sharing challenges and practices in global software development</t>
  </si>
  <si>
    <t>A Reference Architecture for a Cloud-Based Tools as a Service Workspace</t>
  </si>
  <si>
    <t>Towards a Pattern Language for Self-adaptation of Cloud-based Architectures</t>
  </si>
  <si>
    <t>Architecture-driven Migration of Legacy Systems to Cloud-enabled Software</t>
  </si>
  <si>
    <t>Solving k-center Clustering (with Outliers) in MapReduce and Streaming, almost as Accurately as Sequentially.</t>
  </si>
  <si>
    <t>Distance-Sensitive Hashing</t>
  </si>
  <si>
    <t>Network-Oblivious Algorithms</t>
  </si>
  <si>
    <t>M3: Matrix Multiplication on MapReduce</t>
  </si>
  <si>
    <t>Experimental Evaluation of Multi-Round Matrix Multiplication on MapReduce</t>
  </si>
  <si>
    <t>Service-oriented Programming with Jolie</t>
  </si>
  <si>
    <t>Subgraph Enumeration in Massive Graphs</t>
  </si>
  <si>
    <t>DeCP-Live: A Web-Interface for DeCP, a Distributed High-Throughput CBIR System</t>
  </si>
  <si>
    <t>Prototyping a Web-Scale Multimedia Retrieval Service Using Spark</t>
  </si>
  <si>
    <t>The Sequent Calculus of Skew Monoidal Categories</t>
  </si>
  <si>
    <t>On Competitiveness of Nearest-Neighbor-Based Music Classification: A Methodological Critique</t>
  </si>
  <si>
    <t>Music Genre Classification Revisited: An In-Depth Examination Guided by Music Experts</t>
  </si>
  <si>
    <t>Learning through Situated Innovation: Why the specific is crucial for Participatory Design Research</t>
  </si>
  <si>
    <t>Creating Synergies Between Participatory Design of E-Services and Collaborative Planning</t>
  </si>
  <si>
    <t>8th Nordic Workshop on Model-Driven Software Engineering</t>
  </si>
  <si>
    <t>Achieving sustainable tailorable software systems by collaboration between end-users and developers</t>
  </si>
  <si>
    <t>From Knowledge Transfer to Situated Innovation: Cultivating spaces for co-operation in innovation and design between academics, user-groups and ICT providers</t>
  </si>
  <si>
    <t>Cooperative method development: Combining qualitative empirical research with method, technique and process improvement</t>
  </si>
  <si>
    <t>Emergent Interfaces for Feature Modularization</t>
  </si>
  <si>
    <t>SPLLIFT: Statically Analyzing Software Product Lines in Minutes instead of Years</t>
  </si>
  <si>
    <t>On the Impact of Feature Dependencies when Maintaining Preprocessor-based Software Product Lines</t>
  </si>
  <si>
    <t>A Case for Declarative Process Modelling: Agile Development of a Grant Application System</t>
  </si>
  <si>
    <t>Modular Context-Sensitive and Aspect-Oriented Processes with Dynamic Condition Response Graphs</t>
  </si>
  <si>
    <t>Exformatics Declarative Case Management Workflows as DCR Graphs</t>
  </si>
  <si>
    <t>Dynamic Condition Response Graphs for Trustworthy Adaptive Case Management</t>
  </si>
  <si>
    <t>Nested Dynamic Condition Response Graphs</t>
  </si>
  <si>
    <t>Declarative Modelling and Safe Distribution of Healthcare Workflows</t>
  </si>
  <si>
    <t>Safe Distribution of Declarative Processes</t>
  </si>
  <si>
    <t>Designing a Cross-organizational Case Management System using Dynamic Condition Response Graphs</t>
  </si>
  <si>
    <t>The Role of Ethnographic Studies in Empirical Software Engineering</t>
  </si>
  <si>
    <t>Knowledge transfer in pair programming: An in-depth analysis</t>
  </si>
  <si>
    <t>Information Flow within a Dispersed Agile Team: A Distributed Cognition Perspective</t>
  </si>
  <si>
    <t>Cooperative and Human Aspects of Software Engineering (CHASE 2010)</t>
  </si>
  <si>
    <t>Using ethnographic methods in software engineering research.</t>
  </si>
  <si>
    <t>Cooperative and human aspects of software engineering: CHASE 2010.</t>
  </si>
  <si>
    <t>CHASE '10: Proceedings of the 2010 ICSE Workshop on Cooperative and Human Aspects of Software Engineering</t>
  </si>
  <si>
    <t>CHASE '09: Proceedings of the 2009 ICSE Workshop on Cooperative and Human Aspects on Software Engineering</t>
  </si>
  <si>
    <t>Functional structures of US state governments</t>
  </si>
  <si>
    <t>Certification of ICTs in Elections</t>
  </si>
  <si>
    <t>3rd International Workshop on Human Factors in Software Development Processes (HuFo): Measuring System Quality: Editorial</t>
  </si>
  <si>
    <t>User Involvement and Usability Evaluation in Ethiopian Software Organizations</t>
  </si>
  <si>
    <t>Semiotics, Human-Computer Interaction and End-User Development: Special Issue</t>
  </si>
  <si>
    <t>Human Factors in Software Development Processes: Measuring System Quality</t>
  </si>
  <si>
    <t>Human-Centered Design in Industry: Lessons from the Trenches</t>
  </si>
  <si>
    <t>End-User Development. IS-EUD. Proceedings of the Third international conference.</t>
  </si>
  <si>
    <t>Scalability of the NV-tree: Three Experiments</t>
  </si>
  <si>
    <t>Transactional Support for Visual Instance Search</t>
  </si>
  <si>
    <t>Dynamicity and Durability in Scalable Visual Instance Search.</t>
  </si>
  <si>
    <t>Introduction to Special Issue of the 23rd International Conference on Multimedia Modeling (MMM 2017)</t>
  </si>
  <si>
    <t>Interface-Based Service Composition with Aggregation</t>
  </si>
  <si>
    <t>Type Systems for Bigraphs</t>
  </si>
  <si>
    <t>The Robobo Project: Bringing Educational Robotics Closer to Real-World Applications</t>
  </si>
  <si>
    <t>Theory and Applications of Hashing (Dagstuhl Seminar 17181)</t>
  </si>
  <si>
    <t>Simple multi-party set reconciliation</t>
  </si>
  <si>
    <t>Efficient estimation for high similarities using odd sketches</t>
  </si>
  <si>
    <t>Tight Thresholds for Cuckoo Hashing via XORSAT</t>
  </si>
  <si>
    <t>The Multivariate Generalised von Mises Distribution: Inference and Applications</t>
  </si>
  <si>
    <t>Comparative Study of Inference Methods for Bayesian Nonnegative Matrix Factorisation</t>
  </si>
  <si>
    <t>Linear usage of state</t>
  </si>
  <si>
    <t>Linearly-used state in models of call-by-value</t>
  </si>
  <si>
    <t>Dissecting Biases in Relation Extraction: A Cross-Dataset Analysis on People’s Gender and Origin</t>
  </si>
  <si>
    <t>How Could Snowden Attack an Election?</t>
  </si>
  <si>
    <t>Design of a Bio-Inspired Controller to Operate a Modular Robot Autonomously</t>
  </si>
  <si>
    <t>Quick testing of evolved robot morphologies using EMERGE modules</t>
  </si>
  <si>
    <t>The impact of module morphologies on modular robots</t>
  </si>
  <si>
    <t>The EMeRGE modular robot, an open platform for quick testing of evolved robot morphologies</t>
  </si>
  <si>
    <t>Evolving Robot Controllers for Structured Environments Through Environment Decomposition</t>
  </si>
  <si>
    <t>Infinitary Rewriting - Theory and Applications</t>
  </si>
  <si>
    <t>The Genesis of Mix: Early Days of Self-Applicable Partial Evaluation: Invited Contribution)</t>
  </si>
  <si>
    <t>Optimised determinisation and completion of finite tree automata</t>
  </si>
  <si>
    <t>Hybrid Software and System Development in Practice: Waterfall, Scrum, and Beyond</t>
  </si>
  <si>
    <t>Formalizing 휋-calculus in guarded cubical Agda</t>
  </si>
  <si>
    <t>The Use of Open Source Technology in Elections</t>
  </si>
  <si>
    <t>MoRTy: Unsupervised Learning of Task-specialized Word Embeddings by Autoencoding</t>
  </si>
  <si>
    <t>2001</t>
  </si>
  <si>
    <t>Towards Sensor Database Systems</t>
  </si>
  <si>
    <t>The CAP Theorem Versus Databases with Relaxed ACID properties</t>
  </si>
  <si>
    <t>Towards a Set Theoretical Approach to Big Social Data Analytics: Concepts, Methods, Tools, and Empirical Findings</t>
  </si>
  <si>
    <t>Fuzzy-Set Based Sentiment Analysis of Big Social Data</t>
  </si>
  <si>
    <t>Towards a Set Theoretical Approach to Big Data Analytics</t>
  </si>
  <si>
    <t>Towards a Formal Model of Social Data</t>
  </si>
  <si>
    <t>The Automated Discovery of Hybrid Processes</t>
  </si>
  <si>
    <t>1st Workshop on Human Factors and Activity Recognition in Healthcare, Wellness and Assisted Living (Recognise2Interact)</t>
  </si>
  <si>
    <t>On the Complexity of Inner Product Similarity Join</t>
  </si>
  <si>
    <t>HEALTHCARE INTERVENTION STUDIES ‘IN THE WILD’</t>
  </si>
  <si>
    <t>How to Approximate A Set Without Knowing Its Size in Advance</t>
  </si>
  <si>
    <t>Lexical Normalization for Code-switched Data and its Effect on POS Tagging</t>
  </si>
  <si>
    <t>A Functional NLP System for Twi (Akan) Using Limited Data</t>
  </si>
  <si>
    <t>Elastic Services for Edge Computing</t>
  </si>
  <si>
    <t>Preliminary Proceedings 15th International Workshop on Expressiveness in Concurrency: EXPRESS'08 Toronto, Canada 23 August 2008</t>
  </si>
  <si>
    <t>Is Valiant–Vazirani’s isolation probability improvable?</t>
  </si>
  <si>
    <t>Methods and Measures: An Introduction</t>
  </si>
  <si>
    <t>DaNLP: An open-source toolkit for Danish Natural Language Processing</t>
  </si>
  <si>
    <t>A self-employed taxpayer experimental study on trust, power, and tax compliance in eleven countries</t>
  </si>
  <si>
    <t>Concordance: Design Ideal for Facilitating Situated Negotiations in Out-of-clinic Healthcare</t>
  </si>
  <si>
    <t>Embodied-self-monitoring: Embracing the context for adherence to physical rehabilitation in the design for self-monitoring.</t>
  </si>
  <si>
    <t>MyReDiary: exploring the design for supporting adherence to physical rehabilitation</t>
  </si>
  <si>
    <t>Distance Sensitive Bloom Filters Without False Negatives</t>
  </si>
  <si>
    <t>Usability challenges in an Ethiopian software development organization</t>
  </si>
  <si>
    <t>CHASE '15: Proceedings of the Eighth International Workshop on Cooperative and Human Aspects of Software Engineering</t>
  </si>
  <si>
    <t>Normalisation of imprecise temporal expressions extracted from text</t>
  </si>
  <si>
    <t>Systematic Reviews in Software Engineering: An Empirical Investigation</t>
  </si>
  <si>
    <t>Interacting with Objects in the Environment by Gaze and Hand Gestures</t>
  </si>
  <si>
    <t>Identifying Relevant Studies in Software Engineering</t>
  </si>
  <si>
    <t>An Empirical Assessment of A Systematic Search Process for Systematic Reviews</t>
  </si>
  <si>
    <t>On Searching Relevant Studies in Software Engineering</t>
  </si>
  <si>
    <t>Dual-Pivot Quicksort: Optimality, Analysis and Zeros of Associated Lattice Paths</t>
  </si>
  <si>
    <t>How Good Is Multi-Pivot Quicksort?</t>
  </si>
  <si>
    <t>CISPA Helmholz Center for Information Security</t>
  </si>
  <si>
    <t>Reviving the Workshop Series on Testing Database Systems – DBTest</t>
  </si>
  <si>
    <t>An Empirical Investigation of Systematic Reviews in Software Engineering,</t>
  </si>
  <si>
    <t>Software-Defined Data Protection: Low Overhead Policy Compliance at the Storage Layer is Within Reach!</t>
  </si>
  <si>
    <t>Communication, Coordination and Awareness around Continuous Location Sharing</t>
  </si>
  <si>
    <t>Extensor-coding</t>
  </si>
  <si>
    <t>First steps in synthetic guarded domain theory: step-indexing in the topos of trees</t>
  </si>
  <si>
    <t>"Mothers as Candy Wrappers": Critical Infrastructure Supporting the Transition into Motherhood</t>
  </si>
  <si>
    <t>Architecting Cloud-Enabled Systems: A Systematic Survey of Challenges and Solutions</t>
  </si>
  <si>
    <t>Software Process Improvement barriers: A cross-cultural comparison</t>
  </si>
  <si>
    <t>Guarded recursion in Agda via sized types</t>
  </si>
  <si>
    <t>Theory and Practice of Monotone Minimal Perfect Hashing</t>
  </si>
  <si>
    <t>Fast Prefix Search in Little Space, with Applications</t>
  </si>
  <si>
    <t>Monotone minimal perfect hashing: searching a sorted table with O(1) accesses</t>
  </si>
  <si>
    <t>Theory and Practise of Monotone Minimal Perfect Hashing</t>
  </si>
  <si>
    <t>Overcoming interaction blindness through curiosity objects</t>
  </si>
  <si>
    <t>Curiosity Objects: Using Curiosity to Overcome Interaction Blindness</t>
  </si>
  <si>
    <t>IUCM at SemEval-2018 Task 11: Similar-Topic Texts as a Comprehension Knowledge Source</t>
  </si>
  <si>
    <t>Stance Prediction for Russian: Data and Analysis</t>
  </si>
  <si>
    <t>Rewriting High-Level Spreadsheet Structures into Higher-Order Functional Programs</t>
  </si>
  <si>
    <t>Dataflow Optimization for Service-Oriented Applications</t>
  </si>
  <si>
    <t>Robotic sensing and stimuli provision for guided plant growth</t>
  </si>
  <si>
    <t>SeniorInteraktion – Innovation gennem dialog</t>
  </si>
  <si>
    <t>MapReduce Triangle Enumeration With Guarantees</t>
  </si>
  <si>
    <t>Location-based solutions in the Experience centre</t>
  </si>
  <si>
    <t>Applying empirical software engineering to software architecture: Challenges and lessons learned</t>
  </si>
  <si>
    <t>Designing mobile health technology for bipolar disorder: a field trial of the monarca system</t>
  </si>
  <si>
    <t>Synthetic Domain Theory and Models of Linear Abadi &amp; Plotkin Logic</t>
  </si>
  <si>
    <t>Beat the Cheater: Computing Game-Theoretic Strategies for When to Kick a Gambler out of a Casino</t>
  </si>
  <si>
    <t>Practical Perfect Hashing Algorithm in Nearly Optimal Space</t>
  </si>
  <si>
    <t>Developing e-banking services for rural India: making use of socio-technical prototypes</t>
  </si>
  <si>
    <t>A Model for Industrial Real-Time Systems</t>
  </si>
  <si>
    <t>Calculating Valid Domains for BDD-Based Interactive Configuration</t>
  </si>
  <si>
    <t>Comparing two implementations of a Complete and Backtrack-free Interactive Configurator</t>
  </si>
  <si>
    <t>Fast Backtrack-Free Product Configuration using a Precompiled Solution Space Representation</t>
  </si>
  <si>
    <t>Reactive or Stable: A Plant-inspired Approach for Organisation Morphogenesis</t>
  </si>
  <si>
    <t>Photomorphogenesis for Robot Self-assembly: Adaptivity, Collective Decision-making, and Self-repair</t>
  </si>
  <si>
    <t>Preface to the Special Section on Language Descriptions, Tools, and Applications (LDTA 2011)</t>
  </si>
  <si>
    <t>Proceedings of the of the Eleventh Workshop on Language Descriptions, Tools and Applications (LDTA 2011)</t>
  </si>
  <si>
    <t>EvoBot: Towards a Robot-Chemostat for Culturing and Maintaining Microbial Fuel Cells (MFCs)</t>
  </si>
  <si>
    <t>EvoBot: An Open-Source, Modular Liquid Handling Robot for Nurturing Microbial Fuel Cells</t>
  </si>
  <si>
    <t>A Systematic Mapping Study of Software Architectures for Cloud Based Systems</t>
  </si>
  <si>
    <t>PTaaS: Platform for Providing Software Developing Applications and Tools as a Service</t>
  </si>
  <si>
    <t>A Systematic Review of Studies of Open Source Software Evolution</t>
  </si>
  <si>
    <t>Systems and methods of eye tracking calibration</t>
  </si>
  <si>
    <t>Gaze Tracking Through Smartphones</t>
  </si>
  <si>
    <t>Range-efficient consistent sampling and locality-sensitive hashing for polygons</t>
  </si>
  <si>
    <t>System Description: Delphin - A Functional Programming Language for Deductive Systems</t>
  </si>
  <si>
    <t>Lexicographic Path Induction</t>
  </si>
  <si>
    <t>Practical Programming with Higher-Order Encodings and Dependent Types</t>
  </si>
  <si>
    <t>Eye movement recordings in natural settings</t>
  </si>
  <si>
    <t>System and Method for Eye Tracking</t>
  </si>
  <si>
    <t>An Executable Formalization of the HOL/Nuprl Connection in the Metalogical Framework</t>
  </si>
  <si>
    <t>Toward a Theory of Collective Resource Distribution: A Study of a Dynamic Morphogenesis Controller</t>
  </si>
  <si>
    <t>Taking care of cooperation when evolving socially embedded systems: The PloneMeeting case.</t>
  </si>
  <si>
    <t>Addressing the Data Acquisition Paradigm in the Early Detection of Pediatric Foot Deformities</t>
  </si>
  <si>
    <t>The Impact of physiological fatigue and gaze behavior on shooting performance in elite and sub-elite biathletes</t>
  </si>
  <si>
    <t>Aiming for the quiet eye in biathlon</t>
  </si>
  <si>
    <t>Adaptive MapReduce Similarity Joins</t>
  </si>
  <si>
    <t>Activity-Centric Support for Ad Hoc Knowledge Work – A Case Study of co-Activity Manager</t>
  </si>
  <si>
    <t>Relational Parametricity for Computational Effects</t>
  </si>
  <si>
    <t>Enriching an effect calculus with linear types</t>
  </si>
  <si>
    <t>A Preliminary User Evaluation of an Infrastructure to Support Activity-Based Computing in Global Software Development (ABC4GSD)</t>
  </si>
  <si>
    <t>Qatar Computing Research institute</t>
  </si>
  <si>
    <t>A Wrist-Worn Thermohaptic Device for Graceful Interruption</t>
  </si>
  <si>
    <t>Software Engineering as Cooperative Work</t>
  </si>
  <si>
    <t>Variability Bugs in Highly Configurable Systems: A Qualitative Analysis</t>
  </si>
  <si>
    <t>Mote-based Anomaly Detection using Echo State Networks</t>
  </si>
  <si>
    <t>Conclusion and Look to the Future</t>
  </si>
  <si>
    <t>Execution Models for Choreographies and Cryptoprotocols</t>
  </si>
  <si>
    <t>Choreographies with Secure Boxes and Compromised Principals</t>
  </si>
  <si>
    <t>Jivass Technologies,</t>
  </si>
  <si>
    <t>Analyzing Ambiguity of Context-Free Grammars</t>
  </si>
  <si>
    <t>Party Endorsement Systems and Internet Voting.</t>
  </si>
  <si>
    <t>Counter-reporting sustainability from the bottom up: the case of the construction company WeBuild and dam-related conflicts</t>
  </si>
  <si>
    <t>Eye Movements in Gaze Interaction</t>
  </si>
  <si>
    <t>AngelStow: A Commercial Optimization-Based Decision Support Tool for Stowage Planning</t>
  </si>
  <si>
    <t>Cross-Domain Evaluation of Edge Detection for Biomedical Event Extraction</t>
  </si>
  <si>
    <t>In the Eye of the Beholder-  A Survey of Models for Eyes and Gaze</t>
  </si>
  <si>
    <t>Homography Normalization for Robust Gaze Estimation in Uncalibrated Setups</t>
  </si>
  <si>
    <t>Egocentric interaction as a tool for designing ambient ecologies – The case of the easy ADL ecology</t>
  </si>
  <si>
    <t>FRESH: Fréchet Similarity with Hashing</t>
  </si>
  <si>
    <t>Supporting situational awareness through a patient overview screen for bipolar disorder treatment</t>
  </si>
  <si>
    <t>Secondary Indexing in One Dimension: Beyond B-trees and Bitmap Indexes</t>
  </si>
  <si>
    <t>Collective behaviour in droplet systems</t>
  </si>
  <si>
    <t>A Practical Module System for LF</t>
  </si>
  <si>
    <t>Conducting Empirical Studies in Industry: Balancing Rigor and Relevance</t>
  </si>
  <si>
    <t>Country</t>
  </si>
  <si>
    <t>Year of publication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</si>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</sst>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 &quot;yyyy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u/>
      <color rgb="FF0000FF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4" numFmtId="164" xfId="0" applyAlignment="1" applyFont="1" applyNumberFormat="1">
      <alignment horizontal="right" vertical="bottom"/>
    </xf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dl.ai" TargetMode="External"/><Relationship Id="rId2" Type="http://schemas.openxmlformats.org/officeDocument/2006/relationships/hyperlink" Target="http://modl.ai" TargetMode="External"/><Relationship Id="rId3" Type="http://schemas.openxmlformats.org/officeDocument/2006/relationships/hyperlink" Target="http://scads.ai" TargetMode="External"/><Relationship Id="rId4" Type="http://schemas.openxmlformats.org/officeDocument/2006/relationships/hyperlink" Target="http://scads.ai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odl.ai" TargetMode="External"/><Relationship Id="rId2" Type="http://schemas.openxmlformats.org/officeDocument/2006/relationships/hyperlink" Target="http://scads.ai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17" width="8.71"/>
    <col customWidth="1" min="18" max="18" width="19.29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R1" s="2" t="s">
        <v>3</v>
      </c>
      <c r="U1" s="2" t="s">
        <v>3</v>
      </c>
      <c r="V1" s="2" t="s">
        <v>4</v>
      </c>
    </row>
    <row r="2">
      <c r="A2" s="1" t="s">
        <v>5</v>
      </c>
      <c r="B2" s="1" t="s">
        <v>6</v>
      </c>
      <c r="C2" s="1" t="s">
        <v>7</v>
      </c>
      <c r="R2" s="1" t="str">
        <f>IFERROR(__xludf.DUMMYFUNCTION("UNIQUE(A1965:A4229)"),"University of Copenhagen")</f>
        <v>University of Copenhagen</v>
      </c>
      <c r="S2" s="2" t="s">
        <v>8</v>
      </c>
      <c r="U2" s="2" t="s">
        <v>9</v>
      </c>
      <c r="V2" s="2" t="s">
        <v>8</v>
      </c>
    </row>
    <row r="3">
      <c r="A3" s="1" t="s">
        <v>5</v>
      </c>
      <c r="B3" s="1" t="s">
        <v>6</v>
      </c>
      <c r="C3" s="1" t="s">
        <v>10</v>
      </c>
      <c r="R3" s="1" t="str">
        <f>IFERROR(__xludf.DUMMYFUNCTION("""COMPUTED_VALUE"""),"Aalborg University")</f>
        <v>Aalborg University</v>
      </c>
      <c r="S3" s="2" t="s">
        <v>8</v>
      </c>
      <c r="U3" s="2" t="s">
        <v>11</v>
      </c>
      <c r="V3" s="2" t="s">
        <v>8</v>
      </c>
    </row>
    <row r="4">
      <c r="A4" s="1" t="s">
        <v>5</v>
      </c>
      <c r="B4" s="1" t="s">
        <v>6</v>
      </c>
      <c r="C4" s="1" t="s">
        <v>12</v>
      </c>
      <c r="R4" s="1" t="str">
        <f>IFERROR(__xludf.DUMMYFUNCTION("""COMPUTED_VALUE"""),"Technical University of Denmark")</f>
        <v>Technical University of Denmark</v>
      </c>
      <c r="S4" s="2" t="s">
        <v>8</v>
      </c>
      <c r="U4" s="2" t="s">
        <v>13</v>
      </c>
      <c r="V4" s="2" t="s">
        <v>8</v>
      </c>
    </row>
    <row r="5">
      <c r="A5" s="1" t="s">
        <v>5</v>
      </c>
      <c r="B5" s="1" t="s">
        <v>6</v>
      </c>
      <c r="C5" s="1" t="s">
        <v>14</v>
      </c>
      <c r="R5" s="1" t="str">
        <f>IFERROR(__xludf.DUMMYFUNCTION("""COMPUTED_VALUE"""),"Aarhus University")</f>
        <v>Aarhus University</v>
      </c>
      <c r="S5" s="2" t="s">
        <v>8</v>
      </c>
      <c r="U5" s="2" t="s">
        <v>15</v>
      </c>
      <c r="V5" s="2" t="s">
        <v>8</v>
      </c>
    </row>
    <row r="6">
      <c r="A6" s="1" t="s">
        <v>5</v>
      </c>
      <c r="B6" s="1" t="s">
        <v>6</v>
      </c>
      <c r="C6" s="1" t="s">
        <v>16</v>
      </c>
      <c r="R6" s="1" t="str">
        <f>IFERROR(__xludf.DUMMYFUNCTION("""COMPUTED_VALUE"""),"University of Southern Denmark")</f>
        <v>University of Southern Denmark</v>
      </c>
      <c r="S6" s="2" t="s">
        <v>8</v>
      </c>
      <c r="U6" s="2" t="s">
        <v>17</v>
      </c>
      <c r="V6" s="2" t="s">
        <v>8</v>
      </c>
    </row>
    <row r="7">
      <c r="A7" s="1" t="s">
        <v>5</v>
      </c>
      <c r="B7" s="1" t="s">
        <v>6</v>
      </c>
      <c r="C7" s="1" t="s">
        <v>18</v>
      </c>
      <c r="R7" s="1" t="str">
        <f>IFERROR(__xludf.DUMMYFUNCTION("""COMPUTED_VALUE"""),"The French National Institute for Computer Science (INRIA)")</f>
        <v>The French National Institute for Computer Science (INRIA)</v>
      </c>
      <c r="S7" s="2" t="s">
        <v>19</v>
      </c>
      <c r="U7" s="2" t="s">
        <v>20</v>
      </c>
      <c r="V7" s="2" t="s">
        <v>19</v>
      </c>
    </row>
    <row r="8">
      <c r="A8" s="1" t="s">
        <v>5</v>
      </c>
      <c r="B8" s="1" t="s">
        <v>6</v>
      </c>
      <c r="C8" s="1" t="s">
        <v>21</v>
      </c>
      <c r="R8" s="1" t="str">
        <f>IFERROR(__xludf.DUMMYFUNCTION("""COMPUTED_VALUE"""),"University of Waterloo")</f>
        <v>University of Waterloo</v>
      </c>
      <c r="S8" s="2" t="s">
        <v>22</v>
      </c>
      <c r="U8" s="2" t="s">
        <v>23</v>
      </c>
      <c r="V8" s="2" t="s">
        <v>22</v>
      </c>
    </row>
    <row r="9">
      <c r="A9" s="1" t="s">
        <v>5</v>
      </c>
      <c r="B9" s="1" t="s">
        <v>6</v>
      </c>
      <c r="C9" s="1" t="s">
        <v>24</v>
      </c>
      <c r="R9" s="1" t="str">
        <f>IFERROR(__xludf.DUMMYFUNCTION("""COMPUTED_VALUE"""),"Uppsala University")</f>
        <v>Uppsala University</v>
      </c>
      <c r="S9" s="2" t="s">
        <v>25</v>
      </c>
      <c r="U9" s="2" t="s">
        <v>26</v>
      </c>
      <c r="V9" s="2" t="s">
        <v>25</v>
      </c>
    </row>
    <row r="10">
      <c r="A10" s="1" t="s">
        <v>5</v>
      </c>
      <c r="B10" s="1" t="s">
        <v>6</v>
      </c>
      <c r="C10" s="1" t="s">
        <v>27</v>
      </c>
      <c r="R10" s="1" t="str">
        <f>IFERROR(__xludf.DUMMYFUNCTION("""COMPUTED_VALUE"""),"Lund University")</f>
        <v>Lund University</v>
      </c>
      <c r="S10" s="2" t="s">
        <v>25</v>
      </c>
      <c r="U10" s="2" t="s">
        <v>28</v>
      </c>
      <c r="V10" s="2" t="s">
        <v>25</v>
      </c>
    </row>
    <row r="11">
      <c r="A11" s="1" t="s">
        <v>5</v>
      </c>
      <c r="B11" s="1" t="s">
        <v>29</v>
      </c>
      <c r="C11" s="1" t="s">
        <v>30</v>
      </c>
      <c r="R11" s="1" t="str">
        <f>IFERROR(__xludf.DUMMYFUNCTION("""COMPUTED_VALUE"""),"Carnegie Mellon University")</f>
        <v>Carnegie Mellon University</v>
      </c>
      <c r="S11" s="2" t="s">
        <v>31</v>
      </c>
      <c r="U11" s="2" t="s">
        <v>32</v>
      </c>
      <c r="V11" s="2" t="s">
        <v>31</v>
      </c>
    </row>
    <row r="12">
      <c r="A12" s="1" t="s">
        <v>5</v>
      </c>
      <c r="B12" s="1" t="s">
        <v>29</v>
      </c>
      <c r="C12" s="1" t="s">
        <v>33</v>
      </c>
      <c r="R12" s="1" t="str">
        <f>IFERROR(__xludf.DUMMYFUNCTION("""COMPUTED_VALUE"""),"University of California")</f>
        <v>University of California</v>
      </c>
      <c r="S12" s="2" t="s">
        <v>31</v>
      </c>
      <c r="U12" s="2" t="s">
        <v>34</v>
      </c>
      <c r="V12" s="2" t="s">
        <v>31</v>
      </c>
    </row>
    <row r="13">
      <c r="A13" s="1" t="s">
        <v>5</v>
      </c>
      <c r="B13" s="1" t="s">
        <v>29</v>
      </c>
      <c r="C13" s="1" t="s">
        <v>35</v>
      </c>
      <c r="R13" s="1" t="str">
        <f>IFERROR(__xludf.DUMMYFUNCTION("""COMPUTED_VALUE"""),"University of Groningen")</f>
        <v>University of Groningen</v>
      </c>
      <c r="S13" s="2" t="s">
        <v>36</v>
      </c>
      <c r="U13" s="2" t="s">
        <v>37</v>
      </c>
      <c r="V13" s="2" t="s">
        <v>36</v>
      </c>
    </row>
    <row r="14">
      <c r="A14" s="1" t="s">
        <v>5</v>
      </c>
      <c r="B14" s="1" t="s">
        <v>29</v>
      </c>
      <c r="C14" s="1" t="s">
        <v>38</v>
      </c>
      <c r="R14" s="1" t="str">
        <f>IFERROR(__xludf.DUMMYFUNCTION("""COMPUTED_VALUE"""),"University of Edinburgh")</f>
        <v>University of Edinburgh</v>
      </c>
      <c r="S14" s="2" t="s">
        <v>39</v>
      </c>
      <c r="U14" s="2" t="s">
        <v>40</v>
      </c>
      <c r="V14" s="2" t="s">
        <v>39</v>
      </c>
    </row>
    <row r="15">
      <c r="A15" s="1" t="s">
        <v>5</v>
      </c>
      <c r="B15" s="1" t="s">
        <v>29</v>
      </c>
      <c r="C15" s="1" t="s">
        <v>41</v>
      </c>
      <c r="R15" s="1" t="str">
        <f>IFERROR(__xludf.DUMMYFUNCTION("""COMPUTED_VALUE"""),"New York University")</f>
        <v>New York University</v>
      </c>
      <c r="S15" s="2" t="s">
        <v>31</v>
      </c>
      <c r="U15" s="2" t="s">
        <v>42</v>
      </c>
      <c r="V15" s="2" t="s">
        <v>31</v>
      </c>
    </row>
    <row r="16">
      <c r="A16" s="1" t="s">
        <v>5</v>
      </c>
      <c r="B16" s="1" t="s">
        <v>29</v>
      </c>
      <c r="C16" s="1" t="s">
        <v>43</v>
      </c>
      <c r="R16" s="1" t="str">
        <f>IFERROR(__xludf.DUMMYFUNCTION("""COMPUTED_VALUE"""),"University of Nottingham")</f>
        <v>University of Nottingham</v>
      </c>
      <c r="S16" s="2" t="s">
        <v>39</v>
      </c>
      <c r="U16" s="2" t="s">
        <v>44</v>
      </c>
      <c r="V16" s="2" t="s">
        <v>39</v>
      </c>
    </row>
    <row r="17">
      <c r="A17" s="1" t="s">
        <v>5</v>
      </c>
      <c r="B17" s="1" t="s">
        <v>29</v>
      </c>
      <c r="C17" s="1" t="s">
        <v>45</v>
      </c>
      <c r="R17" s="1" t="str">
        <f>IFERROR(__xludf.DUMMYFUNCTION("""COMPUTED_VALUE"""),"University of Amsterdam")</f>
        <v>University of Amsterdam</v>
      </c>
      <c r="S17" s="2" t="s">
        <v>36</v>
      </c>
      <c r="U17" s="2" t="s">
        <v>46</v>
      </c>
      <c r="V17" s="2" t="s">
        <v>36</v>
      </c>
    </row>
    <row r="18">
      <c r="A18" s="1" t="s">
        <v>5</v>
      </c>
      <c r="B18" s="1" t="s">
        <v>29</v>
      </c>
      <c r="C18" s="1" t="s">
        <v>47</v>
      </c>
      <c r="R18" s="1" t="str">
        <f>IFERROR(__xludf.DUMMYFUNCTION("""COMPUTED_VALUE"""),"Chalmers University of Technology")</f>
        <v>Chalmers University of Technology</v>
      </c>
      <c r="S18" s="2" t="s">
        <v>25</v>
      </c>
      <c r="U18" s="2" t="s">
        <v>48</v>
      </c>
      <c r="V18" s="2" t="s">
        <v>25</v>
      </c>
    </row>
    <row r="19">
      <c r="A19" s="1" t="s">
        <v>5</v>
      </c>
      <c r="B19" s="1" t="s">
        <v>29</v>
      </c>
      <c r="C19" s="1" t="s">
        <v>49</v>
      </c>
      <c r="R19" s="1" t="str">
        <f>IFERROR(__xludf.DUMMYFUNCTION("""COMPUTED_VALUE"""),"University of Limerick")</f>
        <v>University of Limerick</v>
      </c>
      <c r="S19" s="2" t="s">
        <v>50</v>
      </c>
      <c r="U19" s="2" t="s">
        <v>51</v>
      </c>
      <c r="V19" s="2" t="s">
        <v>50</v>
      </c>
    </row>
    <row r="20">
      <c r="A20" s="1" t="s">
        <v>5</v>
      </c>
      <c r="B20" s="1" t="s">
        <v>29</v>
      </c>
      <c r="C20" s="1" t="s">
        <v>52</v>
      </c>
      <c r="R20" s="1" t="str">
        <f>IFERROR(__xludf.DUMMYFUNCTION("""COMPUTED_VALUE"""),"Swiss Federal Institute of Technology Zürich")</f>
        <v>Swiss Federal Institute of Technology Zürich</v>
      </c>
      <c r="S20" s="2" t="s">
        <v>53</v>
      </c>
      <c r="U20" s="2" t="s">
        <v>54</v>
      </c>
      <c r="V20" s="2" t="s">
        <v>53</v>
      </c>
    </row>
    <row r="21" ht="15.75" customHeight="1">
      <c r="A21" s="1" t="s">
        <v>5</v>
      </c>
      <c r="B21" s="1" t="s">
        <v>29</v>
      </c>
      <c r="C21" s="1" t="s">
        <v>55</v>
      </c>
      <c r="R21" s="1" t="str">
        <f>IFERROR(__xludf.DUMMYFUNCTION("""COMPUTED_VALUE"""),"Imperial College London")</f>
        <v>Imperial College London</v>
      </c>
      <c r="S21" s="2" t="s">
        <v>39</v>
      </c>
      <c r="U21" s="2" t="s">
        <v>56</v>
      </c>
      <c r="V21" s="2" t="s">
        <v>39</v>
      </c>
    </row>
    <row r="22" ht="15.75" customHeight="1">
      <c r="A22" s="1" t="s">
        <v>5</v>
      </c>
      <c r="B22" s="1" t="s">
        <v>29</v>
      </c>
      <c r="C22" s="1" t="s">
        <v>57</v>
      </c>
      <c r="R22" s="1" t="str">
        <f>IFERROR(__xludf.DUMMYFUNCTION("""COMPUTED_VALUE"""),"Google Inc.")</f>
        <v>Google Inc.</v>
      </c>
      <c r="S22" s="2" t="s">
        <v>31</v>
      </c>
      <c r="U22" s="2" t="s">
        <v>58</v>
      </c>
      <c r="V22" s="2" t="s">
        <v>31</v>
      </c>
    </row>
    <row r="23" ht="15.75" customHeight="1">
      <c r="A23" s="1" t="s">
        <v>5</v>
      </c>
      <c r="B23" s="1" t="s">
        <v>29</v>
      </c>
      <c r="C23" s="1" t="s">
        <v>59</v>
      </c>
      <c r="R23" s="1" t="str">
        <f>IFERROR(__xludf.DUMMYFUNCTION("""COMPUTED_VALUE"""),"Queen Mary University of London")</f>
        <v>Queen Mary University of London</v>
      </c>
      <c r="S23" s="2" t="s">
        <v>39</v>
      </c>
      <c r="U23" s="2" t="s">
        <v>60</v>
      </c>
      <c r="V23" s="2" t="s">
        <v>39</v>
      </c>
    </row>
    <row r="24" ht="15.75" customHeight="1">
      <c r="A24" s="1" t="s">
        <v>5</v>
      </c>
      <c r="B24" s="1" t="s">
        <v>29</v>
      </c>
      <c r="C24" s="1" t="s">
        <v>61</v>
      </c>
      <c r="R24" s="1" t="str">
        <f>IFERROR(__xludf.DUMMYFUNCTION("""COMPUTED_VALUE"""),"University of Oxford")</f>
        <v>University of Oxford</v>
      </c>
      <c r="S24" s="2" t="s">
        <v>39</v>
      </c>
      <c r="U24" s="2" t="s">
        <v>62</v>
      </c>
      <c r="V24" s="2" t="s">
        <v>39</v>
      </c>
    </row>
    <row r="25" ht="15.75" customHeight="1">
      <c r="A25" s="1" t="s">
        <v>5</v>
      </c>
      <c r="B25" s="1" t="s">
        <v>29</v>
      </c>
      <c r="C25" s="1" t="s">
        <v>63</v>
      </c>
      <c r="R25" s="1" t="str">
        <f>IFERROR(__xludf.DUMMYFUNCTION("""COMPUTED_VALUE"""),"Technical University of Berlin")</f>
        <v>Technical University of Berlin</v>
      </c>
      <c r="S25" s="2" t="s">
        <v>64</v>
      </c>
      <c r="U25" s="2" t="s">
        <v>65</v>
      </c>
      <c r="V25" s="2" t="s">
        <v>64</v>
      </c>
    </row>
    <row r="26" ht="15.75" customHeight="1">
      <c r="A26" s="1" t="s">
        <v>5</v>
      </c>
      <c r="B26" s="1" t="s">
        <v>29</v>
      </c>
      <c r="C26" s="1" t="s">
        <v>66</v>
      </c>
      <c r="R26" s="1" t="str">
        <f>IFERROR(__xludf.DUMMYFUNCTION("""COMPUTED_VALUE"""),"Lero")</f>
        <v>Lero</v>
      </c>
      <c r="S26" s="2" t="s">
        <v>50</v>
      </c>
      <c r="U26" s="2" t="s">
        <v>67</v>
      </c>
      <c r="V26" s="2" t="s">
        <v>50</v>
      </c>
    </row>
    <row r="27" ht="15.75" customHeight="1">
      <c r="A27" s="1" t="s">
        <v>5</v>
      </c>
      <c r="B27" s="1" t="s">
        <v>29</v>
      </c>
      <c r="C27" s="1" t="s">
        <v>68</v>
      </c>
      <c r="R27" s="1" t="str">
        <f>IFERROR(__xludf.DUMMYFUNCTION("""COMPUTED_VALUE"""),"IBM")</f>
        <v>IBM</v>
      </c>
      <c r="S27" s="2" t="s">
        <v>31</v>
      </c>
      <c r="U27" s="2" t="s">
        <v>69</v>
      </c>
      <c r="V27" s="2" t="s">
        <v>31</v>
      </c>
    </row>
    <row r="28" ht="15.75" customHeight="1">
      <c r="A28" s="1" t="s">
        <v>5</v>
      </c>
      <c r="B28" s="1" t="s">
        <v>29</v>
      </c>
      <c r="C28" s="1" t="s">
        <v>70</v>
      </c>
      <c r="R28" s="1" t="str">
        <f>IFERROR(__xludf.DUMMYFUNCTION("""COMPUTED_VALUE"""),"Karlsruher Institut für Technologie")</f>
        <v>Karlsruher Institut für Technologie</v>
      </c>
      <c r="S28" s="2" t="s">
        <v>64</v>
      </c>
      <c r="U28" s="2" t="s">
        <v>71</v>
      </c>
      <c r="V28" s="2" t="s">
        <v>64</v>
      </c>
    </row>
    <row r="29" ht="15.75" customHeight="1">
      <c r="A29" s="1" t="s">
        <v>5</v>
      </c>
      <c r="B29" s="1" t="s">
        <v>29</v>
      </c>
      <c r="C29" s="1" t="s">
        <v>72</v>
      </c>
      <c r="R29" s="1" t="str">
        <f>IFERROR(__xludf.DUMMYFUNCTION("""COMPUTED_VALUE"""),"Karlsruhe Institute of Technology")</f>
        <v>Karlsruhe Institute of Technology</v>
      </c>
      <c r="S29" s="2" t="s">
        <v>64</v>
      </c>
      <c r="U29" s="2" t="s">
        <v>73</v>
      </c>
      <c r="V29" s="2" t="s">
        <v>64</v>
      </c>
    </row>
    <row r="30" ht="15.75" customHeight="1">
      <c r="A30" s="1" t="s">
        <v>5</v>
      </c>
      <c r="B30" s="1" t="s">
        <v>29</v>
      </c>
      <c r="C30" s="1" t="s">
        <v>74</v>
      </c>
      <c r="R30" s="1" t="str">
        <f>IFERROR(__xludf.DUMMYFUNCTION("""COMPUTED_VALUE"""),"University of Helsinki")</f>
        <v>University of Helsinki</v>
      </c>
      <c r="S30" s="2" t="s">
        <v>75</v>
      </c>
      <c r="U30" s="2" t="s">
        <v>76</v>
      </c>
      <c r="V30" s="2" t="s">
        <v>75</v>
      </c>
    </row>
    <row r="31" ht="15.75" customHeight="1">
      <c r="A31" s="1" t="s">
        <v>5</v>
      </c>
      <c r="B31" s="1" t="s">
        <v>77</v>
      </c>
      <c r="C31" s="1" t="s">
        <v>78</v>
      </c>
      <c r="R31" s="1" t="str">
        <f>IFERROR(__xludf.DUMMYFUNCTION("""COMPUTED_VALUE"""),"University of Oslo")</f>
        <v>University of Oslo</v>
      </c>
      <c r="S31" s="2" t="s">
        <v>79</v>
      </c>
      <c r="U31" s="2" t="s">
        <v>80</v>
      </c>
      <c r="V31" s="2" t="s">
        <v>79</v>
      </c>
    </row>
    <row r="32" ht="15.75" customHeight="1">
      <c r="A32" s="1" t="s">
        <v>5</v>
      </c>
      <c r="B32" s="1" t="s">
        <v>77</v>
      </c>
      <c r="C32" s="1" t="s">
        <v>81</v>
      </c>
      <c r="R32" s="1" t="str">
        <f>IFERROR(__xludf.DUMMYFUNCTION("""COMPUTED_VALUE"""),"Universidade da Coruña")</f>
        <v>Universidade da Coruña</v>
      </c>
      <c r="S32" s="2" t="s">
        <v>82</v>
      </c>
      <c r="U32" s="2" t="s">
        <v>83</v>
      </c>
      <c r="V32" s="2" t="s">
        <v>82</v>
      </c>
    </row>
    <row r="33" ht="15.75" customHeight="1">
      <c r="A33" s="1" t="s">
        <v>5</v>
      </c>
      <c r="B33" s="1" t="s">
        <v>77</v>
      </c>
      <c r="C33" s="1" t="s">
        <v>84</v>
      </c>
      <c r="R33" s="1" t="str">
        <f>IFERROR(__xludf.DUMMYFUNCTION("""COMPUTED_VALUE"""),"Technical University of Braunschweig")</f>
        <v>Technical University of Braunschweig</v>
      </c>
      <c r="S33" s="2" t="s">
        <v>64</v>
      </c>
      <c r="U33" s="2" t="s">
        <v>85</v>
      </c>
      <c r="V33" s="2" t="s">
        <v>64</v>
      </c>
    </row>
    <row r="34" ht="15.75" customHeight="1">
      <c r="A34" s="1" t="s">
        <v>5</v>
      </c>
      <c r="B34" s="1" t="s">
        <v>77</v>
      </c>
      <c r="C34" s="1" t="s">
        <v>86</v>
      </c>
      <c r="R34" s="1" t="str">
        <f>IFERROR(__xludf.DUMMYFUNCTION("""COMPUTED_VALUE"""),"University of Gothenburg")</f>
        <v>University of Gothenburg</v>
      </c>
      <c r="S34" s="2" t="s">
        <v>25</v>
      </c>
      <c r="U34" s="2" t="s">
        <v>87</v>
      </c>
      <c r="V34" s="2" t="s">
        <v>25</v>
      </c>
    </row>
    <row r="35" ht="15.75" customHeight="1">
      <c r="A35" s="1" t="s">
        <v>5</v>
      </c>
      <c r="B35" s="1" t="s">
        <v>77</v>
      </c>
      <c r="C35" s="1" t="s">
        <v>88</v>
      </c>
      <c r="R35" s="1" t="str">
        <f>IFERROR(__xludf.DUMMYFUNCTION("""COMPUTED_VALUE"""),"University of Trento")</f>
        <v>University of Trento</v>
      </c>
      <c r="S35" s="2" t="s">
        <v>89</v>
      </c>
      <c r="U35" s="2" t="s">
        <v>90</v>
      </c>
      <c r="V35" s="2" t="s">
        <v>89</v>
      </c>
    </row>
    <row r="36" ht="15.75" customHeight="1">
      <c r="A36" s="1" t="s">
        <v>5</v>
      </c>
      <c r="B36" s="1" t="s">
        <v>77</v>
      </c>
      <c r="C36" s="1" t="s">
        <v>91</v>
      </c>
      <c r="R36" s="1" t="str">
        <f>IFERROR(__xludf.DUMMYFUNCTION("""COMPUTED_VALUE"""),"University of Adelaide")</f>
        <v>University of Adelaide</v>
      </c>
      <c r="S36" s="2" t="s">
        <v>92</v>
      </c>
      <c r="U36" s="2" t="s">
        <v>93</v>
      </c>
      <c r="V36" s="2" t="s">
        <v>92</v>
      </c>
    </row>
    <row r="37" ht="15.75" customHeight="1">
      <c r="A37" s="1" t="s">
        <v>5</v>
      </c>
      <c r="B37" s="1" t="s">
        <v>77</v>
      </c>
      <c r="C37" s="1" t="s">
        <v>94</v>
      </c>
      <c r="R37" s="1" t="str">
        <f>IFERROR(__xludf.DUMMYFUNCTION("""COMPUTED_VALUE"""),"Linköping University")</f>
        <v>Linköping University</v>
      </c>
      <c r="S37" s="2" t="s">
        <v>25</v>
      </c>
      <c r="U37" s="2" t="s">
        <v>95</v>
      </c>
      <c r="V37" s="2" t="s">
        <v>25</v>
      </c>
    </row>
    <row r="38" ht="15.75" customHeight="1">
      <c r="A38" s="1" t="s">
        <v>5</v>
      </c>
      <c r="B38" s="1" t="s">
        <v>77</v>
      </c>
      <c r="C38" s="1" t="s">
        <v>96</v>
      </c>
      <c r="R38" s="1" t="str">
        <f>IFERROR(__xludf.DUMMYFUNCTION("""COMPUTED_VALUE"""),"University of Bergen")</f>
        <v>University of Bergen</v>
      </c>
      <c r="S38" s="2" t="s">
        <v>79</v>
      </c>
      <c r="U38" s="2" t="s">
        <v>97</v>
      </c>
      <c r="V38" s="2" t="s">
        <v>79</v>
      </c>
    </row>
    <row r="39" ht="15.75" customHeight="1">
      <c r="A39" s="1" t="s">
        <v>5</v>
      </c>
      <c r="B39" s="1" t="s">
        <v>77</v>
      </c>
      <c r="C39" s="1" t="s">
        <v>98</v>
      </c>
      <c r="R39" s="1" t="str">
        <f>IFERROR(__xludf.DUMMYFUNCTION("""COMPUTED_VALUE"""),"University of Padova")</f>
        <v>University of Padova</v>
      </c>
      <c r="S39" s="2" t="s">
        <v>89</v>
      </c>
      <c r="U39" s="2" t="s">
        <v>99</v>
      </c>
      <c r="V39" s="2" t="s">
        <v>89</v>
      </c>
    </row>
    <row r="40" ht="15.75" customHeight="1">
      <c r="A40" s="1" t="s">
        <v>5</v>
      </c>
      <c r="B40" s="1" t="s">
        <v>77</v>
      </c>
      <c r="C40" s="1" t="s">
        <v>100</v>
      </c>
      <c r="R40" s="1" t="str">
        <f>IFERROR(__xludf.DUMMYFUNCTION("""COMPUTED_VALUE"""),"Reykjavík University")</f>
        <v>Reykjavík University</v>
      </c>
      <c r="S40" s="2" t="s">
        <v>101</v>
      </c>
      <c r="U40" s="2" t="s">
        <v>102</v>
      </c>
      <c r="V40" s="2" t="s">
        <v>101</v>
      </c>
    </row>
    <row r="41" ht="15.75" customHeight="1">
      <c r="A41" s="1" t="s">
        <v>5</v>
      </c>
      <c r="B41" s="1" t="s">
        <v>77</v>
      </c>
      <c r="C41" s="1" t="s">
        <v>103</v>
      </c>
      <c r="R41" s="1" t="str">
        <f>IFERROR(__xludf.DUMMYFUNCTION("""COMPUTED_VALUE"""),"University of Agder")</f>
        <v>University of Agder</v>
      </c>
      <c r="S41" s="2" t="s">
        <v>79</v>
      </c>
      <c r="U41" s="2" t="s">
        <v>104</v>
      </c>
      <c r="V41" s="2" t="s">
        <v>79</v>
      </c>
    </row>
    <row r="42" ht="15.75" customHeight="1">
      <c r="A42" s="1" t="s">
        <v>5</v>
      </c>
      <c r="B42" s="1" t="s">
        <v>77</v>
      </c>
      <c r="C42" s="1" t="s">
        <v>105</v>
      </c>
      <c r="R42" s="1" t="str">
        <f>IFERROR(__xludf.DUMMYFUNCTION("""COMPUTED_VALUE"""),"Blekinge Institute of Technology")</f>
        <v>Blekinge Institute of Technology</v>
      </c>
      <c r="S42" s="2" t="s">
        <v>25</v>
      </c>
      <c r="U42" s="2" t="s">
        <v>106</v>
      </c>
      <c r="V42" s="2" t="s">
        <v>25</v>
      </c>
    </row>
    <row r="43" ht="15.75" customHeight="1">
      <c r="A43" s="1" t="s">
        <v>5</v>
      </c>
      <c r="B43" s="1" t="s">
        <v>77</v>
      </c>
      <c r="C43" s="1" t="s">
        <v>107</v>
      </c>
      <c r="R43" s="1" t="str">
        <f>IFERROR(__xludf.DUMMYFUNCTION("""COMPUTED_VALUE"""),"Technical University of Munich")</f>
        <v>Technical University of Munich</v>
      </c>
      <c r="S43" s="2" t="s">
        <v>64</v>
      </c>
      <c r="U43" s="2" t="s">
        <v>108</v>
      </c>
      <c r="V43" s="2" t="s">
        <v>64</v>
      </c>
    </row>
    <row r="44" ht="15.75" customHeight="1">
      <c r="A44" s="1" t="s">
        <v>5</v>
      </c>
      <c r="B44" s="1" t="s">
        <v>77</v>
      </c>
      <c r="C44" s="1" t="s">
        <v>109</v>
      </c>
      <c r="R44" s="1" t="str">
        <f>IFERROR(__xludf.DUMMYFUNCTION("""COMPUTED_VALUE"""),"Czech Technical University in Prague")</f>
        <v>Czech Technical University in Prague</v>
      </c>
      <c r="S44" s="2" t="s">
        <v>110</v>
      </c>
      <c r="U44" s="2" t="s">
        <v>111</v>
      </c>
      <c r="V44" s="2" t="s">
        <v>110</v>
      </c>
    </row>
    <row r="45" ht="15.75" customHeight="1">
      <c r="A45" s="1" t="s">
        <v>5</v>
      </c>
      <c r="B45" s="1" t="s">
        <v>77</v>
      </c>
      <c r="C45" s="1" t="s">
        <v>107</v>
      </c>
      <c r="R45" s="1" t="str">
        <f>IFERROR(__xludf.DUMMYFUNCTION("""COMPUTED_VALUE"""),"Federal University of Pernambuco")</f>
        <v>Federal University of Pernambuco</v>
      </c>
      <c r="S45" s="2" t="s">
        <v>112</v>
      </c>
      <c r="U45" s="2" t="s">
        <v>113</v>
      </c>
      <c r="V45" s="2" t="s">
        <v>112</v>
      </c>
    </row>
    <row r="46" ht="15.75" customHeight="1">
      <c r="A46" s="1" t="s">
        <v>5</v>
      </c>
      <c r="B46" s="1" t="s">
        <v>77</v>
      </c>
      <c r="C46" s="1" t="s">
        <v>114</v>
      </c>
      <c r="R46" s="1" t="str">
        <f>IFERROR(__xludf.DUMMYFUNCTION("""COMPUTED_VALUE"""),"Exformatics")</f>
        <v>Exformatics</v>
      </c>
      <c r="S46" s="2" t="s">
        <v>8</v>
      </c>
      <c r="U46" s="2" t="s">
        <v>115</v>
      </c>
      <c r="V46" s="2" t="s">
        <v>39</v>
      </c>
    </row>
    <row r="47" ht="15.75" customHeight="1">
      <c r="A47" s="1" t="s">
        <v>5</v>
      </c>
      <c r="B47" s="1" t="s">
        <v>77</v>
      </c>
      <c r="C47" s="1" t="s">
        <v>116</v>
      </c>
      <c r="R47" s="1" t="str">
        <f>IFERROR(__xludf.DUMMYFUNCTION("""COMPUTED_VALUE"""),"Nokia Bell Labs")</f>
        <v>Nokia Bell Labs</v>
      </c>
      <c r="S47" s="2" t="s">
        <v>31</v>
      </c>
      <c r="U47" s="2" t="s">
        <v>117</v>
      </c>
      <c r="V47" s="2" t="s">
        <v>31</v>
      </c>
    </row>
    <row r="48" ht="15.75" customHeight="1">
      <c r="A48" s="1" t="s">
        <v>5</v>
      </c>
      <c r="B48" s="1" t="s">
        <v>77</v>
      </c>
      <c r="C48" s="1" t="s">
        <v>118</v>
      </c>
      <c r="R48" s="1" t="str">
        <f>IFERROR(__xludf.DUMMYFUNCTION("""COMPUTED_VALUE"""),"The Open University")</f>
        <v>The Open University</v>
      </c>
      <c r="S48" s="2" t="s">
        <v>39</v>
      </c>
      <c r="U48" s="2" t="s">
        <v>119</v>
      </c>
      <c r="V48" s="2" t="s">
        <v>39</v>
      </c>
    </row>
    <row r="49" ht="15.75" customHeight="1">
      <c r="A49" s="1" t="s">
        <v>5</v>
      </c>
      <c r="B49" s="1" t="s">
        <v>77</v>
      </c>
      <c r="C49" s="1" t="s">
        <v>120</v>
      </c>
      <c r="R49" s="1" t="str">
        <f>IFERROR(__xludf.DUMMYFUNCTION("""COMPUTED_VALUE"""),"University of Passau")</f>
        <v>University of Passau</v>
      </c>
      <c r="S49" s="2" t="s">
        <v>64</v>
      </c>
      <c r="U49" s="2" t="s">
        <v>121</v>
      </c>
      <c r="V49" s="2" t="s">
        <v>64</v>
      </c>
    </row>
    <row r="50" ht="15.75" customHeight="1">
      <c r="A50" s="1" t="s">
        <v>5</v>
      </c>
      <c r="B50" s="1" t="s">
        <v>77</v>
      </c>
      <c r="C50" s="1" t="s">
        <v>122</v>
      </c>
      <c r="R50" s="1" t="str">
        <f>IFERROR(__xludf.DUMMYFUNCTION("""COMPUTED_VALUE"""),"University of Washington")</f>
        <v>University of Washington</v>
      </c>
      <c r="S50" s="2" t="s">
        <v>89</v>
      </c>
      <c r="U50" s="2" t="s">
        <v>123</v>
      </c>
      <c r="V50" s="2" t="s">
        <v>31</v>
      </c>
    </row>
    <row r="51" ht="15.75" customHeight="1">
      <c r="A51" s="1" t="s">
        <v>5</v>
      </c>
      <c r="B51" s="1" t="s">
        <v>77</v>
      </c>
      <c r="C51" s="1" t="s">
        <v>124</v>
      </c>
      <c r="R51" s="1" t="str">
        <f>IFERROR(__xludf.DUMMYFUNCTION("""COMPUTED_VALUE"""),"Darmstadt University of Technology")</f>
        <v>Darmstadt University of Technology</v>
      </c>
      <c r="S51" s="2" t="s">
        <v>19</v>
      </c>
      <c r="U51" s="2" t="s">
        <v>125</v>
      </c>
      <c r="V51" s="2" t="s">
        <v>64</v>
      </c>
    </row>
    <row r="52" ht="15.75" customHeight="1">
      <c r="A52" s="1" t="s">
        <v>5</v>
      </c>
      <c r="B52" s="1" t="s">
        <v>77</v>
      </c>
      <c r="C52" s="1" t="s">
        <v>126</v>
      </c>
      <c r="R52" s="1" t="str">
        <f>IFERROR(__xludf.DUMMYFUNCTION("""COMPUTED_VALUE"""),"University of Bari")</f>
        <v>University of Bari</v>
      </c>
      <c r="S52" s="2" t="s">
        <v>89</v>
      </c>
      <c r="U52" s="2" t="s">
        <v>127</v>
      </c>
      <c r="V52" s="2" t="s">
        <v>89</v>
      </c>
    </row>
    <row r="53" ht="15.75" customHeight="1">
      <c r="A53" s="1" t="s">
        <v>5</v>
      </c>
      <c r="B53" s="1" t="s">
        <v>77</v>
      </c>
      <c r="C53" s="1" t="s">
        <v>128</v>
      </c>
      <c r="R53" s="1" t="str">
        <f>IFERROR(__xludf.DUMMYFUNCTION("""COMPUTED_VALUE"""),"Research Institute Computer And Systems Aléatoires")</f>
        <v>Research Institute Computer And Systems Aléatoires</v>
      </c>
      <c r="S53" s="2" t="s">
        <v>31</v>
      </c>
      <c r="U53" s="2" t="s">
        <v>129</v>
      </c>
      <c r="V53" s="2" t="s">
        <v>19</v>
      </c>
    </row>
    <row r="54" ht="15.75" customHeight="1">
      <c r="A54" s="1" t="s">
        <v>5</v>
      </c>
      <c r="B54" s="1" t="s">
        <v>77</v>
      </c>
      <c r="C54" s="1" t="s">
        <v>130</v>
      </c>
      <c r="R54" s="1" t="str">
        <f>IFERROR(__xludf.DUMMYFUNCTION("""COMPUTED_VALUE"""),"University of Bologna")</f>
        <v>University of Bologna</v>
      </c>
      <c r="S54" s="2" t="s">
        <v>31</v>
      </c>
      <c r="U54" s="2" t="s">
        <v>131</v>
      </c>
      <c r="V54" s="2" t="s">
        <v>89</v>
      </c>
    </row>
    <row r="55" ht="15.75" customHeight="1">
      <c r="A55" s="1" t="s">
        <v>5</v>
      </c>
      <c r="B55" s="1" t="s">
        <v>77</v>
      </c>
      <c r="C55" s="1" t="s">
        <v>132</v>
      </c>
      <c r="R55" s="1" t="str">
        <f>IFERROR(__xludf.DUMMYFUNCTION("""COMPUTED_VALUE"""),"University of A Coruna")</f>
        <v>University of A Coruna</v>
      </c>
      <c r="S55" s="2" t="s">
        <v>39</v>
      </c>
      <c r="U55" s="2" t="s">
        <v>133</v>
      </c>
      <c r="V55" s="2" t="s">
        <v>82</v>
      </c>
    </row>
    <row r="56" ht="15.75" customHeight="1">
      <c r="A56" s="1" t="s">
        <v>5</v>
      </c>
      <c r="B56" s="1" t="s">
        <v>77</v>
      </c>
      <c r="C56" s="1" t="s">
        <v>134</v>
      </c>
      <c r="R56" s="1" t="str">
        <f>IFERROR(__xludf.DUMMYFUNCTION("""COMPUTED_VALUE"""),"Harvard University")</f>
        <v>Harvard University</v>
      </c>
      <c r="S56" s="2" t="s">
        <v>89</v>
      </c>
      <c r="U56" s="2" t="s">
        <v>135</v>
      </c>
      <c r="V56" s="2" t="s">
        <v>31</v>
      </c>
    </row>
    <row r="57" ht="15.75" customHeight="1">
      <c r="A57" s="1" t="s">
        <v>5</v>
      </c>
      <c r="B57" s="1" t="s">
        <v>77</v>
      </c>
      <c r="C57" s="1" t="s">
        <v>136</v>
      </c>
      <c r="R57" s="1" t="str">
        <f>IFERROR(__xludf.DUMMYFUNCTION("""COMPUTED_VALUE"""),"University of Cambridge")</f>
        <v>University of Cambridge</v>
      </c>
      <c r="S57" s="2" t="s">
        <v>25</v>
      </c>
      <c r="U57" s="2" t="s">
        <v>137</v>
      </c>
      <c r="V57" s="2" t="s">
        <v>39</v>
      </c>
    </row>
    <row r="58" ht="15.75" customHeight="1">
      <c r="A58" s="1" t="s">
        <v>5</v>
      </c>
      <c r="B58" s="1" t="s">
        <v>77</v>
      </c>
      <c r="C58" s="1" t="s">
        <v>138</v>
      </c>
      <c r="R58" s="1" t="str">
        <f>IFERROR(__xludf.DUMMYFUNCTION("""COMPUTED_VALUE"""),"University of Turin")</f>
        <v>University of Turin</v>
      </c>
      <c r="S58" s="2" t="s">
        <v>139</v>
      </c>
      <c r="U58" s="2" t="s">
        <v>140</v>
      </c>
      <c r="V58" s="2" t="s">
        <v>89</v>
      </c>
    </row>
    <row r="59" ht="15.75" customHeight="1">
      <c r="A59" s="1" t="s">
        <v>5</v>
      </c>
      <c r="B59" s="1" t="s">
        <v>77</v>
      </c>
      <c r="C59" s="1" t="s">
        <v>141</v>
      </c>
      <c r="R59" s="1" t="str">
        <f>IFERROR(__xludf.DUMMYFUNCTION("""COMPUTED_VALUE"""),"KTH Royal Institute of Technology")</f>
        <v>KTH Royal Institute of Technology</v>
      </c>
      <c r="S59" s="2" t="s">
        <v>36</v>
      </c>
      <c r="U59" s="2" t="s">
        <v>142</v>
      </c>
      <c r="V59" s="2" t="s">
        <v>25</v>
      </c>
    </row>
    <row r="60" ht="15.75" customHeight="1">
      <c r="A60" s="1" t="s">
        <v>5</v>
      </c>
      <c r="B60" s="1" t="s">
        <v>77</v>
      </c>
      <c r="C60" s="1" t="s">
        <v>143</v>
      </c>
      <c r="R60" s="1" t="str">
        <f>IFERROR(__xludf.DUMMYFUNCTION("""COMPUTED_VALUE"""),"National University of Colombia")</f>
        <v>National University of Colombia</v>
      </c>
      <c r="S60" s="2" t="s">
        <v>144</v>
      </c>
      <c r="U60" s="2" t="s">
        <v>145</v>
      </c>
      <c r="V60" s="2" t="s">
        <v>139</v>
      </c>
    </row>
    <row r="61" ht="15.75" customHeight="1">
      <c r="A61" s="1" t="s">
        <v>5</v>
      </c>
      <c r="B61" s="1" t="s">
        <v>77</v>
      </c>
      <c r="C61" s="1" t="s">
        <v>146</v>
      </c>
      <c r="R61" s="1" t="str">
        <f>IFERROR(__xludf.DUMMYFUNCTION("""COMPUTED_VALUE"""),"Delft University of Technology")</f>
        <v>Delft University of Technology</v>
      </c>
      <c r="S61" s="2" t="s">
        <v>75</v>
      </c>
      <c r="U61" s="2" t="s">
        <v>147</v>
      </c>
      <c r="V61" s="2" t="s">
        <v>36</v>
      </c>
    </row>
    <row r="62" ht="15.75" customHeight="1">
      <c r="A62" s="1" t="s">
        <v>5</v>
      </c>
      <c r="B62" s="1" t="s">
        <v>77</v>
      </c>
      <c r="C62" s="1" t="s">
        <v>148</v>
      </c>
      <c r="R62" s="1" t="str">
        <f>IFERROR(__xludf.DUMMYFUNCTION("""COMPUTED_VALUE"""),"Central European University")</f>
        <v>Central European University</v>
      </c>
      <c r="S62" s="2" t="s">
        <v>149</v>
      </c>
      <c r="U62" s="2" t="s">
        <v>150</v>
      </c>
      <c r="V62" s="2" t="s">
        <v>149</v>
      </c>
    </row>
    <row r="63" ht="15.75" customHeight="1">
      <c r="A63" s="1" t="s">
        <v>5</v>
      </c>
      <c r="B63" s="1" t="s">
        <v>77</v>
      </c>
      <c r="C63" s="1" t="s">
        <v>151</v>
      </c>
      <c r="R63" s="1" t="str">
        <f>IFERROR(__xludf.DUMMYFUNCTION("""COMPUTED_VALUE"""),"Aalto University")</f>
        <v>Aalto University</v>
      </c>
      <c r="S63" s="2" t="s">
        <v>92</v>
      </c>
      <c r="U63" s="2" t="s">
        <v>152</v>
      </c>
      <c r="V63" s="2" t="s">
        <v>75</v>
      </c>
    </row>
    <row r="64" ht="15.75" customHeight="1">
      <c r="A64" s="1" t="s">
        <v>5</v>
      </c>
      <c r="B64" s="1" t="s">
        <v>77</v>
      </c>
      <c r="C64" s="1" t="s">
        <v>153</v>
      </c>
      <c r="R64" s="1" t="str">
        <f>IFERROR(__xludf.DUMMYFUNCTION("""COMPUTED_VALUE"""),"Vienna University of Technology")</f>
        <v>Vienna University of Technology</v>
      </c>
      <c r="S64" s="2" t="s">
        <v>64</v>
      </c>
      <c r="U64" s="2" t="s">
        <v>154</v>
      </c>
      <c r="V64" s="2" t="s">
        <v>149</v>
      </c>
    </row>
    <row r="65" ht="15.75" customHeight="1">
      <c r="A65" s="1" t="s">
        <v>5</v>
      </c>
      <c r="B65" s="1" t="s">
        <v>77</v>
      </c>
      <c r="C65" s="1" t="s">
        <v>155</v>
      </c>
      <c r="R65" s="1" t="str">
        <f>IFERROR(__xludf.DUMMYFUNCTION("""COMPUTED_VALUE"""),"University of Melbourne")</f>
        <v>University of Melbourne</v>
      </c>
      <c r="S65" s="2" t="s">
        <v>156</v>
      </c>
      <c r="U65" s="2" t="s">
        <v>157</v>
      </c>
      <c r="V65" s="2" t="s">
        <v>92</v>
      </c>
    </row>
    <row r="66" ht="15.75" customHeight="1">
      <c r="A66" s="1" t="s">
        <v>5</v>
      </c>
      <c r="B66" s="1" t="s">
        <v>158</v>
      </c>
      <c r="C66" s="1" t="s">
        <v>159</v>
      </c>
      <c r="R66" s="1" t="str">
        <f>IFERROR(__xludf.DUMMYFUNCTION("""COMPUTED_VALUE"""),"Reutlingen University")</f>
        <v>Reutlingen University</v>
      </c>
      <c r="S66" s="2" t="s">
        <v>64</v>
      </c>
      <c r="U66" s="2" t="s">
        <v>160</v>
      </c>
      <c r="V66" s="2" t="s">
        <v>64</v>
      </c>
    </row>
    <row r="67" ht="15.75" customHeight="1">
      <c r="A67" s="1" t="s">
        <v>5</v>
      </c>
      <c r="B67" s="1" t="s">
        <v>158</v>
      </c>
      <c r="C67" s="1" t="s">
        <v>161</v>
      </c>
      <c r="R67" s="1" t="str">
        <f>IFERROR(__xludf.DUMMYFUNCTION("""COMPUTED_VALUE"""),"Tallinn University")</f>
        <v>Tallinn University</v>
      </c>
      <c r="S67" s="2" t="s">
        <v>31</v>
      </c>
      <c r="U67" s="2" t="s">
        <v>162</v>
      </c>
      <c r="V67" s="2" t="s">
        <v>156</v>
      </c>
    </row>
    <row r="68" ht="15.75" customHeight="1">
      <c r="A68" s="1" t="s">
        <v>5</v>
      </c>
      <c r="B68" s="1" t="s">
        <v>158</v>
      </c>
      <c r="C68" s="1" t="s">
        <v>163</v>
      </c>
      <c r="R68" s="1" t="str">
        <f>IFERROR(__xludf.DUMMYFUNCTION("""COMPUTED_VALUE"""),"German Research Center for Artificial Intelligence")</f>
        <v>German Research Center for Artificial Intelligence</v>
      </c>
      <c r="S68" s="2" t="s">
        <v>22</v>
      </c>
      <c r="U68" s="2" t="s">
        <v>164</v>
      </c>
      <c r="V68" s="2" t="s">
        <v>64</v>
      </c>
    </row>
    <row r="69" ht="15.75" customHeight="1">
      <c r="A69" s="1" t="s">
        <v>5</v>
      </c>
      <c r="B69" s="1" t="s">
        <v>158</v>
      </c>
      <c r="C69" s="1" t="s">
        <v>165</v>
      </c>
      <c r="R69" s="1" t="str">
        <f>IFERROR(__xludf.DUMMYFUNCTION("""COMPUTED_VALUE"""),"Clausthal University of Technology")</f>
        <v>Clausthal University of Technology</v>
      </c>
      <c r="S69" s="2" t="s">
        <v>25</v>
      </c>
      <c r="U69" s="2" t="s">
        <v>166</v>
      </c>
      <c r="V69" s="2" t="s">
        <v>64</v>
      </c>
    </row>
    <row r="70" ht="15.75" customHeight="1">
      <c r="A70" s="1" t="s">
        <v>5</v>
      </c>
      <c r="B70" s="1" t="s">
        <v>158</v>
      </c>
      <c r="C70" s="1" t="s">
        <v>167</v>
      </c>
      <c r="R70" s="1" t="str">
        <f>IFERROR(__xludf.DUMMYFUNCTION("""COMPUTED_VALUE"""),"Humboldt University of Berlin")</f>
        <v>Humboldt University of Berlin</v>
      </c>
      <c r="S70" s="2" t="s">
        <v>64</v>
      </c>
      <c r="U70" s="2" t="s">
        <v>168</v>
      </c>
      <c r="V70" s="2" t="s">
        <v>64</v>
      </c>
    </row>
    <row r="71" ht="15.75" customHeight="1">
      <c r="A71" s="1" t="s">
        <v>5</v>
      </c>
      <c r="B71" s="1" t="s">
        <v>158</v>
      </c>
      <c r="C71" s="1" t="s">
        <v>169</v>
      </c>
      <c r="R71" s="1" t="str">
        <f>IFERROR(__xludf.DUMMYFUNCTION("""COMPUTED_VALUE"""),"Cornell University")</f>
        <v>Cornell University</v>
      </c>
      <c r="S71" s="2" t="s">
        <v>31</v>
      </c>
      <c r="U71" s="2" t="s">
        <v>170</v>
      </c>
      <c r="V71" s="2" t="s">
        <v>31</v>
      </c>
    </row>
    <row r="72" ht="15.75" customHeight="1">
      <c r="A72" s="1" t="s">
        <v>5</v>
      </c>
      <c r="B72" s="1" t="s">
        <v>158</v>
      </c>
      <c r="C72" s="1" t="s">
        <v>171</v>
      </c>
      <c r="R72" s="1" t="str">
        <f>IFERROR(__xludf.DUMMYFUNCTION("""COMPUTED_VALUE"""),"Bocconi University")</f>
        <v>Bocconi University</v>
      </c>
      <c r="S72" s="2" t="s">
        <v>31</v>
      </c>
      <c r="U72" s="2" t="s">
        <v>172</v>
      </c>
      <c r="V72" s="2" t="s">
        <v>89</v>
      </c>
    </row>
    <row r="73" ht="15.75" customHeight="1">
      <c r="A73" s="1" t="s">
        <v>5</v>
      </c>
      <c r="B73" s="1" t="s">
        <v>158</v>
      </c>
      <c r="C73" s="1" t="s">
        <v>173</v>
      </c>
      <c r="R73" s="1" t="str">
        <f>IFERROR(__xludf.DUMMYFUNCTION("""COMPUTED_VALUE"""),"Copenhagen Business School")</f>
        <v>Copenhagen Business School</v>
      </c>
      <c r="S73" s="2" t="s">
        <v>89</v>
      </c>
      <c r="U73" s="2" t="s">
        <v>174</v>
      </c>
      <c r="V73" s="2" t="s">
        <v>8</v>
      </c>
    </row>
    <row r="74" ht="15.75" customHeight="1">
      <c r="A74" s="1" t="s">
        <v>5</v>
      </c>
      <c r="B74" s="1" t="s">
        <v>158</v>
      </c>
      <c r="C74" s="1" t="s">
        <v>175</v>
      </c>
      <c r="R74" s="1" t="str">
        <f>IFERROR(__xludf.DUMMYFUNCTION("""COMPUTED_VALUE"""),"Ludwig Maximilian University of Munich")</f>
        <v>Ludwig Maximilian University of Munich</v>
      </c>
      <c r="S74" s="2" t="s">
        <v>39</v>
      </c>
      <c r="U74" s="2" t="s">
        <v>176</v>
      </c>
      <c r="V74" s="2" t="s">
        <v>64</v>
      </c>
    </row>
    <row r="75" ht="15.75" customHeight="1">
      <c r="A75" s="1" t="s">
        <v>5</v>
      </c>
      <c r="B75" s="1" t="s">
        <v>158</v>
      </c>
      <c r="C75" s="1" t="s">
        <v>177</v>
      </c>
      <c r="R75" s="1" t="str">
        <f>IFERROR(__xludf.DUMMYFUNCTION("""COMPUTED_VALUE"""),"University of Bristol")</f>
        <v>University of Bristol</v>
      </c>
      <c r="S75" s="2" t="s">
        <v>178</v>
      </c>
      <c r="U75" s="2" t="s">
        <v>179</v>
      </c>
      <c r="V75" s="2" t="s">
        <v>39</v>
      </c>
    </row>
    <row r="76" ht="15.75" customHeight="1">
      <c r="A76" s="1" t="s">
        <v>5</v>
      </c>
      <c r="B76" s="1" t="s">
        <v>158</v>
      </c>
      <c r="C76" s="1" t="s">
        <v>180</v>
      </c>
      <c r="R76" s="1" t="str">
        <f>IFERROR(__xludf.DUMMYFUNCTION("""COMPUTED_VALUE"""),"Eindhoven University of Technology")</f>
        <v>Eindhoven University of Technology</v>
      </c>
      <c r="S76" s="2" t="s">
        <v>8</v>
      </c>
      <c r="U76" s="2" t="s">
        <v>181</v>
      </c>
      <c r="V76" s="2" t="s">
        <v>36</v>
      </c>
    </row>
    <row r="77" ht="15.75" customHeight="1">
      <c r="A77" s="1" t="s">
        <v>5</v>
      </c>
      <c r="B77" s="1" t="s">
        <v>158</v>
      </c>
      <c r="C77" s="1" t="s">
        <v>182</v>
      </c>
      <c r="R77" s="1" t="str">
        <f>IFERROR(__xludf.DUMMYFUNCTION("""COMPUTED_VALUE"""),"University of Massachusetts")</f>
        <v>University of Massachusetts</v>
      </c>
      <c r="S77" s="2" t="s">
        <v>183</v>
      </c>
      <c r="U77" s="2" t="s">
        <v>184</v>
      </c>
      <c r="V77" s="2" t="s">
        <v>31</v>
      </c>
    </row>
    <row r="78" ht="15.75" customHeight="1">
      <c r="A78" s="1" t="s">
        <v>5</v>
      </c>
      <c r="B78" s="1" t="s">
        <v>158</v>
      </c>
      <c r="C78" s="1" t="s">
        <v>185</v>
      </c>
      <c r="R78" s="1" t="str">
        <f>IFERROR(__xludf.DUMMYFUNCTION("""COMPUTED_VALUE"""),"Pontifical Catholic University of Rio de Janeiro")</f>
        <v>Pontifical Catholic University of Rio de Janeiro</v>
      </c>
      <c r="S78" s="2" t="s">
        <v>156</v>
      </c>
      <c r="U78" s="2" t="s">
        <v>186</v>
      </c>
      <c r="V78" s="2" t="s">
        <v>112</v>
      </c>
    </row>
    <row r="79" ht="15.75" customHeight="1">
      <c r="A79" s="1" t="s">
        <v>5</v>
      </c>
      <c r="B79" s="1" t="s">
        <v>158</v>
      </c>
      <c r="C79" s="1" t="s">
        <v>187</v>
      </c>
      <c r="R79" s="1" t="str">
        <f>IFERROR(__xludf.DUMMYFUNCTION("""COMPUTED_VALUE"""),"Massachusetts Institute of Technology")</f>
        <v>Massachusetts Institute of Technology</v>
      </c>
      <c r="S79" s="2" t="s">
        <v>31</v>
      </c>
      <c r="U79" s="2" t="s">
        <v>188</v>
      </c>
      <c r="V79" s="2" t="s">
        <v>31</v>
      </c>
    </row>
    <row r="80" ht="15.75" customHeight="1">
      <c r="A80" s="1" t="s">
        <v>5</v>
      </c>
      <c r="B80" s="1" t="s">
        <v>158</v>
      </c>
      <c r="C80" s="1" t="s">
        <v>189</v>
      </c>
      <c r="R80" s="1" t="str">
        <f>IFERROR(__xludf.DUMMYFUNCTION("""COMPUTED_VALUE"""),"Microsoft Research")</f>
        <v>Microsoft Research</v>
      </c>
      <c r="S80" s="2" t="s">
        <v>190</v>
      </c>
      <c r="U80" s="2" t="s">
        <v>191</v>
      </c>
      <c r="V80" s="2" t="s">
        <v>31</v>
      </c>
    </row>
    <row r="81" ht="15.75" customHeight="1">
      <c r="A81" s="1" t="s">
        <v>5</v>
      </c>
      <c r="B81" s="1" t="s">
        <v>158</v>
      </c>
      <c r="C81" s="1" t="s">
        <v>192</v>
      </c>
      <c r="R81" s="1" t="str">
        <f>IFERROR(__xludf.DUMMYFUNCTION("""COMPUTED_VALUE"""),"University of Stuttgart")</f>
        <v>University of Stuttgart</v>
      </c>
      <c r="S81" s="2" t="s">
        <v>31</v>
      </c>
      <c r="U81" s="2" t="s">
        <v>193</v>
      </c>
      <c r="V81" s="2" t="s">
        <v>64</v>
      </c>
    </row>
    <row r="82" ht="15.75" customHeight="1">
      <c r="A82" s="1" t="s">
        <v>5</v>
      </c>
      <c r="B82" s="1" t="s">
        <v>158</v>
      </c>
      <c r="C82" s="1" t="s">
        <v>194</v>
      </c>
      <c r="R82" s="1" t="str">
        <f>IFERROR(__xludf.DUMMYFUNCTION("""COMPUTED_VALUE"""),"University of Maryland")</f>
        <v>University of Maryland</v>
      </c>
      <c r="S82" s="2" t="s">
        <v>53</v>
      </c>
      <c r="U82" s="2" t="s">
        <v>195</v>
      </c>
      <c r="V82" s="2" t="s">
        <v>31</v>
      </c>
    </row>
    <row r="83" ht="15.75" customHeight="1">
      <c r="A83" s="1" t="s">
        <v>5</v>
      </c>
      <c r="B83" s="1" t="s">
        <v>158</v>
      </c>
      <c r="C83" s="1" t="s">
        <v>196</v>
      </c>
      <c r="R83" s="1" t="str">
        <f>IFERROR(__xludf.DUMMYFUNCTION("""COMPUTED_VALUE"""),"Sapienza University of Rome")</f>
        <v>Sapienza University of Rome</v>
      </c>
      <c r="S83" s="2" t="s">
        <v>197</v>
      </c>
      <c r="U83" s="2" t="s">
        <v>198</v>
      </c>
      <c r="V83" s="2" t="s">
        <v>89</v>
      </c>
    </row>
    <row r="84" ht="15.75" customHeight="1">
      <c r="A84" s="1" t="s">
        <v>5</v>
      </c>
      <c r="B84" s="1" t="s">
        <v>158</v>
      </c>
      <c r="C84" s="1" t="s">
        <v>199</v>
      </c>
      <c r="R84" s="1" t="str">
        <f>IFERROR(__xludf.DUMMYFUNCTION("""COMPUTED_VALUE"""),"IBM Research")</f>
        <v>IBM Research</v>
      </c>
      <c r="S84" s="2" t="s">
        <v>64</v>
      </c>
      <c r="U84" s="2" t="s">
        <v>200</v>
      </c>
      <c r="V84" s="2" t="s">
        <v>31</v>
      </c>
    </row>
    <row r="85" ht="15.75" customHeight="1">
      <c r="A85" s="1" t="s">
        <v>5</v>
      </c>
      <c r="B85" s="1" t="s">
        <v>158</v>
      </c>
      <c r="C85" s="1" t="s">
        <v>201</v>
      </c>
      <c r="R85" s="1" t="str">
        <f>IFERROR(__xludf.DUMMYFUNCTION("""COMPUTED_VALUE"""),"Tokyo Institute of Technology")</f>
        <v>Tokyo Institute of Technology</v>
      </c>
      <c r="S85" s="2" t="s">
        <v>112</v>
      </c>
      <c r="U85" s="2" t="s">
        <v>202</v>
      </c>
      <c r="V85" s="2" t="s">
        <v>178</v>
      </c>
    </row>
    <row r="86" ht="15.75" customHeight="1">
      <c r="A86" s="1" t="s">
        <v>5</v>
      </c>
      <c r="B86" s="1" t="s">
        <v>158</v>
      </c>
      <c r="C86" s="1" t="s">
        <v>203</v>
      </c>
      <c r="R86" s="1" t="str">
        <f>IFERROR(__xludf.DUMMYFUNCTION("""COMPUTED_VALUE"""),"Alexandra Instituttet A/S")</f>
        <v>Alexandra Instituttet A/S</v>
      </c>
      <c r="S86" s="2" t="s">
        <v>39</v>
      </c>
      <c r="U86" s="2" t="s">
        <v>204</v>
      </c>
      <c r="V86" s="2" t="s">
        <v>8</v>
      </c>
    </row>
    <row r="87" ht="15.75" customHeight="1">
      <c r="A87" s="1" t="s">
        <v>5</v>
      </c>
      <c r="B87" s="1" t="s">
        <v>158</v>
      </c>
      <c r="C87" s="1" t="s">
        <v>205</v>
      </c>
      <c r="R87" s="1" t="str">
        <f>IFERROR(__xludf.DUMMYFUNCTION("""COMPUTED_VALUE"""),"University of Warsaw")</f>
        <v>University of Warsaw</v>
      </c>
      <c r="S87" s="2" t="s">
        <v>206</v>
      </c>
      <c r="U87" s="2" t="s">
        <v>207</v>
      </c>
      <c r="V87" s="2" t="s">
        <v>183</v>
      </c>
    </row>
    <row r="88" ht="15.75" customHeight="1">
      <c r="A88" s="1" t="s">
        <v>5</v>
      </c>
      <c r="B88" s="1" t="s">
        <v>158</v>
      </c>
      <c r="C88" s="1" t="s">
        <v>208</v>
      </c>
      <c r="R88" s="1" t="str">
        <f>IFERROR(__xludf.DUMMYFUNCTION("""COMPUTED_VALUE"""),"University of Tartu")</f>
        <v>University of Tartu</v>
      </c>
      <c r="S88" s="2" t="s">
        <v>50</v>
      </c>
      <c r="U88" s="2" t="s">
        <v>209</v>
      </c>
      <c r="V88" s="2" t="s">
        <v>156</v>
      </c>
    </row>
    <row r="89" ht="15.75" customHeight="1">
      <c r="A89" s="1" t="s">
        <v>5</v>
      </c>
      <c r="B89" s="1" t="s">
        <v>158</v>
      </c>
      <c r="C89" s="1" t="s">
        <v>210</v>
      </c>
      <c r="R89" s="1" t="str">
        <f>IFERROR(__xludf.DUMMYFUNCTION("""COMPUTED_VALUE"""),"Meta")</f>
        <v>Meta</v>
      </c>
      <c r="S89" s="2" t="s">
        <v>92</v>
      </c>
      <c r="U89" s="2" t="s">
        <v>211</v>
      </c>
      <c r="V89" s="2" t="s">
        <v>31</v>
      </c>
    </row>
    <row r="90" ht="15.75" customHeight="1">
      <c r="A90" s="1" t="s">
        <v>5</v>
      </c>
      <c r="B90" s="1" t="s">
        <v>158</v>
      </c>
      <c r="C90" s="1" t="s">
        <v>212</v>
      </c>
      <c r="R90" s="1" t="str">
        <f>IFERROR(__xludf.DUMMYFUNCTION("""COMPUTED_VALUE"""),"Srishti Manipal Institute of Art, Design and Technology")</f>
        <v>Srishti Manipal Institute of Art, Design and Technology</v>
      </c>
      <c r="S90" s="2" t="s">
        <v>213</v>
      </c>
      <c r="U90" s="2" t="s">
        <v>214</v>
      </c>
      <c r="V90" s="2" t="s">
        <v>190</v>
      </c>
    </row>
    <row r="91" ht="15.75" customHeight="1">
      <c r="A91" s="1" t="s">
        <v>5</v>
      </c>
      <c r="B91" s="1" t="s">
        <v>158</v>
      </c>
      <c r="C91" s="1" t="s">
        <v>215</v>
      </c>
      <c r="R91" s="1" t="str">
        <f>IFERROR(__xludf.DUMMYFUNCTION("""COMPUTED_VALUE"""),"City University of New York")</f>
        <v>City University of New York</v>
      </c>
      <c r="S91" s="2" t="s">
        <v>64</v>
      </c>
      <c r="U91" s="2" t="s">
        <v>216</v>
      </c>
      <c r="V91" s="2" t="s">
        <v>31</v>
      </c>
    </row>
    <row r="92" ht="15.75" customHeight="1">
      <c r="A92" s="1" t="s">
        <v>5</v>
      </c>
      <c r="B92" s="1" t="s">
        <v>158</v>
      </c>
      <c r="C92" s="1" t="s">
        <v>217</v>
      </c>
      <c r="R92" s="1" t="str">
        <f>IFERROR(__xludf.DUMMYFUNCTION("""COMPUTED_VALUE"""),"Università della Svizzera italiana")</f>
        <v>Università della Svizzera italiana</v>
      </c>
      <c r="S92" s="2" t="s">
        <v>31</v>
      </c>
      <c r="U92" s="2" t="s">
        <v>218</v>
      </c>
      <c r="V92" s="2" t="s">
        <v>53</v>
      </c>
    </row>
    <row r="93" ht="15.75" customHeight="1">
      <c r="A93" s="1" t="s">
        <v>5</v>
      </c>
      <c r="B93" s="1" t="s">
        <v>158</v>
      </c>
      <c r="C93" s="1" t="s">
        <v>219</v>
      </c>
      <c r="R93" s="1" t="str">
        <f>IFERROR(__xludf.DUMMYFUNCTION("""COMPUTED_VALUE"""),"Addis Ababa University")</f>
        <v>Addis Ababa University</v>
      </c>
      <c r="S93" s="2" t="s">
        <v>64</v>
      </c>
      <c r="U93" s="2" t="s">
        <v>220</v>
      </c>
      <c r="V93" s="2" t="s">
        <v>197</v>
      </c>
    </row>
    <row r="94" ht="15.75" customHeight="1">
      <c r="A94" s="1" t="s">
        <v>5</v>
      </c>
      <c r="B94" s="1" t="s">
        <v>158</v>
      </c>
      <c r="C94" s="1" t="s">
        <v>221</v>
      </c>
      <c r="R94" s="1" t="str">
        <f>IFERROR(__xludf.DUMMYFUNCTION("""COMPUTED_VALUE"""),"Leibniz Universität Hannover")</f>
        <v>Leibniz Universität Hannover</v>
      </c>
      <c r="S94" s="2" t="s">
        <v>64</v>
      </c>
      <c r="U94" s="2" t="s">
        <v>222</v>
      </c>
      <c r="V94" s="2" t="s">
        <v>64</v>
      </c>
    </row>
    <row r="95" ht="15.75" customHeight="1">
      <c r="A95" s="1" t="s">
        <v>5</v>
      </c>
      <c r="B95" s="1" t="s">
        <v>158</v>
      </c>
      <c r="C95" s="1" t="s">
        <v>223</v>
      </c>
      <c r="R95" s="1" t="str">
        <f>IFERROR(__xludf.DUMMYFUNCTION("""COMPUTED_VALUE"""),"IBM Brazil")</f>
        <v>IBM Brazil</v>
      </c>
      <c r="S95" s="2" t="s">
        <v>8</v>
      </c>
      <c r="U95" s="2" t="s">
        <v>224</v>
      </c>
      <c r="V95" s="2" t="s">
        <v>112</v>
      </c>
    </row>
    <row r="96" ht="15.75" customHeight="1">
      <c r="A96" s="1" t="s">
        <v>5</v>
      </c>
      <c r="B96" s="1" t="s">
        <v>158</v>
      </c>
      <c r="C96" s="1" t="s">
        <v>225</v>
      </c>
      <c r="R96" s="1" t="str">
        <f>IFERROR(__xludf.DUMMYFUNCTION("""COMPUTED_VALUE"""),"University of Sheffield")</f>
        <v>University of Sheffield</v>
      </c>
      <c r="S96" s="2" t="s">
        <v>36</v>
      </c>
      <c r="U96" s="2" t="s">
        <v>226</v>
      </c>
      <c r="V96" s="2" t="s">
        <v>39</v>
      </c>
    </row>
    <row r="97" ht="15.75" customHeight="1">
      <c r="A97" s="1" t="s">
        <v>5</v>
      </c>
      <c r="B97" s="1" t="s">
        <v>158</v>
      </c>
      <c r="C97" s="1" t="s">
        <v>227</v>
      </c>
      <c r="R97" s="1" t="str">
        <f>IFERROR(__xludf.DUMMYFUNCTION("""COMPUTED_VALUE"""),"Auckland University of Technology")</f>
        <v>Auckland University of Technology</v>
      </c>
      <c r="S97" s="2" t="s">
        <v>82</v>
      </c>
      <c r="U97" s="2" t="s">
        <v>228</v>
      </c>
      <c r="V97" s="2" t="s">
        <v>206</v>
      </c>
    </row>
    <row r="98" ht="15.75" customHeight="1">
      <c r="A98" s="1" t="s">
        <v>5</v>
      </c>
      <c r="B98" s="1" t="s">
        <v>158</v>
      </c>
      <c r="C98" s="1" t="s">
        <v>229</v>
      </c>
      <c r="R98" s="1" t="str">
        <f>IFERROR(__xludf.DUMMYFUNCTION("""COMPUTED_VALUE"""),"Dublin City University")</f>
        <v>Dublin City University</v>
      </c>
      <c r="S98" s="2" t="s">
        <v>149</v>
      </c>
      <c r="U98" s="2" t="s">
        <v>230</v>
      </c>
      <c r="V98" s="2" t="s">
        <v>50</v>
      </c>
    </row>
    <row r="99" ht="15.75" customHeight="1">
      <c r="A99" s="1" t="s">
        <v>5</v>
      </c>
      <c r="B99" s="1" t="s">
        <v>158</v>
      </c>
      <c r="C99" s="1" t="s">
        <v>231</v>
      </c>
      <c r="R99" s="1" t="str">
        <f>IFERROR(__xludf.DUMMYFUNCTION("""COMPUTED_VALUE"""),"National ICT Australia")</f>
        <v>National ICT Australia</v>
      </c>
      <c r="S99" s="2" t="s">
        <v>64</v>
      </c>
      <c r="U99" s="2" t="s">
        <v>232</v>
      </c>
      <c r="V99" s="2" t="s">
        <v>92</v>
      </c>
    </row>
    <row r="100" ht="15.75" customHeight="1">
      <c r="A100" s="1" t="s">
        <v>5</v>
      </c>
      <c r="B100" s="1" t="s">
        <v>158</v>
      </c>
      <c r="C100" s="1" t="s">
        <v>233</v>
      </c>
      <c r="R100" s="1" t="str">
        <f>IFERROR(__xludf.DUMMYFUNCTION("""COMPUTED_VALUE"""),"Technion - Israel Institute of Technology")</f>
        <v>Technion - Israel Institute of Technology</v>
      </c>
      <c r="S100" s="2" t="s">
        <v>64</v>
      </c>
      <c r="U100" s="2" t="s">
        <v>234</v>
      </c>
      <c r="V100" s="2" t="s">
        <v>213</v>
      </c>
    </row>
    <row r="101" ht="15.75" customHeight="1">
      <c r="A101" s="1" t="s">
        <v>5</v>
      </c>
      <c r="B101" s="1" t="s">
        <v>158</v>
      </c>
      <c r="C101" s="1" t="s">
        <v>235</v>
      </c>
      <c r="R101" s="1" t="str">
        <f>IFERROR(__xludf.DUMMYFUNCTION("""COMPUTED_VALUE"""),"FOM University of Applied Sciences")</f>
        <v>FOM University of Applied Sciences</v>
      </c>
      <c r="S101" s="2" t="s">
        <v>236</v>
      </c>
      <c r="U101" s="2" t="s">
        <v>237</v>
      </c>
      <c r="V101" s="2" t="s">
        <v>64</v>
      </c>
    </row>
    <row r="102" ht="15.75" customHeight="1">
      <c r="A102" s="1" t="s">
        <v>238</v>
      </c>
      <c r="B102" s="1" t="s">
        <v>29</v>
      </c>
      <c r="C102" s="1" t="s">
        <v>239</v>
      </c>
      <c r="R102" s="1" t="str">
        <f>IFERROR(__xludf.DUMMYFUNCTION("""COMPUTED_VALUE"""),"Drexel University")</f>
        <v>Drexel University</v>
      </c>
      <c r="S102" s="2" t="s">
        <v>64</v>
      </c>
      <c r="U102" s="2" t="s">
        <v>240</v>
      </c>
      <c r="V102" s="2" t="s">
        <v>31</v>
      </c>
    </row>
    <row r="103" ht="15.75" customHeight="1">
      <c r="A103" s="1" t="s">
        <v>238</v>
      </c>
      <c r="B103" s="1" t="s">
        <v>29</v>
      </c>
      <c r="C103" s="1" t="s">
        <v>41</v>
      </c>
      <c r="R103" s="1" t="str">
        <f>IFERROR(__xludf.DUMMYFUNCTION("""COMPUTED_VALUE"""),"Ilmenau University of Technology")</f>
        <v>Ilmenau University of Technology</v>
      </c>
      <c r="S103" s="2" t="s">
        <v>64</v>
      </c>
      <c r="U103" s="2" t="s">
        <v>241</v>
      </c>
      <c r="V103" s="2" t="s">
        <v>64</v>
      </c>
    </row>
    <row r="104" ht="15.75" customHeight="1">
      <c r="A104" s="1" t="s">
        <v>238</v>
      </c>
      <c r="B104" s="1" t="s">
        <v>29</v>
      </c>
      <c r="C104" s="1" t="s">
        <v>242</v>
      </c>
      <c r="R104" s="1" t="str">
        <f>IFERROR(__xludf.DUMMYFUNCTION("""COMPUTED_VALUE"""),"Independent Research Fund Denmark")</f>
        <v>Independent Research Fund Denmark</v>
      </c>
      <c r="S104" s="2" t="s">
        <v>243</v>
      </c>
      <c r="U104" s="2" t="s">
        <v>244</v>
      </c>
      <c r="V104" s="2" t="s">
        <v>8</v>
      </c>
    </row>
    <row r="105" ht="15.75" customHeight="1">
      <c r="A105" s="1" t="s">
        <v>238</v>
      </c>
      <c r="B105" s="1" t="s">
        <v>29</v>
      </c>
      <c r="C105" s="1" t="s">
        <v>43</v>
      </c>
      <c r="R105" s="1" t="str">
        <f>IFERROR(__xludf.DUMMYFUNCTION("""COMPUTED_VALUE"""),"Utrecht University")</f>
        <v>Utrecht University</v>
      </c>
      <c r="S105" s="2" t="s">
        <v>64</v>
      </c>
      <c r="U105" s="2" t="s">
        <v>245</v>
      </c>
      <c r="V105" s="2" t="s">
        <v>36</v>
      </c>
    </row>
    <row r="106" ht="15.75" customHeight="1">
      <c r="A106" s="1" t="s">
        <v>238</v>
      </c>
      <c r="B106" s="1" t="s">
        <v>29</v>
      </c>
      <c r="C106" s="1" t="s">
        <v>49</v>
      </c>
      <c r="R106" s="1" t="str">
        <f>IFERROR(__xludf.DUMMYFUNCTION("""COMPUTED_VALUE"""),"University of Salamanca")</f>
        <v>University of Salamanca</v>
      </c>
      <c r="S106" s="2" t="s">
        <v>64</v>
      </c>
      <c r="U106" s="2" t="s">
        <v>246</v>
      </c>
      <c r="V106" s="2" t="s">
        <v>82</v>
      </c>
    </row>
    <row r="107" ht="15.75" customHeight="1">
      <c r="A107" s="1" t="s">
        <v>238</v>
      </c>
      <c r="B107" s="1" t="s">
        <v>29</v>
      </c>
      <c r="C107" s="1" t="s">
        <v>247</v>
      </c>
      <c r="R107" s="1" t="str">
        <f>IFERROR(__xludf.DUMMYFUNCTION("""COMPUTED_VALUE"""),"University of Innsbruck")</f>
        <v>University of Innsbruck</v>
      </c>
      <c r="S107" s="2" t="s">
        <v>64</v>
      </c>
      <c r="U107" s="2" t="s">
        <v>248</v>
      </c>
      <c r="V107" s="2" t="s">
        <v>149</v>
      </c>
    </row>
    <row r="108" ht="15.75" customHeight="1">
      <c r="A108" s="1" t="s">
        <v>238</v>
      </c>
      <c r="B108" s="1" t="s">
        <v>29</v>
      </c>
      <c r="C108" s="1" t="s">
        <v>66</v>
      </c>
      <c r="R108" s="1" t="str">
        <f>IFERROR(__xludf.DUMMYFUNCTION("""COMPUTED_VALUE"""),"Leibniz University Hannover")</f>
        <v>Leibniz University Hannover</v>
      </c>
      <c r="S108" s="2" t="s">
        <v>249</v>
      </c>
      <c r="U108" s="2" t="s">
        <v>250</v>
      </c>
      <c r="V108" s="2" t="s">
        <v>64</v>
      </c>
    </row>
    <row r="109" ht="15.75" customHeight="1">
      <c r="A109" s="1" t="s">
        <v>238</v>
      </c>
      <c r="B109" s="1" t="s">
        <v>29</v>
      </c>
      <c r="C109" s="1" t="s">
        <v>68</v>
      </c>
      <c r="R109" s="1" t="str">
        <f>IFERROR(__xludf.DUMMYFUNCTION("""COMPUTED_VALUE"""),"Fraunhofer Institute for Experimental Software Engineering")</f>
        <v>Fraunhofer Institute for Experimental Software Engineering</v>
      </c>
      <c r="S109" s="2" t="s">
        <v>8</v>
      </c>
      <c r="U109" s="2" t="s">
        <v>251</v>
      </c>
      <c r="V109" s="2" t="s">
        <v>64</v>
      </c>
    </row>
    <row r="110" ht="15.75" customHeight="1">
      <c r="A110" s="1" t="s">
        <v>238</v>
      </c>
      <c r="B110" s="1" t="s">
        <v>29</v>
      </c>
      <c r="C110" s="1" t="s">
        <v>70</v>
      </c>
      <c r="R110" s="1" t="str">
        <f>IFERROR(__xludf.DUMMYFUNCTION("""COMPUTED_VALUE"""),"CISPA Helmholz Center for Information Security")</f>
        <v>CISPA Helmholz Center for Information Security</v>
      </c>
      <c r="S110" s="2" t="s">
        <v>92</v>
      </c>
      <c r="U110" s="2" t="s">
        <v>252</v>
      </c>
      <c r="V110" s="2" t="s">
        <v>64</v>
      </c>
    </row>
    <row r="111" ht="15.75" customHeight="1">
      <c r="A111" s="1" t="s">
        <v>238</v>
      </c>
      <c r="B111" s="1" t="s">
        <v>77</v>
      </c>
      <c r="C111" s="1" t="s">
        <v>253</v>
      </c>
      <c r="R111" s="1" t="str">
        <f>IFERROR(__xludf.DUMMYFUNCTION("""COMPUTED_VALUE"""),"University Libre du Bruxelles")</f>
        <v>University Libre du Bruxelles</v>
      </c>
      <c r="S111" s="2" t="s">
        <v>31</v>
      </c>
      <c r="U111" s="2" t="s">
        <v>254</v>
      </c>
      <c r="V111" s="2" t="s">
        <v>243</v>
      </c>
    </row>
    <row r="112" ht="15.75" customHeight="1">
      <c r="A112" s="1" t="s">
        <v>238</v>
      </c>
      <c r="B112" s="1" t="s">
        <v>77</v>
      </c>
      <c r="C112" s="1" t="s">
        <v>255</v>
      </c>
      <c r="R112" s="1" t="str">
        <f>IFERROR(__xludf.DUMMYFUNCTION("""COMPUTED_VALUE"""),"Hasso Plattner Institute")</f>
        <v>Hasso Plattner Institute</v>
      </c>
      <c r="S112" s="2" t="s">
        <v>213</v>
      </c>
      <c r="U112" s="2" t="s">
        <v>256</v>
      </c>
      <c r="V112" s="2" t="s">
        <v>64</v>
      </c>
    </row>
    <row r="113" ht="15.75" customHeight="1">
      <c r="A113" s="1" t="s">
        <v>238</v>
      </c>
      <c r="B113" s="1" t="s">
        <v>77</v>
      </c>
      <c r="C113" s="1" t="s">
        <v>257</v>
      </c>
      <c r="R113" s="1" t="str">
        <f>IFERROR(__xludf.DUMMYFUNCTION("""COMPUTED_VALUE"""),"Ulm University")</f>
        <v>Ulm University</v>
      </c>
      <c r="S113" s="2" t="s">
        <v>8</v>
      </c>
      <c r="U113" s="2" t="s">
        <v>258</v>
      </c>
      <c r="V113" s="2" t="s">
        <v>64</v>
      </c>
    </row>
    <row r="114" ht="15.75" customHeight="1">
      <c r="A114" s="1" t="s">
        <v>238</v>
      </c>
      <c r="B114" s="1" t="s">
        <v>77</v>
      </c>
      <c r="C114" s="1" t="s">
        <v>86</v>
      </c>
      <c r="R114" s="1" t="str">
        <f>IFERROR(__xludf.DUMMYFUNCTION("""COMPUTED_VALUE"""),"German Aerospace Center")</f>
        <v>German Aerospace Center</v>
      </c>
      <c r="S114" s="2" t="s">
        <v>31</v>
      </c>
      <c r="U114" s="2" t="s">
        <v>259</v>
      </c>
      <c r="V114" s="2" t="s">
        <v>64</v>
      </c>
    </row>
    <row r="115" ht="15.75" customHeight="1">
      <c r="A115" s="1" t="s">
        <v>238</v>
      </c>
      <c r="B115" s="1" t="s">
        <v>77</v>
      </c>
      <c r="C115" s="1" t="s">
        <v>260</v>
      </c>
      <c r="R115" s="1" t="str">
        <f>IFERROR(__xludf.DUMMYFUNCTION("""COMPUTED_VALUE"""),"Peking University")</f>
        <v>Peking University</v>
      </c>
      <c r="S115" s="2" t="s">
        <v>31</v>
      </c>
      <c r="U115" s="2" t="s">
        <v>261</v>
      </c>
      <c r="V115" s="2" t="s">
        <v>249</v>
      </c>
    </row>
    <row r="116" ht="15.75" customHeight="1">
      <c r="A116" s="1" t="s">
        <v>238</v>
      </c>
      <c r="B116" s="1" t="s">
        <v>77</v>
      </c>
      <c r="C116" s="1" t="s">
        <v>262</v>
      </c>
      <c r="R116" s="1" t="str">
        <f>IFERROR(__xludf.DUMMYFUNCTION("""COMPUTED_VALUE"""),"Villum Foundation")</f>
        <v>Villum Foundation</v>
      </c>
      <c r="S116" s="2" t="s">
        <v>8</v>
      </c>
      <c r="U116" s="2" t="s">
        <v>263</v>
      </c>
      <c r="V116" s="2" t="s">
        <v>8</v>
      </c>
    </row>
    <row r="117" ht="15.75" customHeight="1">
      <c r="A117" s="1" t="s">
        <v>238</v>
      </c>
      <c r="B117" s="1" t="s">
        <v>77</v>
      </c>
      <c r="C117" s="1" t="s">
        <v>100</v>
      </c>
      <c r="R117" s="1" t="str">
        <f>IFERROR(__xludf.DUMMYFUNCTION("""COMPUTED_VALUE"""),"Australian National University")</f>
        <v>Australian National University</v>
      </c>
      <c r="S117" s="2" t="s">
        <v>264</v>
      </c>
      <c r="U117" s="2" t="s">
        <v>265</v>
      </c>
      <c r="V117" s="2" t="s">
        <v>92</v>
      </c>
    </row>
    <row r="118" ht="15.75" customHeight="1">
      <c r="A118" s="1" t="s">
        <v>238</v>
      </c>
      <c r="B118" s="1" t="s">
        <v>77</v>
      </c>
      <c r="C118" s="1" t="s">
        <v>107</v>
      </c>
      <c r="R118" s="1" t="str">
        <f>IFERROR(__xludf.DUMMYFUNCTION("""COMPUTED_VALUE"""),"University of the Americas")</f>
        <v>University of the Americas</v>
      </c>
      <c r="S118" s="2" t="s">
        <v>19</v>
      </c>
      <c r="U118" s="2" t="s">
        <v>266</v>
      </c>
      <c r="V118" s="2" t="s">
        <v>31</v>
      </c>
    </row>
    <row r="119" ht="15.75" customHeight="1">
      <c r="A119" s="1" t="s">
        <v>238</v>
      </c>
      <c r="B119" s="1" t="s">
        <v>77</v>
      </c>
      <c r="C119" s="1" t="s">
        <v>88</v>
      </c>
      <c r="R119" s="1" t="str">
        <f>IFERROR(__xludf.DUMMYFUNCTION("""COMPUTED_VALUE"""),"Bar-Ilan University")</f>
        <v>Bar-Ilan University</v>
      </c>
      <c r="S119" s="2" t="s">
        <v>267</v>
      </c>
      <c r="U119" s="2" t="s">
        <v>268</v>
      </c>
      <c r="V119" s="2" t="s">
        <v>213</v>
      </c>
    </row>
    <row r="120" ht="15.75" customHeight="1">
      <c r="A120" s="1" t="s">
        <v>238</v>
      </c>
      <c r="B120" s="1" t="s">
        <v>77</v>
      </c>
      <c r="C120" s="1" t="s">
        <v>107</v>
      </c>
      <c r="R120" s="1" t="str">
        <f>IFERROR(__xludf.DUMMYFUNCTION("""COMPUTED_VALUE"""),"Roskilde University")</f>
        <v>Roskilde University</v>
      </c>
      <c r="S120" s="2" t="s">
        <v>64</v>
      </c>
      <c r="U120" s="2" t="s">
        <v>269</v>
      </c>
      <c r="V120" s="2" t="s">
        <v>8</v>
      </c>
    </row>
    <row r="121" ht="15.75" customHeight="1">
      <c r="A121" s="1" t="s">
        <v>238</v>
      </c>
      <c r="B121" s="1" t="s">
        <v>77</v>
      </c>
      <c r="C121" s="1" t="s">
        <v>105</v>
      </c>
      <c r="R121" s="1" t="str">
        <f>IFERROR(__xludf.DUMMYFUNCTION("""COMPUTED_VALUE"""),"University of Texas")</f>
        <v>University of Texas</v>
      </c>
      <c r="S121" s="2" t="s">
        <v>89</v>
      </c>
      <c r="U121" s="2" t="s">
        <v>270</v>
      </c>
      <c r="V121" s="2" t="s">
        <v>31</v>
      </c>
    </row>
    <row r="122" ht="15.75" customHeight="1">
      <c r="A122" s="1" t="s">
        <v>238</v>
      </c>
      <c r="B122" s="1" t="s">
        <v>77</v>
      </c>
      <c r="C122" s="1" t="s">
        <v>271</v>
      </c>
      <c r="R122" s="1" t="str">
        <f>IFERROR(__xludf.DUMMYFUNCTION("""COMPUTED_VALUE"""),"Applied research, technology and innovation")</f>
        <v>Applied research, technology and innovation</v>
      </c>
      <c r="S122" s="2" t="s">
        <v>149</v>
      </c>
      <c r="U122" s="2" t="s">
        <v>272</v>
      </c>
      <c r="V122" s="2" t="s">
        <v>31</v>
      </c>
    </row>
    <row r="123" ht="15.75" customHeight="1">
      <c r="A123" s="1" t="s">
        <v>238</v>
      </c>
      <c r="B123" s="1" t="s">
        <v>77</v>
      </c>
      <c r="C123" s="1" t="s">
        <v>273</v>
      </c>
      <c r="R123" s="1" t="str">
        <f>IFERROR(__xludf.DUMMYFUNCTION("""COMPUTED_VALUE"""),"Northeastern University")</f>
        <v>Northeastern University</v>
      </c>
      <c r="S123" s="2" t="s">
        <v>31</v>
      </c>
      <c r="U123" s="2" t="s">
        <v>274</v>
      </c>
      <c r="V123" s="2" t="s">
        <v>31</v>
      </c>
    </row>
    <row r="124" ht="15.75" customHeight="1">
      <c r="A124" s="1" t="s">
        <v>238</v>
      </c>
      <c r="B124" s="1" t="s">
        <v>77</v>
      </c>
      <c r="C124" s="1" t="s">
        <v>275</v>
      </c>
      <c r="R124" s="1" t="str">
        <f>IFERROR(__xludf.DUMMYFUNCTION("""COMPUTED_VALUE"""),"Stockholm University")</f>
        <v>Stockholm University</v>
      </c>
      <c r="S124" s="2" t="s">
        <v>39</v>
      </c>
      <c r="U124" s="2" t="s">
        <v>276</v>
      </c>
      <c r="V124" s="2" t="s">
        <v>25</v>
      </c>
    </row>
    <row r="125" ht="15.75" customHeight="1">
      <c r="A125" s="1" t="s">
        <v>238</v>
      </c>
      <c r="B125" s="1" t="s">
        <v>77</v>
      </c>
      <c r="C125" s="1" t="s">
        <v>277</v>
      </c>
      <c r="R125" s="1" t="str">
        <f>IFERROR(__xludf.DUMMYFUNCTION("""COMPUTED_VALUE"""),"Leipzig University")</f>
        <v>Leipzig University</v>
      </c>
      <c r="S125" s="2" t="s">
        <v>92</v>
      </c>
      <c r="U125" s="2" t="s">
        <v>278</v>
      </c>
      <c r="V125" s="2" t="s">
        <v>64</v>
      </c>
    </row>
    <row r="126" ht="15.75" customHeight="1">
      <c r="A126" s="1" t="s">
        <v>238</v>
      </c>
      <c r="B126" s="1" t="s">
        <v>77</v>
      </c>
      <c r="C126" s="1" t="s">
        <v>124</v>
      </c>
      <c r="R126" s="1" t="str">
        <f>IFERROR(__xludf.DUMMYFUNCTION("""COMPUTED_VALUE"""),"University of Zurich")</f>
        <v>University of Zurich</v>
      </c>
      <c r="S126" s="2" t="s">
        <v>36</v>
      </c>
      <c r="U126" s="2" t="s">
        <v>279</v>
      </c>
      <c r="V126" s="2" t="s">
        <v>53</v>
      </c>
    </row>
    <row r="127" ht="15.75" customHeight="1">
      <c r="A127" s="1" t="s">
        <v>238</v>
      </c>
      <c r="B127" s="1" t="s">
        <v>77</v>
      </c>
      <c r="C127" s="1" t="s">
        <v>130</v>
      </c>
      <c r="R127" s="1" t="str">
        <f>IFERROR(__xludf.DUMMYFUNCTION("""COMPUTED_VALUE"""),"The Hong Kong University of Science and Technology")</f>
        <v>The Hong Kong University of Science and Technology</v>
      </c>
      <c r="S127" s="2" t="s">
        <v>89</v>
      </c>
      <c r="U127" s="2" t="s">
        <v>280</v>
      </c>
      <c r="V127" s="2" t="s">
        <v>264</v>
      </c>
    </row>
    <row r="128" ht="15.75" customHeight="1">
      <c r="A128" s="1" t="s">
        <v>238</v>
      </c>
      <c r="B128" s="1" t="s">
        <v>77</v>
      </c>
      <c r="C128" s="1" t="s">
        <v>281</v>
      </c>
      <c r="R128" s="1" t="str">
        <f>IFERROR(__xludf.DUMMYFUNCTION("""COMPUTED_VALUE"""),"IBM Research – Almaden")</f>
        <v>IBM Research – Almaden</v>
      </c>
      <c r="S128" s="2" t="s">
        <v>31</v>
      </c>
      <c r="U128" s="2" t="s">
        <v>282</v>
      </c>
      <c r="V128" s="2" t="s">
        <v>31</v>
      </c>
    </row>
    <row r="129" ht="15.75" customHeight="1">
      <c r="A129" s="1" t="s">
        <v>238</v>
      </c>
      <c r="B129" s="1" t="s">
        <v>77</v>
      </c>
      <c r="C129" s="1" t="s">
        <v>283</v>
      </c>
      <c r="R129" s="1" t="str">
        <f>IFERROR(__xludf.DUMMYFUNCTION("""COMPUTED_VALUE"""),"Rigshospitalet")</f>
        <v>Rigshospitalet</v>
      </c>
      <c r="S129" s="2" t="s">
        <v>89</v>
      </c>
      <c r="U129" s="2" t="s">
        <v>284</v>
      </c>
      <c r="V129" s="2" t="s">
        <v>8</v>
      </c>
    </row>
    <row r="130" ht="15.75" customHeight="1">
      <c r="A130" s="1" t="s">
        <v>238</v>
      </c>
      <c r="B130" s="1" t="s">
        <v>77</v>
      </c>
      <c r="C130" s="1" t="s">
        <v>285</v>
      </c>
      <c r="R130" s="1" t="str">
        <f>IFERROR(__xludf.DUMMYFUNCTION("""COMPUTED_VALUE"""),"Computer Science Laboratory of the École polytechnique")</f>
        <v>Computer Science Laboratory of the École polytechnique</v>
      </c>
      <c r="S130" s="2" t="s">
        <v>89</v>
      </c>
      <c r="U130" s="2" t="s">
        <v>286</v>
      </c>
      <c r="V130" s="2" t="s">
        <v>19</v>
      </c>
    </row>
    <row r="131" ht="15.75" customHeight="1">
      <c r="A131" s="1" t="s">
        <v>238</v>
      </c>
      <c r="B131" s="1" t="s">
        <v>77</v>
      </c>
      <c r="C131" s="1" t="s">
        <v>151</v>
      </c>
      <c r="R131" s="1" t="str">
        <f>IFERROR(__xludf.DUMMYFUNCTION("""COMPUTED_VALUE"""),"University of Lisbon")</f>
        <v>University of Lisbon</v>
      </c>
      <c r="S131" s="2" t="s">
        <v>64</v>
      </c>
      <c r="U131" s="2" t="s">
        <v>287</v>
      </c>
      <c r="V131" s="2" t="s">
        <v>267</v>
      </c>
    </row>
    <row r="132" ht="15.75" customHeight="1">
      <c r="A132" s="1" t="s">
        <v>238</v>
      </c>
      <c r="B132" s="1" t="s">
        <v>77</v>
      </c>
      <c r="C132" s="1" t="s">
        <v>148</v>
      </c>
      <c r="R132" s="1" t="str">
        <f>IFERROR(__xludf.DUMMYFUNCTION("""COMPUTED_VALUE"""),"Saarland University")</f>
        <v>Saarland University</v>
      </c>
      <c r="S132" s="2" t="s">
        <v>8</v>
      </c>
      <c r="U132" s="2" t="s">
        <v>288</v>
      </c>
      <c r="V132" s="2" t="s">
        <v>64</v>
      </c>
    </row>
    <row r="133" ht="15.75" customHeight="1">
      <c r="A133" s="1" t="s">
        <v>238</v>
      </c>
      <c r="B133" s="1" t="s">
        <v>77</v>
      </c>
      <c r="C133" s="1" t="s">
        <v>155</v>
      </c>
      <c r="R133" s="1" t="str">
        <f>IFERROR(__xludf.DUMMYFUNCTION("""COMPUTED_VALUE"""),"Free University of Bozen-Bolzano")</f>
        <v>Free University of Bozen-Bolzano</v>
      </c>
      <c r="S133" s="2" t="s">
        <v>8</v>
      </c>
      <c r="U133" s="2" t="s">
        <v>289</v>
      </c>
      <c r="V133" s="2" t="s">
        <v>89</v>
      </c>
    </row>
    <row r="134" ht="15.75" customHeight="1">
      <c r="A134" s="1" t="s">
        <v>238</v>
      </c>
      <c r="B134" s="1" t="s">
        <v>158</v>
      </c>
      <c r="C134" s="1" t="s">
        <v>290</v>
      </c>
      <c r="R134" s="1" t="str">
        <f>IFERROR(__xludf.DUMMYFUNCTION("""COMPUTED_VALUE"""),"Johannes Kepler University Linz")</f>
        <v>Johannes Kepler University Linz</v>
      </c>
      <c r="S134" s="2" t="s">
        <v>31</v>
      </c>
      <c r="U134" s="2" t="s">
        <v>291</v>
      </c>
      <c r="V134" s="2" t="s">
        <v>149</v>
      </c>
    </row>
    <row r="135" ht="15.75" customHeight="1">
      <c r="A135" s="1" t="s">
        <v>238</v>
      </c>
      <c r="B135" s="1" t="s">
        <v>158</v>
      </c>
      <c r="C135" s="1" t="s">
        <v>292</v>
      </c>
      <c r="R135" s="1" t="str">
        <f>IFERROR(__xludf.DUMMYFUNCTION("""COMPUTED_VALUE"""),"Syracuse University")</f>
        <v>Syracuse University</v>
      </c>
      <c r="S135" s="2" t="s">
        <v>31</v>
      </c>
      <c r="U135" s="2" t="s">
        <v>293</v>
      </c>
      <c r="V135" s="2" t="s">
        <v>31</v>
      </c>
    </row>
    <row r="136" ht="15.75" customHeight="1">
      <c r="A136" s="1" t="s">
        <v>238</v>
      </c>
      <c r="B136" s="1" t="s">
        <v>158</v>
      </c>
      <c r="C136" s="1" t="s">
        <v>175</v>
      </c>
      <c r="R136" s="1" t="str">
        <f>IFERROR(__xludf.DUMMYFUNCTION("""COMPUTED_VALUE"""),"University of York")</f>
        <v>University of York</v>
      </c>
      <c r="S136" s="2" t="s">
        <v>31</v>
      </c>
      <c r="U136" s="2" t="s">
        <v>294</v>
      </c>
      <c r="V136" s="2" t="s">
        <v>39</v>
      </c>
    </row>
    <row r="137" ht="15.75" customHeight="1">
      <c r="A137" s="1" t="s">
        <v>238</v>
      </c>
      <c r="B137" s="1" t="s">
        <v>158</v>
      </c>
      <c r="C137" s="1" t="s">
        <v>165</v>
      </c>
      <c r="R137" s="1" t="str">
        <f>IFERROR(__xludf.DUMMYFUNCTION("""COMPUTED_VALUE"""),"University of New South Wales")</f>
        <v>University of New South Wales</v>
      </c>
      <c r="S137" s="2" t="s">
        <v>8</v>
      </c>
      <c r="U137" s="2" t="s">
        <v>295</v>
      </c>
      <c r="V137" s="2" t="s">
        <v>92</v>
      </c>
    </row>
    <row r="138" ht="15.75" customHeight="1">
      <c r="A138" s="1" t="s">
        <v>238</v>
      </c>
      <c r="B138" s="1" t="s">
        <v>158</v>
      </c>
      <c r="C138" s="1" t="s">
        <v>182</v>
      </c>
      <c r="R138" s="1" t="str">
        <f>IFERROR(__xludf.DUMMYFUNCTION("""COMPUTED_VALUE"""),"Radboud University Nijmegen")</f>
        <v>Radboud University Nijmegen</v>
      </c>
      <c r="S138" s="2" t="s">
        <v>31</v>
      </c>
      <c r="U138" s="2" t="s">
        <v>296</v>
      </c>
      <c r="V138" s="2" t="s">
        <v>36</v>
      </c>
    </row>
    <row r="139" ht="15.75" customHeight="1">
      <c r="A139" s="1" t="s">
        <v>238</v>
      </c>
      <c r="B139" s="1" t="s">
        <v>158</v>
      </c>
      <c r="C139" s="1" t="s">
        <v>180</v>
      </c>
      <c r="R139" s="1" t="str">
        <f>IFERROR(__xludf.DUMMYFUNCTION("""COMPUTED_VALUE"""),"Polytechnic University of Milan")</f>
        <v>Polytechnic University of Milan</v>
      </c>
      <c r="S139" s="2" t="s">
        <v>39</v>
      </c>
      <c r="U139" s="2" t="s">
        <v>297</v>
      </c>
      <c r="V139" s="2" t="s">
        <v>89</v>
      </c>
    </row>
    <row r="140" ht="15.75" customHeight="1">
      <c r="A140" s="1" t="s">
        <v>238</v>
      </c>
      <c r="B140" s="1" t="s">
        <v>158</v>
      </c>
      <c r="C140" s="1" t="s">
        <v>177</v>
      </c>
      <c r="R140" s="1" t="str">
        <f>IFERROR(__xludf.DUMMYFUNCTION("""COMPUTED_VALUE"""),"Oracle Corporation")</f>
        <v>Oracle Corporation</v>
      </c>
      <c r="S140" s="2" t="s">
        <v>92</v>
      </c>
      <c r="U140" s="2" t="s">
        <v>298</v>
      </c>
      <c r="V140" s="2" t="s">
        <v>31</v>
      </c>
    </row>
    <row r="141" ht="15.75" customHeight="1">
      <c r="A141" s="1" t="s">
        <v>238</v>
      </c>
      <c r="B141" s="1" t="s">
        <v>158</v>
      </c>
      <c r="C141" s="1" t="s">
        <v>185</v>
      </c>
      <c r="R141" s="1" t="str">
        <f>IFERROR(__xludf.DUMMYFUNCTION("""COMPUTED_VALUE"""),"University of Milan")</f>
        <v>University of Milan</v>
      </c>
      <c r="S141" s="2" t="s">
        <v>89</v>
      </c>
      <c r="U141" s="2" t="s">
        <v>299</v>
      </c>
      <c r="V141" s="2" t="s">
        <v>89</v>
      </c>
    </row>
    <row r="142" ht="15.75" customHeight="1">
      <c r="A142" s="1" t="s">
        <v>238</v>
      </c>
      <c r="B142" s="1" t="s">
        <v>158</v>
      </c>
      <c r="C142" s="1" t="s">
        <v>187</v>
      </c>
      <c r="R142" s="1" t="str">
        <f>IFERROR(__xludf.DUMMYFUNCTION("""COMPUTED_VALUE"""),"University of Hamburg")</f>
        <v>University of Hamburg</v>
      </c>
      <c r="S142" s="2" t="s">
        <v>8</v>
      </c>
      <c r="U142" s="2" t="s">
        <v>300</v>
      </c>
      <c r="V142" s="2" t="s">
        <v>64</v>
      </c>
    </row>
    <row r="143" ht="15.75" customHeight="1">
      <c r="A143" s="1" t="s">
        <v>238</v>
      </c>
      <c r="B143" s="1" t="s">
        <v>158</v>
      </c>
      <c r="C143" s="1" t="s">
        <v>196</v>
      </c>
      <c r="R143" s="1" t="str">
        <f>IFERROR(__xludf.DUMMYFUNCTION("""COMPUTED_VALUE"""),"Meta AI")</f>
        <v>Meta AI</v>
      </c>
      <c r="S143" s="2" t="s">
        <v>19</v>
      </c>
      <c r="U143" s="2" t="s">
        <v>301</v>
      </c>
      <c r="V143" s="2" t="s">
        <v>31</v>
      </c>
    </row>
    <row r="144" ht="15.75" customHeight="1">
      <c r="A144" s="1" t="s">
        <v>238</v>
      </c>
      <c r="B144" s="1" t="s">
        <v>158</v>
      </c>
      <c r="C144" s="1" t="s">
        <v>302</v>
      </c>
      <c r="R144" s="1" t="str">
        <f>IFERROR(__xludf.DUMMYFUNCTION("""COMPUTED_VALUE"""),"King's College London")</f>
        <v>King's College London</v>
      </c>
      <c r="S144" s="2" t="s">
        <v>22</v>
      </c>
      <c r="U144" s="2" t="s">
        <v>303</v>
      </c>
      <c r="V144" s="2" t="s">
        <v>39</v>
      </c>
    </row>
    <row r="145" ht="15.75" customHeight="1">
      <c r="A145" s="1" t="s">
        <v>238</v>
      </c>
      <c r="B145" s="1" t="s">
        <v>158</v>
      </c>
      <c r="C145" s="1" t="s">
        <v>304</v>
      </c>
      <c r="R145" s="1" t="str">
        <f>IFERROR(__xludf.DUMMYFUNCTION("""COMPUTED_VALUE"""),"Eberhard Karls University of Tübingen")</f>
        <v>Eberhard Karls University of Tübingen</v>
      </c>
      <c r="S145" s="2" t="s">
        <v>31</v>
      </c>
      <c r="U145" s="2" t="s">
        <v>305</v>
      </c>
      <c r="V145" s="2" t="s">
        <v>64</v>
      </c>
    </row>
    <row r="146" ht="15.75" customHeight="1">
      <c r="A146" s="1" t="s">
        <v>238</v>
      </c>
      <c r="B146" s="1" t="s">
        <v>158</v>
      </c>
      <c r="C146" s="1" t="s">
        <v>203</v>
      </c>
      <c r="R146" s="1" t="str">
        <f>IFERROR(__xludf.DUMMYFUNCTION("""COMPUTED_VALUE"""),"Saïd Business School, University of Oxford")</f>
        <v>Saïd Business School, University of Oxford</v>
      </c>
      <c r="S146" s="2" t="s">
        <v>306</v>
      </c>
      <c r="U146" s="2" t="s">
        <v>307</v>
      </c>
      <c r="V146" s="2" t="s">
        <v>39</v>
      </c>
    </row>
    <row r="147" ht="15.75" customHeight="1">
      <c r="A147" s="1" t="s">
        <v>238</v>
      </c>
      <c r="B147" s="1" t="s">
        <v>158</v>
      </c>
      <c r="C147" s="1" t="s">
        <v>205</v>
      </c>
      <c r="R147" s="1" t="str">
        <f>IFERROR(__xludf.DUMMYFUNCTION("""COMPUTED_VALUE"""),"Lancaster University")</f>
        <v>Lancaster University</v>
      </c>
      <c r="S147" s="2" t="s">
        <v>8</v>
      </c>
      <c r="U147" s="2" t="s">
        <v>308</v>
      </c>
      <c r="V147" s="2" t="s">
        <v>39</v>
      </c>
    </row>
    <row r="148" ht="15.75" customHeight="1">
      <c r="A148" s="1" t="s">
        <v>238</v>
      </c>
      <c r="B148" s="1" t="s">
        <v>158</v>
      </c>
      <c r="C148" s="1" t="s">
        <v>208</v>
      </c>
      <c r="R148" s="1" t="str">
        <f>IFERROR(__xludf.DUMMYFUNCTION("""COMPUTED_VALUE"""),"Hebrew University of Jerusalem")</f>
        <v>Hebrew University of Jerusalem</v>
      </c>
      <c r="S148" s="2" t="s">
        <v>309</v>
      </c>
      <c r="U148" s="2" t="s">
        <v>310</v>
      </c>
      <c r="V148" s="2" t="s">
        <v>213</v>
      </c>
    </row>
    <row r="149" ht="15.75" customHeight="1">
      <c r="A149" s="1" t="s">
        <v>238</v>
      </c>
      <c r="B149" s="1" t="s">
        <v>158</v>
      </c>
      <c r="C149" s="1" t="s">
        <v>210</v>
      </c>
      <c r="R149" s="1" t="str">
        <f>IFERROR(__xludf.DUMMYFUNCTION("""COMPUTED_VALUE"""),"Innopolis University")</f>
        <v>Innopolis University</v>
      </c>
      <c r="S149" s="2" t="s">
        <v>75</v>
      </c>
      <c r="U149" s="2" t="s">
        <v>311</v>
      </c>
      <c r="V149" s="2" t="s">
        <v>312</v>
      </c>
    </row>
    <row r="150" ht="15.75" customHeight="1">
      <c r="A150" s="1" t="s">
        <v>238</v>
      </c>
      <c r="B150" s="1" t="s">
        <v>158</v>
      </c>
      <c r="C150" s="1" t="s">
        <v>212</v>
      </c>
      <c r="R150" s="1" t="str">
        <f>IFERROR(__xludf.DUMMYFUNCTION("""COMPUTED_VALUE"""),"University of Leeds")</f>
        <v>University of Leeds</v>
      </c>
      <c r="S150" s="2" t="s">
        <v>39</v>
      </c>
      <c r="U150" s="2" t="s">
        <v>313</v>
      </c>
      <c r="V150" s="2" t="s">
        <v>39</v>
      </c>
    </row>
    <row r="151" ht="15.75" customHeight="1">
      <c r="A151" s="1" t="s">
        <v>238</v>
      </c>
      <c r="B151" s="1" t="s">
        <v>158</v>
      </c>
      <c r="C151" s="1" t="s">
        <v>314</v>
      </c>
      <c r="R151" s="1" t="str">
        <f>IFERROR(__xludf.DUMMYFUNCTION("""COMPUTED_VALUE"""),"Ecole Polytechnique Fédérale de Lausanne")</f>
        <v>Ecole Polytechnique Fédérale de Lausanne</v>
      </c>
      <c r="S151" s="2" t="s">
        <v>315</v>
      </c>
      <c r="U151" s="2" t="s">
        <v>316</v>
      </c>
      <c r="V151" s="2" t="s">
        <v>53</v>
      </c>
    </row>
    <row r="152" ht="15.75" customHeight="1">
      <c r="A152" s="1" t="s">
        <v>238</v>
      </c>
      <c r="B152" s="1" t="s">
        <v>158</v>
      </c>
      <c r="C152" s="1" t="s">
        <v>227</v>
      </c>
      <c r="R152" s="1" t="str">
        <f>IFERROR(__xludf.DUMMYFUNCTION("""COMPUTED_VALUE"""),"Max Planck Institute for Informatics")</f>
        <v>Max Planck Institute for Informatics</v>
      </c>
      <c r="S152" s="2" t="s">
        <v>64</v>
      </c>
      <c r="U152" s="2" t="s">
        <v>317</v>
      </c>
      <c r="V152" s="2" t="s">
        <v>64</v>
      </c>
    </row>
    <row r="153" ht="15.75" customHeight="1">
      <c r="A153" s="1" t="s">
        <v>238</v>
      </c>
      <c r="B153" s="1" t="s">
        <v>158</v>
      </c>
      <c r="C153" s="1" t="s">
        <v>225</v>
      </c>
      <c r="R153" s="1" t="str">
        <f>IFERROR(__xludf.DUMMYFUNCTION("""COMPUTED_VALUE"""),"Makerere University")</f>
        <v>Makerere University</v>
      </c>
      <c r="S153" s="2" t="s">
        <v>82</v>
      </c>
      <c r="U153" s="2" t="s">
        <v>318</v>
      </c>
      <c r="V153" s="2" t="s">
        <v>319</v>
      </c>
    </row>
    <row r="154" ht="15.75" customHeight="1">
      <c r="A154" s="1" t="s">
        <v>238</v>
      </c>
      <c r="B154" s="1" t="s">
        <v>158</v>
      </c>
      <c r="C154" s="1" t="s">
        <v>320</v>
      </c>
      <c r="R154" s="1" t="str">
        <f>IFERROR(__xludf.DUMMYFUNCTION("""COMPUTED_VALUE"""),"Chinese Academy of Sciences")</f>
        <v>Chinese Academy of Sciences</v>
      </c>
      <c r="S154" s="2" t="s">
        <v>8</v>
      </c>
      <c r="U154" s="2" t="s">
        <v>321</v>
      </c>
      <c r="V154" s="2" t="s">
        <v>249</v>
      </c>
    </row>
    <row r="155" ht="15.75" customHeight="1">
      <c r="A155" s="1" t="s">
        <v>238</v>
      </c>
      <c r="B155" s="1" t="s">
        <v>158</v>
      </c>
      <c r="C155" s="1" t="s">
        <v>322</v>
      </c>
      <c r="R155" s="1" t="str">
        <f>IFERROR(__xludf.DUMMYFUNCTION("""COMPUTED_VALUE"""),"University of Urbino Carlo Bo")</f>
        <v>University of Urbino Carlo Bo</v>
      </c>
      <c r="S155" s="2" t="s">
        <v>89</v>
      </c>
      <c r="U155" s="2" t="s">
        <v>323</v>
      </c>
      <c r="V155" s="2" t="s">
        <v>89</v>
      </c>
    </row>
    <row r="156" ht="15.75" customHeight="1">
      <c r="A156" s="1" t="s">
        <v>238</v>
      </c>
      <c r="B156" s="1" t="s">
        <v>158</v>
      </c>
      <c r="C156" s="1" t="s">
        <v>324</v>
      </c>
      <c r="R156" s="1" t="str">
        <f>IFERROR(__xludf.DUMMYFUNCTION("""COMPUTED_VALUE"""),"Federal Fluminense University")</f>
        <v>Federal Fluminense University</v>
      </c>
      <c r="S156" s="2" t="s">
        <v>206</v>
      </c>
      <c r="U156" s="2" t="s">
        <v>325</v>
      </c>
      <c r="V156" s="2" t="s">
        <v>112</v>
      </c>
    </row>
    <row r="157" ht="15.75" customHeight="1">
      <c r="A157" s="1" t="s">
        <v>238</v>
      </c>
      <c r="B157" s="1" t="s">
        <v>158</v>
      </c>
      <c r="C157" s="1" t="s">
        <v>326</v>
      </c>
      <c r="R157" s="1" t="str">
        <f>IFERROR(__xludf.DUMMYFUNCTION("""COMPUTED_VALUE"""),"Dundalk Institute of Technology")</f>
        <v>Dundalk Institute of Technology</v>
      </c>
      <c r="S157" s="2" t="s">
        <v>22</v>
      </c>
      <c r="U157" s="2" t="s">
        <v>327</v>
      </c>
      <c r="V157" s="2" t="s">
        <v>50</v>
      </c>
    </row>
    <row r="158" ht="15.75" customHeight="1">
      <c r="A158" s="1" t="s">
        <v>238</v>
      </c>
      <c r="B158" s="1" t="s">
        <v>158</v>
      </c>
      <c r="C158" s="1" t="s">
        <v>328</v>
      </c>
      <c r="R158" s="1" t="str">
        <f>IFERROR(__xludf.DUMMYFUNCTION("""COMPUTED_VALUE"""),"University of Liverpool")</f>
        <v>University of Liverpool</v>
      </c>
      <c r="S158" s="2" t="s">
        <v>19</v>
      </c>
      <c r="U158" s="2" t="s">
        <v>329</v>
      </c>
      <c r="V158" s="2" t="s">
        <v>39</v>
      </c>
    </row>
    <row r="159" ht="15.75" customHeight="1">
      <c r="A159" s="1" t="s">
        <v>238</v>
      </c>
      <c r="B159" s="1" t="s">
        <v>330</v>
      </c>
      <c r="C159" s="1" t="s">
        <v>331</v>
      </c>
      <c r="R159" s="1" t="str">
        <f>IFERROR(__xludf.DUMMYFUNCTION("""COMPUTED_VALUE"""),"Paris Diderot University")</f>
        <v>Paris Diderot University</v>
      </c>
      <c r="S159" s="2" t="s">
        <v>306</v>
      </c>
      <c r="U159" s="2" t="s">
        <v>332</v>
      </c>
      <c r="V159" s="2" t="s">
        <v>19</v>
      </c>
    </row>
    <row r="160" ht="15.75" customHeight="1">
      <c r="A160" s="1" t="s">
        <v>238</v>
      </c>
      <c r="B160" s="1" t="s">
        <v>330</v>
      </c>
      <c r="C160" s="1" t="s">
        <v>333</v>
      </c>
      <c r="R160" s="1" t="str">
        <f>IFERROR(__xludf.DUMMYFUNCTION("""COMPUTED_VALUE"""),"Stanford University")</f>
        <v>Stanford University</v>
      </c>
      <c r="S160" s="2" t="s">
        <v>8</v>
      </c>
      <c r="U160" s="2" t="s">
        <v>334</v>
      </c>
      <c r="V160" s="2" t="s">
        <v>31</v>
      </c>
    </row>
    <row r="161" ht="15.75" customHeight="1">
      <c r="A161" s="1" t="s">
        <v>238</v>
      </c>
      <c r="B161" s="1" t="s">
        <v>330</v>
      </c>
      <c r="C161" s="1" t="s">
        <v>335</v>
      </c>
      <c r="R161" s="1" t="str">
        <f>IFERROR(__xludf.DUMMYFUNCTION("""COMPUTED_VALUE"""),"Royal Danish Academy")</f>
        <v>Royal Danish Academy</v>
      </c>
      <c r="S161" s="2" t="s">
        <v>309</v>
      </c>
      <c r="U161" s="2" t="s">
        <v>336</v>
      </c>
      <c r="V161" s="2" t="s">
        <v>8</v>
      </c>
    </row>
    <row r="162" ht="15.75" customHeight="1">
      <c r="A162" s="1" t="s">
        <v>238</v>
      </c>
      <c r="B162" s="1" t="s">
        <v>330</v>
      </c>
      <c r="C162" s="1" t="s">
        <v>337</v>
      </c>
      <c r="R162" s="1" t="str">
        <f>IFERROR(__xludf.DUMMYFUNCTION("""COMPUTED_VALUE"""),"Data 61 - Commonwealth Scientific and Industrial Research Organisation")</f>
        <v>Data 61 - Commonwealth Scientific and Industrial Research Organisation</v>
      </c>
      <c r="S162" s="2" t="s">
        <v>75</v>
      </c>
      <c r="U162" s="2" t="s">
        <v>338</v>
      </c>
      <c r="V162" s="2" t="s">
        <v>92</v>
      </c>
    </row>
    <row r="163" ht="15.75" customHeight="1">
      <c r="A163" s="1" t="s">
        <v>238</v>
      </c>
      <c r="B163" s="1" t="s">
        <v>330</v>
      </c>
      <c r="C163" s="1" t="s">
        <v>339</v>
      </c>
      <c r="R163" s="1" t="str">
        <f>IFERROR(__xludf.DUMMYFUNCTION("""COMPUTED_VALUE"""),"Korea Advanced Institute of Science and Technology")</f>
        <v>Korea Advanced Institute of Science and Technology</v>
      </c>
      <c r="S163" s="2" t="s">
        <v>31</v>
      </c>
      <c r="U163" s="2" t="s">
        <v>340</v>
      </c>
      <c r="V163" s="2" t="s">
        <v>341</v>
      </c>
    </row>
    <row r="164" ht="15.75" customHeight="1">
      <c r="A164" s="1" t="s">
        <v>238</v>
      </c>
      <c r="B164" s="1" t="s">
        <v>330</v>
      </c>
      <c r="C164" s="1" t="s">
        <v>342</v>
      </c>
      <c r="R164" s="1" t="str">
        <f>IFERROR(__xludf.DUMMYFUNCTION("""COMPUTED_VALUE"""),"RWTH Aachen University")</f>
        <v>RWTH Aachen University</v>
      </c>
      <c r="S164" s="2" t="s">
        <v>31</v>
      </c>
      <c r="U164" s="2" t="s">
        <v>343</v>
      </c>
      <c r="V164" s="2" t="s">
        <v>64</v>
      </c>
    </row>
    <row r="165" ht="15.75" customHeight="1">
      <c r="A165" s="1" t="s">
        <v>238</v>
      </c>
      <c r="B165" s="1" t="s">
        <v>330</v>
      </c>
      <c r="C165" s="1" t="s">
        <v>344</v>
      </c>
      <c r="R165" s="1" t="str">
        <f>IFERROR(__xludf.DUMMYFUNCTION("""COMPUTED_VALUE"""),"DCR Solutions")</f>
        <v>DCR Solutions</v>
      </c>
      <c r="S165" s="2" t="s">
        <v>39</v>
      </c>
      <c r="U165" s="2" t="s">
        <v>345</v>
      </c>
      <c r="V165" s="2" t="s">
        <v>64</v>
      </c>
    </row>
    <row r="166" ht="15.75" customHeight="1">
      <c r="A166" s="1" t="s">
        <v>238</v>
      </c>
      <c r="B166" s="1" t="s">
        <v>330</v>
      </c>
      <c r="C166" s="1" t="s">
        <v>346</v>
      </c>
      <c r="R166" s="1" t="str">
        <f>IFERROR(__xludf.DUMMYFUNCTION("""COMPUTED_VALUE"""),"Abertay University")</f>
        <v>Abertay University</v>
      </c>
      <c r="S166" s="2" t="s">
        <v>31</v>
      </c>
      <c r="U166" s="2" t="s">
        <v>347</v>
      </c>
      <c r="V166" s="2" t="s">
        <v>39</v>
      </c>
    </row>
    <row r="167" ht="15.75" customHeight="1">
      <c r="A167" s="1" t="s">
        <v>238</v>
      </c>
      <c r="B167" s="1" t="s">
        <v>330</v>
      </c>
      <c r="C167" s="1" t="s">
        <v>348</v>
      </c>
      <c r="R167" s="1" t="str">
        <f>IFERROR(__xludf.DUMMYFUNCTION("""COMPUTED_VALUE"""),"University Savoie Mont Blanc")</f>
        <v>University Savoie Mont Blanc</v>
      </c>
      <c r="S167" s="2" t="s">
        <v>64</v>
      </c>
      <c r="U167" s="2" t="s">
        <v>349</v>
      </c>
      <c r="V167" s="2" t="s">
        <v>19</v>
      </c>
    </row>
    <row r="168" ht="15.75" customHeight="1">
      <c r="A168" s="1" t="s">
        <v>238</v>
      </c>
      <c r="B168" s="1" t="s">
        <v>330</v>
      </c>
      <c r="C168" s="1" t="s">
        <v>350</v>
      </c>
      <c r="R168" s="1" t="str">
        <f>IFERROR(__xludf.DUMMYFUNCTION("""COMPUTED_VALUE"""),"Institute for Scientific Interchange Foundation")</f>
        <v>Institute for Scientific Interchange Foundation</v>
      </c>
      <c r="S168" s="2" t="s">
        <v>112</v>
      </c>
      <c r="U168" s="2" t="s">
        <v>351</v>
      </c>
      <c r="V168" s="2" t="s">
        <v>53</v>
      </c>
    </row>
    <row r="169" ht="15.75" customHeight="1">
      <c r="A169" s="1" t="s">
        <v>238</v>
      </c>
      <c r="B169" s="1" t="s">
        <v>330</v>
      </c>
      <c r="C169" s="1" t="s">
        <v>352</v>
      </c>
      <c r="R169" s="1" t="str">
        <f>IFERROR(__xludf.DUMMYFUNCTION("""COMPUTED_VALUE"""),"NaturBornholm")</f>
        <v>NaturBornholm</v>
      </c>
      <c r="S169" s="2" t="s">
        <v>39</v>
      </c>
      <c r="U169" s="2" t="s">
        <v>353</v>
      </c>
      <c r="V169" s="2" t="s">
        <v>8</v>
      </c>
    </row>
    <row r="170" ht="15.75" customHeight="1">
      <c r="A170" s="1" t="s">
        <v>238</v>
      </c>
      <c r="B170" s="1" t="s">
        <v>330</v>
      </c>
      <c r="C170" s="1" t="s">
        <v>354</v>
      </c>
      <c r="R170" s="1" t="str">
        <f>IFERROR(__xludf.DUMMYFUNCTION("""COMPUTED_VALUE"""),"Universita' degli Studi de Urbino Carlo Bo")</f>
        <v>Universita' degli Studi de Urbino Carlo Bo</v>
      </c>
      <c r="S170" s="2" t="s">
        <v>31</v>
      </c>
      <c r="U170" s="2" t="s">
        <v>355</v>
      </c>
      <c r="V170" s="2" t="s">
        <v>89</v>
      </c>
    </row>
    <row r="171" ht="15.75" customHeight="1">
      <c r="A171" s="1" t="s">
        <v>238</v>
      </c>
      <c r="B171" s="1" t="s">
        <v>330</v>
      </c>
      <c r="C171" s="1" t="s">
        <v>356</v>
      </c>
      <c r="R171" s="1" t="str">
        <f>IFERROR(__xludf.DUMMYFUNCTION("""COMPUTED_VALUE"""),"Simon Fraser University")</f>
        <v>Simon Fraser University</v>
      </c>
      <c r="S171" s="2" t="s">
        <v>64</v>
      </c>
      <c r="U171" s="2" t="s">
        <v>357</v>
      </c>
      <c r="V171" s="2" t="s">
        <v>22</v>
      </c>
    </row>
    <row r="172" ht="15.75" customHeight="1">
      <c r="A172" s="1" t="s">
        <v>238</v>
      </c>
      <c r="B172" s="1" t="s">
        <v>330</v>
      </c>
      <c r="C172" s="1" t="s">
        <v>358</v>
      </c>
      <c r="R172" s="1" t="str">
        <f>IFERROR(__xludf.DUMMYFUNCTION("""COMPUTED_VALUE"""),"Jozef Stefan Institute")</f>
        <v>Jozef Stefan Institute</v>
      </c>
      <c r="S172" s="2" t="s">
        <v>243</v>
      </c>
      <c r="U172" s="2" t="s">
        <v>359</v>
      </c>
      <c r="V172" s="2" t="s">
        <v>360</v>
      </c>
    </row>
    <row r="173" ht="15.75" customHeight="1">
      <c r="A173" s="1" t="s">
        <v>238</v>
      </c>
      <c r="B173" s="1" t="s">
        <v>330</v>
      </c>
      <c r="C173" s="1" t="s">
        <v>361</v>
      </c>
      <c r="R173" s="1" t="str">
        <f>IFERROR(__xludf.DUMMYFUNCTION("""COMPUTED_VALUE"""),"UNITEC Institute of Technology")</f>
        <v>UNITEC Institute of Technology</v>
      </c>
      <c r="S173" s="2" t="s">
        <v>64</v>
      </c>
      <c r="U173" s="2" t="s">
        <v>362</v>
      </c>
      <c r="V173" s="2" t="s">
        <v>363</v>
      </c>
    </row>
    <row r="174" ht="15.75" customHeight="1">
      <c r="A174" s="1" t="s">
        <v>238</v>
      </c>
      <c r="B174" s="1" t="s">
        <v>330</v>
      </c>
      <c r="C174" s="1" t="s">
        <v>364</v>
      </c>
      <c r="R174" s="1" t="str">
        <f>IFERROR(__xludf.DUMMYFUNCTION("""COMPUTED_VALUE"""),"University of British Columbia")</f>
        <v>University of British Columbia</v>
      </c>
      <c r="S174" s="2" t="s">
        <v>19</v>
      </c>
      <c r="U174" s="2" t="s">
        <v>365</v>
      </c>
      <c r="V174" s="2" t="s">
        <v>22</v>
      </c>
    </row>
    <row r="175" ht="15.75" customHeight="1">
      <c r="A175" s="1" t="s">
        <v>238</v>
      </c>
      <c r="B175" s="1" t="s">
        <v>330</v>
      </c>
      <c r="C175" s="1" t="s">
        <v>366</v>
      </c>
      <c r="R175" s="1" t="str">
        <f>IFERROR(__xludf.DUMMYFUNCTION("""COMPUTED_VALUE"""),"CNRS - Centre national de la recherche scientifique")</f>
        <v>CNRS - Centre national de la recherche scientifique</v>
      </c>
      <c r="S175" s="2" t="s">
        <v>79</v>
      </c>
      <c r="U175" s="2" t="s">
        <v>367</v>
      </c>
      <c r="V175" s="2" t="s">
        <v>19</v>
      </c>
    </row>
    <row r="176" ht="15.75" customHeight="1">
      <c r="A176" s="1" t="s">
        <v>238</v>
      </c>
      <c r="B176" s="1" t="s">
        <v>330</v>
      </c>
      <c r="C176" s="1" t="s">
        <v>368</v>
      </c>
      <c r="R176" s="1" t="str">
        <f>IFERROR(__xludf.DUMMYFUNCTION("""COMPUTED_VALUE"""),"Bilkent University")</f>
        <v>Bilkent University</v>
      </c>
      <c r="S176" s="2" t="s">
        <v>31</v>
      </c>
      <c r="U176" s="2" t="s">
        <v>369</v>
      </c>
      <c r="V176" s="2" t="s">
        <v>306</v>
      </c>
    </row>
    <row r="177" ht="15.75" customHeight="1">
      <c r="A177" s="1" t="s">
        <v>238</v>
      </c>
      <c r="B177" s="1" t="s">
        <v>330</v>
      </c>
      <c r="C177" s="1" t="s">
        <v>370</v>
      </c>
      <c r="R177" s="1" t="str">
        <f>IFERROR(__xludf.DUMMYFUNCTION("""COMPUTED_VALUE"""),"Copenhagen University Hospital")</f>
        <v>Copenhagen University Hospital</v>
      </c>
      <c r="S177" s="2" t="s">
        <v>31</v>
      </c>
      <c r="U177" s="2" t="s">
        <v>371</v>
      </c>
      <c r="V177" s="2" t="s">
        <v>8</v>
      </c>
    </row>
    <row r="178" ht="15.75" customHeight="1">
      <c r="A178" s="1" t="s">
        <v>238</v>
      </c>
      <c r="B178" s="1" t="s">
        <v>330</v>
      </c>
      <c r="C178" s="1" t="s">
        <v>372</v>
      </c>
      <c r="R178" s="1" t="str">
        <f>IFERROR(__xludf.DUMMYFUNCTION("""COMPUTED_VALUE"""),"Nanyang Technological University")</f>
        <v>Nanyang Technological University</v>
      </c>
      <c r="S178" s="2" t="s">
        <v>31</v>
      </c>
      <c r="U178" s="2" t="s">
        <v>373</v>
      </c>
      <c r="V178" s="2" t="s">
        <v>309</v>
      </c>
    </row>
    <row r="179" ht="15.75" customHeight="1">
      <c r="A179" s="1" t="s">
        <v>238</v>
      </c>
      <c r="B179" s="1" t="s">
        <v>330</v>
      </c>
      <c r="C179" s="1" t="s">
        <v>374</v>
      </c>
      <c r="R179" s="1" t="str">
        <f>IFERROR(__xludf.DUMMYFUNCTION("""COMPUTED_VALUE"""),"Lappeenranta–Lahti University of Technology")</f>
        <v>Lappeenranta–Lahti University of Technology</v>
      </c>
      <c r="S179" s="2" t="s">
        <v>8</v>
      </c>
      <c r="U179" s="2" t="s">
        <v>375</v>
      </c>
      <c r="V179" s="2" t="s">
        <v>75</v>
      </c>
    </row>
    <row r="180" ht="15.75" customHeight="1">
      <c r="A180" s="1" t="s">
        <v>238</v>
      </c>
      <c r="B180" s="1" t="s">
        <v>330</v>
      </c>
      <c r="C180" s="1" t="s">
        <v>376</v>
      </c>
      <c r="R180" s="1" t="str">
        <f>IFERROR(__xludf.DUMMYFUNCTION("""COMPUTED_VALUE"""),"Factmata")</f>
        <v>Factmata</v>
      </c>
      <c r="S180" s="2" t="s">
        <v>89</v>
      </c>
      <c r="U180" s="2" t="s">
        <v>377</v>
      </c>
      <c r="V180" s="2" t="s">
        <v>31</v>
      </c>
    </row>
    <row r="181" ht="15.75" customHeight="1">
      <c r="A181" s="1" t="s">
        <v>238</v>
      </c>
      <c r="B181" s="1" t="s">
        <v>378</v>
      </c>
      <c r="C181" s="1" t="s">
        <v>379</v>
      </c>
      <c r="R181" s="1" t="str">
        <f>IFERROR(__xludf.DUMMYFUNCTION("""COMPUTED_VALUE"""),"Athens University of Economics and Business")</f>
        <v>Athens University of Economics and Business</v>
      </c>
      <c r="S181" s="2" t="s">
        <v>31</v>
      </c>
      <c r="U181" s="2" t="s">
        <v>380</v>
      </c>
      <c r="V181" s="2" t="s">
        <v>315</v>
      </c>
    </row>
    <row r="182" ht="15.75" customHeight="1">
      <c r="A182" s="1" t="s">
        <v>238</v>
      </c>
      <c r="B182" s="1" t="s">
        <v>378</v>
      </c>
      <c r="C182" s="1" t="s">
        <v>381</v>
      </c>
      <c r="R182" s="1" t="str">
        <f>IFERROR(__xludf.DUMMYFUNCTION("""COMPUTED_VALUE"""),"University of Münster")</f>
        <v>University of Münster</v>
      </c>
      <c r="S182" s="2" t="s">
        <v>92</v>
      </c>
      <c r="U182" s="2" t="s">
        <v>382</v>
      </c>
      <c r="V182" s="2" t="s">
        <v>64</v>
      </c>
    </row>
    <row r="183" ht="15.75" customHeight="1">
      <c r="A183" s="1" t="s">
        <v>238</v>
      </c>
      <c r="B183" s="1" t="s">
        <v>378</v>
      </c>
      <c r="C183" s="1" t="s">
        <v>383</v>
      </c>
      <c r="R183" s="1" t="str">
        <f>IFERROR(__xludf.DUMMYFUNCTION("""COMPUTED_VALUE"""),"Polytechnic University of Catalonia")</f>
        <v>Polytechnic University of Catalonia</v>
      </c>
      <c r="S183" s="2" t="s">
        <v>75</v>
      </c>
      <c r="U183" s="2" t="s">
        <v>384</v>
      </c>
      <c r="V183" s="2" t="s">
        <v>82</v>
      </c>
    </row>
    <row r="184" ht="15.75" customHeight="1">
      <c r="A184" s="1" t="s">
        <v>238</v>
      </c>
      <c r="B184" s="1" t="s">
        <v>378</v>
      </c>
      <c r="C184" s="1" t="s">
        <v>385</v>
      </c>
      <c r="R184" s="1" t="str">
        <f>IFERROR(__xludf.DUMMYFUNCTION("""COMPUTED_VALUE"""),"Børneernæring og international ernæring")</f>
        <v>Børneernæring og international ernæring</v>
      </c>
      <c r="S184" s="2" t="s">
        <v>8</v>
      </c>
      <c r="U184" s="2" t="s">
        <v>386</v>
      </c>
      <c r="V184" s="2" t="s">
        <v>8</v>
      </c>
    </row>
    <row r="185" ht="15.75" customHeight="1">
      <c r="A185" s="1" t="s">
        <v>238</v>
      </c>
      <c r="B185" s="1" t="s">
        <v>378</v>
      </c>
      <c r="C185" s="1" t="s">
        <v>387</v>
      </c>
      <c r="R185" s="1" t="str">
        <f>IFERROR(__xludf.DUMMYFUNCTION("""COMPUTED_VALUE"""),"University of Genoa")</f>
        <v>University of Genoa</v>
      </c>
      <c r="S185" s="2" t="s">
        <v>19</v>
      </c>
      <c r="U185" s="2" t="s">
        <v>388</v>
      </c>
      <c r="V185" s="2" t="s">
        <v>89</v>
      </c>
    </row>
    <row r="186" ht="15.75" customHeight="1">
      <c r="A186" s="1" t="s">
        <v>238</v>
      </c>
      <c r="B186" s="1" t="s">
        <v>378</v>
      </c>
      <c r="C186" s="1" t="s">
        <v>389</v>
      </c>
      <c r="R186" s="1" t="str">
        <f>IFERROR(__xludf.DUMMYFUNCTION("""COMPUTED_VALUE"""),"The University of Auckland")</f>
        <v>The University of Auckland</v>
      </c>
      <c r="S186" s="2" t="s">
        <v>89</v>
      </c>
      <c r="U186" s="2" t="s">
        <v>390</v>
      </c>
      <c r="V186" s="2" t="s">
        <v>206</v>
      </c>
    </row>
    <row r="187" ht="15.75" customHeight="1">
      <c r="A187" s="1" t="s">
        <v>238</v>
      </c>
      <c r="B187" s="1" t="s">
        <v>378</v>
      </c>
      <c r="C187" s="1" t="s">
        <v>391</v>
      </c>
      <c r="R187" s="1" t="str">
        <f>IFERROR(__xludf.DUMMYFUNCTION("""COMPUTED_VALUE"""),"University of Ottawa")</f>
        <v>University of Ottawa</v>
      </c>
      <c r="S187" s="2" t="s">
        <v>92</v>
      </c>
      <c r="U187" s="2" t="s">
        <v>392</v>
      </c>
      <c r="V187" s="2" t="s">
        <v>22</v>
      </c>
    </row>
    <row r="188" ht="15.75" customHeight="1">
      <c r="A188" s="1" t="s">
        <v>238</v>
      </c>
      <c r="B188" s="1" t="s">
        <v>378</v>
      </c>
      <c r="C188" s="1" t="s">
        <v>393</v>
      </c>
      <c r="R188" s="1" t="str">
        <f>IFERROR(__xludf.DUMMYFUNCTION("""COMPUTED_VALUE"""),"Allen Institute for AI")</f>
        <v>Allen Institute for AI</v>
      </c>
      <c r="S188" s="2" t="s">
        <v>64</v>
      </c>
      <c r="U188" s="2" t="s">
        <v>394</v>
      </c>
      <c r="V188" s="2" t="s">
        <v>31</v>
      </c>
    </row>
    <row r="189" ht="15.75" customHeight="1">
      <c r="A189" s="1" t="s">
        <v>238</v>
      </c>
      <c r="B189" s="1" t="s">
        <v>378</v>
      </c>
      <c r="C189" s="1" t="s">
        <v>395</v>
      </c>
      <c r="R189" s="1" t="str">
        <f>IFERROR(__xludf.DUMMYFUNCTION("""COMPUTED_VALUE"""),"Heidelberg University")</f>
        <v>Heidelberg University</v>
      </c>
      <c r="S189" s="2" t="s">
        <v>64</v>
      </c>
      <c r="U189" s="2" t="s">
        <v>396</v>
      </c>
      <c r="V189" s="2" t="s">
        <v>64</v>
      </c>
    </row>
    <row r="190" ht="15.75" customHeight="1">
      <c r="A190" s="1" t="s">
        <v>238</v>
      </c>
      <c r="B190" s="1" t="s">
        <v>378</v>
      </c>
      <c r="C190" s="1" t="s">
        <v>397</v>
      </c>
      <c r="R190" s="1" t="str">
        <f>IFERROR(__xludf.DUMMYFUNCTION("""COMPUTED_VALUE"""),"Duke University")</f>
        <v>Duke University</v>
      </c>
      <c r="S190" s="2" t="s">
        <v>149</v>
      </c>
      <c r="U190" s="2" t="s">
        <v>398</v>
      </c>
      <c r="V190" s="2" t="s">
        <v>31</v>
      </c>
    </row>
    <row r="191" ht="15.75" customHeight="1">
      <c r="A191" s="1" t="s">
        <v>238</v>
      </c>
      <c r="B191" s="1" t="s">
        <v>378</v>
      </c>
      <c r="C191" s="1" t="s">
        <v>399</v>
      </c>
      <c r="R191" s="1" t="str">
        <f>IFERROR(__xludf.DUMMYFUNCTION("""COMPUTED_VALUE"""),"Indian Institute of Technology Bombay")</f>
        <v>Indian Institute of Technology Bombay</v>
      </c>
      <c r="S191" s="2" t="s">
        <v>64</v>
      </c>
      <c r="U191" s="2" t="s">
        <v>400</v>
      </c>
      <c r="V191" s="2" t="s">
        <v>190</v>
      </c>
    </row>
    <row r="192" ht="15.75" customHeight="1">
      <c r="A192" s="1" t="s">
        <v>238</v>
      </c>
      <c r="B192" s="1" t="s">
        <v>378</v>
      </c>
      <c r="C192" s="1" t="s">
        <v>401</v>
      </c>
      <c r="R192" s="1" t="str">
        <f>IFERROR(__xludf.DUMMYFUNCTION("""COMPUTED_VALUE"""),"Universidade Federal de Minas Gerais")</f>
        <v>Universidade Federal de Minas Gerais</v>
      </c>
      <c r="S192" s="2" t="s">
        <v>8</v>
      </c>
      <c r="U192" s="2" t="s">
        <v>402</v>
      </c>
      <c r="V192" s="2" t="s">
        <v>112</v>
      </c>
    </row>
    <row r="193" ht="15.75" customHeight="1">
      <c r="A193" s="1" t="s">
        <v>238</v>
      </c>
      <c r="B193" s="1" t="s">
        <v>403</v>
      </c>
      <c r="C193" s="1" t="s">
        <v>404</v>
      </c>
      <c r="R193" s="1" t="str">
        <f>IFERROR(__xludf.DUMMYFUNCTION("""COMPUTED_VALUE"""),"The Alan Turing Institute")</f>
        <v>The Alan Turing Institute</v>
      </c>
      <c r="S193" s="2" t="s">
        <v>31</v>
      </c>
      <c r="U193" s="2" t="s">
        <v>405</v>
      </c>
      <c r="V193" s="2" t="s">
        <v>39</v>
      </c>
    </row>
    <row r="194" ht="15.75" customHeight="1">
      <c r="A194" s="1" t="s">
        <v>238</v>
      </c>
      <c r="B194" s="1" t="s">
        <v>403</v>
      </c>
      <c r="C194" s="1" t="s">
        <v>406</v>
      </c>
      <c r="R194" s="1" t="str">
        <f>IFERROR(__xludf.DUMMYFUNCTION("""COMPUTED_VALUE"""),"City, University of London")</f>
        <v>City, University of London</v>
      </c>
      <c r="S194" s="2" t="s">
        <v>149</v>
      </c>
      <c r="U194" s="2" t="s">
        <v>407</v>
      </c>
      <c r="V194" s="2" t="s">
        <v>39</v>
      </c>
    </row>
    <row r="195" ht="15.75" customHeight="1">
      <c r="A195" s="1" t="s">
        <v>238</v>
      </c>
      <c r="B195" s="1" t="s">
        <v>403</v>
      </c>
      <c r="C195" s="1" t="s">
        <v>408</v>
      </c>
      <c r="R195" s="1" t="str">
        <f>IFERROR(__xludf.DUMMYFUNCTION("""COMPUTED_VALUE"""),"University of Ioannina")</f>
        <v>University of Ioannina</v>
      </c>
      <c r="S195" s="2" t="s">
        <v>25</v>
      </c>
      <c r="U195" s="2" t="s">
        <v>409</v>
      </c>
      <c r="V195" s="2" t="s">
        <v>315</v>
      </c>
    </row>
    <row r="196" ht="15.75" customHeight="1">
      <c r="A196" s="1" t="s">
        <v>238</v>
      </c>
      <c r="B196" s="1" t="s">
        <v>403</v>
      </c>
      <c r="C196" s="1" t="s">
        <v>410</v>
      </c>
      <c r="R196" s="1" t="str">
        <f>IFERROR(__xludf.DUMMYFUNCTION("""COMPUTED_VALUE"""),"German Cancer Research Center")</f>
        <v>German Cancer Research Center</v>
      </c>
      <c r="S196" s="2" t="s">
        <v>8</v>
      </c>
      <c r="U196" s="2" t="s">
        <v>411</v>
      </c>
      <c r="V196" s="2" t="s">
        <v>64</v>
      </c>
    </row>
    <row r="197" ht="15.75" customHeight="1">
      <c r="A197" s="1" t="s">
        <v>238</v>
      </c>
      <c r="B197" s="1" t="s">
        <v>403</v>
      </c>
      <c r="C197" s="1" t="s">
        <v>412</v>
      </c>
      <c r="R197" s="1" t="str">
        <f>IFERROR(__xludf.DUMMYFUNCTION("""COMPUTED_VALUE"""),"The IMDEA Software Institute")</f>
        <v>The IMDEA Software Institute</v>
      </c>
      <c r="S197" s="2" t="s">
        <v>39</v>
      </c>
      <c r="U197" s="2" t="s">
        <v>413</v>
      </c>
      <c r="V197" s="2" t="s">
        <v>82</v>
      </c>
    </row>
    <row r="198" ht="15.75" customHeight="1">
      <c r="A198" s="1" t="s">
        <v>238</v>
      </c>
      <c r="B198" s="1" t="s">
        <v>403</v>
      </c>
      <c r="C198" s="1" t="s">
        <v>414</v>
      </c>
      <c r="R198" s="1" t="str">
        <f>IFERROR(__xludf.DUMMYFUNCTION("""COMPUTED_VALUE"""),"Indian Institute of Technology Mandi")</f>
        <v>Indian Institute of Technology Mandi</v>
      </c>
      <c r="S198" s="2" t="s">
        <v>39</v>
      </c>
      <c r="U198" s="2" t="s">
        <v>415</v>
      </c>
      <c r="V198" s="2" t="s">
        <v>190</v>
      </c>
    </row>
    <row r="199" ht="15.75" customHeight="1">
      <c r="A199" s="1" t="s">
        <v>238</v>
      </c>
      <c r="B199" s="1" t="s">
        <v>403</v>
      </c>
      <c r="C199" s="1" t="s">
        <v>416</v>
      </c>
      <c r="R199" s="1" t="str">
        <f>IFERROR(__xludf.DUMMYFUNCTION("""COMPUTED_VALUE"""),"Queen’s University")</f>
        <v>Queen’s University</v>
      </c>
      <c r="S199" s="2" t="s">
        <v>178</v>
      </c>
      <c r="U199" s="2" t="s">
        <v>417</v>
      </c>
      <c r="V199" s="2" t="s">
        <v>22</v>
      </c>
    </row>
    <row r="200" ht="15.75" customHeight="1">
      <c r="A200" s="1" t="s">
        <v>238</v>
      </c>
      <c r="B200" s="1" t="s">
        <v>403</v>
      </c>
      <c r="C200" s="1" t="s">
        <v>418</v>
      </c>
      <c r="R200" s="1" t="str">
        <f>IFERROR(__xludf.DUMMYFUNCTION("""COMPUTED_VALUE"""),"Protocol Labs")</f>
        <v>Protocol Labs</v>
      </c>
      <c r="S200" s="2" t="s">
        <v>19</v>
      </c>
      <c r="U200" s="2" t="s">
        <v>419</v>
      </c>
      <c r="V200" s="2" t="s">
        <v>31</v>
      </c>
    </row>
    <row r="201" ht="15.75" customHeight="1">
      <c r="A201" s="1" t="s">
        <v>238</v>
      </c>
      <c r="B201" s="1" t="s">
        <v>403</v>
      </c>
      <c r="C201" s="1" t="s">
        <v>420</v>
      </c>
      <c r="R201" s="1" t="str">
        <f>IFERROR(__xludf.DUMMYFUNCTION("""COMPUTED_VALUE"""),"Videntifier")</f>
        <v>Videntifier</v>
      </c>
      <c r="S201" s="2" t="s">
        <v>36</v>
      </c>
      <c r="U201" s="2" t="s">
        <v>421</v>
      </c>
      <c r="V201" s="2" t="s">
        <v>156</v>
      </c>
    </row>
    <row r="202" ht="15.75" customHeight="1">
      <c r="A202" s="1" t="s">
        <v>422</v>
      </c>
      <c r="B202" s="1" t="s">
        <v>6</v>
      </c>
      <c r="C202" s="1" t="s">
        <v>423</v>
      </c>
      <c r="R202" s="1" t="str">
        <f>IFERROR(__xludf.DUMMYFUNCTION("""COMPUTED_VALUE"""),"UNICEF")</f>
        <v>UNICEF</v>
      </c>
      <c r="S202" s="2" t="s">
        <v>82</v>
      </c>
      <c r="U202" s="2" t="s">
        <v>424</v>
      </c>
      <c r="V202" s="2" t="s">
        <v>31</v>
      </c>
    </row>
    <row r="203" ht="15.75" customHeight="1">
      <c r="A203" s="1" t="s">
        <v>422</v>
      </c>
      <c r="B203" s="1" t="s">
        <v>6</v>
      </c>
      <c r="C203" s="1" t="s">
        <v>425</v>
      </c>
      <c r="R203" s="1" t="str">
        <f>IFERROR(__xludf.DUMMYFUNCTION("""COMPUTED_VALUE"""),"China University of Mining and Technology")</f>
        <v>China University of Mining and Technology</v>
      </c>
      <c r="S203" s="2" t="s">
        <v>22</v>
      </c>
      <c r="U203" s="2" t="s">
        <v>426</v>
      </c>
      <c r="V203" s="2" t="s">
        <v>249</v>
      </c>
    </row>
    <row r="204" ht="15.75" customHeight="1">
      <c r="A204" s="1" t="s">
        <v>422</v>
      </c>
      <c r="B204" s="1" t="s">
        <v>6</v>
      </c>
      <c r="C204" s="1" t="s">
        <v>427</v>
      </c>
      <c r="R204" s="1" t="str">
        <f>IFERROR(__xludf.DUMMYFUNCTION("""COMPUTED_VALUE"""),"Universität Potsdam")</f>
        <v>Universität Potsdam</v>
      </c>
      <c r="S204" s="2" t="s">
        <v>89</v>
      </c>
      <c r="U204" s="2" t="s">
        <v>428</v>
      </c>
      <c r="V204" s="2" t="s">
        <v>64</v>
      </c>
    </row>
    <row r="205" ht="15.75" customHeight="1">
      <c r="A205" s="1" t="s">
        <v>422</v>
      </c>
      <c r="B205" s="1" t="s">
        <v>6</v>
      </c>
      <c r="C205" s="1" t="s">
        <v>429</v>
      </c>
      <c r="R205" s="1" t="str">
        <f>IFERROR(__xludf.DUMMYFUNCTION("""COMPUTED_VALUE"""),"Namibia University of Science and Technology")</f>
        <v>Namibia University of Science and Technology</v>
      </c>
      <c r="S205" s="2" t="s">
        <v>19</v>
      </c>
      <c r="U205" s="2" t="s">
        <v>430</v>
      </c>
      <c r="V205" s="2" t="s">
        <v>431</v>
      </c>
    </row>
    <row r="206" ht="15.75" customHeight="1">
      <c r="A206" s="1" t="s">
        <v>422</v>
      </c>
      <c r="B206" s="1" t="s">
        <v>29</v>
      </c>
      <c r="C206" s="1" t="s">
        <v>432</v>
      </c>
      <c r="R206" s="1" t="str">
        <f>IFERROR(__xludf.DUMMYFUNCTION("""COMPUTED_VALUE"""),"Cork Constraint Computation Centre")</f>
        <v>Cork Constraint Computation Centre</v>
      </c>
      <c r="S206" s="2" t="s">
        <v>149</v>
      </c>
      <c r="U206" s="2" t="s">
        <v>433</v>
      </c>
      <c r="V206" s="2" t="s">
        <v>50</v>
      </c>
    </row>
    <row r="207" ht="15.75" customHeight="1">
      <c r="A207" s="1" t="s">
        <v>422</v>
      </c>
      <c r="B207" s="1" t="s">
        <v>29</v>
      </c>
      <c r="C207" s="1" t="s">
        <v>434</v>
      </c>
      <c r="R207" s="1" t="str">
        <f>IFERROR(__xludf.DUMMYFUNCTION("""COMPUTED_VALUE"""),"University of Kent")</f>
        <v>University of Kent</v>
      </c>
      <c r="S207" s="2" t="s">
        <v>19</v>
      </c>
      <c r="U207" s="2" t="s">
        <v>435</v>
      </c>
      <c r="V207" s="2" t="s">
        <v>39</v>
      </c>
    </row>
    <row r="208" ht="15.75" customHeight="1">
      <c r="A208" s="1" t="s">
        <v>422</v>
      </c>
      <c r="B208" s="1" t="s">
        <v>29</v>
      </c>
      <c r="C208" s="1" t="s">
        <v>436</v>
      </c>
      <c r="R208" s="1" t="str">
        <f>IFERROR(__xludf.DUMMYFUNCTION("""COMPUTED_VALUE"""),"Amazon.com, Inc.")</f>
        <v>Amazon.com, Inc.</v>
      </c>
      <c r="S208" s="2" t="s">
        <v>64</v>
      </c>
      <c r="U208" s="2" t="s">
        <v>437</v>
      </c>
      <c r="V208" s="2" t="s">
        <v>31</v>
      </c>
    </row>
    <row r="209" ht="15.75" customHeight="1">
      <c r="A209" s="1" t="s">
        <v>422</v>
      </c>
      <c r="B209" s="1" t="s">
        <v>29</v>
      </c>
      <c r="C209" s="1" t="s">
        <v>438</v>
      </c>
      <c r="R209" s="1" t="str">
        <f>IFERROR(__xludf.DUMMYFUNCTION("""COMPUTED_VALUE"""),"Télécom Paris")</f>
        <v>Télécom Paris</v>
      </c>
      <c r="S209" s="2" t="s">
        <v>39</v>
      </c>
      <c r="U209" s="2" t="s">
        <v>439</v>
      </c>
      <c r="V209" s="2" t="s">
        <v>19</v>
      </c>
    </row>
    <row r="210" ht="15.75" customHeight="1">
      <c r="A210" s="1" t="s">
        <v>422</v>
      </c>
      <c r="B210" s="1" t="s">
        <v>29</v>
      </c>
      <c r="C210" s="1" t="s">
        <v>440</v>
      </c>
      <c r="R210" s="1" t="str">
        <f>IFERROR(__xludf.DUMMYFUNCTION("""COMPUTED_VALUE"""),"NextGame")</f>
        <v>NextGame</v>
      </c>
      <c r="S210" s="2" t="s">
        <v>19</v>
      </c>
      <c r="U210" s="2" t="s">
        <v>441</v>
      </c>
      <c r="V210" s="2" t="s">
        <v>31</v>
      </c>
    </row>
    <row r="211" ht="15.75" customHeight="1">
      <c r="A211" s="1" t="s">
        <v>422</v>
      </c>
      <c r="B211" s="1" t="s">
        <v>29</v>
      </c>
      <c r="C211" s="1" t="s">
        <v>442</v>
      </c>
      <c r="R211" s="1" t="str">
        <f>IFERROR(__xludf.DUMMYFUNCTION("""COMPUTED_VALUE"""),"Monash University")</f>
        <v>Monash University</v>
      </c>
      <c r="S211" s="2" t="s">
        <v>36</v>
      </c>
      <c r="U211" s="2" t="s">
        <v>443</v>
      </c>
      <c r="V211" s="2" t="s">
        <v>92</v>
      </c>
    </row>
    <row r="212" ht="15.75" customHeight="1">
      <c r="A212" s="1" t="s">
        <v>422</v>
      </c>
      <c r="B212" s="1" t="s">
        <v>29</v>
      </c>
      <c r="C212" s="1" t="s">
        <v>444</v>
      </c>
      <c r="R212" s="1" t="str">
        <f>IFERROR(__xludf.DUMMYFUNCTION("""COMPUTED_VALUE"""),"Federal University of Para")</f>
        <v>Federal University of Para</v>
      </c>
      <c r="S212" s="2" t="s">
        <v>64</v>
      </c>
      <c r="U212" s="2" t="s">
        <v>445</v>
      </c>
      <c r="V212" s="2" t="s">
        <v>112</v>
      </c>
    </row>
    <row r="213" ht="15.75" customHeight="1">
      <c r="A213" s="1" t="s">
        <v>422</v>
      </c>
      <c r="B213" s="1" t="s">
        <v>29</v>
      </c>
      <c r="C213" s="1" t="s">
        <v>446</v>
      </c>
      <c r="R213" s="1" t="str">
        <f>IFERROR(__xludf.DUMMYFUNCTION("""COMPUTED_VALUE"""),"University of Lübeck")</f>
        <v>University of Lübeck</v>
      </c>
      <c r="S213" s="2" t="s">
        <v>92</v>
      </c>
      <c r="U213" s="2" t="s">
        <v>447</v>
      </c>
      <c r="V213" s="2" t="s">
        <v>64</v>
      </c>
    </row>
    <row r="214" ht="15.75" customHeight="1">
      <c r="A214" s="1" t="s">
        <v>422</v>
      </c>
      <c r="B214" s="1" t="s">
        <v>29</v>
      </c>
      <c r="C214" s="1" t="s">
        <v>448</v>
      </c>
      <c r="R214" s="1" t="str">
        <f>IFERROR(__xludf.DUMMYFUNCTION("""COMPUTED_VALUE"""),"Saint Mary's University of Minnesota")</f>
        <v>Saint Mary's University of Minnesota</v>
      </c>
      <c r="S214" s="2" t="s">
        <v>89</v>
      </c>
      <c r="U214" s="2" t="s">
        <v>449</v>
      </c>
      <c r="V214" s="2" t="s">
        <v>31</v>
      </c>
    </row>
    <row r="215" ht="15.75" customHeight="1">
      <c r="A215" s="1" t="s">
        <v>422</v>
      </c>
      <c r="B215" s="1" t="s">
        <v>29</v>
      </c>
      <c r="C215" s="1" t="s">
        <v>450</v>
      </c>
      <c r="R215" s="1" t="str">
        <f>IFERROR(__xludf.DUMMYFUNCTION("""COMPUTED_VALUE"""),"University of Southern California")</f>
        <v>University of Southern California</v>
      </c>
      <c r="S215" s="2" t="s">
        <v>64</v>
      </c>
      <c r="U215" s="2" t="s">
        <v>451</v>
      </c>
      <c r="V215" s="2" t="s">
        <v>31</v>
      </c>
    </row>
    <row r="216" ht="15.75" customHeight="1">
      <c r="A216" s="1" t="s">
        <v>422</v>
      </c>
      <c r="B216" s="1" t="s">
        <v>29</v>
      </c>
      <c r="C216" s="1" t="s">
        <v>452</v>
      </c>
      <c r="R216" s="1" t="str">
        <f>IFERROR(__xludf.DUMMYFUNCTION("""COMPUTED_VALUE"""),"University of the West of England")</f>
        <v>University of the West of England</v>
      </c>
      <c r="S216" s="2" t="s">
        <v>89</v>
      </c>
      <c r="U216" s="2" t="s">
        <v>453</v>
      </c>
      <c r="V216" s="2" t="s">
        <v>39</v>
      </c>
    </row>
    <row r="217" ht="15.75" customHeight="1">
      <c r="A217" s="1" t="s">
        <v>422</v>
      </c>
      <c r="B217" s="1" t="s">
        <v>29</v>
      </c>
      <c r="C217" s="1" t="s">
        <v>454</v>
      </c>
      <c r="R217" s="1" t="str">
        <f>IFERROR(__xludf.DUMMYFUNCTION("""COMPUTED_VALUE"""),"University of Strathclyde")</f>
        <v>University of Strathclyde</v>
      </c>
      <c r="S217" s="2" t="s">
        <v>8</v>
      </c>
      <c r="U217" s="2" t="s">
        <v>455</v>
      </c>
      <c r="V217" s="2" t="s">
        <v>39</v>
      </c>
    </row>
    <row r="218" ht="15.75" customHeight="1">
      <c r="A218" s="1" t="s">
        <v>422</v>
      </c>
      <c r="B218" s="1" t="s">
        <v>29</v>
      </c>
      <c r="C218" s="1" t="s">
        <v>456</v>
      </c>
      <c r="R218" s="1" t="str">
        <f>IFERROR(__xludf.DUMMYFUNCTION("""COMPUTED_VALUE"""),"University of Eastern Finland")</f>
        <v>University of Eastern Finland</v>
      </c>
      <c r="S218" s="2" t="s">
        <v>64</v>
      </c>
      <c r="U218" s="2" t="s">
        <v>457</v>
      </c>
      <c r="V218" s="2" t="s">
        <v>75</v>
      </c>
    </row>
    <row r="219" ht="15.75" customHeight="1">
      <c r="A219" s="1" t="s">
        <v>422</v>
      </c>
      <c r="B219" s="1" t="s">
        <v>29</v>
      </c>
      <c r="C219" s="1" t="s">
        <v>458</v>
      </c>
      <c r="R219" s="1" t="str">
        <f>IFERROR(__xludf.DUMMYFUNCTION("""COMPUTED_VALUE"""),"Mälardalen University")</f>
        <v>Mälardalen University</v>
      </c>
      <c r="S219" s="2" t="s">
        <v>89</v>
      </c>
      <c r="U219" s="2" t="s">
        <v>459</v>
      </c>
      <c r="V219" s="2" t="s">
        <v>25</v>
      </c>
    </row>
    <row r="220" ht="15.75" customHeight="1">
      <c r="A220" s="1" t="s">
        <v>422</v>
      </c>
      <c r="B220" s="1" t="s">
        <v>29</v>
      </c>
      <c r="C220" s="1" t="s">
        <v>460</v>
      </c>
      <c r="R220" s="1" t="str">
        <f>IFERROR(__xludf.DUMMYFUNCTION("""COMPUTED_VALUE"""),"The Eye Tribe Aps")</f>
        <v>The Eye Tribe Aps</v>
      </c>
      <c r="S220" s="2" t="s">
        <v>89</v>
      </c>
      <c r="U220" s="2" t="s">
        <v>461</v>
      </c>
      <c r="V220" s="2" t="s">
        <v>8</v>
      </c>
    </row>
    <row r="221" ht="15.75" customHeight="1">
      <c r="A221" s="1" t="s">
        <v>422</v>
      </c>
      <c r="B221" s="1" t="s">
        <v>77</v>
      </c>
      <c r="C221" s="1" t="s">
        <v>462</v>
      </c>
      <c r="R221" s="1" t="str">
        <f>IFERROR(__xludf.DUMMYFUNCTION("""COMPUTED_VALUE"""),"Université de Lyon, CNRS")</f>
        <v>Université de Lyon, CNRS</v>
      </c>
      <c r="S221" s="2" t="s">
        <v>19</v>
      </c>
      <c r="U221" s="2" t="s">
        <v>463</v>
      </c>
      <c r="V221" s="2" t="s">
        <v>19</v>
      </c>
    </row>
    <row r="222" ht="15.75" customHeight="1">
      <c r="A222" s="1" t="s">
        <v>422</v>
      </c>
      <c r="B222" s="1" t="s">
        <v>77</v>
      </c>
      <c r="C222" s="1" t="s">
        <v>464</v>
      </c>
      <c r="R222" s="1" t="str">
        <f>IFERROR(__xludf.DUMMYFUNCTION("""COMPUTED_VALUE"""),"University of Fribourg")</f>
        <v>University of Fribourg</v>
      </c>
      <c r="S222" s="2" t="s">
        <v>360</v>
      </c>
      <c r="U222" s="2" t="s">
        <v>465</v>
      </c>
      <c r="V222" s="2" t="s">
        <v>53</v>
      </c>
    </row>
    <row r="223" ht="15.75" customHeight="1">
      <c r="A223" s="1" t="s">
        <v>422</v>
      </c>
      <c r="B223" s="1" t="s">
        <v>77</v>
      </c>
      <c r="C223" s="1" t="s">
        <v>466</v>
      </c>
      <c r="R223" s="1" t="str">
        <f>IFERROR(__xludf.DUMMYFUNCTION("""COMPUTED_VALUE"""),"Kvorning Design")</f>
        <v>Kvorning Design</v>
      </c>
      <c r="S223" s="2" t="s">
        <v>206</v>
      </c>
      <c r="U223" s="2" t="s">
        <v>467</v>
      </c>
      <c r="V223" s="2" t="s">
        <v>8</v>
      </c>
    </row>
    <row r="224" ht="15.75" customHeight="1">
      <c r="A224" s="1" t="s">
        <v>422</v>
      </c>
      <c r="B224" s="1" t="s">
        <v>77</v>
      </c>
      <c r="C224" s="1" t="s">
        <v>468</v>
      </c>
      <c r="R224" s="1" t="str">
        <f>IFERROR(__xludf.DUMMYFUNCTION("""COMPUTED_VALUE"""),"University of Glasgow")</f>
        <v>University of Glasgow</v>
      </c>
      <c r="S224" s="2" t="s">
        <v>22</v>
      </c>
      <c r="U224" s="2" t="s">
        <v>469</v>
      </c>
      <c r="V224" s="2" t="s">
        <v>39</v>
      </c>
    </row>
    <row r="225" ht="15.75" customHeight="1">
      <c r="A225" s="1" t="s">
        <v>422</v>
      </c>
      <c r="B225" s="1" t="s">
        <v>77</v>
      </c>
      <c r="C225" s="1" t="s">
        <v>470</v>
      </c>
      <c r="R225" s="1" t="str">
        <f>IFERROR(__xludf.DUMMYFUNCTION("""COMPUTED_VALUE"""),"University of Pittsburgh")</f>
        <v>University of Pittsburgh</v>
      </c>
      <c r="S225" s="2" t="s">
        <v>19</v>
      </c>
      <c r="U225" s="2" t="s">
        <v>471</v>
      </c>
      <c r="V225" s="2" t="s">
        <v>31</v>
      </c>
    </row>
    <row r="226" ht="15.75" customHeight="1">
      <c r="A226" s="1" t="s">
        <v>422</v>
      </c>
      <c r="B226" s="1" t="s">
        <v>77</v>
      </c>
      <c r="C226" s="1" t="s">
        <v>472</v>
      </c>
      <c r="R226" s="1" t="str">
        <f>IFERROR(__xludf.DUMMYFUNCTION("""COMPUTED_VALUE"""),"Portland State University")</f>
        <v>Portland State University</v>
      </c>
      <c r="S226" s="2" t="s">
        <v>306</v>
      </c>
      <c r="U226" s="2" t="s">
        <v>473</v>
      </c>
      <c r="V226" s="2" t="s">
        <v>31</v>
      </c>
    </row>
    <row r="227" ht="15.75" customHeight="1">
      <c r="A227" s="1" t="s">
        <v>422</v>
      </c>
      <c r="B227" s="1" t="s">
        <v>77</v>
      </c>
      <c r="C227" s="1" t="s">
        <v>474</v>
      </c>
      <c r="R227" s="1" t="str">
        <f>IFERROR(__xludf.DUMMYFUNCTION("""COMPUTED_VALUE"""),"The University of Sydney")</f>
        <v>The University of Sydney</v>
      </c>
      <c r="S227" s="2" t="s">
        <v>8</v>
      </c>
      <c r="U227" s="2" t="s">
        <v>475</v>
      </c>
      <c r="V227" s="2" t="s">
        <v>92</v>
      </c>
    </row>
    <row r="228" ht="15.75" customHeight="1">
      <c r="A228" s="1" t="s">
        <v>422</v>
      </c>
      <c r="B228" s="1" t="s">
        <v>77</v>
      </c>
      <c r="C228" s="1" t="s">
        <v>476</v>
      </c>
      <c r="R228" s="1" t="str">
        <f>IFERROR(__xludf.DUMMYFUNCTION("""COMPUTED_VALUE"""),"Yale University")</f>
        <v>Yale University</v>
      </c>
      <c r="S228" s="2" t="s">
        <v>309</v>
      </c>
      <c r="U228" s="2" t="s">
        <v>477</v>
      </c>
      <c r="V228" s="2" t="s">
        <v>31</v>
      </c>
    </row>
    <row r="229" ht="15.75" customHeight="1">
      <c r="A229" s="1" t="s">
        <v>422</v>
      </c>
      <c r="B229" s="1" t="s">
        <v>77</v>
      </c>
      <c r="C229" s="1" t="s">
        <v>478</v>
      </c>
      <c r="R229" s="1" t="str">
        <f>IFERROR(__xludf.DUMMYFUNCTION("""COMPUTED_VALUE"""),"University of Sassari")</f>
        <v>University of Sassari</v>
      </c>
      <c r="S229" s="2" t="s">
        <v>75</v>
      </c>
      <c r="U229" s="2" t="s">
        <v>479</v>
      </c>
      <c r="V229" s="2" t="s">
        <v>89</v>
      </c>
    </row>
    <row r="230" ht="15.75" customHeight="1">
      <c r="A230" s="1" t="s">
        <v>422</v>
      </c>
      <c r="B230" s="1" t="s">
        <v>77</v>
      </c>
      <c r="C230" s="1" t="s">
        <v>480</v>
      </c>
      <c r="R230" s="1" t="str">
        <f>IFERROR(__xludf.DUMMYFUNCTION("""COMPUTED_VALUE"""),"Rhodes University")</f>
        <v>Rhodes University</v>
      </c>
      <c r="S230" s="2" t="s">
        <v>39</v>
      </c>
      <c r="U230" s="2" t="s">
        <v>481</v>
      </c>
      <c r="V230" s="2" t="s">
        <v>482</v>
      </c>
    </row>
    <row r="231" ht="15.75" customHeight="1">
      <c r="A231" s="1" t="s">
        <v>422</v>
      </c>
      <c r="B231" s="1" t="s">
        <v>77</v>
      </c>
      <c r="C231" s="1" t="s">
        <v>483</v>
      </c>
      <c r="R231" s="1" t="str">
        <f>IFERROR(__xludf.DUMMYFUNCTION("""COMPUTED_VALUE"""),"Department of Information Engineering and Computer Science, University of Trento")</f>
        <v>Department of Information Engineering and Computer Science, University of Trento</v>
      </c>
      <c r="S231" s="2" t="s">
        <v>315</v>
      </c>
      <c r="U231" s="2" t="s">
        <v>484</v>
      </c>
      <c r="V231" s="2" t="s">
        <v>89</v>
      </c>
    </row>
    <row r="232" ht="15.75" customHeight="1">
      <c r="A232" s="1" t="s">
        <v>422</v>
      </c>
      <c r="B232" s="1" t="s">
        <v>77</v>
      </c>
      <c r="C232" s="1" t="s">
        <v>485</v>
      </c>
      <c r="R232" s="1" t="str">
        <f>IFERROR(__xludf.DUMMYFUNCTION("""COMPUTED_VALUE"""),"Ruhr University Bochum")</f>
        <v>Ruhr University Bochum</v>
      </c>
      <c r="S232" s="2" t="s">
        <v>64</v>
      </c>
      <c r="U232" s="2" t="s">
        <v>486</v>
      </c>
      <c r="V232" s="2" t="s">
        <v>64</v>
      </c>
    </row>
    <row r="233" ht="15.75" customHeight="1">
      <c r="A233" s="1" t="s">
        <v>422</v>
      </c>
      <c r="B233" s="1" t="s">
        <v>77</v>
      </c>
      <c r="C233" s="1" t="s">
        <v>487</v>
      </c>
      <c r="R233" s="1" t="str">
        <f>IFERROR(__xludf.DUMMYFUNCTION("""COMPUTED_VALUE"""),"University of Versailles")</f>
        <v>University of Versailles</v>
      </c>
      <c r="S233" s="2" t="s">
        <v>82</v>
      </c>
      <c r="U233" s="2" t="s">
        <v>488</v>
      </c>
      <c r="V233" s="2" t="s">
        <v>19</v>
      </c>
    </row>
    <row r="234" ht="15.75" customHeight="1">
      <c r="A234" s="1" t="s">
        <v>422</v>
      </c>
      <c r="B234" s="1" t="s">
        <v>77</v>
      </c>
      <c r="C234" s="1" t="s">
        <v>489</v>
      </c>
      <c r="R234" s="1" t="str">
        <f>IFERROR(__xludf.DUMMYFUNCTION("""COMPUTED_VALUE"""),"The National Research Council of Canada Industrial Research Assistance Program")</f>
        <v>The National Research Council of Canada Industrial Research Assistance Program</v>
      </c>
      <c r="S234" s="2" t="s">
        <v>8</v>
      </c>
      <c r="U234" s="2" t="s">
        <v>490</v>
      </c>
      <c r="V234" s="2" t="s">
        <v>22</v>
      </c>
    </row>
    <row r="235" ht="15.75" customHeight="1">
      <c r="A235" s="1" t="s">
        <v>422</v>
      </c>
      <c r="B235" s="1" t="s">
        <v>77</v>
      </c>
      <c r="C235" s="1" t="s">
        <v>491</v>
      </c>
      <c r="R235" s="1" t="str">
        <f>IFERROR(__xludf.DUMMYFUNCTION("""COMPUTED_VALUE"""),"Hugging Face")</f>
        <v>Hugging Face</v>
      </c>
      <c r="S235" s="2" t="s">
        <v>89</v>
      </c>
      <c r="U235" s="2" t="s">
        <v>492</v>
      </c>
      <c r="V235" s="2" t="s">
        <v>31</v>
      </c>
    </row>
    <row r="236" ht="15.75" customHeight="1">
      <c r="A236" s="1" t="s">
        <v>422</v>
      </c>
      <c r="B236" s="1" t="s">
        <v>77</v>
      </c>
      <c r="C236" s="1" t="s">
        <v>493</v>
      </c>
      <c r="R236" s="1" t="str">
        <f>IFERROR(__xludf.DUMMYFUNCTION("""COMPUTED_VALUE"""),"Rochester Institute of Technology")</f>
        <v>Rochester Institute of Technology</v>
      </c>
      <c r="S236" s="2" t="s">
        <v>206</v>
      </c>
      <c r="U236" s="2" t="s">
        <v>494</v>
      </c>
      <c r="V236" s="2" t="s">
        <v>31</v>
      </c>
    </row>
    <row r="237" ht="15.75" customHeight="1">
      <c r="A237" s="1" t="s">
        <v>422</v>
      </c>
      <c r="B237" s="1" t="s">
        <v>77</v>
      </c>
      <c r="C237" s="1" t="s">
        <v>495</v>
      </c>
      <c r="R237" s="1" t="str">
        <f>IFERROR(__xludf.DUMMYFUNCTION("""COMPUTED_VALUE"""),"University of Illinois")</f>
        <v>University of Illinois</v>
      </c>
      <c r="S237" s="2" t="s">
        <v>31</v>
      </c>
      <c r="U237" s="2" t="s">
        <v>496</v>
      </c>
      <c r="V237" s="2" t="s">
        <v>31</v>
      </c>
    </row>
    <row r="238" ht="15.75" customHeight="1">
      <c r="A238" s="1" t="s">
        <v>422</v>
      </c>
      <c r="B238" s="1" t="s">
        <v>77</v>
      </c>
      <c r="C238" s="1" t="s">
        <v>497</v>
      </c>
      <c r="R238" s="1" t="str">
        <f>IFERROR(__xludf.DUMMYFUNCTION("""COMPUTED_VALUE"""),"University of Birmingham")</f>
        <v>University of Birmingham</v>
      </c>
      <c r="S238" s="2" t="s">
        <v>22</v>
      </c>
      <c r="U238" s="2" t="s">
        <v>498</v>
      </c>
      <c r="V238" s="2" t="s">
        <v>39</v>
      </c>
    </row>
    <row r="239" ht="15.75" customHeight="1">
      <c r="A239" s="1" t="s">
        <v>422</v>
      </c>
      <c r="B239" s="1" t="s">
        <v>77</v>
      </c>
      <c r="C239" s="1" t="s">
        <v>499</v>
      </c>
      <c r="R239" s="1" t="str">
        <f>IFERROR(__xludf.DUMMYFUNCTION("""COMPUTED_VALUE"""),"University of Graz")</f>
        <v>University of Graz</v>
      </c>
      <c r="S239" s="2" t="s">
        <v>25</v>
      </c>
      <c r="U239" s="2" t="s">
        <v>500</v>
      </c>
      <c r="V239" s="2" t="s">
        <v>149</v>
      </c>
    </row>
    <row r="240" ht="15.75" customHeight="1">
      <c r="A240" s="1" t="s">
        <v>422</v>
      </c>
      <c r="B240" s="1" t="s">
        <v>77</v>
      </c>
      <c r="C240" s="1" t="s">
        <v>501</v>
      </c>
      <c r="R240" s="1" t="str">
        <f>IFERROR(__xludf.DUMMYFUNCTION("""COMPUTED_VALUE"""),"University of Otago")</f>
        <v>University of Otago</v>
      </c>
      <c r="S240" s="2" t="s">
        <v>64</v>
      </c>
      <c r="U240" s="2" t="s">
        <v>502</v>
      </c>
      <c r="V240" s="2" t="s">
        <v>206</v>
      </c>
    </row>
    <row r="241" ht="15.75" customHeight="1">
      <c r="A241" s="1" t="s">
        <v>422</v>
      </c>
      <c r="B241" s="1" t="s">
        <v>77</v>
      </c>
      <c r="C241" s="1" t="s">
        <v>503</v>
      </c>
      <c r="R241" s="1" t="str">
        <f>IFERROR(__xludf.DUMMYFUNCTION("""COMPUTED_VALUE"""),"University of Vienna")</f>
        <v>University of Vienna</v>
      </c>
      <c r="S241" s="2" t="s">
        <v>31</v>
      </c>
      <c r="U241" s="2" t="s">
        <v>504</v>
      </c>
      <c r="V241" s="2" t="s">
        <v>149</v>
      </c>
    </row>
    <row r="242" ht="15.75" customHeight="1">
      <c r="A242" s="1" t="s">
        <v>422</v>
      </c>
      <c r="B242" s="1" t="s">
        <v>77</v>
      </c>
      <c r="C242" s="1" t="s">
        <v>505</v>
      </c>
      <c r="R242" s="1" t="str">
        <f>IFERROR(__xludf.DUMMYFUNCTION("""COMPUTED_VALUE"""),"University of Namur")</f>
        <v>University of Namur</v>
      </c>
      <c r="S242" s="2" t="s">
        <v>190</v>
      </c>
      <c r="U242" s="2" t="s">
        <v>506</v>
      </c>
      <c r="V242" s="2" t="s">
        <v>243</v>
      </c>
    </row>
    <row r="243" ht="15.75" customHeight="1">
      <c r="A243" s="1" t="s">
        <v>422</v>
      </c>
      <c r="B243" s="1" t="s">
        <v>77</v>
      </c>
      <c r="C243" s="1" t="s">
        <v>507</v>
      </c>
      <c r="R243" s="1" t="str">
        <f>IFERROR(__xludf.DUMMYFUNCTION("""COMPUTED_VALUE"""),"Carleton University")</f>
        <v>Carleton University</v>
      </c>
      <c r="S243" s="2" t="s">
        <v>112</v>
      </c>
      <c r="U243" s="2" t="s">
        <v>508</v>
      </c>
      <c r="V243" s="2" t="s">
        <v>22</v>
      </c>
    </row>
    <row r="244" ht="15.75" customHeight="1">
      <c r="A244" s="1" t="s">
        <v>422</v>
      </c>
      <c r="B244" s="1" t="s">
        <v>77</v>
      </c>
      <c r="C244" s="1" t="s">
        <v>509</v>
      </c>
      <c r="R244" s="1" t="str">
        <f>IFERROR(__xludf.DUMMYFUNCTION("""COMPUTED_VALUE"""),"Fraunhofer Institute for Manufacturing Engineering and Automation IPA")</f>
        <v>Fraunhofer Institute for Manufacturing Engineering and Automation IPA</v>
      </c>
      <c r="S244" s="2" t="s">
        <v>39</v>
      </c>
      <c r="U244" s="2" t="s">
        <v>510</v>
      </c>
      <c r="V244" s="2" t="s">
        <v>64</v>
      </c>
    </row>
    <row r="245" ht="15.75" customHeight="1">
      <c r="A245" s="1" t="s">
        <v>422</v>
      </c>
      <c r="B245" s="1" t="s">
        <v>77</v>
      </c>
      <c r="C245" s="1" t="s">
        <v>511</v>
      </c>
      <c r="R245" s="1" t="str">
        <f>IFERROR(__xludf.DUMMYFUNCTION("""COMPUTED_VALUE"""),"Georgetown University")</f>
        <v>Georgetown University</v>
      </c>
      <c r="S245" s="2" t="s">
        <v>8</v>
      </c>
      <c r="U245" s="2" t="s">
        <v>512</v>
      </c>
      <c r="V245" s="2" t="s">
        <v>31</v>
      </c>
    </row>
    <row r="246" ht="15.75" customHeight="1">
      <c r="A246" s="1" t="s">
        <v>422</v>
      </c>
      <c r="B246" s="1" t="s">
        <v>158</v>
      </c>
      <c r="C246" s="1" t="s">
        <v>513</v>
      </c>
      <c r="R246" s="1" t="str">
        <f>IFERROR(__xludf.DUMMYFUNCTION("""COMPUTED_VALUE"""),"Instituto Superior Tecnológico 17 de Julio")</f>
        <v>Instituto Superior Tecnológico 17 de Julio</v>
      </c>
      <c r="S246" s="2" t="s">
        <v>190</v>
      </c>
      <c r="U246" s="2" t="s">
        <v>514</v>
      </c>
      <c r="V246" s="2" t="s">
        <v>515</v>
      </c>
    </row>
    <row r="247" ht="15.75" customHeight="1">
      <c r="A247" s="1" t="s">
        <v>422</v>
      </c>
      <c r="B247" s="1" t="s">
        <v>158</v>
      </c>
      <c r="C247" s="1" t="s">
        <v>516</v>
      </c>
      <c r="R247" s="1" t="str">
        <f>IFERROR(__xludf.DUMMYFUNCTION("""COMPUTED_VALUE"""),"Stony Brook University")</f>
        <v>Stony Brook University</v>
      </c>
      <c r="S247" s="2" t="s">
        <v>75</v>
      </c>
      <c r="U247" s="2" t="s">
        <v>517</v>
      </c>
      <c r="V247" s="2" t="s">
        <v>31</v>
      </c>
    </row>
    <row r="248" ht="15.75" customHeight="1">
      <c r="A248" s="1" t="s">
        <v>422</v>
      </c>
      <c r="B248" s="1" t="s">
        <v>158</v>
      </c>
      <c r="C248" s="1" t="s">
        <v>518</v>
      </c>
      <c r="R248" s="1" t="str">
        <f>IFERROR(__xludf.DUMMYFUNCTION("""COMPUTED_VALUE"""),"Federal University of Amazonas")</f>
        <v>Federal University of Amazonas</v>
      </c>
      <c r="S248" s="2" t="s">
        <v>39</v>
      </c>
      <c r="U248" s="2" t="s">
        <v>519</v>
      </c>
      <c r="V248" s="2" t="s">
        <v>112</v>
      </c>
    </row>
    <row r="249" ht="15.75" customHeight="1">
      <c r="A249" s="1" t="s">
        <v>422</v>
      </c>
      <c r="B249" s="1" t="s">
        <v>158</v>
      </c>
      <c r="C249" s="1" t="s">
        <v>520</v>
      </c>
      <c r="R249" s="1" t="str">
        <f>IFERROR(__xludf.DUMMYFUNCTION("""COMPUTED_VALUE"""),"Martin Luther University Halle-Wittenberg")</f>
        <v>Martin Luther University Halle-Wittenberg</v>
      </c>
      <c r="S249" s="2" t="s">
        <v>22</v>
      </c>
      <c r="U249" s="2" t="s">
        <v>521</v>
      </c>
      <c r="V249" s="2" t="s">
        <v>64</v>
      </c>
    </row>
    <row r="250" ht="15.75" customHeight="1">
      <c r="A250" s="1" t="s">
        <v>422</v>
      </c>
      <c r="B250" s="1" t="s">
        <v>158</v>
      </c>
      <c r="C250" s="1" t="s">
        <v>522</v>
      </c>
      <c r="R250" s="1" t="str">
        <f>IFERROR(__xludf.DUMMYFUNCTION("""COMPUTED_VALUE"""),"Helsinki Institute for Information Technology")</f>
        <v>Helsinki Institute for Information Technology</v>
      </c>
      <c r="S250" s="2" t="s">
        <v>64</v>
      </c>
      <c r="U250" s="2" t="s">
        <v>523</v>
      </c>
      <c r="V250" s="2" t="s">
        <v>75</v>
      </c>
    </row>
    <row r="251" ht="15.75" customHeight="1">
      <c r="A251" s="1" t="s">
        <v>422</v>
      </c>
      <c r="B251" s="1" t="s">
        <v>158</v>
      </c>
      <c r="C251" s="1" t="s">
        <v>524</v>
      </c>
      <c r="R251" s="1" t="str">
        <f>IFERROR(__xludf.DUMMYFUNCTION("""COMPUTED_VALUE"""),"Victoria University of Wellington")</f>
        <v>Victoria University of Wellington</v>
      </c>
      <c r="S251" s="2" t="s">
        <v>36</v>
      </c>
      <c r="U251" s="2" t="s">
        <v>525</v>
      </c>
      <c r="V251" s="2" t="s">
        <v>206</v>
      </c>
    </row>
    <row r="252" ht="15.75" customHeight="1">
      <c r="A252" s="1" t="s">
        <v>422</v>
      </c>
      <c r="B252" s="1" t="s">
        <v>158</v>
      </c>
      <c r="C252" s="1" t="s">
        <v>526</v>
      </c>
      <c r="R252" s="1" t="str">
        <f>IFERROR(__xludf.DUMMYFUNCTION("""COMPUTED_VALUE"""),"Carlsberg Foundation")</f>
        <v>Carlsberg Foundation</v>
      </c>
      <c r="S252" s="2" t="s">
        <v>64</v>
      </c>
      <c r="U252" s="2" t="s">
        <v>527</v>
      </c>
      <c r="V252" s="2" t="s">
        <v>8</v>
      </c>
    </row>
    <row r="253" ht="15.75" customHeight="1">
      <c r="A253" s="1" t="s">
        <v>422</v>
      </c>
      <c r="B253" s="1" t="s">
        <v>158</v>
      </c>
      <c r="C253" s="1" t="s">
        <v>528</v>
      </c>
      <c r="R253" s="1" t="str">
        <f>IFERROR(__xludf.DUMMYFUNCTION("""COMPUTED_VALUE"""),"CERSA/CNRS France")</f>
        <v>CERSA/CNRS France</v>
      </c>
      <c r="S253" s="2" t="s">
        <v>64</v>
      </c>
      <c r="U253" s="2" t="s">
        <v>529</v>
      </c>
      <c r="V253" s="2" t="s">
        <v>19</v>
      </c>
    </row>
    <row r="254" ht="15.75" customHeight="1">
      <c r="A254" s="1" t="s">
        <v>422</v>
      </c>
      <c r="B254" s="1" t="s">
        <v>158</v>
      </c>
      <c r="C254" s="1" t="s">
        <v>530</v>
      </c>
      <c r="R254" s="1" t="str">
        <f>IFERROR(__xludf.DUMMYFUNCTION("""COMPUTED_VALUE"""),"University of Valencia")</f>
        <v>University of Valencia</v>
      </c>
      <c r="S254" s="2" t="s">
        <v>64</v>
      </c>
      <c r="U254" s="2" t="s">
        <v>531</v>
      </c>
      <c r="V254" s="2" t="s">
        <v>82</v>
      </c>
    </row>
    <row r="255" ht="15.75" customHeight="1">
      <c r="A255" s="1" t="s">
        <v>422</v>
      </c>
      <c r="B255" s="1" t="s">
        <v>158</v>
      </c>
      <c r="C255" s="1" t="s">
        <v>532</v>
      </c>
      <c r="R255" s="1" t="str">
        <f>IFERROR(__xludf.DUMMYFUNCTION("""COMPUTED_VALUE"""),"McGill University")</f>
        <v>McGill University</v>
      </c>
      <c r="S255" s="2" t="s">
        <v>249</v>
      </c>
      <c r="U255" s="2" t="s">
        <v>533</v>
      </c>
      <c r="V255" s="2" t="s">
        <v>22</v>
      </c>
    </row>
    <row r="256" ht="15.75" customHeight="1">
      <c r="A256" s="1" t="s">
        <v>422</v>
      </c>
      <c r="B256" s="1" t="s">
        <v>158</v>
      </c>
      <c r="C256" s="1" t="s">
        <v>534</v>
      </c>
      <c r="R256" s="1" t="str">
        <f>IFERROR(__xludf.DUMMYFUNCTION("""COMPUTED_VALUE"""),"Bern University of Applied Sciences")</f>
        <v>Bern University of Applied Sciences</v>
      </c>
      <c r="S256" s="2" t="s">
        <v>31</v>
      </c>
      <c r="U256" s="2" t="s">
        <v>535</v>
      </c>
      <c r="V256" s="2" t="s">
        <v>53</v>
      </c>
    </row>
    <row r="257" ht="15.75" customHeight="1">
      <c r="A257" s="1" t="s">
        <v>422</v>
      </c>
      <c r="B257" s="1" t="s">
        <v>158</v>
      </c>
      <c r="C257" s="1" t="s">
        <v>536</v>
      </c>
      <c r="R257" s="1" t="str">
        <f>IFERROR(__xludf.DUMMYFUNCTION("""COMPUTED_VALUE"""),"Westerdals Oslo School of Arts")</f>
        <v>Westerdals Oslo School of Arts</v>
      </c>
      <c r="S257" s="2" t="s">
        <v>31</v>
      </c>
      <c r="U257" s="2" t="s">
        <v>537</v>
      </c>
      <c r="V257" s="2" t="s">
        <v>79</v>
      </c>
    </row>
    <row r="258" ht="15.75" customHeight="1">
      <c r="A258" s="1" t="s">
        <v>422</v>
      </c>
      <c r="B258" s="1" t="s">
        <v>330</v>
      </c>
      <c r="C258" s="1" t="s">
        <v>538</v>
      </c>
      <c r="R258" s="1" t="str">
        <f>IFERROR(__xludf.DUMMYFUNCTION("""COMPUTED_VALUE"""),"University of Rome Tor Vergata")</f>
        <v>University of Rome Tor Vergata</v>
      </c>
      <c r="S258" s="2" t="s">
        <v>89</v>
      </c>
      <c r="U258" s="2" t="s">
        <v>539</v>
      </c>
      <c r="V258" s="2" t="s">
        <v>89</v>
      </c>
    </row>
    <row r="259" ht="15.75" customHeight="1">
      <c r="A259" s="1" t="s">
        <v>422</v>
      </c>
      <c r="B259" s="1" t="s">
        <v>330</v>
      </c>
      <c r="C259" s="1" t="s">
        <v>540</v>
      </c>
      <c r="R259" s="1" t="str">
        <f>IFERROR(__xludf.DUMMYFUNCTION("""COMPUTED_VALUE"""),"Tokyo Metropolitan University")</f>
        <v>Tokyo Metropolitan University</v>
      </c>
      <c r="S259" s="2" t="s">
        <v>31</v>
      </c>
      <c r="U259" s="2" t="s">
        <v>541</v>
      </c>
      <c r="V259" s="2" t="s">
        <v>178</v>
      </c>
    </row>
    <row r="260" ht="15.75" customHeight="1">
      <c r="A260" s="1" t="s">
        <v>422</v>
      </c>
      <c r="B260" s="1" t="s">
        <v>330</v>
      </c>
      <c r="C260" s="1" t="s">
        <v>542</v>
      </c>
      <c r="R260" s="1" t="str">
        <f>IFERROR(__xludf.DUMMYFUNCTION("""COMPUTED_VALUE"""),"Blast Theory")</f>
        <v>Blast Theory</v>
      </c>
      <c r="S260" s="2" t="s">
        <v>31</v>
      </c>
      <c r="U260" s="2" t="s">
        <v>543</v>
      </c>
      <c r="V260" s="2" t="s">
        <v>39</v>
      </c>
    </row>
    <row r="261" ht="15.75" customHeight="1">
      <c r="A261" s="1" t="s">
        <v>422</v>
      </c>
      <c r="B261" s="1" t="s">
        <v>330</v>
      </c>
      <c r="C261" s="1" t="s">
        <v>544</v>
      </c>
      <c r="R261" s="1" t="str">
        <f>IFERROR(__xludf.DUMMYFUNCTION("""COMPUTED_VALUE"""),"University of Turku")</f>
        <v>University of Turku</v>
      </c>
      <c r="S261" s="2" t="s">
        <v>8</v>
      </c>
      <c r="U261" s="2" t="s">
        <v>545</v>
      </c>
      <c r="V261" s="2" t="s">
        <v>75</v>
      </c>
    </row>
    <row r="262" ht="15.75" customHeight="1">
      <c r="A262" s="1" t="s">
        <v>422</v>
      </c>
      <c r="B262" s="1" t="s">
        <v>330</v>
      </c>
      <c r="C262" s="1" t="s">
        <v>546</v>
      </c>
      <c r="R262" s="1" t="str">
        <f>IFERROR(__xludf.DUMMYFUNCTION("""COMPUTED_VALUE"""),"Heidelberg Institute for Theoretical Studies")</f>
        <v>Heidelberg Institute for Theoretical Studies</v>
      </c>
      <c r="S262" s="2" t="s">
        <v>22</v>
      </c>
      <c r="U262" s="2" t="s">
        <v>547</v>
      </c>
      <c r="V262" s="2" t="s">
        <v>64</v>
      </c>
    </row>
    <row r="263" ht="15.75" customHeight="1">
      <c r="A263" s="1" t="s">
        <v>422</v>
      </c>
      <c r="B263" s="1" t="s">
        <v>330</v>
      </c>
      <c r="C263" s="1" t="s">
        <v>548</v>
      </c>
      <c r="R263" s="1" t="str">
        <f>IFERROR(__xludf.DUMMYFUNCTION("""COMPUTED_VALUE"""),"Configit")</f>
        <v>Configit</v>
      </c>
      <c r="S263" s="2" t="s">
        <v>64</v>
      </c>
      <c r="U263" s="2" t="s">
        <v>549</v>
      </c>
      <c r="V263" s="2" t="s">
        <v>8</v>
      </c>
    </row>
    <row r="264" ht="15.75" customHeight="1">
      <c r="A264" s="1" t="s">
        <v>422</v>
      </c>
      <c r="B264" s="1" t="s">
        <v>330</v>
      </c>
      <c r="C264" s="1" t="s">
        <v>550</v>
      </c>
      <c r="R264" s="1" t="str">
        <f>IFERROR(__xludf.DUMMYFUNCTION("""COMPUTED_VALUE"""),"University of Padua")</f>
        <v>University of Padua</v>
      </c>
      <c r="S264" s="2" t="s">
        <v>92</v>
      </c>
      <c r="U264" s="2" t="s">
        <v>551</v>
      </c>
      <c r="V264" s="2" t="s">
        <v>89</v>
      </c>
    </row>
    <row r="265" ht="15.75" customHeight="1">
      <c r="A265" s="1" t="s">
        <v>422</v>
      </c>
      <c r="B265" s="1" t="s">
        <v>330</v>
      </c>
      <c r="C265" s="1" t="s">
        <v>552</v>
      </c>
      <c r="R265" s="1" t="str">
        <f>IFERROR(__xludf.DUMMYFUNCTION("""COMPUTED_VALUE"""),"The University of Hong Kong")</f>
        <v>The University of Hong Kong</v>
      </c>
      <c r="S265" s="2" t="s">
        <v>64</v>
      </c>
      <c r="U265" s="2" t="s">
        <v>553</v>
      </c>
      <c r="V265" s="2" t="s">
        <v>264</v>
      </c>
    </row>
    <row r="266" ht="15.75" customHeight="1">
      <c r="A266" s="1" t="s">
        <v>422</v>
      </c>
      <c r="B266" s="1" t="s">
        <v>330</v>
      </c>
      <c r="C266" s="1" t="s">
        <v>554</v>
      </c>
      <c r="R266" s="1" t="str">
        <f>IFERROR(__xludf.DUMMYFUNCTION("""COMPUTED_VALUE"""),"University of Aberdeen")</f>
        <v>University of Aberdeen</v>
      </c>
      <c r="S266" s="2" t="s">
        <v>64</v>
      </c>
      <c r="U266" s="2" t="s">
        <v>555</v>
      </c>
      <c r="V266" s="2" t="s">
        <v>39</v>
      </c>
    </row>
    <row r="267" ht="15.75" customHeight="1">
      <c r="A267" s="1" t="s">
        <v>422</v>
      </c>
      <c r="B267" s="1" t="s">
        <v>330</v>
      </c>
      <c r="C267" s="1" t="s">
        <v>556</v>
      </c>
      <c r="R267" s="1" t="str">
        <f>IFERROR(__xludf.DUMMYFUNCTION("""COMPUTED_VALUE"""),"Hasselt University")</f>
        <v>Hasselt University</v>
      </c>
      <c r="S267" s="2" t="s">
        <v>178</v>
      </c>
      <c r="U267" s="2" t="s">
        <v>557</v>
      </c>
      <c r="V267" s="2" t="s">
        <v>243</v>
      </c>
    </row>
    <row r="268" ht="15.75" customHeight="1">
      <c r="A268" s="1" t="s">
        <v>422</v>
      </c>
      <c r="B268" s="1" t="s">
        <v>330</v>
      </c>
      <c r="C268" s="1" t="s">
        <v>558</v>
      </c>
      <c r="R268" s="1" t="str">
        <f>IFERROR(__xludf.DUMMYFUNCTION("""COMPUTED_VALUE"""),"NEC Laboratories Europe GmbH")</f>
        <v>NEC Laboratories Europe GmbH</v>
      </c>
      <c r="S268" s="2" t="s">
        <v>31</v>
      </c>
      <c r="U268" s="2" t="s">
        <v>559</v>
      </c>
      <c r="V268" s="2" t="s">
        <v>64</v>
      </c>
    </row>
    <row r="269" ht="15.75" customHeight="1">
      <c r="A269" s="1" t="s">
        <v>422</v>
      </c>
      <c r="B269" s="1" t="s">
        <v>330</v>
      </c>
      <c r="C269" s="1" t="s">
        <v>560</v>
      </c>
      <c r="R269" s="1" t="str">
        <f>IFERROR(__xludf.DUMMYFUNCTION("""COMPUTED_VALUE"""),"Harz University of Applied Sciences")</f>
        <v>Harz University of Applied Sciences</v>
      </c>
      <c r="S269" s="2" t="s">
        <v>64</v>
      </c>
      <c r="U269" s="2" t="s">
        <v>561</v>
      </c>
      <c r="V269" s="2" t="s">
        <v>64</v>
      </c>
    </row>
    <row r="270" ht="15.75" customHeight="1">
      <c r="A270" s="1" t="s">
        <v>422</v>
      </c>
      <c r="B270" s="1" t="s">
        <v>330</v>
      </c>
      <c r="C270" s="1" t="s">
        <v>562</v>
      </c>
      <c r="R270" s="1" t="str">
        <f>IFERROR(__xludf.DUMMYFUNCTION("""COMPUTED_VALUE"""),"University of Applied Sciences Baden-Württemberg Lörrach")</f>
        <v>University of Applied Sciences Baden-Württemberg Lörrach</v>
      </c>
      <c r="S270" s="2" t="s">
        <v>64</v>
      </c>
      <c r="U270" s="2" t="s">
        <v>563</v>
      </c>
      <c r="V270" s="2" t="s">
        <v>64</v>
      </c>
    </row>
    <row r="271" ht="15.75" customHeight="1">
      <c r="A271" s="1" t="s">
        <v>422</v>
      </c>
      <c r="B271" s="1" t="s">
        <v>330</v>
      </c>
      <c r="C271" s="1" t="s">
        <v>564</v>
      </c>
      <c r="R271" s="1" t="str">
        <f>IFERROR(__xludf.DUMMYFUNCTION("""COMPUTED_VALUE"""),"RIKEN Center for Computational Science")</f>
        <v>RIKEN Center for Computational Science</v>
      </c>
      <c r="S271" s="2" t="s">
        <v>8</v>
      </c>
      <c r="U271" s="2" t="s">
        <v>565</v>
      </c>
      <c r="V271" s="2" t="s">
        <v>178</v>
      </c>
    </row>
    <row r="272" ht="15.75" customHeight="1">
      <c r="A272" s="1" t="s">
        <v>422</v>
      </c>
      <c r="B272" s="1" t="s">
        <v>330</v>
      </c>
      <c r="C272" s="1" t="s">
        <v>566</v>
      </c>
      <c r="R272" s="1" t="str">
        <f>IFERROR(__xludf.DUMMYFUNCTION("""COMPUTED_VALUE"""),"Ericsson")</f>
        <v>Ericsson</v>
      </c>
      <c r="S272" s="2" t="s">
        <v>8</v>
      </c>
      <c r="U272" s="2" t="s">
        <v>567</v>
      </c>
      <c r="V272" s="2" t="s">
        <v>25</v>
      </c>
    </row>
    <row r="273" ht="15.75" customHeight="1">
      <c r="A273" s="1" t="s">
        <v>422</v>
      </c>
      <c r="B273" s="1" t="s">
        <v>330</v>
      </c>
      <c r="C273" s="1" t="s">
        <v>568</v>
      </c>
      <c r="R273" s="1" t="str">
        <f>IFERROR(__xludf.DUMMYFUNCTION("""COMPUTED_VALUE"""),"Higher National School of Computer Science")</f>
        <v>Higher National School of Computer Science</v>
      </c>
      <c r="S273" s="2" t="s">
        <v>22</v>
      </c>
      <c r="U273" s="2" t="s">
        <v>569</v>
      </c>
      <c r="V273" s="2" t="s">
        <v>19</v>
      </c>
    </row>
    <row r="274" ht="15.75" customHeight="1">
      <c r="A274" s="1" t="s">
        <v>422</v>
      </c>
      <c r="B274" s="1" t="s">
        <v>330</v>
      </c>
      <c r="C274" s="1" t="s">
        <v>570</v>
      </c>
      <c r="R274" s="1" t="str">
        <f>IFERROR(__xludf.DUMMYFUNCTION("""COMPUTED_VALUE"""),"Sealytix")</f>
        <v>Sealytix</v>
      </c>
      <c r="S274" s="2" t="s">
        <v>92</v>
      </c>
      <c r="U274" s="2" t="s">
        <v>571</v>
      </c>
      <c r="V274" s="2" t="s">
        <v>8</v>
      </c>
    </row>
    <row r="275" ht="15.75" customHeight="1">
      <c r="A275" s="1" t="s">
        <v>422</v>
      </c>
      <c r="B275" s="1" t="s">
        <v>378</v>
      </c>
      <c r="C275" s="1" t="s">
        <v>572</v>
      </c>
      <c r="R275" s="1" t="str">
        <f>IFERROR(__xludf.DUMMYFUNCTION("""COMPUTED_VALUE"""),"TU Dresden")</f>
        <v>TU Dresden</v>
      </c>
      <c r="S275" s="2" t="s">
        <v>31</v>
      </c>
      <c r="U275" s="2" t="s">
        <v>573</v>
      </c>
      <c r="V275" s="2" t="s">
        <v>64</v>
      </c>
    </row>
    <row r="276" ht="15.75" customHeight="1">
      <c r="A276" s="1" t="s">
        <v>422</v>
      </c>
      <c r="B276" s="1" t="s">
        <v>378</v>
      </c>
      <c r="C276" s="1" t="s">
        <v>574</v>
      </c>
      <c r="R276" s="1" t="str">
        <f>IFERROR(__xludf.DUMMYFUNCTION("""COMPUTED_VALUE"""),"Indian Institute of Science Education and Research Pune")</f>
        <v>Indian Institute of Science Education and Research Pune</v>
      </c>
      <c r="S276" s="2" t="s">
        <v>19</v>
      </c>
      <c r="U276" s="2" t="s">
        <v>575</v>
      </c>
      <c r="V276" s="2" t="s">
        <v>190</v>
      </c>
    </row>
    <row r="277" ht="15.75" customHeight="1">
      <c r="A277" s="1" t="s">
        <v>422</v>
      </c>
      <c r="B277" s="1" t="s">
        <v>378</v>
      </c>
      <c r="C277" s="1" t="s">
        <v>576</v>
      </c>
      <c r="R277" s="1" t="str">
        <f>IFERROR(__xludf.DUMMYFUNCTION("""COMPUTED_VALUE"""),"Fondazione Bruno Kessler")</f>
        <v>Fondazione Bruno Kessler</v>
      </c>
      <c r="S277" s="2" t="s">
        <v>64</v>
      </c>
      <c r="U277" s="2" t="s">
        <v>577</v>
      </c>
      <c r="V277" s="2" t="s">
        <v>89</v>
      </c>
    </row>
    <row r="278" ht="15.75" customHeight="1">
      <c r="A278" s="1" t="s">
        <v>422</v>
      </c>
      <c r="B278" s="1" t="s">
        <v>378</v>
      </c>
      <c r="C278" s="1" t="s">
        <v>578</v>
      </c>
      <c r="R278" s="1" t="str">
        <f>IFERROR(__xludf.DUMMYFUNCTION("""COMPUTED_VALUE"""),"Indian Institute of Technology Delhi")</f>
        <v>Indian Institute of Technology Delhi</v>
      </c>
      <c r="S278" s="2" t="s">
        <v>8</v>
      </c>
      <c r="U278" s="2" t="s">
        <v>579</v>
      </c>
      <c r="V278" s="2" t="s">
        <v>190</v>
      </c>
    </row>
    <row r="279" ht="15.75" customHeight="1">
      <c r="A279" s="1" t="s">
        <v>422</v>
      </c>
      <c r="B279" s="1" t="s">
        <v>378</v>
      </c>
      <c r="C279" s="1" t="s">
        <v>580</v>
      </c>
      <c r="R279" s="1" t="str">
        <f>IFERROR(__xludf.DUMMYFUNCTION("""COMPUTED_VALUE"""),"Mohammed VI Polytechnic University")</f>
        <v>Mohammed VI Polytechnic University</v>
      </c>
      <c r="S279" s="2" t="s">
        <v>31</v>
      </c>
      <c r="U279" s="2" t="s">
        <v>581</v>
      </c>
      <c r="V279" s="2" t="s">
        <v>582</v>
      </c>
    </row>
    <row r="280" ht="15.75" customHeight="1">
      <c r="A280" s="1" t="s">
        <v>422</v>
      </c>
      <c r="B280" s="1" t="s">
        <v>378</v>
      </c>
      <c r="C280" s="1" t="s">
        <v>583</v>
      </c>
      <c r="R280" s="1" t="str">
        <f>IFERROR(__xludf.DUMMYFUNCTION("""COMPUTED_VALUE"""),"University of Klagenfurt")</f>
        <v>University of Klagenfurt</v>
      </c>
      <c r="S280" s="2" t="s">
        <v>64</v>
      </c>
      <c r="U280" s="2" t="s">
        <v>584</v>
      </c>
      <c r="V280" s="2" t="s">
        <v>149</v>
      </c>
    </row>
    <row r="281" ht="15.75" customHeight="1">
      <c r="A281" s="1" t="s">
        <v>422</v>
      </c>
      <c r="B281" s="1" t="s">
        <v>378</v>
      </c>
      <c r="C281" s="1" t="s">
        <v>585</v>
      </c>
      <c r="R281" s="1" t="str">
        <f>IFERROR(__xludf.DUMMYFUNCTION("""COMPUTED_VALUE"""),"University College London - Institute of Education")</f>
        <v>University College London - Institute of Education</v>
      </c>
      <c r="S281" s="2" t="s">
        <v>89</v>
      </c>
      <c r="U281" s="2" t="s">
        <v>586</v>
      </c>
      <c r="V281" s="2" t="s">
        <v>39</v>
      </c>
    </row>
    <row r="282" ht="15.75" customHeight="1">
      <c r="A282" s="1" t="s">
        <v>422</v>
      </c>
      <c r="B282" s="1" t="s">
        <v>378</v>
      </c>
      <c r="C282" s="1" t="s">
        <v>587</v>
      </c>
      <c r="R282" s="1" t="str">
        <f>IFERROR(__xludf.DUMMYFUNCTION("""COMPUTED_VALUE"""),"Catholic University of the Sacred Heart")</f>
        <v>Catholic University of the Sacred Heart</v>
      </c>
      <c r="S282" s="2" t="s">
        <v>64</v>
      </c>
      <c r="U282" s="2" t="s">
        <v>588</v>
      </c>
      <c r="V282" s="2" t="s">
        <v>89</v>
      </c>
    </row>
    <row r="283" ht="15.75" customHeight="1">
      <c r="A283" s="1" t="s">
        <v>422</v>
      </c>
      <c r="B283" s="1" t="s">
        <v>378</v>
      </c>
      <c r="C283" s="1" t="s">
        <v>589</v>
      </c>
      <c r="R283" s="1" t="str">
        <f>IFERROR(__xludf.DUMMYFUNCTION("""COMPUTED_VALUE"""),"Pontifical Catholic University of Rio Grande do Sul")</f>
        <v>Pontifical Catholic University of Rio Grande do Sul</v>
      </c>
      <c r="S283" s="2" t="s">
        <v>8</v>
      </c>
      <c r="U283" s="2" t="s">
        <v>590</v>
      </c>
      <c r="V283" s="2" t="s">
        <v>112</v>
      </c>
    </row>
    <row r="284" ht="15.75" customHeight="1">
      <c r="A284" s="1" t="s">
        <v>422</v>
      </c>
      <c r="B284" s="1" t="s">
        <v>378</v>
      </c>
      <c r="C284" s="1" t="s">
        <v>591</v>
      </c>
      <c r="R284" s="1" t="str">
        <f>IFERROR(__xludf.DUMMYFUNCTION("""COMPUTED_VALUE"""),"Universite Cote d'Azur")</f>
        <v>Universite Cote d'Azur</v>
      </c>
      <c r="S284" s="2" t="s">
        <v>64</v>
      </c>
      <c r="U284" s="2" t="s">
        <v>592</v>
      </c>
      <c r="V284" s="2" t="s">
        <v>19</v>
      </c>
    </row>
    <row r="285" ht="15.75" customHeight="1">
      <c r="A285" s="1" t="s">
        <v>422</v>
      </c>
      <c r="B285" s="1" t="s">
        <v>378</v>
      </c>
      <c r="C285" s="1" t="s">
        <v>593</v>
      </c>
      <c r="R285" s="1" t="str">
        <f>IFERROR(__xludf.DUMMYFUNCTION("""COMPUTED_VALUE"""),"Kyushu Institute of Technology")</f>
        <v>Kyushu Institute of Technology</v>
      </c>
      <c r="S285" s="2" t="s">
        <v>178</v>
      </c>
      <c r="U285" s="2" t="s">
        <v>594</v>
      </c>
      <c r="V285" s="2" t="s">
        <v>178</v>
      </c>
    </row>
    <row r="286" ht="15.75" customHeight="1">
      <c r="A286" s="1" t="s">
        <v>422</v>
      </c>
      <c r="B286" s="1" t="s">
        <v>378</v>
      </c>
      <c r="C286" s="1" t="s">
        <v>595</v>
      </c>
      <c r="R286" s="1" t="str">
        <f>IFERROR(__xludf.DUMMYFUNCTION("""COMPUTED_VALUE"""),"Intel")</f>
        <v>Intel</v>
      </c>
      <c r="S286" s="2" t="s">
        <v>64</v>
      </c>
      <c r="U286" s="2" t="s">
        <v>596</v>
      </c>
      <c r="V286" s="2" t="s">
        <v>31</v>
      </c>
    </row>
    <row r="287" ht="15.75" customHeight="1">
      <c r="A287" s="1" t="s">
        <v>422</v>
      </c>
      <c r="B287" s="1" t="s">
        <v>378</v>
      </c>
      <c r="C287" s="1" t="s">
        <v>597</v>
      </c>
      <c r="R287" s="1" t="str">
        <f>IFERROR(__xludf.DUMMYFUNCTION("""COMPUTED_VALUE"""),"RIKEN Center for Advanced Intelligence Project")</f>
        <v>RIKEN Center for Advanced Intelligence Project</v>
      </c>
      <c r="S287" s="2" t="s">
        <v>22</v>
      </c>
      <c r="U287" s="2" t="s">
        <v>598</v>
      </c>
      <c r="V287" s="2" t="s">
        <v>178</v>
      </c>
    </row>
    <row r="288" ht="15.75" customHeight="1">
      <c r="A288" s="1" t="s">
        <v>422</v>
      </c>
      <c r="B288" s="1" t="s">
        <v>378</v>
      </c>
      <c r="C288" s="1" t="s">
        <v>599</v>
      </c>
      <c r="R288" s="1" t="str">
        <f>IFERROR(__xludf.DUMMYFUNCTION("""COMPUTED_VALUE"""),"École Normale Supérieure Paris-Saclay")</f>
        <v>École Normale Supérieure Paris-Saclay</v>
      </c>
      <c r="S288" s="2" t="s">
        <v>31</v>
      </c>
      <c r="U288" s="2" t="s">
        <v>600</v>
      </c>
      <c r="V288" s="2" t="s">
        <v>19</v>
      </c>
    </row>
    <row r="289" ht="15.75" customHeight="1">
      <c r="A289" s="1" t="s">
        <v>422</v>
      </c>
      <c r="B289" s="1" t="s">
        <v>378</v>
      </c>
      <c r="C289" s="1" t="s">
        <v>601</v>
      </c>
      <c r="R289" s="1" t="str">
        <f>IFERROR(__xludf.DUMMYFUNCTION("""COMPUTED_VALUE"""),"University of Twente")</f>
        <v>University of Twente</v>
      </c>
      <c r="S289" s="2" t="s">
        <v>89</v>
      </c>
      <c r="U289" s="2" t="s">
        <v>602</v>
      </c>
      <c r="V289" s="2" t="s">
        <v>36</v>
      </c>
    </row>
    <row r="290" ht="15.75" customHeight="1">
      <c r="A290" s="1" t="s">
        <v>422</v>
      </c>
      <c r="B290" s="1" t="s">
        <v>378</v>
      </c>
      <c r="C290" s="1" t="s">
        <v>603</v>
      </c>
      <c r="R290" s="1" t="str">
        <f>IFERROR(__xludf.DUMMYFUNCTION("""COMPUTED_VALUE"""),"Alfréd Rényi Institute of Mathematics")</f>
        <v>Alfréd Rényi Institute of Mathematics</v>
      </c>
      <c r="S290" s="2" t="s">
        <v>149</v>
      </c>
      <c r="U290" s="2" t="s">
        <v>604</v>
      </c>
      <c r="V290" s="2" t="s">
        <v>144</v>
      </c>
    </row>
    <row r="291" ht="15.75" customHeight="1">
      <c r="A291" s="1" t="s">
        <v>422</v>
      </c>
      <c r="B291" s="1" t="s">
        <v>378</v>
      </c>
      <c r="C291" s="1" t="s">
        <v>605</v>
      </c>
      <c r="R291" s="1" t="str">
        <f>IFERROR(__xludf.DUMMYFUNCTION("""COMPUTED_VALUE"""),"Access Microfinance Holding AG")</f>
        <v>Access Microfinance Holding AG</v>
      </c>
      <c r="S291" s="2" t="s">
        <v>19</v>
      </c>
      <c r="U291" s="2" t="s">
        <v>606</v>
      </c>
      <c r="V291" s="2" t="s">
        <v>53</v>
      </c>
    </row>
    <row r="292" ht="15.75" customHeight="1">
      <c r="A292" s="1" t="s">
        <v>422</v>
      </c>
      <c r="B292" s="1" t="s">
        <v>378</v>
      </c>
      <c r="C292" s="1" t="s">
        <v>607</v>
      </c>
      <c r="R292" s="1" t="str">
        <f>IFERROR(__xludf.DUMMYFUNCTION("""COMPUTED_VALUE"""),"LFCS, School of Informatics, Edinburgh University")</f>
        <v>LFCS, School of Informatics, Edinburgh University</v>
      </c>
      <c r="S292" s="2" t="s">
        <v>19</v>
      </c>
      <c r="U292" s="2" t="s">
        <v>608</v>
      </c>
      <c r="V292" s="2" t="s">
        <v>39</v>
      </c>
    </row>
    <row r="293" ht="15.75" customHeight="1">
      <c r="A293" s="1" t="s">
        <v>422</v>
      </c>
      <c r="B293" s="1" t="s">
        <v>378</v>
      </c>
      <c r="C293" s="1" t="s">
        <v>609</v>
      </c>
      <c r="R293" s="1" t="str">
        <f>IFERROR(__xludf.DUMMYFUNCTION("""COMPUTED_VALUE"""),"Instituto de Telecomunicações")</f>
        <v>Instituto de Telecomunicações</v>
      </c>
      <c r="S293" s="2" t="s">
        <v>64</v>
      </c>
      <c r="U293" s="2" t="s">
        <v>610</v>
      </c>
      <c r="V293" s="2" t="s">
        <v>267</v>
      </c>
    </row>
    <row r="294" ht="15.75" customHeight="1">
      <c r="A294" s="1" t="s">
        <v>422</v>
      </c>
      <c r="B294" s="1" t="s">
        <v>403</v>
      </c>
      <c r="C294" s="1" t="s">
        <v>611</v>
      </c>
      <c r="R294" s="1" t="str">
        <f>IFERROR(__xludf.DUMMYFUNCTION("""COMPUTED_VALUE"""),"Swinburne University of Technology")</f>
        <v>Swinburne University of Technology</v>
      </c>
      <c r="S294" s="2" t="s">
        <v>64</v>
      </c>
      <c r="U294" s="2" t="s">
        <v>612</v>
      </c>
      <c r="V294" s="2" t="s">
        <v>92</v>
      </c>
    </row>
    <row r="295" ht="15.75" customHeight="1">
      <c r="A295" s="1" t="s">
        <v>422</v>
      </c>
      <c r="B295" s="1" t="s">
        <v>403</v>
      </c>
      <c r="C295" s="1" t="s">
        <v>613</v>
      </c>
      <c r="R295" s="1" t="str">
        <f>IFERROR(__xludf.DUMMYFUNCTION("""COMPUTED_VALUE"""),"Ithaca College")</f>
        <v>Ithaca College</v>
      </c>
      <c r="S295" s="2" t="s">
        <v>64</v>
      </c>
      <c r="U295" s="2" t="s">
        <v>614</v>
      </c>
      <c r="V295" s="2" t="s">
        <v>31</v>
      </c>
    </row>
    <row r="296" ht="15.75" customHeight="1">
      <c r="A296" s="1" t="s">
        <v>422</v>
      </c>
      <c r="B296" s="1" t="s">
        <v>403</v>
      </c>
      <c r="C296" s="1" t="s">
        <v>615</v>
      </c>
      <c r="R296" s="1" t="str">
        <f>IFERROR(__xludf.DUMMYFUNCTION("""COMPUTED_VALUE"""),"University Grenoble Alpes")</f>
        <v>University Grenoble Alpes</v>
      </c>
      <c r="S296" s="2" t="s">
        <v>31</v>
      </c>
      <c r="U296" s="2" t="s">
        <v>616</v>
      </c>
      <c r="V296" s="2" t="s">
        <v>19</v>
      </c>
    </row>
    <row r="297" ht="15.75" customHeight="1">
      <c r="A297" s="1" t="s">
        <v>422</v>
      </c>
      <c r="B297" s="1" t="s">
        <v>403</v>
      </c>
      <c r="C297" s="1" t="s">
        <v>617</v>
      </c>
      <c r="R297" s="1" t="str">
        <f>IFERROR(__xludf.DUMMYFUNCTION("""COMPUTED_VALUE"""),"Parameter Lab")</f>
        <v>Parameter Lab</v>
      </c>
      <c r="S297" s="2" t="s">
        <v>64</v>
      </c>
      <c r="U297" s="2" t="s">
        <v>618</v>
      </c>
      <c r="V297" s="2" t="s">
        <v>31</v>
      </c>
    </row>
    <row r="298" ht="15.75" customHeight="1">
      <c r="A298" s="1" t="s">
        <v>422</v>
      </c>
      <c r="B298" s="1" t="s">
        <v>403</v>
      </c>
      <c r="C298" s="1" t="s">
        <v>619</v>
      </c>
      <c r="R298" s="1" t="str">
        <f>IFERROR(__xludf.DUMMYFUNCTION("""COMPUTED_VALUE"""),"Qatar Computing Research institute")</f>
        <v>Qatar Computing Research institute</v>
      </c>
      <c r="S298" s="2" t="s">
        <v>31</v>
      </c>
      <c r="U298" s="2" t="s">
        <v>620</v>
      </c>
      <c r="V298" s="2" t="s">
        <v>621</v>
      </c>
    </row>
    <row r="299" ht="15.75" customHeight="1">
      <c r="A299" s="1" t="s">
        <v>422</v>
      </c>
      <c r="B299" s="1" t="s">
        <v>403</v>
      </c>
      <c r="C299" s="1" t="s">
        <v>622</v>
      </c>
      <c r="R299" s="1" t="str">
        <f>IFERROR(__xludf.DUMMYFUNCTION("""COMPUTED_VALUE"""),"Malmö University")</f>
        <v>Malmö University</v>
      </c>
      <c r="S299" s="2" t="s">
        <v>89</v>
      </c>
      <c r="U299" s="2" t="s">
        <v>623</v>
      </c>
      <c r="V299" s="2" t="s">
        <v>25</v>
      </c>
    </row>
    <row r="300" ht="15.75" customHeight="1">
      <c r="A300" s="1" t="s">
        <v>422</v>
      </c>
      <c r="B300" s="1" t="s">
        <v>403</v>
      </c>
      <c r="C300" s="1" t="s">
        <v>624</v>
      </c>
      <c r="R300" s="1" t="str">
        <f>IFERROR(__xludf.DUMMYFUNCTION("""COMPUTED_VALUE"""),"Max Planck Institute for Intelligent Systems")</f>
        <v>Max Planck Institute for Intelligent Systems</v>
      </c>
      <c r="S300" s="2" t="s">
        <v>190</v>
      </c>
      <c r="U300" s="2" t="s">
        <v>625</v>
      </c>
      <c r="V300" s="2" t="s">
        <v>64</v>
      </c>
    </row>
    <row r="301" ht="15.75" customHeight="1">
      <c r="A301" s="1" t="s">
        <v>422</v>
      </c>
      <c r="B301" s="1" t="s">
        <v>403</v>
      </c>
      <c r="C301" s="1" t="s">
        <v>626</v>
      </c>
      <c r="R301" s="1" t="str">
        <f>IFERROR(__xludf.DUMMYFUNCTION("""COMPUTED_VALUE"""),"Tel Aviv University")</f>
        <v>Tel Aviv University</v>
      </c>
      <c r="S301" s="2" t="s">
        <v>8</v>
      </c>
      <c r="U301" s="2" t="s">
        <v>627</v>
      </c>
      <c r="V301" s="2" t="s">
        <v>213</v>
      </c>
    </row>
    <row r="302" ht="15.75" customHeight="1">
      <c r="A302" s="1" t="s">
        <v>628</v>
      </c>
      <c r="B302" s="1" t="s">
        <v>6</v>
      </c>
      <c r="C302" s="1" t="s">
        <v>10</v>
      </c>
      <c r="R302" s="1" t="str">
        <f>IFERROR(__xludf.DUMMYFUNCTION("""COMPUTED_VALUE"""),"University of Calgary")</f>
        <v>University of Calgary</v>
      </c>
      <c r="S302" s="2" t="s">
        <v>8</v>
      </c>
      <c r="U302" s="2" t="s">
        <v>629</v>
      </c>
      <c r="V302" s="2" t="s">
        <v>22</v>
      </c>
    </row>
    <row r="303" ht="15.75" customHeight="1">
      <c r="A303" s="1" t="s">
        <v>628</v>
      </c>
      <c r="B303" s="1" t="s">
        <v>6</v>
      </c>
      <c r="C303" s="1" t="s">
        <v>18</v>
      </c>
      <c r="R303" s="1" t="str">
        <f>IFERROR(__xludf.DUMMYFUNCTION("""COMPUTED_VALUE"""),"NII - National Institute of Informatics")</f>
        <v>NII - National Institute of Informatics</v>
      </c>
      <c r="S303" s="2" t="s">
        <v>39</v>
      </c>
      <c r="U303" s="2" t="s">
        <v>630</v>
      </c>
      <c r="V303" s="2" t="s">
        <v>178</v>
      </c>
    </row>
    <row r="304" ht="15.75" customHeight="1">
      <c r="A304" s="1" t="s">
        <v>628</v>
      </c>
      <c r="B304" s="1" t="s">
        <v>6</v>
      </c>
      <c r="C304" s="1" t="s">
        <v>24</v>
      </c>
      <c r="R304" s="1" t="str">
        <f>IFERROR(__xludf.DUMMYFUNCTION("""COMPUTED_VALUE"""),"Newcastle University")</f>
        <v>Newcastle University</v>
      </c>
      <c r="S304" s="2" t="s">
        <v>39</v>
      </c>
      <c r="U304" s="2" t="s">
        <v>631</v>
      </c>
      <c r="V304" s="2" t="s">
        <v>39</v>
      </c>
    </row>
    <row r="305" ht="15.75" customHeight="1">
      <c r="A305" s="1" t="s">
        <v>628</v>
      </c>
      <c r="B305" s="1" t="s">
        <v>29</v>
      </c>
      <c r="C305" s="1" t="s">
        <v>30</v>
      </c>
      <c r="R305" s="1" t="str">
        <f>IFERROR(__xludf.DUMMYFUNCTION("""COMPUTED_VALUE"""),"i2cat")</f>
        <v>i2cat</v>
      </c>
      <c r="S305" s="2" t="s">
        <v>89</v>
      </c>
      <c r="U305" s="2" t="s">
        <v>632</v>
      </c>
      <c r="V305" s="2" t="s">
        <v>82</v>
      </c>
    </row>
    <row r="306" ht="15.75" customHeight="1">
      <c r="A306" s="1" t="s">
        <v>628</v>
      </c>
      <c r="B306" s="1" t="s">
        <v>29</v>
      </c>
      <c r="C306" s="1" t="s">
        <v>38</v>
      </c>
      <c r="R306" s="1" t="str">
        <f>IFERROR(__xludf.DUMMYFUNCTION("""COMPUTED_VALUE"""),"Østfold University College")</f>
        <v>Østfold University College</v>
      </c>
      <c r="S306" s="2" t="s">
        <v>31</v>
      </c>
      <c r="U306" s="2" t="s">
        <v>633</v>
      </c>
      <c r="V306" s="2" t="s">
        <v>79</v>
      </c>
    </row>
    <row r="307" ht="15.75" customHeight="1">
      <c r="A307" s="1" t="s">
        <v>628</v>
      </c>
      <c r="B307" s="1" t="s">
        <v>29</v>
      </c>
      <c r="C307" s="1" t="s">
        <v>43</v>
      </c>
      <c r="R307" s="1" t="str">
        <f>IFERROR(__xludf.DUMMYFUNCTION("""COMPUTED_VALUE"""),"Northern Arizona University")</f>
        <v>Northern Arizona University</v>
      </c>
      <c r="S307" s="2" t="s">
        <v>8</v>
      </c>
      <c r="U307" s="2" t="s">
        <v>634</v>
      </c>
      <c r="V307" s="2" t="s">
        <v>31</v>
      </c>
    </row>
    <row r="308" ht="15.75" customHeight="1">
      <c r="A308" s="1" t="s">
        <v>628</v>
      </c>
      <c r="B308" s="1" t="s">
        <v>29</v>
      </c>
      <c r="C308" s="1" t="s">
        <v>49</v>
      </c>
      <c r="R308" s="1" t="str">
        <f>IFERROR(__xludf.DUMMYFUNCTION("""COMPUTED_VALUE"""),"Université catholique de Louvain")</f>
        <v>Université catholique de Louvain</v>
      </c>
      <c r="S308" s="2" t="s">
        <v>8</v>
      </c>
      <c r="U308" s="2" t="s">
        <v>635</v>
      </c>
      <c r="V308" s="2" t="s">
        <v>243</v>
      </c>
    </row>
    <row r="309" ht="15.75" customHeight="1">
      <c r="A309" s="1" t="s">
        <v>628</v>
      </c>
      <c r="B309" s="1" t="s">
        <v>29</v>
      </c>
      <c r="C309" s="1" t="s">
        <v>52</v>
      </c>
      <c r="R309" s="1" t="str">
        <f>IFERROR(__xludf.DUMMYFUNCTION("""COMPUTED_VALUE"""),"University of Toronto")</f>
        <v>University of Toronto</v>
      </c>
      <c r="S309" s="2" t="s">
        <v>31</v>
      </c>
      <c r="U309" s="2" t="s">
        <v>636</v>
      </c>
      <c r="V309" s="2" t="s">
        <v>22</v>
      </c>
    </row>
    <row r="310" ht="15.75" customHeight="1">
      <c r="A310" s="1" t="s">
        <v>628</v>
      </c>
      <c r="B310" s="1" t="s">
        <v>29</v>
      </c>
      <c r="C310" s="1" t="s">
        <v>57</v>
      </c>
      <c r="R310" s="1" t="str">
        <f>IFERROR(__xludf.DUMMYFUNCTION("""COMPUTED_VALUE"""),"York University")</f>
        <v>York University</v>
      </c>
      <c r="S310" s="2" t="s">
        <v>31</v>
      </c>
      <c r="U310" s="2" t="s">
        <v>637</v>
      </c>
      <c r="V310" s="2" t="s">
        <v>22</v>
      </c>
    </row>
    <row r="311" ht="15.75" customHeight="1">
      <c r="A311" s="1" t="s">
        <v>628</v>
      </c>
      <c r="B311" s="1" t="s">
        <v>29</v>
      </c>
      <c r="C311" s="1" t="s">
        <v>63</v>
      </c>
      <c r="R311" s="1" t="str">
        <f>IFERROR(__xludf.DUMMYFUNCTION("""COMPUTED_VALUE"""),"Southern Methodist University")</f>
        <v>Southern Methodist University</v>
      </c>
      <c r="S311" s="2" t="s">
        <v>249</v>
      </c>
      <c r="U311" s="2" t="s">
        <v>638</v>
      </c>
      <c r="V311" s="2" t="s">
        <v>31</v>
      </c>
    </row>
    <row r="312" ht="15.75" customHeight="1">
      <c r="A312" s="1" t="s">
        <v>628</v>
      </c>
      <c r="B312" s="1" t="s">
        <v>29</v>
      </c>
      <c r="C312" s="1" t="s">
        <v>66</v>
      </c>
      <c r="R312" s="1" t="str">
        <f>IFERROR(__xludf.DUMMYFUNCTION("""COMPUTED_VALUE"""),"University of Costa Rica")</f>
        <v>University of Costa Rica</v>
      </c>
      <c r="S312" s="2" t="s">
        <v>190</v>
      </c>
      <c r="U312" s="2" t="s">
        <v>639</v>
      </c>
      <c r="V312" s="2" t="s">
        <v>640</v>
      </c>
    </row>
    <row r="313" ht="15.75" customHeight="1">
      <c r="A313" s="1" t="s">
        <v>628</v>
      </c>
      <c r="B313" s="1" t="s">
        <v>29</v>
      </c>
      <c r="C313" s="1" t="s">
        <v>72</v>
      </c>
      <c r="R313" s="1" t="str">
        <f>IFERROR(__xludf.DUMMYFUNCTION("""COMPUTED_VALUE"""),"TU Dortmund University")</f>
        <v>TU Dortmund University</v>
      </c>
      <c r="S313" s="2" t="s">
        <v>64</v>
      </c>
      <c r="U313" s="2" t="s">
        <v>641</v>
      </c>
      <c r="V313" s="2" t="s">
        <v>64</v>
      </c>
    </row>
    <row r="314" ht="15.75" customHeight="1">
      <c r="A314" s="1" t="s">
        <v>628</v>
      </c>
      <c r="B314" s="1" t="s">
        <v>77</v>
      </c>
      <c r="C314" s="1" t="s">
        <v>78</v>
      </c>
      <c r="R314" s="1" t="str">
        <f>IFERROR(__xludf.DUMMYFUNCTION("""COMPUTED_VALUE"""),"Federal University of Rio Grande do Sul")</f>
        <v>Federal University of Rio Grande do Sul</v>
      </c>
      <c r="S314" s="2" t="s">
        <v>8</v>
      </c>
      <c r="U314" s="2" t="s">
        <v>642</v>
      </c>
      <c r="V314" s="2" t="s">
        <v>112</v>
      </c>
    </row>
    <row r="315" ht="15.75" customHeight="1">
      <c r="A315" s="1" t="s">
        <v>628</v>
      </c>
      <c r="B315" s="1" t="s">
        <v>77</v>
      </c>
      <c r="C315" s="1" t="s">
        <v>84</v>
      </c>
      <c r="R315" s="1" t="str">
        <f>IFERROR(__xludf.DUMMYFUNCTION("""COMPUTED_VALUE"""),"Universite du Luxembourg")</f>
        <v>Universite du Luxembourg</v>
      </c>
      <c r="S315" s="2" t="s">
        <v>92</v>
      </c>
      <c r="U315" s="2" t="s">
        <v>643</v>
      </c>
      <c r="V315" s="2" t="s">
        <v>236</v>
      </c>
    </row>
    <row r="316" ht="15.75" customHeight="1">
      <c r="A316" s="1" t="s">
        <v>628</v>
      </c>
      <c r="B316" s="1" t="s">
        <v>77</v>
      </c>
      <c r="C316" s="1" t="s">
        <v>86</v>
      </c>
      <c r="R316" s="1" t="str">
        <f>IFERROR(__xludf.DUMMYFUNCTION("""COMPUTED_VALUE"""),"KU Leuven")</f>
        <v>KU Leuven</v>
      </c>
      <c r="S316" s="2" t="s">
        <v>178</v>
      </c>
      <c r="U316" s="2" t="s">
        <v>644</v>
      </c>
      <c r="V316" s="2" t="s">
        <v>243</v>
      </c>
    </row>
    <row r="317" ht="15.75" customHeight="1">
      <c r="A317" s="1" t="s">
        <v>628</v>
      </c>
      <c r="B317" s="1" t="s">
        <v>77</v>
      </c>
      <c r="C317" s="1" t="s">
        <v>88</v>
      </c>
      <c r="R317" s="1" t="str">
        <f>IFERROR(__xludf.DUMMYFUNCTION("""COMPUTED_VALUE"""),"Beijing Institute of Technology")</f>
        <v>Beijing Institute of Technology</v>
      </c>
      <c r="S317" s="2" t="s">
        <v>64</v>
      </c>
      <c r="U317" s="2" t="s">
        <v>645</v>
      </c>
      <c r="V317" s="2" t="s">
        <v>249</v>
      </c>
    </row>
    <row r="318" ht="15.75" customHeight="1">
      <c r="A318" s="1" t="s">
        <v>628</v>
      </c>
      <c r="B318" s="1" t="s">
        <v>77</v>
      </c>
      <c r="C318" s="1" t="s">
        <v>91</v>
      </c>
      <c r="R318" s="1" t="str">
        <f>IFERROR(__xludf.DUMMYFUNCTION("""COMPUTED_VALUE"""),"Naver AI Lab")</f>
        <v>Naver AI Lab</v>
      </c>
      <c r="S318" s="2" t="s">
        <v>178</v>
      </c>
      <c r="U318" s="2" t="s">
        <v>646</v>
      </c>
      <c r="V318" s="2" t="s">
        <v>341</v>
      </c>
    </row>
    <row r="319" ht="15.75" customHeight="1">
      <c r="A319" s="1" t="s">
        <v>628</v>
      </c>
      <c r="B319" s="1" t="s">
        <v>77</v>
      </c>
      <c r="C319" s="1" t="s">
        <v>94</v>
      </c>
      <c r="R319" s="1" t="str">
        <f>IFERROR(__xludf.DUMMYFUNCTION("""COMPUTED_VALUE"""),"Swiss National Science Foundation")</f>
        <v>Swiss National Science Foundation</v>
      </c>
      <c r="S319" s="2" t="s">
        <v>31</v>
      </c>
      <c r="U319" s="2" t="s">
        <v>647</v>
      </c>
      <c r="V319" s="2" t="s">
        <v>53</v>
      </c>
    </row>
    <row r="320" ht="15.75" customHeight="1">
      <c r="A320" s="1" t="s">
        <v>628</v>
      </c>
      <c r="B320" s="1" t="s">
        <v>77</v>
      </c>
      <c r="C320" s="1" t="s">
        <v>96</v>
      </c>
      <c r="R320" s="1" t="str">
        <f>IFERROR(__xludf.DUMMYFUNCTION("""COMPUTED_VALUE"""),"Queensland University of Technology")</f>
        <v>Queensland University of Technology</v>
      </c>
      <c r="S320" s="2" t="s">
        <v>8</v>
      </c>
      <c r="U320" s="2" t="s">
        <v>648</v>
      </c>
      <c r="V320" s="2" t="s">
        <v>92</v>
      </c>
    </row>
    <row r="321" ht="15.75" customHeight="1">
      <c r="A321" s="1" t="s">
        <v>628</v>
      </c>
      <c r="B321" s="1" t="s">
        <v>77</v>
      </c>
      <c r="C321" s="1" t="s">
        <v>98</v>
      </c>
      <c r="R321" s="1" t="str">
        <f>IFERROR(__xludf.DUMMYFUNCTION("""COMPUTED_VALUE"""),"ABB Corporate Research Center")</f>
        <v>ABB Corporate Research Center</v>
      </c>
      <c r="S321" s="2" t="s">
        <v>8</v>
      </c>
      <c r="U321" s="2" t="s">
        <v>649</v>
      </c>
      <c r="V321" s="2" t="s">
        <v>53</v>
      </c>
    </row>
    <row r="322" ht="15.75" customHeight="1">
      <c r="A322" s="1" t="s">
        <v>628</v>
      </c>
      <c r="B322" s="1" t="s">
        <v>77</v>
      </c>
      <c r="C322" s="1" t="s">
        <v>100</v>
      </c>
      <c r="R322" s="1" t="str">
        <f>IFERROR(__xludf.DUMMYFUNCTION("""COMPUTED_VALUE"""),"University of South Africa")</f>
        <v>University of South Africa</v>
      </c>
      <c r="S322" s="2" t="s">
        <v>36</v>
      </c>
      <c r="U322" s="2" t="s">
        <v>650</v>
      </c>
      <c r="V322" s="2" t="s">
        <v>482</v>
      </c>
    </row>
    <row r="323" ht="15.75" customHeight="1">
      <c r="A323" s="1" t="s">
        <v>628</v>
      </c>
      <c r="B323" s="1" t="s">
        <v>77</v>
      </c>
      <c r="C323" s="1" t="s">
        <v>105</v>
      </c>
      <c r="R323" s="1" t="str">
        <f>IFERROR(__xludf.DUMMYFUNCTION("""COMPUTED_VALUE"""),"Huygens Institute for the History of the Netherlands")</f>
        <v>Huygens Institute for the History of the Netherlands</v>
      </c>
      <c r="S323" s="2" t="s">
        <v>31</v>
      </c>
      <c r="U323" s="2" t="s">
        <v>651</v>
      </c>
      <c r="V323" s="2" t="s">
        <v>36</v>
      </c>
    </row>
    <row r="324" ht="15.75" customHeight="1">
      <c r="A324" s="1" t="s">
        <v>628</v>
      </c>
      <c r="B324" s="1" t="s">
        <v>77</v>
      </c>
      <c r="C324" s="1" t="s">
        <v>107</v>
      </c>
      <c r="R324" s="1" t="str">
        <f>IFERROR(__xludf.DUMMYFUNCTION("""COMPUTED_VALUE"""),"Friedrich Schiller University Jena")</f>
        <v>Friedrich Schiller University Jena</v>
      </c>
      <c r="S324" s="2" t="s">
        <v>178</v>
      </c>
      <c r="U324" s="2" t="s">
        <v>652</v>
      </c>
      <c r="V324" s="2" t="s">
        <v>64</v>
      </c>
    </row>
    <row r="325" ht="15.75" customHeight="1">
      <c r="A325" s="1" t="s">
        <v>628</v>
      </c>
      <c r="B325" s="1" t="s">
        <v>77</v>
      </c>
      <c r="C325" s="1" t="s">
        <v>107</v>
      </c>
      <c r="R325" s="1" t="str">
        <f>IFERROR(__xludf.DUMMYFUNCTION("""COMPUTED_VALUE"""),"Indiana University")</f>
        <v>Indiana University</v>
      </c>
      <c r="S325" s="2" t="s">
        <v>31</v>
      </c>
      <c r="U325" s="2" t="s">
        <v>653</v>
      </c>
      <c r="V325" s="2" t="s">
        <v>31</v>
      </c>
    </row>
    <row r="326" ht="15.75" customHeight="1">
      <c r="A326" s="1" t="s">
        <v>628</v>
      </c>
      <c r="B326" s="1" t="s">
        <v>77</v>
      </c>
      <c r="C326" s="1" t="s">
        <v>114</v>
      </c>
      <c r="R326" s="1" t="str">
        <f>IFERROR(__xludf.DUMMYFUNCTION("""COMPUTED_VALUE"""),"University of Catalonia/URV")</f>
        <v>University of Catalonia/URV</v>
      </c>
      <c r="S326" s="2" t="s">
        <v>75</v>
      </c>
      <c r="U326" s="2" t="s">
        <v>654</v>
      </c>
      <c r="V326" s="2" t="s">
        <v>82</v>
      </c>
    </row>
    <row r="327" ht="15.75" customHeight="1">
      <c r="A327" s="1" t="s">
        <v>628</v>
      </c>
      <c r="B327" s="1" t="s">
        <v>77</v>
      </c>
      <c r="C327" s="1" t="s">
        <v>118</v>
      </c>
      <c r="R327" s="1" t="str">
        <f>IFERROR(__xludf.DUMMYFUNCTION("""COMPUTED_VALUE"""),"Polytechnic University of Turin")</f>
        <v>Polytechnic University of Turin</v>
      </c>
      <c r="S327" s="2" t="s">
        <v>64</v>
      </c>
      <c r="U327" s="2" t="s">
        <v>655</v>
      </c>
      <c r="V327" s="2" t="s">
        <v>89</v>
      </c>
    </row>
    <row r="328" ht="15.75" customHeight="1">
      <c r="A328" s="1" t="s">
        <v>628</v>
      </c>
      <c r="B328" s="1" t="s">
        <v>77</v>
      </c>
      <c r="C328" s="1" t="s">
        <v>124</v>
      </c>
      <c r="R328" s="1" t="str">
        <f>IFERROR(__xludf.DUMMYFUNCTION("""COMPUTED_VALUE"""),"World Maritime University, Malmö")</f>
        <v>World Maritime University, Malmö</v>
      </c>
      <c r="S328" s="2" t="s">
        <v>82</v>
      </c>
      <c r="U328" s="2" t="s">
        <v>656</v>
      </c>
      <c r="V328" s="2" t="s">
        <v>25</v>
      </c>
    </row>
    <row r="329" ht="15.75" customHeight="1">
      <c r="A329" s="1" t="s">
        <v>628</v>
      </c>
      <c r="B329" s="1" t="s">
        <v>77</v>
      </c>
      <c r="C329" s="1" t="s">
        <v>126</v>
      </c>
      <c r="R329" s="1" t="str">
        <f>IFERROR(__xludf.DUMMYFUNCTION("""COMPUTED_VALUE"""),"University of Castilla-La Mancha")</f>
        <v>University of Castilla-La Mancha</v>
      </c>
      <c r="S329" s="2" t="s">
        <v>89</v>
      </c>
      <c r="U329" s="2" t="s">
        <v>657</v>
      </c>
      <c r="V329" s="2" t="s">
        <v>82</v>
      </c>
    </row>
    <row r="330" ht="15.75" customHeight="1">
      <c r="A330" s="1" t="s">
        <v>628</v>
      </c>
      <c r="B330" s="1" t="s">
        <v>77</v>
      </c>
      <c r="C330" s="1" t="s">
        <v>128</v>
      </c>
      <c r="R330" s="1" t="str">
        <f>IFERROR(__xludf.DUMMYFUNCTION("""COMPUTED_VALUE"""),"University of Montpellier")</f>
        <v>University of Montpellier</v>
      </c>
      <c r="S330" s="2" t="s">
        <v>19</v>
      </c>
      <c r="U330" s="2" t="s">
        <v>658</v>
      </c>
      <c r="V330" s="2" t="s">
        <v>19</v>
      </c>
    </row>
    <row r="331" ht="15.75" customHeight="1">
      <c r="A331" s="1" t="s">
        <v>628</v>
      </c>
      <c r="B331" s="1" t="s">
        <v>77</v>
      </c>
      <c r="C331" s="1" t="s">
        <v>130</v>
      </c>
      <c r="R331" s="1" t="str">
        <f>IFERROR(__xludf.DUMMYFUNCTION("""COMPUTED_VALUE"""),"University of Colorado")</f>
        <v>University of Colorado</v>
      </c>
      <c r="S331" s="2" t="s">
        <v>82</v>
      </c>
      <c r="U331" s="2" t="s">
        <v>659</v>
      </c>
      <c r="V331" s="2" t="s">
        <v>31</v>
      </c>
    </row>
    <row r="332" ht="15.75" customHeight="1">
      <c r="A332" s="1" t="s">
        <v>628</v>
      </c>
      <c r="B332" s="1" t="s">
        <v>77</v>
      </c>
      <c r="C332" s="1" t="s">
        <v>136</v>
      </c>
      <c r="R332" s="1" t="str">
        <f>IFERROR(__xludf.DUMMYFUNCTION("""COMPUTED_VALUE"""),"Toyota Technological Institute at Chicago")</f>
        <v>Toyota Technological Institute at Chicago</v>
      </c>
      <c r="S332" s="2" t="s">
        <v>31</v>
      </c>
      <c r="U332" s="2" t="s">
        <v>660</v>
      </c>
      <c r="V332" s="2" t="s">
        <v>31</v>
      </c>
    </row>
    <row r="333" ht="15.75" customHeight="1">
      <c r="A333" s="1" t="s">
        <v>628</v>
      </c>
      <c r="B333" s="1" t="s">
        <v>77</v>
      </c>
      <c r="C333" s="1" t="s">
        <v>138</v>
      </c>
      <c r="R333" s="1" t="str">
        <f>IFERROR(__xludf.DUMMYFUNCTION("""COMPUTED_VALUE"""),"University of Salzburg")</f>
        <v>University of Salzburg</v>
      </c>
      <c r="S333" s="2" t="s">
        <v>31</v>
      </c>
      <c r="U333" s="2" t="s">
        <v>661</v>
      </c>
      <c r="V333" s="2" t="s">
        <v>149</v>
      </c>
    </row>
    <row r="334" ht="15.75" customHeight="1">
      <c r="A334" s="1" t="s">
        <v>628</v>
      </c>
      <c r="B334" s="1" t="s">
        <v>77</v>
      </c>
      <c r="C334" s="1" t="s">
        <v>141</v>
      </c>
      <c r="R334" s="1" t="str">
        <f>IFERROR(__xludf.DUMMYFUNCTION("""COMPUTED_VALUE"""),"Federal University of Alagoas")</f>
        <v>Federal University of Alagoas</v>
      </c>
      <c r="S334" s="2" t="s">
        <v>89</v>
      </c>
      <c r="U334" s="2" t="s">
        <v>662</v>
      </c>
      <c r="V334" s="2" t="s">
        <v>112</v>
      </c>
    </row>
    <row r="335" ht="15.75" customHeight="1">
      <c r="A335" s="1" t="s">
        <v>628</v>
      </c>
      <c r="B335" s="1" t="s">
        <v>77</v>
      </c>
      <c r="C335" s="1" t="s">
        <v>146</v>
      </c>
      <c r="R335" s="1" t="str">
        <f>IFERROR(__xludf.DUMMYFUNCTION("""COMPUTED_VALUE"""),"Tübingen AI Center")</f>
        <v>Tübingen AI Center</v>
      </c>
      <c r="S335" s="2" t="s">
        <v>8</v>
      </c>
      <c r="U335" s="2" t="s">
        <v>663</v>
      </c>
      <c r="V335" s="2" t="s">
        <v>64</v>
      </c>
    </row>
    <row r="336" ht="15.75" customHeight="1">
      <c r="A336" s="1" t="s">
        <v>628</v>
      </c>
      <c r="B336" s="1" t="s">
        <v>77</v>
      </c>
      <c r="C336" s="1" t="s">
        <v>148</v>
      </c>
      <c r="R336" s="1" t="str">
        <f>IFERROR(__xludf.DUMMYFUNCTION("""COMPUTED_VALUE"""),"Dalhousie University")</f>
        <v>Dalhousie University</v>
      </c>
      <c r="S336" s="2" t="s">
        <v>8</v>
      </c>
      <c r="U336" s="2" t="s">
        <v>664</v>
      </c>
      <c r="V336" s="2" t="s">
        <v>22</v>
      </c>
    </row>
    <row r="337" ht="15.75" customHeight="1">
      <c r="A337" s="1" t="s">
        <v>628</v>
      </c>
      <c r="B337" s="1" t="s">
        <v>77</v>
      </c>
      <c r="C337" s="1" t="s">
        <v>155</v>
      </c>
      <c r="R337" s="1" t="str">
        <f>IFERROR(__xludf.DUMMYFUNCTION("""COMPUTED_VALUE"""),"Technical University of Madrid")</f>
        <v>Technical University of Madrid</v>
      </c>
      <c r="S337" s="2" t="s">
        <v>31</v>
      </c>
      <c r="U337" s="2" t="s">
        <v>665</v>
      </c>
      <c r="V337" s="2" t="s">
        <v>82</v>
      </c>
    </row>
    <row r="338" ht="15.75" customHeight="1">
      <c r="A338" s="1" t="s">
        <v>628</v>
      </c>
      <c r="B338" s="1" t="s">
        <v>158</v>
      </c>
      <c r="C338" s="1" t="s">
        <v>165</v>
      </c>
      <c r="R338" s="1" t="str">
        <f>IFERROR(__xludf.DUMMYFUNCTION("""COMPUTED_VALUE"""),"Fraunhofer Institute for Mechatronic Design")</f>
        <v>Fraunhofer Institute for Mechatronic Design</v>
      </c>
      <c r="S338" s="2" t="s">
        <v>8</v>
      </c>
      <c r="U338" s="2" t="s">
        <v>666</v>
      </c>
      <c r="V338" s="2" t="s">
        <v>64</v>
      </c>
    </row>
    <row r="339" ht="15.75" customHeight="1">
      <c r="A339" s="1" t="s">
        <v>628</v>
      </c>
      <c r="B339" s="1" t="s">
        <v>158</v>
      </c>
      <c r="C339" s="1" t="s">
        <v>167</v>
      </c>
      <c r="R339" s="1" t="str">
        <f>IFERROR(__xludf.DUMMYFUNCTION("""COMPUTED_VALUE"""),"Keele University")</f>
        <v>Keele University</v>
      </c>
      <c r="S339" s="2" t="s">
        <v>31</v>
      </c>
      <c r="U339" s="2" t="s">
        <v>667</v>
      </c>
      <c r="V339" s="2" t="s">
        <v>39</v>
      </c>
    </row>
    <row r="340" ht="15.75" customHeight="1">
      <c r="A340" s="1" t="s">
        <v>628</v>
      </c>
      <c r="B340" s="1" t="s">
        <v>158</v>
      </c>
      <c r="C340" s="1" t="s">
        <v>169</v>
      </c>
      <c r="R340" s="1" t="str">
        <f>IFERROR(__xludf.DUMMYFUNCTION("""COMPUTED_VALUE"""),"Laboratory of Cognitive Neuroscience, EPFL")</f>
        <v>Laboratory of Cognitive Neuroscience, EPFL</v>
      </c>
      <c r="S340" s="2" t="s">
        <v>8</v>
      </c>
      <c r="U340" s="2" t="s">
        <v>668</v>
      </c>
      <c r="V340" s="2" t="s">
        <v>53</v>
      </c>
    </row>
    <row r="341" ht="15.75" customHeight="1">
      <c r="A341" s="1" t="s">
        <v>628</v>
      </c>
      <c r="B341" s="1" t="s">
        <v>158</v>
      </c>
      <c r="C341" s="1" t="s">
        <v>173</v>
      </c>
      <c r="R341" s="1" t="str">
        <f>IFERROR(__xludf.DUMMYFUNCTION("""COMPUTED_VALUE"""),"Indian Institute of Technology Madras")</f>
        <v>Indian Institute of Technology Madras</v>
      </c>
      <c r="S341" s="2" t="s">
        <v>22</v>
      </c>
      <c r="U341" s="2" t="s">
        <v>669</v>
      </c>
      <c r="V341" s="2" t="s">
        <v>190</v>
      </c>
    </row>
    <row r="342" ht="15.75" customHeight="1">
      <c r="A342" s="1" t="s">
        <v>628</v>
      </c>
      <c r="B342" s="1" t="s">
        <v>158</v>
      </c>
      <c r="C342" s="1" t="s">
        <v>177</v>
      </c>
      <c r="R342" s="1" t="str">
        <f>IFERROR(__xludf.DUMMYFUNCTION("""COMPUTED_VALUE"""),"University of Bremen")</f>
        <v>University of Bremen</v>
      </c>
      <c r="S342" s="2" t="s">
        <v>31</v>
      </c>
      <c r="U342" s="2" t="s">
        <v>670</v>
      </c>
      <c r="V342" s="2" t="s">
        <v>64</v>
      </c>
    </row>
    <row r="343" ht="15.75" customHeight="1">
      <c r="A343" s="1" t="s">
        <v>628</v>
      </c>
      <c r="B343" s="1" t="s">
        <v>158</v>
      </c>
      <c r="C343" s="1" t="s">
        <v>180</v>
      </c>
      <c r="R343" s="1" t="str">
        <f>IFERROR(__xludf.DUMMYFUNCTION("""COMPUTED_VALUE"""),"University of Hildesheim")</f>
        <v>University of Hildesheim</v>
      </c>
      <c r="S343" s="2" t="s">
        <v>8</v>
      </c>
      <c r="U343" s="2" t="s">
        <v>671</v>
      </c>
      <c r="V343" s="2" t="s">
        <v>64</v>
      </c>
    </row>
    <row r="344" ht="15.75" customHeight="1">
      <c r="A344" s="1" t="s">
        <v>628</v>
      </c>
      <c r="B344" s="1" t="s">
        <v>158</v>
      </c>
      <c r="C344" s="1" t="s">
        <v>182</v>
      </c>
      <c r="R344" s="1" t="str">
        <f>IFERROR(__xludf.DUMMYFUNCTION("""COMPUTED_VALUE"""),"SAP Research")</f>
        <v>SAP Research</v>
      </c>
      <c r="S344" s="2" t="s">
        <v>31</v>
      </c>
      <c r="U344" s="2" t="s">
        <v>672</v>
      </c>
      <c r="V344" s="2" t="s">
        <v>64</v>
      </c>
    </row>
    <row r="345" ht="15.75" customHeight="1">
      <c r="A345" s="1" t="s">
        <v>628</v>
      </c>
      <c r="B345" s="1" t="s">
        <v>158</v>
      </c>
      <c r="C345" s="1" t="s">
        <v>185</v>
      </c>
      <c r="R345" s="1" t="str">
        <f>IFERROR(__xludf.DUMMYFUNCTION("""COMPUTED_VALUE"""),"Johns Hopkins University")</f>
        <v>Johns Hopkins University</v>
      </c>
      <c r="S345" s="2" t="s">
        <v>64</v>
      </c>
      <c r="U345" s="2" t="s">
        <v>673</v>
      </c>
      <c r="V345" s="2" t="s">
        <v>31</v>
      </c>
    </row>
    <row r="346" ht="15.75" customHeight="1">
      <c r="A346" s="1" t="s">
        <v>628</v>
      </c>
      <c r="B346" s="1" t="s">
        <v>158</v>
      </c>
      <c r="C346" s="1" t="s">
        <v>187</v>
      </c>
      <c r="R346" s="1" t="str">
        <f>IFERROR(__xludf.DUMMYFUNCTION("""COMPUTED_VALUE"""),"University of Calabria")</f>
        <v>University of Calabria</v>
      </c>
      <c r="S346" s="2" t="s">
        <v>249</v>
      </c>
      <c r="U346" s="2" t="s">
        <v>674</v>
      </c>
      <c r="V346" s="2" t="s">
        <v>89</v>
      </c>
    </row>
    <row r="347" ht="15.75" customHeight="1">
      <c r="A347" s="1" t="s">
        <v>628</v>
      </c>
      <c r="B347" s="1" t="s">
        <v>158</v>
      </c>
      <c r="C347" s="1" t="s">
        <v>196</v>
      </c>
      <c r="R347" s="1" t="str">
        <f>IFERROR(__xludf.DUMMYFUNCTION("""COMPUTED_VALUE"""),"Artanim Foundation")</f>
        <v>Artanim Foundation</v>
      </c>
      <c r="S347" s="2" t="s">
        <v>8</v>
      </c>
      <c r="U347" s="2" t="s">
        <v>675</v>
      </c>
      <c r="V347" s="2" t="s">
        <v>31</v>
      </c>
    </row>
    <row r="348" ht="15.75" customHeight="1">
      <c r="A348" s="1" t="s">
        <v>628</v>
      </c>
      <c r="B348" s="1" t="s">
        <v>158</v>
      </c>
      <c r="C348" s="1" t="s">
        <v>203</v>
      </c>
      <c r="R348" s="1" t="str">
        <f>IFERROR(__xludf.DUMMYFUNCTION("""COMPUTED_VALUE"""),"Tampere University")</f>
        <v>Tampere University</v>
      </c>
      <c r="S348" s="2" t="s">
        <v>25</v>
      </c>
      <c r="U348" s="2" t="s">
        <v>676</v>
      </c>
      <c r="V348" s="2" t="s">
        <v>75</v>
      </c>
    </row>
    <row r="349" ht="15.75" customHeight="1">
      <c r="A349" s="1" t="s">
        <v>628</v>
      </c>
      <c r="B349" s="1" t="s">
        <v>158</v>
      </c>
      <c r="C349" s="1" t="s">
        <v>205</v>
      </c>
      <c r="R349" s="1" t="str">
        <f>IFERROR(__xludf.DUMMYFUNCTION("""COMPUTED_VALUE"""),"MITRE Corporation")</f>
        <v>MITRE Corporation</v>
      </c>
      <c r="S349" s="2" t="s">
        <v>178</v>
      </c>
      <c r="U349" s="2" t="s">
        <v>677</v>
      </c>
      <c r="V349" s="2" t="s">
        <v>31</v>
      </c>
    </row>
    <row r="350" ht="15.75" customHeight="1">
      <c r="A350" s="1" t="s">
        <v>628</v>
      </c>
      <c r="B350" s="1" t="s">
        <v>158</v>
      </c>
      <c r="C350" s="1" t="s">
        <v>208</v>
      </c>
      <c r="R350" s="1" t="str">
        <f>IFERROR(__xludf.DUMMYFUNCTION("""COMPUTED_VALUE"""),"University of Basel")</f>
        <v>University of Basel</v>
      </c>
      <c r="S350" s="2" t="s">
        <v>82</v>
      </c>
      <c r="U350" s="2" t="s">
        <v>678</v>
      </c>
      <c r="V350" s="2" t="s">
        <v>53</v>
      </c>
    </row>
    <row r="351" ht="15.75" customHeight="1">
      <c r="A351" s="1" t="s">
        <v>628</v>
      </c>
      <c r="B351" s="1" t="s">
        <v>158</v>
      </c>
      <c r="C351" s="1" t="s">
        <v>210</v>
      </c>
      <c r="R351" s="1" t="str">
        <f>IFERROR(__xludf.DUMMYFUNCTION("""COMPUTED_VALUE"""),"Accenture Bengaluru Innovation Hub")</f>
        <v>Accenture Bengaluru Innovation Hub</v>
      </c>
      <c r="S351" s="2" t="s">
        <v>8</v>
      </c>
      <c r="U351" s="2" t="s">
        <v>679</v>
      </c>
      <c r="V351" s="2" t="s">
        <v>190</v>
      </c>
    </row>
    <row r="352" ht="15.75" customHeight="1">
      <c r="A352" s="1" t="s">
        <v>628</v>
      </c>
      <c r="B352" s="1" t="s">
        <v>158</v>
      </c>
      <c r="C352" s="1" t="s">
        <v>212</v>
      </c>
      <c r="R352" s="1" t="str">
        <f>IFERROR(__xludf.DUMMYFUNCTION("""COMPUTED_VALUE"""),"École normale supérieure de Rennes")</f>
        <v>École normale supérieure de Rennes</v>
      </c>
      <c r="S352" s="2" t="s">
        <v>8</v>
      </c>
      <c r="U352" s="2" t="s">
        <v>680</v>
      </c>
      <c r="V352" s="2" t="s">
        <v>19</v>
      </c>
    </row>
    <row r="353" ht="15.75" customHeight="1">
      <c r="A353" s="1" t="s">
        <v>628</v>
      </c>
      <c r="B353" s="1" t="s">
        <v>158</v>
      </c>
      <c r="C353" s="1" t="s">
        <v>217</v>
      </c>
      <c r="R353" s="1" t="str">
        <f>IFERROR(__xludf.DUMMYFUNCTION("""COMPUTED_VALUE"""),"Copenhagen School of Design and Technology")</f>
        <v>Copenhagen School of Design and Technology</v>
      </c>
      <c r="S353" s="2" t="s">
        <v>31</v>
      </c>
      <c r="U353" s="2" t="s">
        <v>681</v>
      </c>
      <c r="V353" s="2" t="s">
        <v>8</v>
      </c>
    </row>
    <row r="354" ht="15.75" customHeight="1">
      <c r="A354" s="1" t="s">
        <v>628</v>
      </c>
      <c r="B354" s="1" t="s">
        <v>158</v>
      </c>
      <c r="C354" s="1" t="s">
        <v>219</v>
      </c>
      <c r="R354" s="1" t="str">
        <f>IFERROR(__xludf.DUMMYFUNCTION("""COMPUTED_VALUE"""),"Heriot-Watt University")</f>
        <v>Heriot-Watt University</v>
      </c>
      <c r="S354" s="2" t="s">
        <v>31</v>
      </c>
      <c r="U354" s="2" t="s">
        <v>682</v>
      </c>
      <c r="V354" s="2" t="s">
        <v>39</v>
      </c>
    </row>
    <row r="355" ht="15.75" customHeight="1">
      <c r="A355" s="1" t="s">
        <v>628</v>
      </c>
      <c r="B355" s="1" t="s">
        <v>158</v>
      </c>
      <c r="C355" s="1" t="s">
        <v>223</v>
      </c>
      <c r="R355" s="1" t="str">
        <f>IFERROR(__xludf.DUMMYFUNCTION("""COMPUTED_VALUE"""),"Institute for Renewable Energy – EURAC Research")</f>
        <v>Institute for Renewable Energy – EURAC Research</v>
      </c>
      <c r="S355" s="2" t="s">
        <v>8</v>
      </c>
      <c r="U355" s="2" t="s">
        <v>683</v>
      </c>
      <c r="V355" s="2" t="s">
        <v>89</v>
      </c>
    </row>
    <row r="356" ht="15.75" customHeight="1">
      <c r="A356" s="1" t="s">
        <v>628</v>
      </c>
      <c r="B356" s="1" t="s">
        <v>158</v>
      </c>
      <c r="C356" s="1" t="s">
        <v>227</v>
      </c>
      <c r="R356" s="1" t="str">
        <f>IFERROR(__xludf.DUMMYFUNCTION("""COMPUTED_VALUE"""),"University of Leicester")</f>
        <v>University of Leicester</v>
      </c>
      <c r="S356" s="2" t="s">
        <v>31</v>
      </c>
      <c r="U356" s="2" t="s">
        <v>684</v>
      </c>
      <c r="V356" s="2" t="s">
        <v>39</v>
      </c>
    </row>
    <row r="357" ht="15.75" customHeight="1">
      <c r="A357" s="1" t="s">
        <v>628</v>
      </c>
      <c r="B357" s="1" t="s">
        <v>158</v>
      </c>
      <c r="C357" s="1" t="s">
        <v>320</v>
      </c>
      <c r="R357" s="1" t="str">
        <f>IFERROR(__xludf.DUMMYFUNCTION("""COMPUTED_VALUE"""),"University of Barcelona")</f>
        <v>University of Barcelona</v>
      </c>
      <c r="S357" s="2" t="s">
        <v>19</v>
      </c>
      <c r="U357" s="2" t="s">
        <v>685</v>
      </c>
      <c r="V357" s="2" t="s">
        <v>82</v>
      </c>
    </row>
    <row r="358" ht="15.75" customHeight="1">
      <c r="A358" s="1" t="s">
        <v>628</v>
      </c>
      <c r="B358" s="1" t="s">
        <v>158</v>
      </c>
      <c r="C358" s="1" t="s">
        <v>686</v>
      </c>
      <c r="R358" s="1" t="str">
        <f>IFERROR(__xludf.DUMMYFUNCTION("""COMPUTED_VALUE"""),"United States Military Academy")</f>
        <v>United States Military Academy</v>
      </c>
      <c r="S358" s="2" t="s">
        <v>112</v>
      </c>
      <c r="U358" s="2" t="s">
        <v>687</v>
      </c>
      <c r="V358" s="2" t="s">
        <v>31</v>
      </c>
    </row>
    <row r="359" ht="15.75" customHeight="1">
      <c r="A359" s="1" t="s">
        <v>628</v>
      </c>
      <c r="B359" s="1" t="s">
        <v>158</v>
      </c>
      <c r="C359" s="1" t="s">
        <v>328</v>
      </c>
      <c r="R359" s="1" t="str">
        <f>IFERROR(__xludf.DUMMYFUNCTION("""COMPUTED_VALUE"""),"Jivass Technologies,")</f>
        <v>Jivass Technologies,</v>
      </c>
      <c r="S359" s="2" t="s">
        <v>31</v>
      </c>
      <c r="U359" s="2" t="s">
        <v>688</v>
      </c>
      <c r="V359" s="2" t="s">
        <v>31</v>
      </c>
    </row>
    <row r="360" ht="15.75" customHeight="1">
      <c r="A360" s="1" t="s">
        <v>628</v>
      </c>
      <c r="B360" s="1" t="s">
        <v>158</v>
      </c>
      <c r="C360" s="1" t="s">
        <v>326</v>
      </c>
      <c r="R360" s="1" t="str">
        <f>IFERROR(__xludf.DUMMYFUNCTION("""COMPUTED_VALUE"""),"DeepMind")</f>
        <v>DeepMind</v>
      </c>
      <c r="S360" s="2" t="s">
        <v>112</v>
      </c>
      <c r="U360" s="2" t="s">
        <v>689</v>
      </c>
      <c r="V360" s="2" t="s">
        <v>39</v>
      </c>
    </row>
    <row r="361" ht="15.75" customHeight="1">
      <c r="A361" s="1" t="s">
        <v>628</v>
      </c>
      <c r="B361" s="1" t="s">
        <v>330</v>
      </c>
      <c r="C361" s="1" t="s">
        <v>690</v>
      </c>
      <c r="R361" s="1" t="str">
        <f>IFERROR(__xludf.DUMMYFUNCTION("""COMPUTED_VALUE"""),"Pompeu Fabra University")</f>
        <v>Pompeu Fabra University</v>
      </c>
      <c r="S361" s="2" t="s">
        <v>243</v>
      </c>
      <c r="U361" s="2" t="s">
        <v>691</v>
      </c>
      <c r="V361" s="2" t="s">
        <v>82</v>
      </c>
    </row>
    <row r="362" ht="15.75" customHeight="1">
      <c r="A362" s="1" t="s">
        <v>628</v>
      </c>
      <c r="B362" s="1" t="s">
        <v>330</v>
      </c>
      <c r="C362" s="1" t="s">
        <v>692</v>
      </c>
      <c r="R362" s="1" t="str">
        <f>IFERROR(__xludf.DUMMYFUNCTION("""COMPUTED_VALUE"""),"Data to Decisions Cooperative Research Center (CRC)")</f>
        <v>Data to Decisions Cooperative Research Center (CRC)</v>
      </c>
      <c r="S362" s="2" t="s">
        <v>64</v>
      </c>
      <c r="U362" s="2" t="s">
        <v>693</v>
      </c>
      <c r="V362" s="2" t="s">
        <v>92</v>
      </c>
    </row>
    <row r="363" ht="15.75" customHeight="1">
      <c r="A363" s="1" t="s">
        <v>628</v>
      </c>
      <c r="B363" s="1" t="s">
        <v>330</v>
      </c>
      <c r="C363" s="1" t="s">
        <v>694</v>
      </c>
      <c r="R363" s="1" t="str">
        <f>IFERROR(__xludf.DUMMYFUNCTION("""COMPUTED_VALUE"""),"Homi Bhabha National Institute")</f>
        <v>Homi Bhabha National Institute</v>
      </c>
      <c r="S363" s="2" t="s">
        <v>64</v>
      </c>
      <c r="U363" s="2" t="s">
        <v>695</v>
      </c>
      <c r="V363" s="2" t="s">
        <v>190</v>
      </c>
    </row>
    <row r="364" ht="15.75" customHeight="1">
      <c r="A364" s="1" t="s">
        <v>628</v>
      </c>
      <c r="B364" s="1" t="s">
        <v>330</v>
      </c>
      <c r="C364" s="1" t="s">
        <v>696</v>
      </c>
      <c r="R364" s="1" t="str">
        <f>IFERROR(__xludf.DUMMYFUNCTION("""COMPUTED_VALUE"""),"Bielefeld University of Applied Sciences")</f>
        <v>Bielefeld University of Applied Sciences</v>
      </c>
      <c r="S364" s="2" t="s">
        <v>8</v>
      </c>
      <c r="U364" s="2" t="s">
        <v>697</v>
      </c>
      <c r="V364" s="2" t="s">
        <v>64</v>
      </c>
    </row>
    <row r="365" ht="15.75" customHeight="1">
      <c r="A365" s="1" t="s">
        <v>628</v>
      </c>
      <c r="B365" s="1" t="s">
        <v>330</v>
      </c>
      <c r="C365" s="1" t="s">
        <v>333</v>
      </c>
      <c r="R365" s="1" t="str">
        <f>IFERROR(__xludf.DUMMYFUNCTION("""COMPUTED_VALUE"""),"Darmstadt University of Applied Sciences")</f>
        <v>Darmstadt University of Applied Sciences</v>
      </c>
      <c r="S365" s="2" t="s">
        <v>39</v>
      </c>
      <c r="U365" s="2" t="s">
        <v>698</v>
      </c>
      <c r="V365" s="2" t="s">
        <v>64</v>
      </c>
    </row>
    <row r="366" ht="15.75" customHeight="1">
      <c r="A366" s="1" t="s">
        <v>628</v>
      </c>
      <c r="B366" s="1" t="s">
        <v>330</v>
      </c>
      <c r="C366" s="1" t="s">
        <v>699</v>
      </c>
      <c r="R366" s="1" t="str">
        <f>IFERROR(__xludf.DUMMYFUNCTION("""COMPUTED_VALUE"""),"Snowflake")</f>
        <v>Snowflake</v>
      </c>
      <c r="S366" s="2" t="s">
        <v>92</v>
      </c>
      <c r="U366" s="2" t="s">
        <v>700</v>
      </c>
      <c r="V366" s="2" t="s">
        <v>31</v>
      </c>
    </row>
    <row r="367" ht="15.75" customHeight="1">
      <c r="A367" s="1" t="s">
        <v>628</v>
      </c>
      <c r="B367" s="1" t="s">
        <v>330</v>
      </c>
      <c r="C367" s="1" t="s">
        <v>344</v>
      </c>
      <c r="R367" s="1" t="str">
        <f>IFERROR(__xludf.DUMMYFUNCTION("""COMPUTED_VALUE"""),"Université d’Orléans")</f>
        <v>Université d’Orléans</v>
      </c>
      <c r="S367" s="2" t="s">
        <v>82</v>
      </c>
      <c r="U367" s="2" t="s">
        <v>701</v>
      </c>
      <c r="V367" s="2" t="s">
        <v>19</v>
      </c>
    </row>
    <row r="368" ht="15.75" customHeight="1">
      <c r="A368" s="1" t="s">
        <v>628</v>
      </c>
      <c r="B368" s="1" t="s">
        <v>330</v>
      </c>
      <c r="C368" s="1" t="s">
        <v>702</v>
      </c>
      <c r="R368" s="1" t="str">
        <f>IFERROR(__xludf.DUMMYFUNCTION("""COMPUTED_VALUE"""),"University of the Free State")</f>
        <v>University of the Free State</v>
      </c>
      <c r="S368" s="2" t="s">
        <v>8</v>
      </c>
      <c r="U368" s="2" t="s">
        <v>703</v>
      </c>
      <c r="V368" s="2" t="s">
        <v>482</v>
      </c>
    </row>
    <row r="369" ht="15.75" customHeight="1">
      <c r="A369" s="1" t="s">
        <v>628</v>
      </c>
      <c r="B369" s="1" t="s">
        <v>330</v>
      </c>
      <c r="C369" s="1" t="s">
        <v>704</v>
      </c>
      <c r="R369" s="1" t="str">
        <f>IFERROR(__xludf.DUMMYFUNCTION("""COMPUTED_VALUE"""),"Washington University in St. Louis")</f>
        <v>Washington University in St. Louis</v>
      </c>
      <c r="S369" s="2" t="s">
        <v>8</v>
      </c>
      <c r="U369" s="2" t="s">
        <v>705</v>
      </c>
      <c r="V369" s="2" t="s">
        <v>31</v>
      </c>
    </row>
    <row r="370" ht="15.75" customHeight="1">
      <c r="A370" s="1" t="s">
        <v>628</v>
      </c>
      <c r="B370" s="1" t="s">
        <v>330</v>
      </c>
      <c r="C370" s="1" t="s">
        <v>706</v>
      </c>
      <c r="R370" s="1" t="str">
        <f>IFERROR(__xludf.DUMMYFUNCTION("""COMPUTED_VALUE"""),"Vector Consulting Services")</f>
        <v>Vector Consulting Services</v>
      </c>
      <c r="S370" s="2" t="s">
        <v>22</v>
      </c>
      <c r="U370" s="2" t="s">
        <v>707</v>
      </c>
      <c r="V370" s="2" t="s">
        <v>190</v>
      </c>
    </row>
    <row r="371" ht="15.75" customHeight="1">
      <c r="A371" s="1" t="s">
        <v>628</v>
      </c>
      <c r="B371" s="1" t="s">
        <v>330</v>
      </c>
      <c r="C371" s="1" t="s">
        <v>708</v>
      </c>
      <c r="R371" s="1" t="str">
        <f>IFERROR(__xludf.DUMMYFUNCTION("""COMPUTED_VALUE"""),"Økonomi- og Indenrigsministeriet")</f>
        <v>Økonomi- og Indenrigsministeriet</v>
      </c>
      <c r="S371" s="2" t="s">
        <v>39</v>
      </c>
      <c r="U371" s="2" t="s">
        <v>709</v>
      </c>
      <c r="V371" s="2" t="s">
        <v>8</v>
      </c>
    </row>
    <row r="372" ht="15.75" customHeight="1">
      <c r="A372" s="1" t="s">
        <v>628</v>
      </c>
      <c r="B372" s="1" t="s">
        <v>330</v>
      </c>
      <c r="C372" s="1" t="s">
        <v>710</v>
      </c>
      <c r="R372" s="1" t="str">
        <f>IFERROR(__xludf.DUMMYFUNCTION("""COMPUTED_VALUE"""),"Samsung Semiconductor Denmark Research")</f>
        <v>Samsung Semiconductor Denmark Research</v>
      </c>
      <c r="S372" s="2" t="s">
        <v>149</v>
      </c>
      <c r="U372" s="2" t="s">
        <v>711</v>
      </c>
      <c r="V372" s="2" t="s">
        <v>8</v>
      </c>
    </row>
    <row r="373" ht="15.75" customHeight="1">
      <c r="A373" s="1" t="s">
        <v>628</v>
      </c>
      <c r="B373" s="1" t="s">
        <v>330</v>
      </c>
      <c r="C373" s="1" t="s">
        <v>356</v>
      </c>
      <c r="R373" s="1" t="str">
        <f>IFERROR(__xludf.DUMMYFUNCTION("""COMPUTED_VALUE"""),"CYBERTRONICA UG (HAFTUNGSBESCHRANKT) GMBH")</f>
        <v>CYBERTRONICA UG (HAFTUNGSBESCHRANKT) GMBH</v>
      </c>
      <c r="S373" s="2" t="s">
        <v>112</v>
      </c>
      <c r="U373" s="2" t="s">
        <v>712</v>
      </c>
      <c r="V373" s="2" t="s">
        <v>64</v>
      </c>
    </row>
    <row r="374" ht="15.75" customHeight="1">
      <c r="A374" s="1" t="s">
        <v>628</v>
      </c>
      <c r="B374" s="1" t="s">
        <v>330</v>
      </c>
      <c r="C374" s="1" t="s">
        <v>713</v>
      </c>
      <c r="R374" s="1" t="str">
        <f>IFERROR(__xludf.DUMMYFUNCTION("""COMPUTED_VALUE"""),"Sant'Anna School of Advanced Studies")</f>
        <v>Sant'Anna School of Advanced Studies</v>
      </c>
      <c r="S374" s="2" t="s">
        <v>31</v>
      </c>
      <c r="U374" s="2" t="s">
        <v>714</v>
      </c>
      <c r="V374" s="2" t="s">
        <v>89</v>
      </c>
    </row>
    <row r="375" ht="15.75" customHeight="1">
      <c r="A375" s="1" t="s">
        <v>628</v>
      </c>
      <c r="B375" s="1" t="s">
        <v>330</v>
      </c>
      <c r="C375" s="1" t="s">
        <v>715</v>
      </c>
      <c r="R375" s="1" t="str">
        <f>IFERROR(__xludf.DUMMYFUNCTION("""COMPUTED_VALUE"""),"Enabling Women of Kamand Valley")</f>
        <v>Enabling Women of Kamand Valley</v>
      </c>
      <c r="S375" s="2" t="s">
        <v>19</v>
      </c>
      <c r="U375" s="2" t="s">
        <v>716</v>
      </c>
      <c r="V375" s="2" t="s">
        <v>190</v>
      </c>
    </row>
    <row r="376" ht="15.75" customHeight="1">
      <c r="A376" s="1" t="s">
        <v>628</v>
      </c>
      <c r="B376" s="1" t="s">
        <v>330</v>
      </c>
      <c r="C376" s="1" t="s">
        <v>717</v>
      </c>
      <c r="R376" s="1" t="str">
        <f>IFERROR(__xludf.DUMMYFUNCTION("""COMPUTED_VALUE"""),"Fraunhofer FIT")</f>
        <v>Fraunhofer FIT</v>
      </c>
      <c r="S376" s="2" t="s">
        <v>31</v>
      </c>
      <c r="U376" s="2" t="s">
        <v>718</v>
      </c>
      <c r="V376" s="2" t="s">
        <v>64</v>
      </c>
    </row>
    <row r="377" ht="15.75" customHeight="1">
      <c r="A377" s="1" t="s">
        <v>628</v>
      </c>
      <c r="B377" s="1" t="s">
        <v>330</v>
      </c>
      <c r="C377" s="1" t="s">
        <v>719</v>
      </c>
      <c r="R377" s="1" t="str">
        <f>IFERROR(__xludf.DUMMYFUNCTION("""COMPUTED_VALUE"""),"Laboratoire d'informatique de Grenoble")</f>
        <v>Laboratoire d'informatique de Grenoble</v>
      </c>
      <c r="S377" s="2" t="s">
        <v>25</v>
      </c>
      <c r="U377" s="2" t="s">
        <v>720</v>
      </c>
      <c r="V377" s="2" t="s">
        <v>19</v>
      </c>
    </row>
    <row r="378" ht="15.75" customHeight="1">
      <c r="A378" s="1" t="s">
        <v>628</v>
      </c>
      <c r="B378" s="1" t="s">
        <v>330</v>
      </c>
      <c r="C378" s="1" t="s">
        <v>721</v>
      </c>
      <c r="R378" s="1" t="str">
        <f>IFERROR(__xludf.DUMMYFUNCTION("""COMPUTED_VALUE"""),"Georgia State University")</f>
        <v>Georgia State University</v>
      </c>
      <c r="S378" s="2" t="s">
        <v>64</v>
      </c>
      <c r="U378" s="2" t="s">
        <v>722</v>
      </c>
      <c r="V378" s="2" t="s">
        <v>31</v>
      </c>
    </row>
    <row r="379" ht="15.75" customHeight="1">
      <c r="A379" s="1" t="s">
        <v>628</v>
      </c>
      <c r="B379" s="1" t="s">
        <v>330</v>
      </c>
      <c r="C379" s="1" t="s">
        <v>723</v>
      </c>
      <c r="R379" s="1" t="str">
        <f>IFERROR(__xludf.DUMMYFUNCTION("""COMPUTED_VALUE"""),"Tencent")</f>
        <v>Tencent</v>
      </c>
      <c r="S379" s="2" t="s">
        <v>89</v>
      </c>
      <c r="U379" s="2" t="s">
        <v>724</v>
      </c>
      <c r="V379" s="2" t="s">
        <v>249</v>
      </c>
    </row>
    <row r="380" ht="15.75" customHeight="1">
      <c r="A380" s="1" t="s">
        <v>628</v>
      </c>
      <c r="B380" s="1" t="s">
        <v>330</v>
      </c>
      <c r="C380" s="1" t="s">
        <v>725</v>
      </c>
      <c r="R380" s="1" t="str">
        <f>IFERROR(__xludf.DUMMYFUNCTION("""COMPUTED_VALUE"""),"Aix-Marseille University")</f>
        <v>Aix-Marseille University</v>
      </c>
      <c r="S380" s="2" t="s">
        <v>36</v>
      </c>
      <c r="U380" s="2" t="s">
        <v>726</v>
      </c>
      <c r="V380" s="2" t="s">
        <v>19</v>
      </c>
    </row>
    <row r="381" ht="15.75" customHeight="1">
      <c r="A381" s="1" t="s">
        <v>628</v>
      </c>
      <c r="B381" s="1" t="s">
        <v>330</v>
      </c>
      <c r="C381" s="1" t="s">
        <v>376</v>
      </c>
      <c r="R381" s="1" t="str">
        <f>IFERROR(__xludf.DUMMYFUNCTION("""COMPUTED_VALUE"""),"University of Murcia")</f>
        <v>University of Murcia</v>
      </c>
      <c r="S381" s="2" t="s">
        <v>8</v>
      </c>
      <c r="U381" s="2" t="s">
        <v>727</v>
      </c>
      <c r="V381" s="2" t="s">
        <v>82</v>
      </c>
    </row>
    <row r="382" ht="15.75" customHeight="1">
      <c r="A382" s="1" t="s">
        <v>628</v>
      </c>
      <c r="B382" s="1" t="s">
        <v>378</v>
      </c>
      <c r="C382" s="1" t="s">
        <v>728</v>
      </c>
      <c r="R382" s="1" t="str">
        <f>IFERROR(__xludf.DUMMYFUNCTION("""COMPUTED_VALUE"""),"Octotext AB")</f>
        <v>Octotext AB</v>
      </c>
      <c r="S382" s="2" t="s">
        <v>89</v>
      </c>
      <c r="U382" s="2" t="s">
        <v>729</v>
      </c>
      <c r="V382" s="2" t="s">
        <v>25</v>
      </c>
    </row>
    <row r="383" ht="15.75" customHeight="1">
      <c r="A383" s="1" t="s">
        <v>628</v>
      </c>
      <c r="B383" s="1" t="s">
        <v>378</v>
      </c>
      <c r="C383" s="1" t="s">
        <v>381</v>
      </c>
      <c r="R383" s="1" t="str">
        <f>IFERROR(__xludf.DUMMYFUNCTION("""COMPUTED_VALUE"""),"University of Victoria")</f>
        <v>University of Victoria</v>
      </c>
      <c r="S383" s="2" t="s">
        <v>36</v>
      </c>
      <c r="U383" s="2" t="s">
        <v>730</v>
      </c>
      <c r="V383" s="2" t="s">
        <v>22</v>
      </c>
    </row>
    <row r="384" ht="15.75" customHeight="1">
      <c r="A384" s="1" t="s">
        <v>628</v>
      </c>
      <c r="B384" s="1" t="s">
        <v>378</v>
      </c>
      <c r="C384" s="1" t="s">
        <v>731</v>
      </c>
      <c r="R384" s="3" t="str">
        <f>IFERROR(__xludf.DUMMYFUNCTION("""COMPUTED_VALUE"""),"modl.ai")</f>
        <v>modl.ai</v>
      </c>
      <c r="S384" s="2" t="s">
        <v>36</v>
      </c>
      <c r="U384" s="4" t="s">
        <v>732</v>
      </c>
      <c r="V384" s="2" t="s">
        <v>31</v>
      </c>
    </row>
    <row r="385" ht="15.75" customHeight="1">
      <c r="A385" s="1" t="s">
        <v>628</v>
      </c>
      <c r="B385" s="1" t="s">
        <v>378</v>
      </c>
      <c r="C385" s="1" t="s">
        <v>385</v>
      </c>
      <c r="R385" s="1" t="str">
        <f>IFERROR(__xludf.DUMMYFUNCTION("""COMPUTED_VALUE"""),"ABB Corporate Research Center Germany")</f>
        <v>ABB Corporate Research Center Germany</v>
      </c>
      <c r="S385" s="2" t="s">
        <v>31</v>
      </c>
      <c r="U385" s="2" t="s">
        <v>733</v>
      </c>
      <c r="V385" s="2" t="s">
        <v>64</v>
      </c>
    </row>
    <row r="386" ht="15.75" customHeight="1">
      <c r="A386" s="1" t="s">
        <v>628</v>
      </c>
      <c r="B386" s="1" t="s">
        <v>378</v>
      </c>
      <c r="C386" s="1" t="s">
        <v>734</v>
      </c>
      <c r="R386" s="1" t="str">
        <f>IFERROR(__xludf.DUMMYFUNCTION("""COMPUTED_VALUE"""),"KAI Kompetenzzentrum Automobil- und Industrieelektronik GmbH")</f>
        <v>KAI Kompetenzzentrum Automobil- und Industrieelektronik GmbH</v>
      </c>
      <c r="S386" s="2" t="s">
        <v>31</v>
      </c>
      <c r="U386" s="2" t="s">
        <v>735</v>
      </c>
      <c r="V386" s="2" t="s">
        <v>64</v>
      </c>
    </row>
    <row r="387" ht="15.75" customHeight="1">
      <c r="A387" s="1" t="s">
        <v>628</v>
      </c>
      <c r="B387" s="1" t="s">
        <v>378</v>
      </c>
      <c r="C387" s="1" t="s">
        <v>389</v>
      </c>
      <c r="R387" s="1" t="str">
        <f>IFERROR(__xludf.DUMMYFUNCTION("""COMPUTED_VALUE"""),"La Trobe University")</f>
        <v>La Trobe University</v>
      </c>
      <c r="S387" s="2" t="s">
        <v>39</v>
      </c>
      <c r="U387" s="2" t="s">
        <v>736</v>
      </c>
      <c r="V387" s="2" t="s">
        <v>92</v>
      </c>
    </row>
    <row r="388" ht="15.75" customHeight="1">
      <c r="A388" s="1" t="s">
        <v>628</v>
      </c>
      <c r="B388" s="1" t="s">
        <v>378</v>
      </c>
      <c r="C388" s="1" t="s">
        <v>737</v>
      </c>
      <c r="R388" s="1" t="str">
        <f>IFERROR(__xludf.DUMMYFUNCTION("""COMPUTED_VALUE"""),"Simula Metropolitan Center for Digital Engineering AS")</f>
        <v>Simula Metropolitan Center for Digital Engineering AS</v>
      </c>
      <c r="S388" s="2" t="s">
        <v>190</v>
      </c>
      <c r="U388" s="2" t="s">
        <v>738</v>
      </c>
      <c r="V388" s="2" t="s">
        <v>79</v>
      </c>
    </row>
    <row r="389" ht="15.75" customHeight="1">
      <c r="A389" s="1" t="s">
        <v>628</v>
      </c>
      <c r="B389" s="1" t="s">
        <v>378</v>
      </c>
      <c r="C389" s="1" t="s">
        <v>395</v>
      </c>
      <c r="R389" s="1" t="str">
        <f>IFERROR(__xludf.DUMMYFUNCTION("""COMPUTED_VALUE"""),"Goethe University Frankfurt")</f>
        <v>Goethe University Frankfurt</v>
      </c>
      <c r="S389" s="2" t="s">
        <v>112</v>
      </c>
      <c r="U389" s="2" t="s">
        <v>739</v>
      </c>
      <c r="V389" s="2" t="s">
        <v>64</v>
      </c>
    </row>
    <row r="390" ht="15.75" customHeight="1">
      <c r="A390" s="1" t="s">
        <v>628</v>
      </c>
      <c r="B390" s="1" t="s">
        <v>403</v>
      </c>
      <c r="C390" s="1" t="s">
        <v>740</v>
      </c>
      <c r="R390" s="1" t="str">
        <f>IFERROR(__xludf.DUMMYFUNCTION("""COMPUTED_VALUE"""),"Autonomous University of Barcelona")</f>
        <v>Autonomous University of Barcelona</v>
      </c>
      <c r="S390" s="2" t="s">
        <v>31</v>
      </c>
      <c r="U390" s="2" t="s">
        <v>741</v>
      </c>
      <c r="V390" s="2" t="s">
        <v>82</v>
      </c>
    </row>
    <row r="391" ht="15.75" customHeight="1">
      <c r="A391" s="1" t="s">
        <v>628</v>
      </c>
      <c r="B391" s="1" t="s">
        <v>403</v>
      </c>
      <c r="C391" s="1" t="s">
        <v>408</v>
      </c>
      <c r="R391" s="1" t="str">
        <f>IFERROR(__xludf.DUMMYFUNCTION("""COMPUTED_VALUE"""),"Adam Mickiewicz University in Poznań")</f>
        <v>Adam Mickiewicz University in Poznań</v>
      </c>
      <c r="S391" s="2" t="s">
        <v>22</v>
      </c>
      <c r="U391" s="2" t="s">
        <v>742</v>
      </c>
      <c r="V391" s="2" t="s">
        <v>183</v>
      </c>
    </row>
    <row r="392" ht="15.75" customHeight="1">
      <c r="A392" s="1" t="s">
        <v>628</v>
      </c>
      <c r="B392" s="1" t="s">
        <v>403</v>
      </c>
      <c r="C392" s="1" t="s">
        <v>414</v>
      </c>
      <c r="R392" s="1" t="str">
        <f>IFERROR(__xludf.DUMMYFUNCTION("""COMPUTED_VALUE"""),"Canva")</f>
        <v>Canva</v>
      </c>
      <c r="S392" s="2" t="s">
        <v>36</v>
      </c>
      <c r="U392" s="2" t="s">
        <v>743</v>
      </c>
      <c r="V392" s="2" t="s">
        <v>92</v>
      </c>
    </row>
    <row r="393" ht="15.75" customHeight="1">
      <c r="A393" s="1" t="s">
        <v>628</v>
      </c>
      <c r="B393" s="1" t="s">
        <v>403</v>
      </c>
      <c r="C393" s="1" t="s">
        <v>418</v>
      </c>
      <c r="R393" s="1" t="str">
        <f>IFERROR(__xludf.DUMMYFUNCTION("""COMPUTED_VALUE"""),"George Mason University")</f>
        <v>George Mason University</v>
      </c>
      <c r="S393" s="2" t="s">
        <v>31</v>
      </c>
      <c r="U393" s="2" t="s">
        <v>744</v>
      </c>
      <c r="V393" s="2" t="s">
        <v>31</v>
      </c>
    </row>
    <row r="394" ht="15.75" customHeight="1">
      <c r="A394" s="1" t="s">
        <v>628</v>
      </c>
      <c r="B394" s="1" t="s">
        <v>403</v>
      </c>
      <c r="C394" s="1" t="s">
        <v>745</v>
      </c>
      <c r="R394" s="1" t="str">
        <f>IFERROR(__xludf.DUMMYFUNCTION("""COMPUTED_VALUE"""),"University of Warwick")</f>
        <v>University of Warwick</v>
      </c>
      <c r="S394" s="2" t="s">
        <v>64</v>
      </c>
      <c r="U394" s="2" t="s">
        <v>746</v>
      </c>
      <c r="V394" s="2" t="s">
        <v>39</v>
      </c>
    </row>
    <row r="395" ht="15.75" customHeight="1">
      <c r="A395" s="1" t="s">
        <v>628</v>
      </c>
      <c r="B395" s="1" t="s">
        <v>403</v>
      </c>
      <c r="C395" s="1" t="s">
        <v>747</v>
      </c>
      <c r="R395" s="1" t="str">
        <f>IFERROR(__xludf.DUMMYFUNCTION("""COMPUTED_VALUE"""),"Biomediq A/S")</f>
        <v>Biomediq A/S</v>
      </c>
      <c r="S395" s="2" t="s">
        <v>36</v>
      </c>
      <c r="U395" s="2" t="s">
        <v>748</v>
      </c>
      <c r="V395" s="2" t="s">
        <v>8</v>
      </c>
    </row>
    <row r="396" ht="15.75" customHeight="1">
      <c r="A396" s="1" t="s">
        <v>628</v>
      </c>
      <c r="B396" s="1" t="s">
        <v>403</v>
      </c>
      <c r="C396" s="1" t="s">
        <v>416</v>
      </c>
      <c r="R396" s="1" t="str">
        <f>IFERROR(__xludf.DUMMYFUNCTION("""COMPUTED_VALUE"""),"Universität Mannheim")</f>
        <v>Universität Mannheim</v>
      </c>
      <c r="S396" s="2" t="s">
        <v>19</v>
      </c>
      <c r="U396" s="2" t="s">
        <v>749</v>
      </c>
      <c r="V396" s="2" t="s">
        <v>64</v>
      </c>
    </row>
    <row r="397" ht="15.75" customHeight="1">
      <c r="A397" s="1" t="s">
        <v>628</v>
      </c>
      <c r="B397" s="1" t="s">
        <v>403</v>
      </c>
      <c r="C397" s="1" t="s">
        <v>750</v>
      </c>
      <c r="R397" s="1" t="str">
        <f>IFERROR(__xludf.DUMMYFUNCTION("""COMPUTED_VALUE"""),"CENTAI")</f>
        <v>CENTAI</v>
      </c>
      <c r="S397" s="2" t="s">
        <v>64</v>
      </c>
      <c r="U397" s="2" t="s">
        <v>751</v>
      </c>
      <c r="V397" s="2" t="s">
        <v>110</v>
      </c>
    </row>
    <row r="398" ht="15.75" customHeight="1">
      <c r="A398" s="1" t="s">
        <v>628</v>
      </c>
      <c r="B398" s="1" t="s">
        <v>403</v>
      </c>
      <c r="C398" s="1" t="s">
        <v>410</v>
      </c>
      <c r="R398" s="1" t="str">
        <f>IFERROR(__xludf.DUMMYFUNCTION("""COMPUTED_VALUE"""),"East China University of Science and Technology")</f>
        <v>East China University of Science and Technology</v>
      </c>
      <c r="S398" s="2" t="s">
        <v>8</v>
      </c>
      <c r="U398" s="2" t="s">
        <v>752</v>
      </c>
      <c r="V398" s="2" t="s">
        <v>249</v>
      </c>
    </row>
    <row r="399" ht="15.75" customHeight="1">
      <c r="A399" s="1" t="s">
        <v>628</v>
      </c>
      <c r="B399" s="1" t="s">
        <v>403</v>
      </c>
      <c r="C399" s="1" t="s">
        <v>420</v>
      </c>
      <c r="R399" s="1" t="str">
        <f>IFERROR(__xludf.DUMMYFUNCTION("""COMPUTED_VALUE"""),"Mediterranean Institute of Technology")</f>
        <v>Mediterranean Institute of Technology</v>
      </c>
      <c r="S399" s="2" t="s">
        <v>64</v>
      </c>
      <c r="U399" s="2" t="s">
        <v>753</v>
      </c>
      <c r="V399" s="2" t="s">
        <v>315</v>
      </c>
    </row>
    <row r="400" ht="15.75" customHeight="1">
      <c r="A400" s="1" t="s">
        <v>628</v>
      </c>
      <c r="B400" s="1" t="s">
        <v>403</v>
      </c>
      <c r="C400" s="1" t="s">
        <v>754</v>
      </c>
      <c r="R400" s="1" t="str">
        <f>IFERROR(__xludf.DUMMYFUNCTION("""COMPUTED_VALUE"""),"University of Koblenz")</f>
        <v>University of Koblenz</v>
      </c>
      <c r="S400" s="2" t="s">
        <v>39</v>
      </c>
      <c r="U400" s="2" t="s">
        <v>755</v>
      </c>
      <c r="V400" s="2" t="s">
        <v>64</v>
      </c>
    </row>
    <row r="401" ht="15.75" customHeight="1">
      <c r="A401" s="1" t="s">
        <v>628</v>
      </c>
      <c r="B401" s="1" t="s">
        <v>403</v>
      </c>
      <c r="C401" s="1" t="s">
        <v>756</v>
      </c>
      <c r="R401" s="1" t="str">
        <f>IFERROR(__xludf.DUMMYFUNCTION("""COMPUTED_VALUE"""),"Moesgaard Museum")</f>
        <v>Moesgaard Museum</v>
      </c>
      <c r="S401" s="2" t="s">
        <v>8</v>
      </c>
      <c r="U401" s="2" t="s">
        <v>757</v>
      </c>
      <c r="V401" s="2" t="s">
        <v>8</v>
      </c>
    </row>
    <row r="402" ht="15.75" customHeight="1">
      <c r="A402" s="1" t="s">
        <v>758</v>
      </c>
      <c r="B402" s="1" t="s">
        <v>6</v>
      </c>
      <c r="C402" s="1" t="s">
        <v>423</v>
      </c>
      <c r="R402" s="1" t="str">
        <f>IFERROR(__xludf.DUMMYFUNCTION("""COMPUTED_VALUE"""),"University of Bayreuth")</f>
        <v>University of Bayreuth</v>
      </c>
      <c r="S402" s="2" t="s">
        <v>8</v>
      </c>
      <c r="U402" s="2" t="s">
        <v>759</v>
      </c>
      <c r="V402" s="2" t="s">
        <v>64</v>
      </c>
    </row>
    <row r="403" ht="15.75" customHeight="1">
      <c r="A403" s="1" t="s">
        <v>758</v>
      </c>
      <c r="B403" s="1" t="s">
        <v>6</v>
      </c>
      <c r="C403" s="1" t="s">
        <v>427</v>
      </c>
      <c r="R403" s="1" t="str">
        <f>IFERROR(__xludf.DUMMYFUNCTION("""COMPUTED_VALUE"""),"Danish Pioneer Centre for AI")</f>
        <v>Danish Pioneer Centre for AI</v>
      </c>
      <c r="S403" s="2" t="s">
        <v>36</v>
      </c>
      <c r="U403" s="2" t="s">
        <v>760</v>
      </c>
      <c r="V403" s="2" t="s">
        <v>8</v>
      </c>
    </row>
    <row r="404" ht="15.75" customHeight="1">
      <c r="A404" s="1" t="s">
        <v>758</v>
      </c>
      <c r="B404" s="1" t="s">
        <v>6</v>
      </c>
      <c r="C404" s="1" t="s">
        <v>761</v>
      </c>
      <c r="R404" s="1" t="str">
        <f>IFERROR(__xludf.DUMMYFUNCTION("""COMPUTED_VALUE"""),"University of Manitoba")</f>
        <v>University of Manitoba</v>
      </c>
      <c r="S404" s="2" t="s">
        <v>8</v>
      </c>
      <c r="U404" s="2" t="s">
        <v>762</v>
      </c>
      <c r="V404" s="2" t="s">
        <v>22</v>
      </c>
    </row>
    <row r="405" ht="15.75" customHeight="1">
      <c r="A405" s="1" t="s">
        <v>758</v>
      </c>
      <c r="B405" s="1" t="s">
        <v>6</v>
      </c>
      <c r="C405" s="1" t="s">
        <v>763</v>
      </c>
      <c r="R405" s="1" t="str">
        <f>IFERROR(__xludf.DUMMYFUNCTION("""COMPUTED_VALUE"""),"MakerSpace Foundation")</f>
        <v>MakerSpace Foundation</v>
      </c>
      <c r="S405" s="2" t="s">
        <v>8</v>
      </c>
      <c r="U405" s="2" t="s">
        <v>764</v>
      </c>
      <c r="V405" s="2" t="s">
        <v>31</v>
      </c>
    </row>
    <row r="406" ht="15.75" customHeight="1">
      <c r="A406" s="1" t="s">
        <v>758</v>
      </c>
      <c r="B406" s="1" t="s">
        <v>6</v>
      </c>
      <c r="C406" s="1" t="s">
        <v>429</v>
      </c>
      <c r="R406" s="1" t="str">
        <f>IFERROR(__xludf.DUMMYFUNCTION("""COMPUTED_VALUE"""),"Zengo")</f>
        <v>Zengo</v>
      </c>
      <c r="S406" s="2" t="s">
        <v>8</v>
      </c>
      <c r="U406" s="2" t="s">
        <v>765</v>
      </c>
      <c r="V406" s="2" t="s">
        <v>25</v>
      </c>
    </row>
    <row r="407" ht="15.75" customHeight="1">
      <c r="A407" s="1" t="s">
        <v>758</v>
      </c>
      <c r="B407" s="1" t="s">
        <v>6</v>
      </c>
      <c r="C407" s="1" t="s">
        <v>766</v>
      </c>
      <c r="R407" s="1" t="str">
        <f>IFERROR(__xludf.DUMMYFUNCTION("""COMPUTED_VALUE"""),"Institute for Basic Science")</f>
        <v>Institute for Basic Science</v>
      </c>
      <c r="S407" s="2" t="s">
        <v>8</v>
      </c>
      <c r="U407" s="2" t="s">
        <v>767</v>
      </c>
      <c r="V407" s="2" t="s">
        <v>341</v>
      </c>
    </row>
    <row r="408" ht="15.75" customHeight="1">
      <c r="A408" s="1" t="s">
        <v>758</v>
      </c>
      <c r="B408" s="1" t="s">
        <v>29</v>
      </c>
      <c r="C408" s="1" t="s">
        <v>30</v>
      </c>
      <c r="R408" s="1" t="str">
        <f>IFERROR(__xludf.DUMMYFUNCTION("""COMPUTED_VALUE"""),"University of Wolverhampton")</f>
        <v>University of Wolverhampton</v>
      </c>
      <c r="S408" s="2" t="s">
        <v>36</v>
      </c>
      <c r="U408" s="2" t="s">
        <v>768</v>
      </c>
      <c r="V408" s="2" t="s">
        <v>39</v>
      </c>
    </row>
    <row r="409" ht="15.75" customHeight="1">
      <c r="A409" s="1" t="s">
        <v>758</v>
      </c>
      <c r="B409" s="1" t="s">
        <v>29</v>
      </c>
      <c r="C409" s="1" t="s">
        <v>769</v>
      </c>
      <c r="R409" s="1" t="str">
        <f>IFERROR(__xludf.DUMMYFUNCTION("""COMPUTED_VALUE"""),"Universität für Bodenkultur Wien")</f>
        <v>Universität für Bodenkultur Wien</v>
      </c>
      <c r="S409" s="2" t="s">
        <v>64</v>
      </c>
      <c r="U409" s="2" t="s">
        <v>770</v>
      </c>
      <c r="V409" s="2" t="s">
        <v>149</v>
      </c>
    </row>
    <row r="410" ht="15.75" customHeight="1">
      <c r="A410" s="1" t="s">
        <v>758</v>
      </c>
      <c r="B410" s="1" t="s">
        <v>29</v>
      </c>
      <c r="C410" s="1" t="s">
        <v>771</v>
      </c>
      <c r="R410" s="1" t="str">
        <f>IFERROR(__xludf.DUMMYFUNCTION("""COMPUTED_VALUE"""),"Institute for Advanced Studies in Basic Sciences")</f>
        <v>Institute for Advanced Studies in Basic Sciences</v>
      </c>
      <c r="S410" s="2" t="s">
        <v>8</v>
      </c>
      <c r="U410" s="2" t="s">
        <v>772</v>
      </c>
      <c r="V410" s="2" t="s">
        <v>773</v>
      </c>
    </row>
    <row r="411" ht="15.75" customHeight="1">
      <c r="A411" s="1" t="s">
        <v>758</v>
      </c>
      <c r="B411" s="1" t="s">
        <v>29</v>
      </c>
      <c r="C411" s="1" t="s">
        <v>774</v>
      </c>
      <c r="R411" s="1" t="str">
        <f>IFERROR(__xludf.DUMMYFUNCTION("""COMPUTED_VALUE"""),"University of Cincinnati")</f>
        <v>University of Cincinnati</v>
      </c>
      <c r="S411" s="2" t="s">
        <v>36</v>
      </c>
      <c r="U411" s="2" t="s">
        <v>775</v>
      </c>
      <c r="V411" s="2" t="s">
        <v>31</v>
      </c>
    </row>
    <row r="412" ht="15.75" customHeight="1">
      <c r="A412" s="1" t="s">
        <v>758</v>
      </c>
      <c r="B412" s="1" t="s">
        <v>29</v>
      </c>
      <c r="C412" s="1" t="s">
        <v>41</v>
      </c>
      <c r="R412" s="1" t="str">
        <f>IFERROR(__xludf.DUMMYFUNCTION("""COMPUTED_VALUE"""),"Ecole Polytechnique de Montreal")</f>
        <v>Ecole Polytechnique de Montreal</v>
      </c>
      <c r="S412" s="2" t="s">
        <v>64</v>
      </c>
      <c r="U412" s="2" t="s">
        <v>776</v>
      </c>
      <c r="V412" s="2" t="s">
        <v>22</v>
      </c>
    </row>
    <row r="413" ht="15.75" customHeight="1">
      <c r="A413" s="1" t="s">
        <v>758</v>
      </c>
      <c r="B413" s="1" t="s">
        <v>29</v>
      </c>
      <c r="C413" s="1" t="s">
        <v>43</v>
      </c>
      <c r="R413" s="1" t="str">
        <f>IFERROR(__xludf.DUMMYFUNCTION("""COMPUTED_VALUE"""),"Metropolitan University College")</f>
        <v>Metropolitan University College</v>
      </c>
      <c r="S413" s="2" t="s">
        <v>8</v>
      </c>
      <c r="U413" s="2" t="s">
        <v>777</v>
      </c>
      <c r="V413" s="2" t="s">
        <v>8</v>
      </c>
    </row>
    <row r="414" ht="15.75" customHeight="1">
      <c r="A414" s="1" t="s">
        <v>758</v>
      </c>
      <c r="B414" s="1" t="s">
        <v>29</v>
      </c>
      <c r="C414" s="1" t="s">
        <v>778</v>
      </c>
      <c r="R414" s="1" t="str">
        <f>IFERROR(__xludf.DUMMYFUNCTION("""COMPUTED_VALUE"""),"Chemnitz University of Technology")</f>
        <v>Chemnitz University of Technology</v>
      </c>
      <c r="S414" s="2" t="s">
        <v>19</v>
      </c>
      <c r="U414" s="2" t="s">
        <v>779</v>
      </c>
      <c r="V414" s="2" t="s">
        <v>64</v>
      </c>
    </row>
    <row r="415" ht="15.75" customHeight="1">
      <c r="A415" s="1" t="s">
        <v>758</v>
      </c>
      <c r="B415" s="1" t="s">
        <v>29</v>
      </c>
      <c r="C415" s="1" t="s">
        <v>780</v>
      </c>
      <c r="R415" s="1" t="str">
        <f>IFERROR(__xludf.DUMMYFUNCTION("""COMPUTED_VALUE"""),"Nottingham Trent University")</f>
        <v>Nottingham Trent University</v>
      </c>
      <c r="S415" s="2" t="s">
        <v>8</v>
      </c>
      <c r="U415" s="2" t="s">
        <v>781</v>
      </c>
      <c r="V415" s="2" t="s">
        <v>39</v>
      </c>
    </row>
    <row r="416" ht="15.75" customHeight="1">
      <c r="A416" s="1" t="s">
        <v>758</v>
      </c>
      <c r="B416" s="1" t="s">
        <v>29</v>
      </c>
      <c r="C416" s="1" t="s">
        <v>782</v>
      </c>
      <c r="R416" s="1" t="str">
        <f>IFERROR(__xludf.DUMMYFUNCTION("""COMPUTED_VALUE"""),"Mohamed bin Zayed University of Artificial Intelligence")</f>
        <v>Mohamed bin Zayed University of Artificial Intelligence</v>
      </c>
      <c r="S416" s="2" t="s">
        <v>64</v>
      </c>
      <c r="U416" s="2" t="s">
        <v>783</v>
      </c>
      <c r="V416" s="2" t="s">
        <v>784</v>
      </c>
    </row>
    <row r="417" ht="15.75" customHeight="1">
      <c r="A417" s="1" t="s">
        <v>758</v>
      </c>
      <c r="B417" s="1" t="s">
        <v>29</v>
      </c>
      <c r="C417" s="1" t="s">
        <v>785</v>
      </c>
      <c r="R417" s="1" t="str">
        <f>IFERROR(__xludf.DUMMYFUNCTION("""COMPUTED_VALUE"""),"Autodesk Inc")</f>
        <v>Autodesk Inc</v>
      </c>
      <c r="S417" s="2" t="s">
        <v>8</v>
      </c>
      <c r="U417" s="2" t="s">
        <v>786</v>
      </c>
      <c r="V417" s="2" t="s">
        <v>31</v>
      </c>
    </row>
    <row r="418" ht="15.75" customHeight="1">
      <c r="A418" s="1" t="s">
        <v>758</v>
      </c>
      <c r="B418" s="1" t="s">
        <v>29</v>
      </c>
      <c r="C418" s="1" t="s">
        <v>787</v>
      </c>
      <c r="R418" s="1" t="str">
        <f>IFERROR(__xludf.DUMMYFUNCTION("""COMPUTED_VALUE"""),"Ensenada Center for Scientific Research and Higher Education")</f>
        <v>Ensenada Center for Scientific Research and Higher Education</v>
      </c>
      <c r="S418" s="2" t="s">
        <v>178</v>
      </c>
      <c r="U418" s="2" t="s">
        <v>788</v>
      </c>
      <c r="V418" s="2" t="s">
        <v>363</v>
      </c>
    </row>
    <row r="419" ht="15.75" customHeight="1">
      <c r="A419" s="1" t="s">
        <v>758</v>
      </c>
      <c r="B419" s="1" t="s">
        <v>29</v>
      </c>
      <c r="C419" s="1" t="s">
        <v>789</v>
      </c>
      <c r="R419" s="1" t="str">
        <f>IFERROR(__xludf.DUMMYFUNCTION("""COMPUTED_VALUE"""),"Université Paris-Saclay")</f>
        <v>Université Paris-Saclay</v>
      </c>
      <c r="S419" s="2" t="s">
        <v>8</v>
      </c>
      <c r="U419" s="2" t="s">
        <v>790</v>
      </c>
      <c r="V419" s="2" t="s">
        <v>19</v>
      </c>
    </row>
    <row r="420" ht="15.75" customHeight="1">
      <c r="A420" s="1" t="s">
        <v>758</v>
      </c>
      <c r="B420" s="1" t="s">
        <v>29</v>
      </c>
      <c r="C420" s="1" t="s">
        <v>61</v>
      </c>
      <c r="R420" s="1" t="str">
        <f>IFERROR(__xludf.DUMMYFUNCTION("""COMPUTED_VALUE"""),"Ange Optimization")</f>
        <v>Ange Optimization</v>
      </c>
      <c r="S420" s="2" t="s">
        <v>8</v>
      </c>
      <c r="U420" s="2" t="s">
        <v>791</v>
      </c>
      <c r="V420" s="2" t="s">
        <v>31</v>
      </c>
    </row>
    <row r="421" ht="15.75" customHeight="1">
      <c r="A421" s="1" t="s">
        <v>758</v>
      </c>
      <c r="B421" s="1" t="s">
        <v>29</v>
      </c>
      <c r="C421" s="1" t="s">
        <v>792</v>
      </c>
      <c r="R421" s="1" t="str">
        <f>IFERROR(__xludf.DUMMYFUNCTION("""COMPUTED_VALUE"""),"University of Hawaii")</f>
        <v>University of Hawaii</v>
      </c>
      <c r="S421" s="2" t="s">
        <v>31</v>
      </c>
      <c r="U421" s="2" t="s">
        <v>793</v>
      </c>
      <c r="V421" s="2" t="s">
        <v>31</v>
      </c>
    </row>
    <row r="422" ht="15.75" customHeight="1">
      <c r="A422" s="1" t="s">
        <v>758</v>
      </c>
      <c r="B422" s="1" t="s">
        <v>29</v>
      </c>
      <c r="C422" s="1" t="s">
        <v>68</v>
      </c>
      <c r="R422" s="1" t="str">
        <f>IFERROR(__xludf.DUMMYFUNCTION("""COMPUTED_VALUE"""),"VMware Research")</f>
        <v>VMware Research</v>
      </c>
      <c r="S422" s="2" t="s">
        <v>178</v>
      </c>
      <c r="U422" s="2" t="s">
        <v>794</v>
      </c>
      <c r="V422" s="2" t="s">
        <v>31</v>
      </c>
    </row>
    <row r="423" ht="15.75" customHeight="1">
      <c r="A423" s="1" t="s">
        <v>758</v>
      </c>
      <c r="B423" s="1" t="s">
        <v>29</v>
      </c>
      <c r="C423" s="1" t="s">
        <v>70</v>
      </c>
      <c r="R423" s="1" t="str">
        <f>IFERROR(__xludf.DUMMYFUNCTION("""COMPUTED_VALUE"""),"University of Nigeria")</f>
        <v>University of Nigeria</v>
      </c>
      <c r="S423" s="2" t="s">
        <v>8</v>
      </c>
      <c r="U423" s="2" t="s">
        <v>795</v>
      </c>
      <c r="V423" s="2" t="s">
        <v>796</v>
      </c>
    </row>
    <row r="424" ht="15.75" customHeight="1">
      <c r="A424" s="1" t="s">
        <v>758</v>
      </c>
      <c r="B424" s="1" t="s">
        <v>29</v>
      </c>
      <c r="C424" s="1" t="s">
        <v>460</v>
      </c>
      <c r="R424" s="1" t="str">
        <f>IFERROR(__xludf.DUMMYFUNCTION("""COMPUTED_VALUE"""),"Mavenoid")</f>
        <v>Mavenoid</v>
      </c>
      <c r="S424" s="2" t="s">
        <v>8</v>
      </c>
      <c r="U424" s="2" t="s">
        <v>797</v>
      </c>
      <c r="V424" s="2" t="s">
        <v>31</v>
      </c>
    </row>
    <row r="425" ht="15.75" customHeight="1">
      <c r="A425" s="1" t="s">
        <v>758</v>
      </c>
      <c r="B425" s="1" t="s">
        <v>77</v>
      </c>
      <c r="C425" s="1" t="s">
        <v>798</v>
      </c>
      <c r="R425" s="1" t="str">
        <f>IFERROR(__xludf.DUMMYFUNCTION("""COMPUTED_VALUE"""),"Federal University of Paraná")</f>
        <v>Federal University of Paraná</v>
      </c>
      <c r="S425" s="2" t="s">
        <v>8</v>
      </c>
      <c r="U425" s="2" t="s">
        <v>799</v>
      </c>
      <c r="V425" s="2" t="s">
        <v>112</v>
      </c>
    </row>
    <row r="426" ht="15.75" customHeight="1">
      <c r="A426" s="1" t="s">
        <v>758</v>
      </c>
      <c r="B426" s="1" t="s">
        <v>77</v>
      </c>
      <c r="C426" s="1" t="s">
        <v>800</v>
      </c>
      <c r="R426" s="1" t="str">
        <f>IFERROR(__xludf.DUMMYFUNCTION("""COMPUTED_VALUE"""),"National Research Council of Italy")</f>
        <v>National Research Council of Italy</v>
      </c>
      <c r="S426" s="2" t="s">
        <v>8</v>
      </c>
      <c r="U426" s="2" t="s">
        <v>801</v>
      </c>
      <c r="V426" s="2" t="s">
        <v>89</v>
      </c>
    </row>
    <row r="427" ht="15.75" customHeight="1">
      <c r="A427" s="1" t="s">
        <v>758</v>
      </c>
      <c r="B427" s="1" t="s">
        <v>77</v>
      </c>
      <c r="C427" s="1" t="s">
        <v>802</v>
      </c>
      <c r="R427" s="1" t="str">
        <f>IFERROR(__xludf.DUMMYFUNCTION("""COMPUTED_VALUE"""),"University of Leon")</f>
        <v>University of Leon</v>
      </c>
      <c r="S427" s="2" t="s">
        <v>8</v>
      </c>
      <c r="U427" s="2" t="s">
        <v>803</v>
      </c>
      <c r="V427" s="2" t="s">
        <v>82</v>
      </c>
    </row>
    <row r="428" ht="15.75" customHeight="1">
      <c r="A428" s="1" t="s">
        <v>758</v>
      </c>
      <c r="B428" s="1" t="s">
        <v>77</v>
      </c>
      <c r="C428" s="1" t="s">
        <v>804</v>
      </c>
      <c r="R428" s="1" t="str">
        <f>IFERROR(__xludf.DUMMYFUNCTION("""COMPUTED_VALUE"""),"Dansk Sprognævn")</f>
        <v>Dansk Sprognævn</v>
      </c>
      <c r="S428" s="2" t="s">
        <v>8</v>
      </c>
      <c r="U428" s="2" t="s">
        <v>805</v>
      </c>
      <c r="V428" s="2" t="s">
        <v>8</v>
      </c>
    </row>
    <row r="429" ht="15.75" customHeight="1">
      <c r="A429" s="1" t="s">
        <v>758</v>
      </c>
      <c r="B429" s="1" t="s">
        <v>77</v>
      </c>
      <c r="C429" s="1" t="s">
        <v>806</v>
      </c>
      <c r="R429" s="1" t="str">
        <f>IFERROR(__xludf.DUMMYFUNCTION("""COMPUTED_VALUE"""),"Google Brain")</f>
        <v>Google Brain</v>
      </c>
      <c r="S429" s="2" t="s">
        <v>8</v>
      </c>
      <c r="U429" s="2" t="s">
        <v>807</v>
      </c>
      <c r="V429" s="2" t="s">
        <v>31</v>
      </c>
    </row>
    <row r="430" ht="15.75" customHeight="1">
      <c r="A430" s="1" t="s">
        <v>758</v>
      </c>
      <c r="B430" s="1" t="s">
        <v>77</v>
      </c>
      <c r="C430" s="1" t="s">
        <v>808</v>
      </c>
      <c r="R430" s="1" t="str">
        <f>IFERROR(__xludf.DUMMYFUNCTION("""COMPUTED_VALUE"""),"Sheffield Teaching Hospital")</f>
        <v>Sheffield Teaching Hospital</v>
      </c>
      <c r="S430" s="2" t="s">
        <v>8</v>
      </c>
      <c r="U430" s="2" t="s">
        <v>809</v>
      </c>
      <c r="V430" s="2" t="s">
        <v>39</v>
      </c>
    </row>
    <row r="431" ht="15.75" customHeight="1">
      <c r="A431" s="1" t="s">
        <v>758</v>
      </c>
      <c r="B431" s="1" t="s">
        <v>77</v>
      </c>
      <c r="C431" s="1" t="s">
        <v>273</v>
      </c>
      <c r="R431" s="1" t="str">
        <f>IFERROR(__xludf.DUMMYFUNCTION("""COMPUTED_VALUE"""),"GSI Technology")</f>
        <v>GSI Technology</v>
      </c>
      <c r="S431" s="2" t="s">
        <v>8</v>
      </c>
      <c r="U431" s="2" t="s">
        <v>810</v>
      </c>
      <c r="V431" s="2" t="s">
        <v>64</v>
      </c>
    </row>
    <row r="432" ht="15.75" customHeight="1">
      <c r="A432" s="1" t="s">
        <v>758</v>
      </c>
      <c r="B432" s="1" t="s">
        <v>77</v>
      </c>
      <c r="C432" s="1" t="s">
        <v>811</v>
      </c>
      <c r="R432" s="1" t="str">
        <f>IFERROR(__xludf.DUMMYFUNCTION("""COMPUTED_VALUE"""),"University of Stirling")</f>
        <v>University of Stirling</v>
      </c>
      <c r="S432" s="2" t="s">
        <v>8</v>
      </c>
      <c r="U432" s="2" t="s">
        <v>812</v>
      </c>
      <c r="V432" s="2" t="s">
        <v>39</v>
      </c>
    </row>
    <row r="433" ht="15.75" customHeight="1">
      <c r="A433" s="1" t="s">
        <v>758</v>
      </c>
      <c r="B433" s="1" t="s">
        <v>77</v>
      </c>
      <c r="C433" s="1" t="s">
        <v>813</v>
      </c>
      <c r="R433" s="1" t="str">
        <f>IFERROR(__xludf.DUMMYFUNCTION("""COMPUTED_VALUE"""),"University of Primorska")</f>
        <v>University of Primorska</v>
      </c>
      <c r="S433" s="2" t="s">
        <v>8</v>
      </c>
      <c r="U433" s="2" t="s">
        <v>814</v>
      </c>
      <c r="V433" s="2" t="s">
        <v>360</v>
      </c>
    </row>
    <row r="434" ht="15.75" customHeight="1">
      <c r="A434" s="1" t="s">
        <v>758</v>
      </c>
      <c r="B434" s="1" t="s">
        <v>77</v>
      </c>
      <c r="C434" s="1" t="s">
        <v>493</v>
      </c>
      <c r="R434" s="1" t="str">
        <f>IFERROR(__xludf.DUMMYFUNCTION("""COMPUTED_VALUE"""),"Fondazione the Microsoft Research – University of Trento Centre for Computational and Systems Biology, Italy")</f>
        <v>Fondazione the Microsoft Research – University of Trento Centre for Computational and Systems Biology, Italy</v>
      </c>
      <c r="S434" s="2" t="s">
        <v>8</v>
      </c>
      <c r="U434" s="2" t="s">
        <v>815</v>
      </c>
      <c r="V434" s="2" t="s">
        <v>89</v>
      </c>
    </row>
    <row r="435" ht="15.75" customHeight="1">
      <c r="A435" s="1" t="s">
        <v>758</v>
      </c>
      <c r="B435" s="1" t="s">
        <v>77</v>
      </c>
      <c r="C435" s="1" t="s">
        <v>816</v>
      </c>
      <c r="R435" s="1" t="str">
        <f>IFERROR(__xludf.DUMMYFUNCTION("""COMPUTED_VALUE"""),"Universidad Nacional de Tres de Febrero")</f>
        <v>Universidad Nacional de Tres de Febrero</v>
      </c>
      <c r="S435" s="2" t="s">
        <v>8</v>
      </c>
      <c r="U435" s="2" t="s">
        <v>817</v>
      </c>
      <c r="V435" s="2" t="s">
        <v>818</v>
      </c>
    </row>
    <row r="436" ht="15.75" customHeight="1">
      <c r="A436" s="1" t="s">
        <v>758</v>
      </c>
      <c r="B436" s="1" t="s">
        <v>77</v>
      </c>
      <c r="C436" s="1" t="s">
        <v>819</v>
      </c>
      <c r="R436" s="1" t="str">
        <f>IFERROR(__xludf.DUMMYFUNCTION("""COMPUTED_VALUE"""),"Copenhagen Institute of Interaction Design")</f>
        <v>Copenhagen Institute of Interaction Design</v>
      </c>
      <c r="S436" s="2" t="s">
        <v>8</v>
      </c>
      <c r="U436" s="2" t="s">
        <v>820</v>
      </c>
      <c r="V436" s="2" t="s">
        <v>8</v>
      </c>
    </row>
    <row r="437" ht="15.75" customHeight="1">
      <c r="A437" s="1" t="s">
        <v>758</v>
      </c>
      <c r="B437" s="1" t="s">
        <v>77</v>
      </c>
      <c r="C437" s="1" t="s">
        <v>821</v>
      </c>
      <c r="R437" s="1" t="str">
        <f>IFERROR(__xludf.DUMMYFUNCTION("""COMPUTED_VALUE"""),"Troyes University of Technology")</f>
        <v>Troyes University of Technology</v>
      </c>
      <c r="S437" s="2" t="s">
        <v>8</v>
      </c>
      <c r="U437" s="2" t="s">
        <v>822</v>
      </c>
      <c r="V437" s="2" t="s">
        <v>19</v>
      </c>
    </row>
    <row r="438" ht="15.75" customHeight="1">
      <c r="A438" s="1" t="s">
        <v>758</v>
      </c>
      <c r="B438" s="1" t="s">
        <v>77</v>
      </c>
      <c r="C438" s="1" t="s">
        <v>281</v>
      </c>
      <c r="R438" s="1" t="str">
        <f>IFERROR(__xludf.DUMMYFUNCTION("""COMPUTED_VALUE"""),"Charles University")</f>
        <v>Charles University</v>
      </c>
      <c r="S438" s="2" t="s">
        <v>8</v>
      </c>
      <c r="U438" s="2" t="s">
        <v>823</v>
      </c>
      <c r="V438" s="2" t="s">
        <v>110</v>
      </c>
    </row>
    <row r="439" ht="15.75" customHeight="1">
      <c r="A439" s="1" t="s">
        <v>758</v>
      </c>
      <c r="B439" s="1" t="s">
        <v>77</v>
      </c>
      <c r="C439" s="1" t="s">
        <v>824</v>
      </c>
      <c r="R439" s="1" t="str">
        <f>IFERROR(__xludf.DUMMYFUNCTION("""COMPUTED_VALUE"""),"Blackwood Seven Danmark A/S")</f>
        <v>Blackwood Seven Danmark A/S</v>
      </c>
      <c r="S439" s="2" t="s">
        <v>8</v>
      </c>
      <c r="U439" s="2" t="s">
        <v>825</v>
      </c>
      <c r="V439" s="2" t="s">
        <v>8</v>
      </c>
    </row>
    <row r="440" ht="15.75" customHeight="1">
      <c r="A440" s="1" t="s">
        <v>758</v>
      </c>
      <c r="B440" s="1" t="s">
        <v>77</v>
      </c>
      <c r="C440" s="1" t="s">
        <v>826</v>
      </c>
      <c r="R440" s="1" t="str">
        <f>IFERROR(__xludf.DUMMYFUNCTION("""COMPUTED_VALUE"""),"Rutgers University")</f>
        <v>Rutgers University</v>
      </c>
      <c r="S440" s="2" t="s">
        <v>8</v>
      </c>
      <c r="U440" s="2" t="s">
        <v>827</v>
      </c>
      <c r="V440" s="2" t="s">
        <v>31</v>
      </c>
    </row>
    <row r="441" ht="15.75" customHeight="1">
      <c r="A441" s="1" t="s">
        <v>758</v>
      </c>
      <c r="B441" s="1" t="s">
        <v>77</v>
      </c>
      <c r="C441" s="1" t="s">
        <v>828</v>
      </c>
      <c r="R441" s="1" t="str">
        <f>IFERROR(__xludf.DUMMYFUNCTION("""COMPUTED_VALUE"""),"Entropy Studio")</f>
        <v>Entropy Studio</v>
      </c>
      <c r="S441" s="2" t="s">
        <v>8</v>
      </c>
      <c r="U441" s="2" t="s">
        <v>829</v>
      </c>
      <c r="V441" s="2" t="s">
        <v>64</v>
      </c>
    </row>
    <row r="442" ht="15.75" customHeight="1">
      <c r="A442" s="1" t="s">
        <v>758</v>
      </c>
      <c r="B442" s="1" t="s">
        <v>77</v>
      </c>
      <c r="C442" s="1" t="s">
        <v>511</v>
      </c>
      <c r="R442" s="1" t="str">
        <f>IFERROR(__xludf.DUMMYFUNCTION("""COMPUTED_VALUE"""),"Babeș-Bolyai University")</f>
        <v>Babeș-Bolyai University</v>
      </c>
      <c r="S442" s="2" t="s">
        <v>8</v>
      </c>
      <c r="U442" s="2" t="s">
        <v>830</v>
      </c>
      <c r="V442" s="2" t="s">
        <v>831</v>
      </c>
    </row>
    <row r="443" ht="15.75" customHeight="1">
      <c r="A443" s="1" t="s">
        <v>758</v>
      </c>
      <c r="B443" s="1" t="s">
        <v>77</v>
      </c>
      <c r="C443" s="1" t="s">
        <v>832</v>
      </c>
      <c r="R443" s="1" t="str">
        <f>IFERROR(__xludf.DUMMYFUNCTION("""COMPUTED_VALUE"""),"Sorbonne University")</f>
        <v>Sorbonne University</v>
      </c>
      <c r="S443" s="2" t="s">
        <v>8</v>
      </c>
      <c r="U443" s="2" t="s">
        <v>833</v>
      </c>
      <c r="V443" s="2" t="s">
        <v>19</v>
      </c>
    </row>
    <row r="444" ht="15.75" customHeight="1">
      <c r="A444" s="1" t="s">
        <v>758</v>
      </c>
      <c r="B444" s="1" t="s">
        <v>77</v>
      </c>
      <c r="C444" s="1" t="s">
        <v>155</v>
      </c>
      <c r="R444" s="1" t="str">
        <f>IFERROR(__xludf.DUMMYFUNCTION("""COMPUTED_VALUE"""),"MUNCH")</f>
        <v>MUNCH</v>
      </c>
      <c r="S444" s="2" t="s">
        <v>8</v>
      </c>
      <c r="U444" s="2" t="s">
        <v>834</v>
      </c>
      <c r="V444" s="2" t="s">
        <v>79</v>
      </c>
    </row>
    <row r="445" ht="15.75" customHeight="1">
      <c r="A445" s="1" t="s">
        <v>758</v>
      </c>
      <c r="B445" s="1" t="s">
        <v>158</v>
      </c>
      <c r="C445" s="1" t="s">
        <v>290</v>
      </c>
      <c r="R445" s="1" t="str">
        <f>IFERROR(__xludf.DUMMYFUNCTION("""COMPUTED_VALUE"""),"University of Nebraska")</f>
        <v>University of Nebraska</v>
      </c>
      <c r="S445" s="2" t="s">
        <v>8</v>
      </c>
      <c r="U445" s="2" t="s">
        <v>835</v>
      </c>
      <c r="V445" s="2" t="s">
        <v>31</v>
      </c>
    </row>
    <row r="446" ht="15.75" customHeight="1">
      <c r="A446" s="1" t="s">
        <v>758</v>
      </c>
      <c r="B446" s="1" t="s">
        <v>158</v>
      </c>
      <c r="C446" s="1" t="s">
        <v>836</v>
      </c>
      <c r="R446" s="1" t="str">
        <f>IFERROR(__xludf.DUMMYFUNCTION("""COMPUTED_VALUE"""),"Bremen, Research and Technology Group")</f>
        <v>Bremen, Research and Technology Group</v>
      </c>
      <c r="S446" s="2" t="s">
        <v>8</v>
      </c>
      <c r="U446" s="2" t="s">
        <v>837</v>
      </c>
      <c r="V446" s="2" t="s">
        <v>64</v>
      </c>
    </row>
    <row r="447" ht="15.75" customHeight="1">
      <c r="A447" s="1" t="s">
        <v>758</v>
      </c>
      <c r="B447" s="1" t="s">
        <v>158</v>
      </c>
      <c r="C447" s="1" t="s">
        <v>165</v>
      </c>
      <c r="R447" s="1" t="str">
        <f>IFERROR(__xludf.DUMMYFUNCTION("""COMPUTED_VALUE"""),"Netcompany IT &amp; Business Consulting A/S")</f>
        <v>Netcompany IT &amp; Business Consulting A/S</v>
      </c>
      <c r="S447" s="2" t="s">
        <v>8</v>
      </c>
      <c r="U447" s="2" t="s">
        <v>838</v>
      </c>
      <c r="V447" s="2" t="s">
        <v>8</v>
      </c>
    </row>
    <row r="448" ht="15.75" customHeight="1">
      <c r="A448" s="1" t="s">
        <v>758</v>
      </c>
      <c r="B448" s="1" t="s">
        <v>158</v>
      </c>
      <c r="C448" s="1" t="s">
        <v>177</v>
      </c>
      <c r="R448" s="1" t="str">
        <f>IFERROR(__xludf.DUMMYFUNCTION("""COMPUTED_VALUE"""),"Edge Hill University")</f>
        <v>Edge Hill University</v>
      </c>
      <c r="S448" s="2" t="s">
        <v>8</v>
      </c>
      <c r="U448" s="2" t="s">
        <v>839</v>
      </c>
      <c r="V448" s="2" t="s">
        <v>39</v>
      </c>
    </row>
    <row r="449" ht="15.75" customHeight="1">
      <c r="A449" s="1" t="s">
        <v>758</v>
      </c>
      <c r="B449" s="1" t="s">
        <v>158</v>
      </c>
      <c r="C449" s="1" t="s">
        <v>182</v>
      </c>
      <c r="R449" s="1" t="str">
        <f>IFERROR(__xludf.DUMMYFUNCTION("""COMPUTED_VALUE"""),"Rensselaer Polytechnic Institute")</f>
        <v>Rensselaer Polytechnic Institute</v>
      </c>
      <c r="S449" s="2" t="s">
        <v>8</v>
      </c>
      <c r="U449" s="2" t="s">
        <v>840</v>
      </c>
      <c r="V449" s="2" t="s">
        <v>31</v>
      </c>
    </row>
    <row r="450" ht="15.75" customHeight="1">
      <c r="A450" s="1" t="s">
        <v>758</v>
      </c>
      <c r="B450" s="1" t="s">
        <v>158</v>
      </c>
      <c r="C450" s="1" t="s">
        <v>841</v>
      </c>
      <c r="R450" s="1" t="str">
        <f>IFERROR(__xludf.DUMMYFUNCTION("""COMPUTED_VALUE"""),"Bosch Center for AI")</f>
        <v>Bosch Center for AI</v>
      </c>
      <c r="S450" s="2" t="s">
        <v>8</v>
      </c>
      <c r="U450" s="2" t="s">
        <v>842</v>
      </c>
      <c r="V450" s="2" t="s">
        <v>64</v>
      </c>
    </row>
    <row r="451" ht="15.75" customHeight="1">
      <c r="A451" s="1" t="s">
        <v>758</v>
      </c>
      <c r="B451" s="1" t="s">
        <v>158</v>
      </c>
      <c r="C451" s="1" t="s">
        <v>843</v>
      </c>
      <c r="R451" s="1" t="str">
        <f>IFERROR(__xludf.DUMMYFUNCTION("""COMPUTED_VALUE"""),"Sofia University St. Kliment Ohridski")</f>
        <v>Sofia University St. Kliment Ohridski</v>
      </c>
      <c r="S451" s="2" t="s">
        <v>8</v>
      </c>
      <c r="U451" s="2" t="s">
        <v>844</v>
      </c>
      <c r="V451" s="2" t="s">
        <v>845</v>
      </c>
    </row>
    <row r="452" ht="15.75" customHeight="1">
      <c r="A452" s="1" t="s">
        <v>758</v>
      </c>
      <c r="B452" s="1" t="s">
        <v>158</v>
      </c>
      <c r="C452" s="1" t="s">
        <v>520</v>
      </c>
      <c r="R452" s="1" t="str">
        <f>IFERROR(__xludf.DUMMYFUNCTION("""COMPUTED_VALUE"""),"University of Torino")</f>
        <v>University of Torino</v>
      </c>
      <c r="S452" s="2" t="s">
        <v>8</v>
      </c>
      <c r="U452" s="2" t="s">
        <v>846</v>
      </c>
      <c r="V452" s="2" t="s">
        <v>89</v>
      </c>
    </row>
    <row r="453" ht="15.75" customHeight="1">
      <c r="A453" s="1" t="s">
        <v>758</v>
      </c>
      <c r="B453" s="1" t="s">
        <v>158</v>
      </c>
      <c r="C453" s="1" t="s">
        <v>847</v>
      </c>
      <c r="R453" s="3" t="str">
        <f>IFERROR(__xludf.DUMMYFUNCTION("""COMPUTED_VALUE"""),"ScaDS.AI")</f>
        <v>ScaDS.AI</v>
      </c>
      <c r="S453" s="2" t="s">
        <v>8</v>
      </c>
      <c r="U453" s="4" t="s">
        <v>848</v>
      </c>
      <c r="V453" s="2" t="s">
        <v>50</v>
      </c>
    </row>
    <row r="454" ht="15.75" customHeight="1">
      <c r="A454" s="1" t="s">
        <v>758</v>
      </c>
      <c r="B454" s="1" t="s">
        <v>158</v>
      </c>
      <c r="C454" s="1" t="s">
        <v>849</v>
      </c>
      <c r="R454" s="1" t="str">
        <f>IFERROR(__xludf.DUMMYFUNCTION("""COMPUTED_VALUE"""),"Alibaba Group")</f>
        <v>Alibaba Group</v>
      </c>
      <c r="S454" s="2" t="s">
        <v>8</v>
      </c>
      <c r="U454" s="2" t="s">
        <v>850</v>
      </c>
      <c r="V454" s="2" t="s">
        <v>249</v>
      </c>
    </row>
    <row r="455" ht="15.75" customHeight="1">
      <c r="A455" s="1" t="s">
        <v>758</v>
      </c>
      <c r="B455" s="1" t="s">
        <v>158</v>
      </c>
      <c r="C455" s="1" t="s">
        <v>851</v>
      </c>
      <c r="R455" s="1" t="str">
        <f>IFERROR(__xludf.DUMMYFUNCTION("""COMPUTED_VALUE"""),"Public University of Navarra")</f>
        <v>Public University of Navarra</v>
      </c>
      <c r="S455" s="2" t="s">
        <v>8</v>
      </c>
      <c r="U455" s="2" t="s">
        <v>852</v>
      </c>
      <c r="V455" s="2" t="s">
        <v>82</v>
      </c>
    </row>
    <row r="456" ht="15.75" customHeight="1">
      <c r="A456" s="1" t="s">
        <v>758</v>
      </c>
      <c r="B456" s="1" t="s">
        <v>158</v>
      </c>
      <c r="C456" s="1" t="s">
        <v>304</v>
      </c>
      <c r="R456" s="1" t="str">
        <f>IFERROR(__xludf.DUMMYFUNCTION("""COMPUTED_VALUE"""),"Umeå University")</f>
        <v>Umeå University</v>
      </c>
      <c r="S456" s="2" t="s">
        <v>8</v>
      </c>
      <c r="U456" s="2" t="s">
        <v>853</v>
      </c>
      <c r="V456" s="2" t="s">
        <v>25</v>
      </c>
    </row>
    <row r="457" ht="15.75" customHeight="1">
      <c r="A457" s="1" t="s">
        <v>758</v>
      </c>
      <c r="B457" s="1" t="s">
        <v>158</v>
      </c>
      <c r="C457" s="1" t="s">
        <v>854</v>
      </c>
      <c r="R457" s="1" t="str">
        <f>IFERROR(__xludf.DUMMYFUNCTION("""COMPUTED_VALUE"""),"National Technical University of Athens")</f>
        <v>National Technical University of Athens</v>
      </c>
      <c r="S457" s="2" t="s">
        <v>8</v>
      </c>
      <c r="U457" s="2" t="s">
        <v>855</v>
      </c>
      <c r="V457" s="2" t="s">
        <v>315</v>
      </c>
    </row>
    <row r="458" ht="15.75" customHeight="1">
      <c r="A458" s="1" t="s">
        <v>758</v>
      </c>
      <c r="B458" s="1" t="s">
        <v>158</v>
      </c>
      <c r="C458" s="1" t="s">
        <v>856</v>
      </c>
      <c r="R458" s="1" t="str">
        <f>IFERROR(__xludf.DUMMYFUNCTION("""COMPUTED_VALUE"""),"Research Institute in Communications and Cybernetic of Nantes - Ecole Centrale de Nantes")</f>
        <v>Research Institute in Communications and Cybernetic of Nantes - Ecole Centrale de Nantes</v>
      </c>
      <c r="S458" s="2" t="s">
        <v>8</v>
      </c>
      <c r="U458" s="2" t="s">
        <v>857</v>
      </c>
      <c r="V458" s="2" t="s">
        <v>19</v>
      </c>
    </row>
    <row r="459" ht="15.75" customHeight="1">
      <c r="A459" s="1" t="s">
        <v>758</v>
      </c>
      <c r="B459" s="1" t="s">
        <v>158</v>
      </c>
      <c r="C459" s="1" t="s">
        <v>215</v>
      </c>
      <c r="R459" s="1" t="str">
        <f>IFERROR(__xludf.DUMMYFUNCTION("""COMPUTED_VALUE"""),"Shenkar College of Engineering, Design and Art")</f>
        <v>Shenkar College of Engineering, Design and Art</v>
      </c>
      <c r="S459" s="2" t="s">
        <v>8</v>
      </c>
      <c r="U459" s="2" t="s">
        <v>858</v>
      </c>
      <c r="V459" s="2" t="s">
        <v>213</v>
      </c>
    </row>
    <row r="460" ht="15.75" customHeight="1">
      <c r="A460" s="1" t="s">
        <v>758</v>
      </c>
      <c r="B460" s="1" t="s">
        <v>158</v>
      </c>
      <c r="C460" s="1" t="s">
        <v>859</v>
      </c>
      <c r="R460" s="1" t="str">
        <f>IFERROR(__xludf.DUMMYFUNCTION("""COMPUTED_VALUE"""),"Austrian Science Fund")</f>
        <v>Austrian Science Fund</v>
      </c>
      <c r="S460" s="2" t="s">
        <v>8</v>
      </c>
      <c r="U460" s="2" t="s">
        <v>860</v>
      </c>
      <c r="V460" s="2" t="s">
        <v>149</v>
      </c>
    </row>
    <row r="461" ht="15.75" customHeight="1">
      <c r="A461" s="1" t="s">
        <v>758</v>
      </c>
      <c r="B461" s="1" t="s">
        <v>158</v>
      </c>
      <c r="C461" s="1" t="s">
        <v>861</v>
      </c>
      <c r="R461" s="1" t="str">
        <f>IFERROR(__xludf.DUMMYFUNCTION("""COMPUTED_VALUE"""),"Mozilla Foundation")</f>
        <v>Mozilla Foundation</v>
      </c>
      <c r="S461" s="2" t="s">
        <v>8</v>
      </c>
      <c r="U461" s="2" t="s">
        <v>862</v>
      </c>
      <c r="V461" s="2" t="s">
        <v>31</v>
      </c>
    </row>
    <row r="462" ht="15.75" customHeight="1">
      <c r="A462" s="1" t="s">
        <v>758</v>
      </c>
      <c r="B462" s="1" t="s">
        <v>158</v>
      </c>
      <c r="C462" s="1" t="s">
        <v>225</v>
      </c>
      <c r="R462" s="1" t="str">
        <f>IFERROR(__xludf.DUMMYFUNCTION("""COMPUTED_VALUE"""),"ACE Centre")</f>
        <v>ACE Centre</v>
      </c>
      <c r="S462" s="2" t="s">
        <v>8</v>
      </c>
      <c r="U462" s="2" t="s">
        <v>863</v>
      </c>
      <c r="V462" s="2" t="s">
        <v>39</v>
      </c>
    </row>
    <row r="463" ht="15.75" customHeight="1">
      <c r="A463" s="1" t="s">
        <v>758</v>
      </c>
      <c r="B463" s="1" t="s">
        <v>158</v>
      </c>
      <c r="C463" s="1" t="s">
        <v>864</v>
      </c>
      <c r="R463" s="1" t="str">
        <f>IFERROR(__xludf.DUMMYFUNCTION("""COMPUTED_VALUE"""),"Mother Teresa University")</f>
        <v>Mother Teresa University</v>
      </c>
      <c r="S463" s="2" t="s">
        <v>8</v>
      </c>
      <c r="U463" s="2" t="s">
        <v>865</v>
      </c>
      <c r="V463" s="2" t="s">
        <v>190</v>
      </c>
    </row>
    <row r="464" ht="15.75" customHeight="1">
      <c r="A464" s="1" t="s">
        <v>758</v>
      </c>
      <c r="B464" s="1" t="s">
        <v>158</v>
      </c>
      <c r="C464" s="1" t="s">
        <v>866</v>
      </c>
      <c r="R464" s="1" t="str">
        <f>IFERROR(__xludf.DUMMYFUNCTION("""COMPUTED_VALUE"""),"Science and Technology of the Northern Minas Gerais")</f>
        <v>Science and Technology of the Northern Minas Gerais</v>
      </c>
      <c r="S464" s="2" t="s">
        <v>8</v>
      </c>
      <c r="U464" s="2" t="s">
        <v>867</v>
      </c>
      <c r="V464" s="2" t="s">
        <v>112</v>
      </c>
    </row>
    <row r="465" ht="15.75" customHeight="1">
      <c r="A465" s="1" t="s">
        <v>758</v>
      </c>
      <c r="B465" s="1" t="s">
        <v>158</v>
      </c>
      <c r="C465" s="1" t="s">
        <v>534</v>
      </c>
      <c r="R465" s="1" t="str">
        <f>IFERROR(__xludf.DUMMYFUNCTION("""COMPUTED_VALUE"""),"Beijing Language and Culture University")</f>
        <v>Beijing Language and Culture University</v>
      </c>
      <c r="S465" s="2" t="s">
        <v>8</v>
      </c>
      <c r="U465" s="2" t="s">
        <v>868</v>
      </c>
      <c r="V465" s="2" t="s">
        <v>249</v>
      </c>
    </row>
    <row r="466" ht="15.75" customHeight="1">
      <c r="A466" s="1" t="s">
        <v>758</v>
      </c>
      <c r="B466" s="1" t="s">
        <v>158</v>
      </c>
      <c r="C466" s="1" t="s">
        <v>536</v>
      </c>
      <c r="R466" s="1" t="str">
        <f>IFERROR(__xludf.DUMMYFUNCTION("""COMPUTED_VALUE"""),"University of Bonn")</f>
        <v>University of Bonn</v>
      </c>
      <c r="S466" s="2" t="s">
        <v>8</v>
      </c>
      <c r="U466" s="2" t="s">
        <v>869</v>
      </c>
      <c r="V466" s="2" t="s">
        <v>64</v>
      </c>
    </row>
    <row r="467" ht="15.75" customHeight="1">
      <c r="A467" s="1" t="s">
        <v>758</v>
      </c>
      <c r="B467" s="1" t="s">
        <v>158</v>
      </c>
      <c r="C467" s="1" t="s">
        <v>328</v>
      </c>
      <c r="R467" s="1" t="str">
        <f>IFERROR(__xludf.DUMMYFUNCTION("""COMPUTED_VALUE"""),"Alexandria University")</f>
        <v>Alexandria University</v>
      </c>
      <c r="S467" s="2" t="s">
        <v>8</v>
      </c>
      <c r="U467" s="2" t="s">
        <v>870</v>
      </c>
      <c r="V467" s="2" t="s">
        <v>871</v>
      </c>
    </row>
    <row r="468" ht="15.75" customHeight="1">
      <c r="A468" s="1" t="s">
        <v>758</v>
      </c>
      <c r="B468" s="1" t="s">
        <v>330</v>
      </c>
      <c r="C468" s="1" t="s">
        <v>872</v>
      </c>
      <c r="R468" s="1" t="str">
        <f>IFERROR(__xludf.DUMMYFUNCTION("""COMPUTED_VALUE"""),"Open Data Institute")</f>
        <v>Open Data Institute</v>
      </c>
      <c r="S468" s="2" t="s">
        <v>8</v>
      </c>
      <c r="U468" s="2" t="s">
        <v>873</v>
      </c>
      <c r="V468" s="2" t="s">
        <v>39</v>
      </c>
    </row>
    <row r="469" ht="15.75" customHeight="1">
      <c r="A469" s="1" t="s">
        <v>758</v>
      </c>
      <c r="B469" s="1" t="s">
        <v>330</v>
      </c>
      <c r="C469" s="1" t="s">
        <v>874</v>
      </c>
      <c r="R469" s="1" t="str">
        <f>IFERROR(__xludf.DUMMYFUNCTION("""COMPUTED_VALUE"""),"TechWolf")</f>
        <v>TechWolf</v>
      </c>
      <c r="S469" s="2" t="s">
        <v>8</v>
      </c>
      <c r="U469" s="2" t="s">
        <v>875</v>
      </c>
      <c r="V469" s="2" t="s">
        <v>64</v>
      </c>
    </row>
    <row r="470" ht="15.75" customHeight="1">
      <c r="A470" s="1" t="s">
        <v>758</v>
      </c>
      <c r="B470" s="1" t="s">
        <v>330</v>
      </c>
      <c r="C470" s="1" t="s">
        <v>540</v>
      </c>
      <c r="R470" s="1" t="str">
        <f>IFERROR(__xludf.DUMMYFUNCTION("""COMPUTED_VALUE"""),"University of Zagreb")</f>
        <v>University of Zagreb</v>
      </c>
      <c r="S470" s="2" t="s">
        <v>8</v>
      </c>
      <c r="U470" s="2" t="s">
        <v>876</v>
      </c>
      <c r="V470" s="2" t="s">
        <v>877</v>
      </c>
    </row>
    <row r="471" ht="15.75" customHeight="1">
      <c r="A471" s="1" t="s">
        <v>758</v>
      </c>
      <c r="B471" s="1" t="s">
        <v>330</v>
      </c>
      <c r="C471" s="1" t="s">
        <v>544</v>
      </c>
      <c r="R471" s="1" t="str">
        <f>IFERROR(__xludf.DUMMYFUNCTION("""COMPUTED_VALUE"""),"Indian Institute of Technology Roorkee")</f>
        <v>Indian Institute of Technology Roorkee</v>
      </c>
      <c r="S471" s="2" t="s">
        <v>8</v>
      </c>
      <c r="U471" s="2" t="s">
        <v>878</v>
      </c>
      <c r="V471" s="2" t="s">
        <v>190</v>
      </c>
    </row>
    <row r="472" ht="15.75" customHeight="1">
      <c r="A472" s="1" t="s">
        <v>758</v>
      </c>
      <c r="B472" s="1" t="s">
        <v>330</v>
      </c>
      <c r="C472" s="1" t="s">
        <v>879</v>
      </c>
      <c r="R472" s="1" t="str">
        <f>IFERROR(__xludf.DUMMYFUNCTION("""COMPUTED_VALUE"""),"Yandex")</f>
        <v>Yandex</v>
      </c>
      <c r="S472" s="2" t="s">
        <v>8</v>
      </c>
      <c r="U472" s="2" t="s">
        <v>880</v>
      </c>
      <c r="V472" s="2" t="s">
        <v>312</v>
      </c>
    </row>
    <row r="473" ht="15.75" customHeight="1">
      <c r="A473" s="1" t="s">
        <v>758</v>
      </c>
      <c r="B473" s="1" t="s">
        <v>330</v>
      </c>
      <c r="C473" s="1" t="s">
        <v>335</v>
      </c>
      <c r="R473" s="1" t="str">
        <f>IFERROR(__xludf.DUMMYFUNCTION("""COMPUTED_VALUE"""),"Create-Net")</f>
        <v>Create-Net</v>
      </c>
      <c r="S473" s="2" t="s">
        <v>8</v>
      </c>
      <c r="U473" s="2" t="s">
        <v>881</v>
      </c>
      <c r="V473" s="2" t="s">
        <v>31</v>
      </c>
    </row>
    <row r="474" ht="15.75" customHeight="1">
      <c r="A474" s="1" t="s">
        <v>758</v>
      </c>
      <c r="B474" s="1" t="s">
        <v>330</v>
      </c>
      <c r="C474" s="1" t="s">
        <v>337</v>
      </c>
      <c r="R474" s="1" t="str">
        <f>IFERROR(__xludf.DUMMYFUNCTION("""COMPUTED_VALUE"""),"Warsaw University of Technology")</f>
        <v>Warsaw University of Technology</v>
      </c>
      <c r="S474" s="2" t="s">
        <v>8</v>
      </c>
      <c r="U474" s="2" t="s">
        <v>882</v>
      </c>
      <c r="V474" s="2" t="s">
        <v>183</v>
      </c>
    </row>
    <row r="475" ht="15.75" customHeight="1">
      <c r="A475" s="1" t="s">
        <v>758</v>
      </c>
      <c r="B475" s="1" t="s">
        <v>330</v>
      </c>
      <c r="C475" s="1" t="s">
        <v>344</v>
      </c>
      <c r="R475" s="1" t="str">
        <f>IFERROR(__xludf.DUMMYFUNCTION("""COMPUTED_VALUE"""),"Princeton University")</f>
        <v>Princeton University</v>
      </c>
      <c r="S475" s="2" t="s">
        <v>8</v>
      </c>
      <c r="U475" s="2" t="s">
        <v>883</v>
      </c>
      <c r="V475" s="2" t="s">
        <v>31</v>
      </c>
    </row>
    <row r="476" ht="15.75" customHeight="1">
      <c r="A476" s="1" t="s">
        <v>758</v>
      </c>
      <c r="B476" s="1" t="s">
        <v>330</v>
      </c>
      <c r="C476" s="1" t="s">
        <v>702</v>
      </c>
      <c r="R476" s="1" t="str">
        <f>IFERROR(__xludf.DUMMYFUNCTION("""COMPUTED_VALUE"""),"University of Cauca")</f>
        <v>University of Cauca</v>
      </c>
      <c r="S476" s="2" t="s">
        <v>8</v>
      </c>
      <c r="U476" s="2" t="s">
        <v>884</v>
      </c>
      <c r="V476" s="2" t="s">
        <v>139</v>
      </c>
    </row>
    <row r="477" ht="15.75" customHeight="1">
      <c r="A477" s="1" t="s">
        <v>758</v>
      </c>
      <c r="B477" s="1" t="s">
        <v>330</v>
      </c>
      <c r="C477" s="1" t="s">
        <v>548</v>
      </c>
      <c r="R477" s="1" t="str">
        <f>IFERROR(__xludf.DUMMYFUNCTION("""COMPUTED_VALUE"""),"Manchester Metropolitan University")</f>
        <v>Manchester Metropolitan University</v>
      </c>
      <c r="S477" s="2" t="s">
        <v>8</v>
      </c>
      <c r="U477" s="2" t="s">
        <v>885</v>
      </c>
      <c r="V477" s="2" t="s">
        <v>39</v>
      </c>
    </row>
    <row r="478" ht="15.75" customHeight="1">
      <c r="A478" s="1" t="s">
        <v>758</v>
      </c>
      <c r="B478" s="1" t="s">
        <v>330</v>
      </c>
      <c r="C478" s="1" t="s">
        <v>886</v>
      </c>
      <c r="R478" s="1" t="str">
        <f>IFERROR(__xludf.DUMMYFUNCTION("""COMPUTED_VALUE"""),"Seoul National University")</f>
        <v>Seoul National University</v>
      </c>
      <c r="S478" s="2" t="s">
        <v>8</v>
      </c>
      <c r="U478" s="2" t="s">
        <v>887</v>
      </c>
      <c r="V478" s="2" t="s">
        <v>341</v>
      </c>
    </row>
    <row r="479" ht="15.75" customHeight="1">
      <c r="A479" s="1" t="s">
        <v>758</v>
      </c>
      <c r="B479" s="1" t="s">
        <v>330</v>
      </c>
      <c r="C479" s="1" t="s">
        <v>888</v>
      </c>
      <c r="R479" s="1" t="str">
        <f>IFERROR(__xludf.DUMMYFUNCTION("""COMPUTED_VALUE"""),"Georgia Institute of Technology")</f>
        <v>Georgia Institute of Technology</v>
      </c>
      <c r="S479" s="2" t="s">
        <v>8</v>
      </c>
      <c r="U479" s="2" t="s">
        <v>889</v>
      </c>
      <c r="V479" s="2" t="s">
        <v>31</v>
      </c>
    </row>
    <row r="480" ht="15.75" customHeight="1">
      <c r="A480" s="1" t="s">
        <v>758</v>
      </c>
      <c r="B480" s="1" t="s">
        <v>330</v>
      </c>
      <c r="C480" s="1" t="s">
        <v>552</v>
      </c>
      <c r="R480" s="1" t="str">
        <f>IFERROR(__xludf.DUMMYFUNCTION("""COMPUTED_VALUE"""),"GESIS – Leibniz Institute for the Social Sciences")</f>
        <v>GESIS – Leibniz Institute for the Social Sciences</v>
      </c>
      <c r="S480" s="2" t="s">
        <v>8</v>
      </c>
      <c r="U480" s="2" t="s">
        <v>890</v>
      </c>
      <c r="V480" s="2" t="s">
        <v>64</v>
      </c>
    </row>
    <row r="481" ht="15.75" customHeight="1">
      <c r="A481" s="1" t="s">
        <v>758</v>
      </c>
      <c r="B481" s="1" t="s">
        <v>330</v>
      </c>
      <c r="C481" s="1" t="s">
        <v>891</v>
      </c>
      <c r="R481" s="1" t="str">
        <f>IFERROR(__xludf.DUMMYFUNCTION("""COMPUTED_VALUE"""),"University of Houston")</f>
        <v>University of Houston</v>
      </c>
      <c r="S481" s="2" t="s">
        <v>8</v>
      </c>
      <c r="U481" s="2" t="s">
        <v>892</v>
      </c>
      <c r="V481" s="2" t="s">
        <v>31</v>
      </c>
    </row>
    <row r="482" ht="15.75" customHeight="1">
      <c r="A482" s="1" t="s">
        <v>758</v>
      </c>
      <c r="B482" s="1" t="s">
        <v>330</v>
      </c>
      <c r="C482" s="1" t="s">
        <v>893</v>
      </c>
      <c r="R482" s="1" t="str">
        <f>IFERROR(__xludf.DUMMYFUNCTION("""COMPUTED_VALUE"""),"University College Cork")</f>
        <v>University College Cork</v>
      </c>
      <c r="S482" s="2" t="s">
        <v>8</v>
      </c>
      <c r="U482" s="2" t="s">
        <v>894</v>
      </c>
      <c r="V482" s="2" t="s">
        <v>50</v>
      </c>
    </row>
    <row r="483" ht="15.75" customHeight="1">
      <c r="A483" s="1" t="s">
        <v>758</v>
      </c>
      <c r="B483" s="1" t="s">
        <v>330</v>
      </c>
      <c r="C483" s="1" t="s">
        <v>554</v>
      </c>
      <c r="R483" s="1" t="str">
        <f>IFERROR(__xludf.DUMMYFUNCTION("""COMPUTED_VALUE"""),"University of Luxembourg")</f>
        <v>University of Luxembourg</v>
      </c>
      <c r="S483" s="2" t="s">
        <v>8</v>
      </c>
      <c r="U483" s="2" t="s">
        <v>895</v>
      </c>
      <c r="V483" s="2" t="s">
        <v>236</v>
      </c>
    </row>
    <row r="484" ht="15.75" customHeight="1">
      <c r="A484" s="1" t="s">
        <v>758</v>
      </c>
      <c r="B484" s="1" t="s">
        <v>330</v>
      </c>
      <c r="C484" s="1" t="s">
        <v>896</v>
      </c>
      <c r="R484" s="1" t="str">
        <f>IFERROR(__xludf.DUMMYFUNCTION("""COMPUTED_VALUE"""),"AstraZeneca")</f>
        <v>AstraZeneca</v>
      </c>
      <c r="S484" s="2" t="s">
        <v>8</v>
      </c>
      <c r="U484" s="2" t="s">
        <v>897</v>
      </c>
      <c r="V484" s="2" t="s">
        <v>39</v>
      </c>
    </row>
    <row r="485" ht="15.75" customHeight="1">
      <c r="A485" s="1" t="s">
        <v>758</v>
      </c>
      <c r="B485" s="1" t="s">
        <v>330</v>
      </c>
      <c r="C485" s="1" t="s">
        <v>556</v>
      </c>
      <c r="R485" s="1" t="str">
        <f>IFERROR(__xludf.DUMMYFUNCTION("""COMPUTED_VALUE"""),"Wellesley College")</f>
        <v>Wellesley College</v>
      </c>
      <c r="S485" s="2" t="s">
        <v>8</v>
      </c>
      <c r="U485" s="2" t="s">
        <v>898</v>
      </c>
      <c r="V485" s="2" t="s">
        <v>31</v>
      </c>
    </row>
    <row r="486" ht="15.75" customHeight="1">
      <c r="A486" s="1" t="s">
        <v>758</v>
      </c>
      <c r="B486" s="1" t="s">
        <v>330</v>
      </c>
      <c r="C486" s="1" t="s">
        <v>899</v>
      </c>
      <c r="R486" s="1" t="str">
        <f>IFERROR(__xludf.DUMMYFUNCTION("""COMPUTED_VALUE"""),"Google DeepMind")</f>
        <v>Google DeepMind</v>
      </c>
      <c r="S486" s="2" t="s">
        <v>8</v>
      </c>
      <c r="U486" s="2" t="s">
        <v>900</v>
      </c>
      <c r="V486" s="2" t="s">
        <v>39</v>
      </c>
    </row>
    <row r="487" ht="15.75" customHeight="1">
      <c r="A487" s="1" t="s">
        <v>758</v>
      </c>
      <c r="B487" s="1" t="s">
        <v>330</v>
      </c>
      <c r="C487" s="1" t="s">
        <v>356</v>
      </c>
      <c r="R487" s="1" t="str">
        <f>IFERROR(__xludf.DUMMYFUNCTION("""COMPUTED_VALUE"""),"3DInteractive")</f>
        <v>3DInteractive</v>
      </c>
      <c r="S487" s="2" t="s">
        <v>8</v>
      </c>
      <c r="U487" s="2" t="s">
        <v>901</v>
      </c>
      <c r="V487" s="2" t="s">
        <v>31</v>
      </c>
    </row>
    <row r="488" ht="15.75" customHeight="1">
      <c r="A488" s="1" t="s">
        <v>758</v>
      </c>
      <c r="B488" s="1" t="s">
        <v>330</v>
      </c>
      <c r="C488" s="1" t="s">
        <v>358</v>
      </c>
      <c r="R488" s="1" t="str">
        <f>IFERROR(__xludf.DUMMYFUNCTION("""COMPUTED_VALUE"""),"University of Aveiro")</f>
        <v>University of Aveiro</v>
      </c>
      <c r="S488" s="2" t="s">
        <v>8</v>
      </c>
      <c r="U488" s="2" t="s">
        <v>902</v>
      </c>
      <c r="V488" s="2" t="s">
        <v>267</v>
      </c>
    </row>
    <row r="489" ht="15.75" customHeight="1">
      <c r="A489" s="1" t="s">
        <v>758</v>
      </c>
      <c r="B489" s="1" t="s">
        <v>330</v>
      </c>
      <c r="C489" s="1" t="s">
        <v>903</v>
      </c>
      <c r="R489" s="1" t="str">
        <f>IFERROR(__xludf.DUMMYFUNCTION("""COMPUTED_VALUE"""),"University of Maribor")</f>
        <v>University of Maribor</v>
      </c>
      <c r="S489" s="2" t="s">
        <v>8</v>
      </c>
      <c r="U489" s="2" t="s">
        <v>904</v>
      </c>
      <c r="V489" s="2" t="s">
        <v>360</v>
      </c>
    </row>
    <row r="490" ht="15.75" customHeight="1">
      <c r="A490" s="1" t="s">
        <v>758</v>
      </c>
      <c r="B490" s="1" t="s">
        <v>330</v>
      </c>
      <c r="C490" s="1" t="s">
        <v>562</v>
      </c>
      <c r="R490" s="1" t="str">
        <f>IFERROR(__xludf.DUMMYFUNCTION("""COMPUTED_VALUE"""),"Pedal Me")</f>
        <v>Pedal Me</v>
      </c>
      <c r="S490" s="2" t="s">
        <v>8</v>
      </c>
      <c r="U490" s="2" t="s">
        <v>905</v>
      </c>
      <c r="V490" s="2" t="s">
        <v>39</v>
      </c>
    </row>
    <row r="491" ht="15.75" customHeight="1">
      <c r="A491" s="1" t="s">
        <v>758</v>
      </c>
      <c r="B491" s="1" t="s">
        <v>330</v>
      </c>
      <c r="C491" s="1" t="s">
        <v>368</v>
      </c>
      <c r="R491" s="1" t="str">
        <f>IFERROR(__xludf.DUMMYFUNCTION("""COMPUTED_VALUE"""),"University of Chemistry and Technology Prague")</f>
        <v>University of Chemistry and Technology Prague</v>
      </c>
      <c r="S491" s="2" t="s">
        <v>8</v>
      </c>
      <c r="U491" s="2" t="s">
        <v>906</v>
      </c>
      <c r="V491" s="2" t="s">
        <v>110</v>
      </c>
    </row>
    <row r="492" ht="15.75" customHeight="1">
      <c r="A492" s="1" t="s">
        <v>758</v>
      </c>
      <c r="B492" s="1" t="s">
        <v>330</v>
      </c>
      <c r="C492" s="1" t="s">
        <v>560</v>
      </c>
      <c r="R492" s="1" t="str">
        <f>IFERROR(__xludf.DUMMYFUNCTION("""COMPUTED_VALUE"""),"Constructor University")</f>
        <v>Constructor University</v>
      </c>
      <c r="S492" s="2" t="s">
        <v>8</v>
      </c>
      <c r="U492" s="2" t="s">
        <v>907</v>
      </c>
      <c r="V492" s="2" t="s">
        <v>89</v>
      </c>
    </row>
    <row r="493" ht="15.75" customHeight="1">
      <c r="A493" s="1" t="s">
        <v>758</v>
      </c>
      <c r="B493" s="1" t="s">
        <v>330</v>
      </c>
      <c r="C493" s="1" t="s">
        <v>566</v>
      </c>
      <c r="R493" s="1" t="str">
        <f>IFERROR(__xludf.DUMMYFUNCTION("""COMPUTED_VALUE"""),"Spanish National Research Council")</f>
        <v>Spanish National Research Council</v>
      </c>
      <c r="S493" s="2" t="s">
        <v>8</v>
      </c>
      <c r="U493" s="2" t="s">
        <v>908</v>
      </c>
      <c r="V493" s="2" t="s">
        <v>82</v>
      </c>
    </row>
    <row r="494" ht="15.75" customHeight="1">
      <c r="A494" s="1" t="s">
        <v>758</v>
      </c>
      <c r="B494" s="1" t="s">
        <v>330</v>
      </c>
      <c r="C494" s="1" t="s">
        <v>564</v>
      </c>
      <c r="R494" s="1" t="str">
        <f>IFERROR(__xludf.DUMMYFUNCTION("""COMPUTED_VALUE"""),"EIVA")</f>
        <v>EIVA</v>
      </c>
      <c r="S494" s="2" t="s">
        <v>8</v>
      </c>
      <c r="U494" s="2" t="s">
        <v>909</v>
      </c>
      <c r="V494" s="2" t="s">
        <v>79</v>
      </c>
    </row>
    <row r="495" ht="15.75" customHeight="1">
      <c r="A495" s="1" t="s">
        <v>758</v>
      </c>
      <c r="B495" s="1" t="s">
        <v>330</v>
      </c>
      <c r="C495" s="1" t="s">
        <v>910</v>
      </c>
      <c r="R495" s="1" t="str">
        <f>IFERROR(__xludf.DUMMYFUNCTION("""COMPUTED_VALUE"""),"IOHK Research")</f>
        <v>IOHK Research</v>
      </c>
      <c r="S495" s="2" t="s">
        <v>8</v>
      </c>
      <c r="U495" s="2" t="s">
        <v>911</v>
      </c>
      <c r="V495" s="2" t="s">
        <v>53</v>
      </c>
    </row>
    <row r="496" ht="15.75" customHeight="1">
      <c r="A496" s="1" t="s">
        <v>758</v>
      </c>
      <c r="B496" s="1" t="s">
        <v>330</v>
      </c>
      <c r="C496" s="1" t="s">
        <v>568</v>
      </c>
      <c r="R496" s="1" t="str">
        <f>IFERROR(__xludf.DUMMYFUNCTION("""COMPUTED_VALUE"""),"Infosys Ltd. Bangalore, India")</f>
        <v>Infosys Ltd. Bangalore, India</v>
      </c>
      <c r="S496" s="2" t="s">
        <v>8</v>
      </c>
      <c r="U496" s="2" t="s">
        <v>912</v>
      </c>
      <c r="V496" s="2" t="s">
        <v>190</v>
      </c>
    </row>
    <row r="497" ht="15.75" customHeight="1">
      <c r="A497" s="1" t="s">
        <v>758</v>
      </c>
      <c r="B497" s="1" t="s">
        <v>330</v>
      </c>
      <c r="C497" s="1" t="s">
        <v>913</v>
      </c>
      <c r="R497" s="1" t="str">
        <f>IFERROR(__xludf.DUMMYFUNCTION("""COMPUTED_VALUE"""),"Huazhong University of Science and Technology")</f>
        <v>Huazhong University of Science and Technology</v>
      </c>
      <c r="S497" s="2" t="s">
        <v>8</v>
      </c>
      <c r="U497" s="2" t="s">
        <v>914</v>
      </c>
      <c r="V497" s="2" t="s">
        <v>249</v>
      </c>
    </row>
    <row r="498" ht="15.75" customHeight="1">
      <c r="A498" s="1" t="s">
        <v>758</v>
      </c>
      <c r="B498" s="1" t="s">
        <v>330</v>
      </c>
      <c r="C498" s="1" t="s">
        <v>570</v>
      </c>
      <c r="R498" s="1" t="str">
        <f>IFERROR(__xludf.DUMMYFUNCTION("""COMPUTED_VALUE"""),"Fontys University of Applied Sciences")</f>
        <v>Fontys University of Applied Sciences</v>
      </c>
      <c r="S498" s="2" t="s">
        <v>8</v>
      </c>
      <c r="U498" s="2" t="s">
        <v>915</v>
      </c>
      <c r="V498" s="2" t="s">
        <v>36</v>
      </c>
    </row>
    <row r="499" ht="15.75" customHeight="1">
      <c r="A499" s="1" t="s">
        <v>758</v>
      </c>
      <c r="B499" s="1" t="s">
        <v>330</v>
      </c>
      <c r="C499" s="1" t="s">
        <v>376</v>
      </c>
      <c r="S499" s="2" t="s">
        <v>8</v>
      </c>
      <c r="U499" s="1"/>
    </row>
    <row r="500" ht="15.75" customHeight="1">
      <c r="A500" s="1" t="s">
        <v>758</v>
      </c>
      <c r="B500" s="1" t="s">
        <v>378</v>
      </c>
      <c r="C500" s="1" t="s">
        <v>574</v>
      </c>
      <c r="S500" s="2" t="s">
        <v>8</v>
      </c>
      <c r="U500" s="1"/>
    </row>
    <row r="501" ht="15.75" customHeight="1">
      <c r="A501" s="1" t="s">
        <v>758</v>
      </c>
      <c r="B501" s="1" t="s">
        <v>378</v>
      </c>
      <c r="C501" s="1" t="s">
        <v>580</v>
      </c>
      <c r="S501" s="2" t="s">
        <v>8</v>
      </c>
      <c r="U501" s="1"/>
    </row>
    <row r="502" ht="15.75" customHeight="1">
      <c r="A502" s="1" t="s">
        <v>916</v>
      </c>
      <c r="B502" s="1" t="s">
        <v>6</v>
      </c>
      <c r="C502" s="1" t="s">
        <v>917</v>
      </c>
      <c r="S502" s="2" t="s">
        <v>8</v>
      </c>
      <c r="U502" s="1"/>
    </row>
    <row r="503" ht="15.75" customHeight="1">
      <c r="A503" s="1" t="s">
        <v>916</v>
      </c>
      <c r="B503" s="1" t="s">
        <v>6</v>
      </c>
      <c r="C503" s="1" t="s">
        <v>7</v>
      </c>
      <c r="S503" s="2" t="s">
        <v>8</v>
      </c>
      <c r="U503" s="1"/>
    </row>
    <row r="504" ht="15.75" customHeight="1">
      <c r="A504" s="1" t="s">
        <v>916</v>
      </c>
      <c r="B504" s="1" t="s">
        <v>6</v>
      </c>
      <c r="C504" s="1" t="s">
        <v>918</v>
      </c>
      <c r="S504" s="2" t="s">
        <v>8</v>
      </c>
      <c r="U504" s="1"/>
    </row>
    <row r="505" ht="15.75" customHeight="1">
      <c r="A505" s="1" t="s">
        <v>916</v>
      </c>
      <c r="B505" s="1" t="s">
        <v>6</v>
      </c>
      <c r="C505" s="1" t="s">
        <v>919</v>
      </c>
      <c r="S505" s="2" t="s">
        <v>8</v>
      </c>
      <c r="U505" s="1"/>
    </row>
    <row r="506" ht="15.75" customHeight="1">
      <c r="A506" s="1" t="s">
        <v>916</v>
      </c>
      <c r="B506" s="1" t="s">
        <v>6</v>
      </c>
      <c r="C506" s="1" t="s">
        <v>14</v>
      </c>
      <c r="S506" s="2" t="s">
        <v>8</v>
      </c>
      <c r="U506" s="1"/>
    </row>
    <row r="507" ht="15.75" customHeight="1">
      <c r="A507" s="1" t="s">
        <v>916</v>
      </c>
      <c r="B507" s="1" t="s">
        <v>6</v>
      </c>
      <c r="C507" s="1" t="s">
        <v>12</v>
      </c>
      <c r="S507" s="2" t="s">
        <v>8</v>
      </c>
      <c r="U507" s="1"/>
    </row>
    <row r="508" ht="15.75" customHeight="1">
      <c r="A508" s="1" t="s">
        <v>916</v>
      </c>
      <c r="B508" s="1" t="s">
        <v>6</v>
      </c>
      <c r="C508" s="1" t="s">
        <v>16</v>
      </c>
      <c r="S508" s="2" t="s">
        <v>8</v>
      </c>
      <c r="U508" s="1"/>
    </row>
    <row r="509" ht="15.75" customHeight="1">
      <c r="A509" s="1" t="s">
        <v>916</v>
      </c>
      <c r="B509" s="1" t="s">
        <v>6</v>
      </c>
      <c r="C509" s="1" t="s">
        <v>21</v>
      </c>
      <c r="S509" s="2" t="s">
        <v>8</v>
      </c>
      <c r="U509" s="1"/>
    </row>
    <row r="510" ht="15.75" customHeight="1">
      <c r="A510" s="1" t="s">
        <v>916</v>
      </c>
      <c r="B510" s="1" t="s">
        <v>6</v>
      </c>
      <c r="C510" s="1" t="s">
        <v>27</v>
      </c>
      <c r="S510" s="2" t="s">
        <v>8</v>
      </c>
      <c r="U510" s="1"/>
    </row>
    <row r="511" ht="15.75" customHeight="1">
      <c r="A511" s="1" t="s">
        <v>916</v>
      </c>
      <c r="B511" s="1" t="s">
        <v>6</v>
      </c>
      <c r="C511" s="1" t="s">
        <v>920</v>
      </c>
      <c r="S511" s="2" t="s">
        <v>8</v>
      </c>
      <c r="U511" s="1"/>
    </row>
    <row r="512" ht="15.75" customHeight="1">
      <c r="A512" s="1" t="s">
        <v>916</v>
      </c>
      <c r="B512" s="1" t="s">
        <v>29</v>
      </c>
      <c r="C512" s="1" t="s">
        <v>769</v>
      </c>
      <c r="S512" s="2" t="s">
        <v>8</v>
      </c>
      <c r="U512" s="1"/>
    </row>
    <row r="513" ht="15.75" customHeight="1">
      <c r="A513" s="1" t="s">
        <v>916</v>
      </c>
      <c r="B513" s="1" t="s">
        <v>29</v>
      </c>
      <c r="C513" s="1" t="s">
        <v>921</v>
      </c>
      <c r="S513" s="2" t="s">
        <v>8</v>
      </c>
      <c r="U513" s="1"/>
    </row>
    <row r="514" ht="15.75" customHeight="1">
      <c r="A514" s="1" t="s">
        <v>916</v>
      </c>
      <c r="B514" s="1" t="s">
        <v>29</v>
      </c>
      <c r="C514" s="1" t="s">
        <v>35</v>
      </c>
      <c r="S514" s="2" t="s">
        <v>8</v>
      </c>
      <c r="U514" s="1"/>
    </row>
    <row r="515" ht="15.75" customHeight="1">
      <c r="A515" s="1" t="s">
        <v>916</v>
      </c>
      <c r="B515" s="1" t="s">
        <v>29</v>
      </c>
      <c r="C515" s="1" t="s">
        <v>922</v>
      </c>
      <c r="S515" s="2" t="s">
        <v>8</v>
      </c>
      <c r="U515" s="1"/>
    </row>
    <row r="516" ht="15.75" customHeight="1">
      <c r="A516" s="1" t="s">
        <v>916</v>
      </c>
      <c r="B516" s="1" t="s">
        <v>29</v>
      </c>
      <c r="C516" s="1" t="s">
        <v>47</v>
      </c>
      <c r="S516" s="2" t="s">
        <v>8</v>
      </c>
      <c r="U516" s="1"/>
    </row>
    <row r="517" ht="15.75" customHeight="1">
      <c r="A517" s="1" t="s">
        <v>916</v>
      </c>
      <c r="B517" s="1" t="s">
        <v>29</v>
      </c>
      <c r="C517" s="1" t="s">
        <v>923</v>
      </c>
      <c r="S517" s="2" t="s">
        <v>8</v>
      </c>
      <c r="U517" s="1"/>
    </row>
    <row r="518" ht="15.75" customHeight="1">
      <c r="A518" s="1" t="s">
        <v>916</v>
      </c>
      <c r="B518" s="1" t="s">
        <v>29</v>
      </c>
      <c r="C518" s="1" t="s">
        <v>924</v>
      </c>
      <c r="S518" s="2" t="s">
        <v>8</v>
      </c>
      <c r="U518" s="1"/>
    </row>
    <row r="519" ht="15.75" customHeight="1">
      <c r="A519" s="1" t="s">
        <v>916</v>
      </c>
      <c r="B519" s="1" t="s">
        <v>29</v>
      </c>
      <c r="C519" s="1" t="s">
        <v>925</v>
      </c>
      <c r="S519" s="2" t="s">
        <v>8</v>
      </c>
      <c r="U519" s="1"/>
    </row>
    <row r="520" ht="15.75" customHeight="1">
      <c r="A520" s="1" t="s">
        <v>916</v>
      </c>
      <c r="B520" s="1" t="s">
        <v>77</v>
      </c>
      <c r="C520" s="1" t="s">
        <v>926</v>
      </c>
      <c r="S520" s="2" t="s">
        <v>8</v>
      </c>
      <c r="U520" s="1"/>
    </row>
    <row r="521" ht="15.75" customHeight="1">
      <c r="A521" s="1" t="s">
        <v>916</v>
      </c>
      <c r="B521" s="1" t="s">
        <v>77</v>
      </c>
      <c r="C521" s="1" t="s">
        <v>927</v>
      </c>
      <c r="S521" s="2" t="s">
        <v>8</v>
      </c>
      <c r="U521" s="1"/>
    </row>
    <row r="522" ht="15.75" customHeight="1">
      <c r="A522" s="1" t="s">
        <v>916</v>
      </c>
      <c r="B522" s="1" t="s">
        <v>77</v>
      </c>
      <c r="C522" s="1" t="s">
        <v>109</v>
      </c>
      <c r="S522" s="2" t="s">
        <v>8</v>
      </c>
      <c r="U522" s="1"/>
    </row>
    <row r="523" ht="15.75" customHeight="1">
      <c r="A523" s="1" t="s">
        <v>916</v>
      </c>
      <c r="B523" s="1" t="s">
        <v>77</v>
      </c>
      <c r="C523" s="1" t="s">
        <v>928</v>
      </c>
      <c r="S523" s="2" t="s">
        <v>8</v>
      </c>
      <c r="U523" s="1"/>
    </row>
    <row r="524" ht="15.75" customHeight="1">
      <c r="A524" s="1" t="s">
        <v>916</v>
      </c>
      <c r="B524" s="1" t="s">
        <v>77</v>
      </c>
      <c r="C524" s="1" t="s">
        <v>929</v>
      </c>
      <c r="S524" s="2" t="s">
        <v>8</v>
      </c>
      <c r="U524" s="1"/>
    </row>
    <row r="525" ht="15.75" customHeight="1">
      <c r="A525" s="1" t="s">
        <v>916</v>
      </c>
      <c r="B525" s="1" t="s">
        <v>77</v>
      </c>
      <c r="C525" s="1" t="s">
        <v>930</v>
      </c>
      <c r="S525" s="2" t="s">
        <v>8</v>
      </c>
      <c r="U525" s="1"/>
    </row>
    <row r="526" ht="15.75" customHeight="1">
      <c r="A526" s="1" t="s">
        <v>916</v>
      </c>
      <c r="B526" s="1" t="s">
        <v>77</v>
      </c>
      <c r="C526" s="1" t="s">
        <v>931</v>
      </c>
      <c r="S526" s="2" t="s">
        <v>8</v>
      </c>
      <c r="U526" s="1"/>
    </row>
    <row r="527" ht="15.75" customHeight="1">
      <c r="A527" s="1" t="s">
        <v>916</v>
      </c>
      <c r="B527" s="1" t="s">
        <v>77</v>
      </c>
      <c r="C527" s="1" t="s">
        <v>132</v>
      </c>
      <c r="S527" s="2" t="s">
        <v>8</v>
      </c>
      <c r="U527" s="1"/>
    </row>
    <row r="528" ht="15.75" customHeight="1">
      <c r="A528" s="1" t="s">
        <v>916</v>
      </c>
      <c r="B528" s="1" t="s">
        <v>77</v>
      </c>
      <c r="C528" s="1" t="s">
        <v>932</v>
      </c>
      <c r="S528" s="2" t="s">
        <v>8</v>
      </c>
      <c r="U528" s="1"/>
    </row>
    <row r="529" ht="15.75" customHeight="1">
      <c r="A529" s="1" t="s">
        <v>916</v>
      </c>
      <c r="B529" s="1" t="s">
        <v>77</v>
      </c>
      <c r="C529" s="1" t="s">
        <v>933</v>
      </c>
      <c r="S529" s="2" t="s">
        <v>8</v>
      </c>
      <c r="U529" s="1"/>
    </row>
    <row r="530" ht="15.75" customHeight="1">
      <c r="A530" s="1" t="s">
        <v>916</v>
      </c>
      <c r="B530" s="1" t="s">
        <v>77</v>
      </c>
      <c r="C530" s="1" t="s">
        <v>934</v>
      </c>
      <c r="S530" s="2" t="s">
        <v>8</v>
      </c>
      <c r="U530" s="1"/>
    </row>
    <row r="531" ht="15.75" customHeight="1">
      <c r="A531" s="1" t="s">
        <v>916</v>
      </c>
      <c r="B531" s="1" t="s">
        <v>77</v>
      </c>
      <c r="C531" s="1" t="s">
        <v>935</v>
      </c>
      <c r="S531" s="2" t="s">
        <v>8</v>
      </c>
      <c r="U531" s="1"/>
    </row>
    <row r="532" ht="15.75" customHeight="1">
      <c r="A532" s="1" t="s">
        <v>916</v>
      </c>
      <c r="B532" s="1" t="s">
        <v>77</v>
      </c>
      <c r="C532" s="1" t="s">
        <v>936</v>
      </c>
      <c r="S532" s="2" t="s">
        <v>8</v>
      </c>
      <c r="U532" s="1"/>
    </row>
    <row r="533" ht="15.75" customHeight="1">
      <c r="A533" s="1" t="s">
        <v>916</v>
      </c>
      <c r="B533" s="1" t="s">
        <v>77</v>
      </c>
      <c r="C533" s="1" t="s">
        <v>937</v>
      </c>
      <c r="S533" s="2" t="s">
        <v>8</v>
      </c>
      <c r="U533" s="1"/>
    </row>
    <row r="534" ht="15.75" customHeight="1">
      <c r="A534" s="1" t="s">
        <v>916</v>
      </c>
      <c r="B534" s="1" t="s">
        <v>158</v>
      </c>
      <c r="C534" s="1" t="s">
        <v>938</v>
      </c>
      <c r="S534" s="2" t="s">
        <v>8</v>
      </c>
      <c r="U534" s="1"/>
    </row>
    <row r="535" ht="15.75" customHeight="1">
      <c r="A535" s="1" t="s">
        <v>916</v>
      </c>
      <c r="B535" s="1" t="s">
        <v>158</v>
      </c>
      <c r="C535" s="1" t="s">
        <v>939</v>
      </c>
      <c r="S535" s="2" t="s">
        <v>8</v>
      </c>
      <c r="U535" s="1"/>
    </row>
    <row r="536" ht="15.75" customHeight="1">
      <c r="A536" s="1" t="s">
        <v>916</v>
      </c>
      <c r="B536" s="1" t="s">
        <v>158</v>
      </c>
      <c r="C536" s="1" t="s">
        <v>940</v>
      </c>
      <c r="S536" s="2" t="s">
        <v>8</v>
      </c>
      <c r="U536" s="1"/>
    </row>
    <row r="537" ht="15.75" customHeight="1">
      <c r="A537" s="1" t="s">
        <v>916</v>
      </c>
      <c r="B537" s="1" t="s">
        <v>158</v>
      </c>
      <c r="C537" s="1" t="s">
        <v>941</v>
      </c>
      <c r="S537" s="2" t="s">
        <v>8</v>
      </c>
      <c r="U537" s="1"/>
    </row>
    <row r="538" ht="15.75" customHeight="1">
      <c r="A538" s="1" t="s">
        <v>916</v>
      </c>
      <c r="B538" s="1" t="s">
        <v>158</v>
      </c>
      <c r="C538" s="1" t="s">
        <v>942</v>
      </c>
      <c r="S538" s="2" t="s">
        <v>8</v>
      </c>
      <c r="U538" s="1"/>
    </row>
    <row r="539" ht="15.75" customHeight="1">
      <c r="A539" s="1" t="s">
        <v>916</v>
      </c>
      <c r="B539" s="1" t="s">
        <v>158</v>
      </c>
      <c r="C539" s="1" t="s">
        <v>943</v>
      </c>
      <c r="S539" s="2" t="s">
        <v>8</v>
      </c>
      <c r="U539" s="1"/>
    </row>
    <row r="540" ht="15.75" customHeight="1">
      <c r="A540" s="1" t="s">
        <v>916</v>
      </c>
      <c r="B540" s="1" t="s">
        <v>158</v>
      </c>
      <c r="C540" s="1" t="s">
        <v>944</v>
      </c>
      <c r="S540" s="2" t="s">
        <v>8</v>
      </c>
      <c r="U540" s="1"/>
    </row>
    <row r="541" ht="15.75" customHeight="1">
      <c r="A541" s="1" t="s">
        <v>916</v>
      </c>
      <c r="B541" s="1" t="s">
        <v>158</v>
      </c>
      <c r="C541" s="1" t="s">
        <v>945</v>
      </c>
      <c r="S541" s="2" t="s">
        <v>8</v>
      </c>
      <c r="U541" s="1"/>
    </row>
    <row r="542" ht="15.75" customHeight="1">
      <c r="A542" s="1" t="s">
        <v>916</v>
      </c>
      <c r="B542" s="1" t="s">
        <v>158</v>
      </c>
      <c r="C542" s="1" t="s">
        <v>946</v>
      </c>
      <c r="S542" s="2" t="s">
        <v>8</v>
      </c>
      <c r="U542" s="1"/>
    </row>
    <row r="543" ht="15.75" customHeight="1">
      <c r="A543" s="1" t="s">
        <v>916</v>
      </c>
      <c r="B543" s="1" t="s">
        <v>158</v>
      </c>
      <c r="C543" s="1" t="s">
        <v>947</v>
      </c>
      <c r="S543" s="2" t="s">
        <v>8</v>
      </c>
      <c r="U543" s="1"/>
    </row>
    <row r="544" ht="15.75" customHeight="1">
      <c r="A544" s="1" t="s">
        <v>916</v>
      </c>
      <c r="B544" s="1" t="s">
        <v>158</v>
      </c>
      <c r="C544" s="1" t="s">
        <v>948</v>
      </c>
      <c r="S544" s="2" t="s">
        <v>8</v>
      </c>
      <c r="U544" s="1"/>
    </row>
    <row r="545" ht="15.75" customHeight="1">
      <c r="A545" s="1" t="s">
        <v>916</v>
      </c>
      <c r="B545" s="1" t="s">
        <v>158</v>
      </c>
      <c r="C545" s="1" t="s">
        <v>949</v>
      </c>
      <c r="S545" s="2" t="s">
        <v>8</v>
      </c>
      <c r="U545" s="1"/>
    </row>
    <row r="546" ht="15.75" customHeight="1">
      <c r="A546" s="1" t="s">
        <v>916</v>
      </c>
      <c r="B546" s="1" t="s">
        <v>330</v>
      </c>
      <c r="C546" s="1" t="s">
        <v>950</v>
      </c>
      <c r="S546" s="2" t="s">
        <v>8</v>
      </c>
      <c r="U546" s="1"/>
    </row>
    <row r="547" ht="15.75" customHeight="1">
      <c r="A547" s="1" t="s">
        <v>916</v>
      </c>
      <c r="B547" s="1" t="s">
        <v>330</v>
      </c>
      <c r="C547" s="1" t="s">
        <v>951</v>
      </c>
      <c r="S547" s="2" t="s">
        <v>8</v>
      </c>
      <c r="U547" s="1"/>
    </row>
    <row r="548" ht="15.75" customHeight="1">
      <c r="A548" s="1" t="s">
        <v>916</v>
      </c>
      <c r="B548" s="1" t="s">
        <v>330</v>
      </c>
      <c r="C548" s="1" t="s">
        <v>952</v>
      </c>
      <c r="S548" s="2" t="s">
        <v>8</v>
      </c>
      <c r="U548" s="1"/>
    </row>
    <row r="549" ht="15.75" customHeight="1">
      <c r="A549" s="1" t="s">
        <v>916</v>
      </c>
      <c r="B549" s="1" t="s">
        <v>330</v>
      </c>
      <c r="C549" s="1" t="s">
        <v>953</v>
      </c>
      <c r="S549" s="2" t="s">
        <v>8</v>
      </c>
      <c r="U549" s="1"/>
    </row>
    <row r="550" ht="15.75" customHeight="1">
      <c r="A550" s="1" t="s">
        <v>916</v>
      </c>
      <c r="B550" s="1" t="s">
        <v>330</v>
      </c>
      <c r="C550" s="1" t="s">
        <v>954</v>
      </c>
      <c r="S550" s="2" t="s">
        <v>8</v>
      </c>
      <c r="U550" s="1"/>
    </row>
    <row r="551" ht="15.75" customHeight="1">
      <c r="A551" s="1" t="s">
        <v>916</v>
      </c>
      <c r="B551" s="1" t="s">
        <v>330</v>
      </c>
      <c r="C551" s="1" t="s">
        <v>955</v>
      </c>
      <c r="S551" s="2" t="s">
        <v>8</v>
      </c>
      <c r="U551" s="1"/>
    </row>
    <row r="552" ht="15.75" customHeight="1">
      <c r="A552" s="1" t="s">
        <v>916</v>
      </c>
      <c r="B552" s="1" t="s">
        <v>330</v>
      </c>
      <c r="C552" s="1" t="s">
        <v>956</v>
      </c>
      <c r="S552" s="2" t="s">
        <v>8</v>
      </c>
      <c r="U552" s="1"/>
    </row>
    <row r="553" ht="15.75" customHeight="1">
      <c r="A553" s="1" t="s">
        <v>916</v>
      </c>
      <c r="B553" s="1" t="s">
        <v>330</v>
      </c>
      <c r="C553" s="1" t="s">
        <v>957</v>
      </c>
      <c r="S553" s="2" t="s">
        <v>8</v>
      </c>
      <c r="U553" s="1"/>
    </row>
    <row r="554" ht="15.75" customHeight="1">
      <c r="A554" s="1" t="s">
        <v>916</v>
      </c>
      <c r="B554" s="1" t="s">
        <v>330</v>
      </c>
      <c r="C554" s="1" t="s">
        <v>958</v>
      </c>
      <c r="S554" s="2" t="s">
        <v>8</v>
      </c>
      <c r="U554" s="1"/>
    </row>
    <row r="555" ht="15.75" customHeight="1">
      <c r="A555" s="1" t="s">
        <v>916</v>
      </c>
      <c r="B555" s="1" t="s">
        <v>330</v>
      </c>
      <c r="C555" s="1" t="s">
        <v>959</v>
      </c>
      <c r="S555" s="2" t="s">
        <v>8</v>
      </c>
      <c r="U555" s="1"/>
    </row>
    <row r="556" ht="15.75" customHeight="1">
      <c r="A556" s="1" t="s">
        <v>916</v>
      </c>
      <c r="B556" s="1" t="s">
        <v>330</v>
      </c>
      <c r="C556" s="1" t="s">
        <v>960</v>
      </c>
      <c r="S556" s="2" t="s">
        <v>8</v>
      </c>
      <c r="U556" s="1"/>
    </row>
    <row r="557" ht="15.75" customHeight="1">
      <c r="A557" s="1" t="s">
        <v>916</v>
      </c>
      <c r="B557" s="1" t="s">
        <v>330</v>
      </c>
      <c r="C557" s="1" t="s">
        <v>961</v>
      </c>
      <c r="S557" s="2" t="s">
        <v>8</v>
      </c>
      <c r="U557" s="1"/>
    </row>
    <row r="558" ht="15.75" customHeight="1">
      <c r="A558" s="1" t="s">
        <v>916</v>
      </c>
      <c r="B558" s="1" t="s">
        <v>330</v>
      </c>
      <c r="C558" s="1" t="s">
        <v>962</v>
      </c>
      <c r="S558" s="2" t="s">
        <v>8</v>
      </c>
      <c r="U558" s="1"/>
    </row>
    <row r="559" ht="15.75" customHeight="1">
      <c r="A559" s="1" t="s">
        <v>916</v>
      </c>
      <c r="B559" s="1" t="s">
        <v>330</v>
      </c>
      <c r="C559" s="1" t="s">
        <v>963</v>
      </c>
      <c r="S559" s="2" t="s">
        <v>8</v>
      </c>
      <c r="U559" s="1"/>
    </row>
    <row r="560" ht="15.75" customHeight="1">
      <c r="A560" s="1" t="s">
        <v>916</v>
      </c>
      <c r="B560" s="1" t="s">
        <v>330</v>
      </c>
      <c r="C560" s="1" t="s">
        <v>964</v>
      </c>
      <c r="S560" s="2" t="s">
        <v>8</v>
      </c>
      <c r="U560" s="1"/>
    </row>
    <row r="561" ht="15.75" customHeight="1">
      <c r="A561" s="1" t="s">
        <v>916</v>
      </c>
      <c r="B561" s="1" t="s">
        <v>378</v>
      </c>
      <c r="C561" s="1" t="s">
        <v>965</v>
      </c>
      <c r="S561" s="2" t="s">
        <v>8</v>
      </c>
      <c r="U561" s="1"/>
    </row>
    <row r="562" ht="15.75" customHeight="1">
      <c r="A562" s="1" t="s">
        <v>916</v>
      </c>
      <c r="B562" s="1" t="s">
        <v>378</v>
      </c>
      <c r="C562" s="1" t="s">
        <v>966</v>
      </c>
      <c r="S562" s="2" t="s">
        <v>8</v>
      </c>
      <c r="U562" s="1"/>
    </row>
    <row r="563" ht="15.75" customHeight="1">
      <c r="A563" s="1" t="s">
        <v>916</v>
      </c>
      <c r="B563" s="1" t="s">
        <v>378</v>
      </c>
      <c r="C563" s="1" t="s">
        <v>967</v>
      </c>
      <c r="S563" s="2" t="s">
        <v>8</v>
      </c>
      <c r="U563" s="1"/>
    </row>
    <row r="564" ht="15.75" customHeight="1">
      <c r="A564" s="1" t="s">
        <v>916</v>
      </c>
      <c r="B564" s="1" t="s">
        <v>378</v>
      </c>
      <c r="C564" s="1" t="s">
        <v>968</v>
      </c>
      <c r="S564" s="2" t="s">
        <v>8</v>
      </c>
      <c r="U564" s="1"/>
    </row>
    <row r="565" ht="15.75" customHeight="1">
      <c r="A565" s="1" t="s">
        <v>916</v>
      </c>
      <c r="B565" s="1" t="s">
        <v>378</v>
      </c>
      <c r="C565" s="1" t="s">
        <v>969</v>
      </c>
      <c r="S565" s="2" t="s">
        <v>8</v>
      </c>
      <c r="U565" s="1"/>
    </row>
    <row r="566" ht="15.75" customHeight="1">
      <c r="A566" s="1" t="s">
        <v>916</v>
      </c>
      <c r="B566" s="1" t="s">
        <v>378</v>
      </c>
      <c r="C566" s="1" t="s">
        <v>970</v>
      </c>
      <c r="S566" s="2" t="s">
        <v>8</v>
      </c>
      <c r="U566" s="1"/>
    </row>
    <row r="567" ht="15.75" customHeight="1">
      <c r="A567" s="1" t="s">
        <v>916</v>
      </c>
      <c r="B567" s="1" t="s">
        <v>378</v>
      </c>
      <c r="C567" s="1" t="s">
        <v>971</v>
      </c>
      <c r="S567" s="2" t="s">
        <v>8</v>
      </c>
      <c r="U567" s="1"/>
    </row>
    <row r="568" ht="15.75" customHeight="1">
      <c r="A568" s="1" t="s">
        <v>916</v>
      </c>
      <c r="B568" s="1" t="s">
        <v>378</v>
      </c>
      <c r="C568" s="1" t="s">
        <v>972</v>
      </c>
      <c r="S568" s="2" t="s">
        <v>8</v>
      </c>
      <c r="U568" s="1"/>
    </row>
    <row r="569" ht="15.75" customHeight="1">
      <c r="A569" s="1" t="s">
        <v>916</v>
      </c>
      <c r="B569" s="1" t="s">
        <v>378</v>
      </c>
      <c r="C569" s="1" t="s">
        <v>973</v>
      </c>
      <c r="S569" s="2" t="s">
        <v>8</v>
      </c>
      <c r="U569" s="1"/>
    </row>
    <row r="570" ht="15.75" customHeight="1">
      <c r="A570" s="1" t="s">
        <v>916</v>
      </c>
      <c r="B570" s="1" t="s">
        <v>378</v>
      </c>
      <c r="C570" s="1" t="s">
        <v>974</v>
      </c>
      <c r="S570" s="2" t="s">
        <v>8</v>
      </c>
      <c r="U570" s="1"/>
    </row>
    <row r="571" ht="15.75" customHeight="1">
      <c r="A571" s="1" t="s">
        <v>916</v>
      </c>
      <c r="B571" s="1" t="s">
        <v>378</v>
      </c>
      <c r="C571" s="1" t="s">
        <v>975</v>
      </c>
      <c r="S571" s="2" t="s">
        <v>8</v>
      </c>
      <c r="U571" s="1"/>
    </row>
    <row r="572" ht="15.75" customHeight="1">
      <c r="A572" s="1" t="s">
        <v>916</v>
      </c>
      <c r="B572" s="1" t="s">
        <v>378</v>
      </c>
      <c r="C572" s="1" t="s">
        <v>976</v>
      </c>
      <c r="S572" s="2" t="s">
        <v>8</v>
      </c>
      <c r="U572" s="1"/>
    </row>
    <row r="573" ht="15.75" customHeight="1">
      <c r="A573" s="1" t="s">
        <v>916</v>
      </c>
      <c r="B573" s="1" t="s">
        <v>378</v>
      </c>
      <c r="C573" s="1" t="s">
        <v>977</v>
      </c>
      <c r="S573" s="2" t="s">
        <v>8</v>
      </c>
      <c r="U573" s="1"/>
    </row>
    <row r="574" ht="15.75" customHeight="1">
      <c r="A574" s="1" t="s">
        <v>916</v>
      </c>
      <c r="B574" s="1" t="s">
        <v>378</v>
      </c>
      <c r="C574" s="1" t="s">
        <v>978</v>
      </c>
      <c r="S574" s="2" t="s">
        <v>8</v>
      </c>
      <c r="U574" s="1"/>
    </row>
    <row r="575" ht="15.75" customHeight="1">
      <c r="A575" s="1" t="s">
        <v>916</v>
      </c>
      <c r="B575" s="1" t="s">
        <v>403</v>
      </c>
      <c r="C575" s="1" t="s">
        <v>979</v>
      </c>
      <c r="S575" s="2" t="s">
        <v>8</v>
      </c>
      <c r="U575" s="1"/>
    </row>
    <row r="576" ht="15.75" customHeight="1">
      <c r="A576" s="1" t="s">
        <v>916</v>
      </c>
      <c r="B576" s="1" t="s">
        <v>403</v>
      </c>
      <c r="C576" s="1" t="s">
        <v>980</v>
      </c>
      <c r="S576" s="2" t="s">
        <v>8</v>
      </c>
      <c r="U576" s="1"/>
    </row>
    <row r="577" ht="15.75" customHeight="1">
      <c r="A577" s="1" t="s">
        <v>916</v>
      </c>
      <c r="B577" s="1" t="s">
        <v>403</v>
      </c>
      <c r="C577" s="1" t="s">
        <v>981</v>
      </c>
      <c r="S577" s="2" t="s">
        <v>8</v>
      </c>
      <c r="U577" s="1"/>
    </row>
    <row r="578" ht="15.75" customHeight="1">
      <c r="A578" s="1" t="s">
        <v>916</v>
      </c>
      <c r="B578" s="1" t="s">
        <v>403</v>
      </c>
      <c r="C578" s="1" t="s">
        <v>982</v>
      </c>
      <c r="S578" s="2" t="s">
        <v>8</v>
      </c>
      <c r="U578" s="1"/>
    </row>
    <row r="579" ht="15.75" customHeight="1">
      <c r="A579" s="1" t="s">
        <v>916</v>
      </c>
      <c r="B579" s="1" t="s">
        <v>403</v>
      </c>
      <c r="C579" s="1" t="s">
        <v>983</v>
      </c>
      <c r="S579" s="2" t="s">
        <v>8</v>
      </c>
      <c r="U579" s="1"/>
    </row>
    <row r="580" ht="15.75" customHeight="1">
      <c r="A580" s="1" t="s">
        <v>916</v>
      </c>
      <c r="B580" s="1" t="s">
        <v>403</v>
      </c>
      <c r="C580" s="1" t="s">
        <v>984</v>
      </c>
      <c r="S580" s="2" t="s">
        <v>8</v>
      </c>
      <c r="U580" s="1"/>
    </row>
    <row r="581" ht="15.75" customHeight="1">
      <c r="A581" s="1" t="s">
        <v>916</v>
      </c>
      <c r="B581" s="1" t="s">
        <v>403</v>
      </c>
      <c r="C581" s="1" t="s">
        <v>985</v>
      </c>
      <c r="S581" s="2" t="s">
        <v>8</v>
      </c>
      <c r="U581" s="1"/>
    </row>
    <row r="582" ht="15.75" customHeight="1">
      <c r="A582" s="1" t="s">
        <v>916</v>
      </c>
      <c r="B582" s="1" t="s">
        <v>403</v>
      </c>
      <c r="C582" s="1" t="s">
        <v>986</v>
      </c>
      <c r="S582" s="2" t="s">
        <v>8</v>
      </c>
      <c r="U582" s="1"/>
    </row>
    <row r="583" ht="15.75" customHeight="1">
      <c r="A583" s="1" t="s">
        <v>916</v>
      </c>
      <c r="B583" s="1" t="s">
        <v>403</v>
      </c>
      <c r="C583" s="1" t="s">
        <v>987</v>
      </c>
      <c r="S583" s="2" t="s">
        <v>8</v>
      </c>
      <c r="U583" s="1"/>
    </row>
    <row r="584" ht="15.75" customHeight="1">
      <c r="A584" s="1" t="s">
        <v>916</v>
      </c>
      <c r="B584" s="1" t="s">
        <v>403</v>
      </c>
      <c r="C584" s="1" t="s">
        <v>988</v>
      </c>
      <c r="S584" s="2" t="s">
        <v>8</v>
      </c>
      <c r="U584" s="1"/>
    </row>
    <row r="585" ht="15.75" customHeight="1">
      <c r="A585" s="1" t="s">
        <v>916</v>
      </c>
      <c r="B585" s="1" t="s">
        <v>403</v>
      </c>
      <c r="C585" s="1" t="s">
        <v>989</v>
      </c>
      <c r="S585" s="2" t="s">
        <v>8</v>
      </c>
      <c r="U585" s="1"/>
    </row>
    <row r="586" ht="15.75" customHeight="1">
      <c r="A586" s="1" t="s">
        <v>916</v>
      </c>
      <c r="B586" s="1" t="s">
        <v>403</v>
      </c>
      <c r="C586" s="1" t="s">
        <v>990</v>
      </c>
      <c r="S586" s="2" t="s">
        <v>8</v>
      </c>
      <c r="U586" s="1"/>
    </row>
    <row r="587" ht="15.75" customHeight="1">
      <c r="A587" s="1" t="s">
        <v>916</v>
      </c>
      <c r="B587" s="1" t="s">
        <v>403</v>
      </c>
      <c r="C587" s="1" t="s">
        <v>991</v>
      </c>
      <c r="S587" s="2" t="s">
        <v>8</v>
      </c>
      <c r="U587" s="1"/>
    </row>
    <row r="588" ht="15.75" customHeight="1">
      <c r="A588" s="1" t="s">
        <v>916</v>
      </c>
      <c r="B588" s="1" t="s">
        <v>403</v>
      </c>
      <c r="C588" s="1" t="s">
        <v>992</v>
      </c>
      <c r="S588" s="2" t="s">
        <v>8</v>
      </c>
      <c r="U588" s="1"/>
    </row>
    <row r="589" ht="15.75" customHeight="1">
      <c r="A589" s="1" t="s">
        <v>916</v>
      </c>
      <c r="B589" s="1" t="s">
        <v>403</v>
      </c>
      <c r="C589" s="1" t="s">
        <v>993</v>
      </c>
      <c r="S589" s="2" t="s">
        <v>8</v>
      </c>
      <c r="U589" s="1"/>
    </row>
    <row r="590" ht="15.75" customHeight="1">
      <c r="A590" s="1" t="s">
        <v>916</v>
      </c>
      <c r="B590" s="1" t="s">
        <v>403</v>
      </c>
      <c r="C590" s="1" t="s">
        <v>994</v>
      </c>
      <c r="S590" s="2" t="s">
        <v>8</v>
      </c>
      <c r="U590" s="1"/>
    </row>
    <row r="591" ht="15.75" customHeight="1">
      <c r="A591" s="1" t="s">
        <v>916</v>
      </c>
      <c r="B591" s="1" t="s">
        <v>403</v>
      </c>
      <c r="C591" s="1" t="s">
        <v>995</v>
      </c>
      <c r="S591" s="2" t="s">
        <v>8</v>
      </c>
      <c r="U591" s="1"/>
    </row>
    <row r="592" ht="15.75" customHeight="1">
      <c r="A592" s="1" t="s">
        <v>916</v>
      </c>
      <c r="B592" s="1" t="s">
        <v>403</v>
      </c>
      <c r="C592" s="1" t="s">
        <v>996</v>
      </c>
      <c r="S592" s="2" t="s">
        <v>8</v>
      </c>
      <c r="U592" s="1"/>
    </row>
    <row r="593" ht="15.75" customHeight="1">
      <c r="A593" s="1" t="s">
        <v>916</v>
      </c>
      <c r="B593" s="1" t="s">
        <v>997</v>
      </c>
      <c r="C593" s="1" t="s">
        <v>998</v>
      </c>
      <c r="S593" s="2" t="s">
        <v>8</v>
      </c>
      <c r="U593" s="1"/>
    </row>
    <row r="594" ht="15.75" customHeight="1">
      <c r="A594" s="1" t="s">
        <v>916</v>
      </c>
      <c r="B594" s="1" t="s">
        <v>997</v>
      </c>
      <c r="C594" s="1" t="s">
        <v>999</v>
      </c>
      <c r="S594" s="2" t="s">
        <v>8</v>
      </c>
      <c r="U594" s="1"/>
    </row>
    <row r="595" ht="15.75" customHeight="1">
      <c r="A595" s="1" t="s">
        <v>916</v>
      </c>
      <c r="B595" s="1" t="s">
        <v>997</v>
      </c>
      <c r="C595" s="1" t="s">
        <v>1000</v>
      </c>
      <c r="S595" s="2" t="s">
        <v>8</v>
      </c>
      <c r="U595" s="1"/>
    </row>
    <row r="596" ht="15.75" customHeight="1">
      <c r="A596" s="1" t="s">
        <v>916</v>
      </c>
      <c r="B596" s="1" t="s">
        <v>997</v>
      </c>
      <c r="C596" s="1" t="s">
        <v>1001</v>
      </c>
      <c r="S596" s="2" t="s">
        <v>8</v>
      </c>
      <c r="U596" s="1"/>
    </row>
    <row r="597" ht="15.75" customHeight="1">
      <c r="A597" s="1" t="s">
        <v>916</v>
      </c>
      <c r="B597" s="1" t="s">
        <v>997</v>
      </c>
      <c r="C597" s="1" t="s">
        <v>1002</v>
      </c>
      <c r="S597" s="2" t="s">
        <v>8</v>
      </c>
      <c r="U597" s="1"/>
    </row>
    <row r="598" ht="15.75" customHeight="1">
      <c r="A598" s="1" t="s">
        <v>916</v>
      </c>
      <c r="B598" s="1" t="s">
        <v>997</v>
      </c>
      <c r="C598" s="1" t="s">
        <v>1003</v>
      </c>
      <c r="S598" s="2" t="s">
        <v>8</v>
      </c>
      <c r="U598" s="1"/>
    </row>
    <row r="599" ht="15.75" customHeight="1">
      <c r="A599" s="1" t="s">
        <v>916</v>
      </c>
      <c r="B599" s="1" t="s">
        <v>997</v>
      </c>
      <c r="C599" s="1" t="s">
        <v>1004</v>
      </c>
      <c r="S599" s="2" t="s">
        <v>8</v>
      </c>
      <c r="U599" s="1"/>
    </row>
    <row r="600" ht="15.75" customHeight="1">
      <c r="A600" s="1" t="s">
        <v>916</v>
      </c>
      <c r="B600" s="1" t="s">
        <v>997</v>
      </c>
      <c r="C600" s="1" t="s">
        <v>1005</v>
      </c>
      <c r="S600" s="2" t="s">
        <v>8</v>
      </c>
      <c r="U600" s="1"/>
    </row>
    <row r="601" ht="15.75" customHeight="1">
      <c r="A601" s="1" t="s">
        <v>916</v>
      </c>
      <c r="B601" s="1" t="s">
        <v>997</v>
      </c>
      <c r="C601" s="1" t="s">
        <v>1006</v>
      </c>
      <c r="S601" s="2" t="s">
        <v>8</v>
      </c>
      <c r="U601" s="1"/>
    </row>
    <row r="602" ht="15.75" customHeight="1">
      <c r="A602" s="1" t="s">
        <v>1007</v>
      </c>
      <c r="B602" s="1" t="s">
        <v>6</v>
      </c>
      <c r="C602" s="1" t="s">
        <v>1008</v>
      </c>
      <c r="S602" s="2" t="s">
        <v>8</v>
      </c>
      <c r="U602" s="1"/>
    </row>
    <row r="603" ht="15.75" customHeight="1">
      <c r="A603" s="1" t="s">
        <v>1007</v>
      </c>
      <c r="B603" s="1" t="s">
        <v>6</v>
      </c>
      <c r="C603" s="1" t="s">
        <v>1009</v>
      </c>
      <c r="S603" s="2" t="s">
        <v>8</v>
      </c>
      <c r="U603" s="1"/>
    </row>
    <row r="604" ht="15.75" customHeight="1">
      <c r="A604" s="1" t="s">
        <v>1007</v>
      </c>
      <c r="B604" s="1" t="s">
        <v>29</v>
      </c>
      <c r="C604" s="1" t="s">
        <v>1010</v>
      </c>
      <c r="S604" s="2" t="s">
        <v>8</v>
      </c>
      <c r="U604" s="1"/>
    </row>
    <row r="605" ht="15.75" customHeight="1">
      <c r="A605" s="1" t="s">
        <v>1007</v>
      </c>
      <c r="B605" s="1" t="s">
        <v>29</v>
      </c>
      <c r="C605" s="1" t="s">
        <v>1011</v>
      </c>
      <c r="S605" s="2" t="s">
        <v>8</v>
      </c>
      <c r="U605" s="1"/>
    </row>
    <row r="606" ht="15.75" customHeight="1">
      <c r="A606" s="1" t="s">
        <v>1007</v>
      </c>
      <c r="B606" s="1" t="s">
        <v>29</v>
      </c>
      <c r="C606" s="1" t="s">
        <v>1012</v>
      </c>
      <c r="S606" s="2" t="s">
        <v>8</v>
      </c>
      <c r="U606" s="1"/>
    </row>
    <row r="607" ht="15.75" customHeight="1">
      <c r="A607" s="1" t="s">
        <v>1007</v>
      </c>
      <c r="B607" s="1" t="s">
        <v>29</v>
      </c>
      <c r="C607" s="1" t="s">
        <v>1013</v>
      </c>
      <c r="S607" s="2" t="s">
        <v>8</v>
      </c>
      <c r="U607" s="1"/>
    </row>
    <row r="608" ht="15.75" customHeight="1">
      <c r="A608" s="1" t="s">
        <v>1007</v>
      </c>
      <c r="B608" s="1" t="s">
        <v>29</v>
      </c>
      <c r="C608" s="1" t="s">
        <v>1014</v>
      </c>
      <c r="S608" s="2" t="s">
        <v>8</v>
      </c>
      <c r="U608" s="1"/>
    </row>
    <row r="609" ht="15.75" customHeight="1">
      <c r="A609" s="1" t="s">
        <v>1007</v>
      </c>
      <c r="B609" s="1" t="s">
        <v>77</v>
      </c>
      <c r="C609" s="1" t="s">
        <v>1015</v>
      </c>
      <c r="S609" s="2" t="s">
        <v>8</v>
      </c>
      <c r="U609" s="1"/>
    </row>
    <row r="610" ht="15.75" customHeight="1">
      <c r="A610" s="1" t="s">
        <v>1007</v>
      </c>
      <c r="B610" s="1" t="s">
        <v>77</v>
      </c>
      <c r="C610" s="1" t="s">
        <v>1016</v>
      </c>
      <c r="S610" s="2" t="s">
        <v>8</v>
      </c>
      <c r="U610" s="1"/>
    </row>
    <row r="611" ht="15.75" customHeight="1">
      <c r="A611" s="1" t="s">
        <v>1007</v>
      </c>
      <c r="B611" s="1" t="s">
        <v>77</v>
      </c>
      <c r="C611" s="1" t="s">
        <v>1017</v>
      </c>
      <c r="S611" s="2" t="s">
        <v>8</v>
      </c>
      <c r="U611" s="1"/>
    </row>
    <row r="612" ht="15.75" customHeight="1">
      <c r="A612" s="1" t="s">
        <v>1007</v>
      </c>
      <c r="B612" s="1" t="s">
        <v>158</v>
      </c>
      <c r="C612" s="1" t="s">
        <v>1018</v>
      </c>
      <c r="S612" s="2" t="s">
        <v>8</v>
      </c>
      <c r="U612" s="1"/>
    </row>
    <row r="613" ht="15.75" customHeight="1">
      <c r="A613" s="1" t="s">
        <v>1007</v>
      </c>
      <c r="B613" s="1" t="s">
        <v>158</v>
      </c>
      <c r="C613" s="1" t="s">
        <v>1019</v>
      </c>
      <c r="S613" s="2" t="s">
        <v>8</v>
      </c>
      <c r="U613" s="1"/>
    </row>
    <row r="614" ht="15.75" customHeight="1">
      <c r="A614" s="1" t="s">
        <v>1007</v>
      </c>
      <c r="B614" s="1" t="s">
        <v>158</v>
      </c>
      <c r="C614" s="1" t="s">
        <v>1020</v>
      </c>
      <c r="S614" s="2" t="s">
        <v>8</v>
      </c>
      <c r="U614" s="1"/>
    </row>
    <row r="615" ht="15.75" customHeight="1">
      <c r="A615" s="1" t="s">
        <v>1007</v>
      </c>
      <c r="B615" s="1" t="s">
        <v>158</v>
      </c>
      <c r="C615" s="1" t="s">
        <v>171</v>
      </c>
      <c r="S615" s="2" t="s">
        <v>8</v>
      </c>
      <c r="U615" s="1"/>
    </row>
    <row r="616" ht="15.75" customHeight="1">
      <c r="A616" s="1" t="s">
        <v>1007</v>
      </c>
      <c r="B616" s="1" t="s">
        <v>158</v>
      </c>
      <c r="C616" s="1" t="s">
        <v>1021</v>
      </c>
      <c r="S616" s="2" t="s">
        <v>8</v>
      </c>
      <c r="U616" s="1"/>
    </row>
    <row r="617" ht="15.75" customHeight="1">
      <c r="A617" s="1" t="s">
        <v>1007</v>
      </c>
      <c r="B617" s="1" t="s">
        <v>158</v>
      </c>
      <c r="C617" s="1" t="s">
        <v>1022</v>
      </c>
      <c r="S617" s="2" t="s">
        <v>8</v>
      </c>
      <c r="U617" s="1"/>
    </row>
    <row r="618" ht="15.75" customHeight="1">
      <c r="A618" s="1" t="s">
        <v>1007</v>
      </c>
      <c r="B618" s="1" t="s">
        <v>158</v>
      </c>
      <c r="C618" s="1" t="s">
        <v>199</v>
      </c>
      <c r="S618" s="2" t="s">
        <v>8</v>
      </c>
      <c r="U618" s="1"/>
    </row>
    <row r="619" ht="15.75" customHeight="1">
      <c r="A619" s="1" t="s">
        <v>1007</v>
      </c>
      <c r="B619" s="1" t="s">
        <v>158</v>
      </c>
      <c r="C619" s="1" t="s">
        <v>194</v>
      </c>
      <c r="S619" s="2" t="s">
        <v>8</v>
      </c>
      <c r="U619" s="1"/>
    </row>
    <row r="620" ht="15.75" customHeight="1">
      <c r="A620" s="1" t="s">
        <v>1007</v>
      </c>
      <c r="B620" s="1" t="s">
        <v>158</v>
      </c>
      <c r="C620" s="1" t="s">
        <v>1023</v>
      </c>
      <c r="S620" s="2" t="s">
        <v>8</v>
      </c>
      <c r="U620" s="1"/>
    </row>
    <row r="621" ht="15.75" customHeight="1">
      <c r="A621" s="1" t="s">
        <v>1007</v>
      </c>
      <c r="B621" s="1" t="s">
        <v>158</v>
      </c>
      <c r="C621" s="1" t="s">
        <v>1024</v>
      </c>
      <c r="S621" s="2" t="s">
        <v>8</v>
      </c>
      <c r="U621" s="1"/>
    </row>
    <row r="622" ht="15.75" customHeight="1">
      <c r="A622" s="1" t="s">
        <v>1007</v>
      </c>
      <c r="B622" s="1" t="s">
        <v>158</v>
      </c>
      <c r="C622" s="1" t="s">
        <v>1025</v>
      </c>
      <c r="S622" s="2" t="s">
        <v>8</v>
      </c>
      <c r="U622" s="1"/>
    </row>
    <row r="623" ht="15.75" customHeight="1">
      <c r="A623" s="1" t="s">
        <v>1007</v>
      </c>
      <c r="B623" s="1" t="s">
        <v>158</v>
      </c>
      <c r="C623" s="1" t="s">
        <v>1026</v>
      </c>
      <c r="S623" s="2" t="s">
        <v>8</v>
      </c>
      <c r="U623" s="1"/>
    </row>
    <row r="624" ht="15.75" customHeight="1">
      <c r="A624" s="1" t="s">
        <v>1007</v>
      </c>
      <c r="B624" s="1" t="s">
        <v>330</v>
      </c>
      <c r="C624" s="1" t="s">
        <v>1027</v>
      </c>
      <c r="S624" s="2" t="s">
        <v>8</v>
      </c>
      <c r="U624" s="1"/>
    </row>
    <row r="625" ht="15.75" customHeight="1">
      <c r="A625" s="1" t="s">
        <v>1007</v>
      </c>
      <c r="B625" s="1" t="s">
        <v>330</v>
      </c>
      <c r="C625" s="1" t="s">
        <v>1026</v>
      </c>
      <c r="S625" s="2" t="s">
        <v>8</v>
      </c>
      <c r="U625" s="1"/>
    </row>
    <row r="626" ht="15.75" customHeight="1">
      <c r="A626" s="1" t="s">
        <v>1007</v>
      </c>
      <c r="B626" s="1" t="s">
        <v>330</v>
      </c>
      <c r="C626" s="1" t="s">
        <v>1028</v>
      </c>
      <c r="S626" s="2" t="s">
        <v>8</v>
      </c>
      <c r="U626" s="1"/>
    </row>
    <row r="627" ht="15.75" customHeight="1">
      <c r="A627" s="1" t="s">
        <v>1007</v>
      </c>
      <c r="B627" s="1" t="s">
        <v>330</v>
      </c>
      <c r="C627" s="1" t="s">
        <v>1029</v>
      </c>
      <c r="S627" s="2" t="s">
        <v>8</v>
      </c>
      <c r="U627" s="1"/>
    </row>
    <row r="628" ht="15.75" customHeight="1">
      <c r="A628" s="1" t="s">
        <v>1007</v>
      </c>
      <c r="B628" s="1" t="s">
        <v>330</v>
      </c>
      <c r="C628" s="1" t="s">
        <v>1030</v>
      </c>
      <c r="S628" s="2" t="s">
        <v>8</v>
      </c>
      <c r="U628" s="1"/>
    </row>
    <row r="629" ht="15.75" customHeight="1">
      <c r="A629" s="1" t="s">
        <v>1007</v>
      </c>
      <c r="B629" s="1" t="s">
        <v>330</v>
      </c>
      <c r="C629" s="1" t="s">
        <v>1031</v>
      </c>
      <c r="S629" s="2" t="s">
        <v>8</v>
      </c>
      <c r="U629" s="1"/>
    </row>
    <row r="630" ht="15.75" customHeight="1">
      <c r="A630" s="1" t="s">
        <v>1007</v>
      </c>
      <c r="B630" s="1" t="s">
        <v>330</v>
      </c>
      <c r="C630" s="1" t="s">
        <v>1032</v>
      </c>
      <c r="S630" s="2" t="s">
        <v>8</v>
      </c>
      <c r="U630" s="1"/>
    </row>
    <row r="631" ht="15.75" customHeight="1">
      <c r="A631" s="1" t="s">
        <v>1007</v>
      </c>
      <c r="B631" s="1" t="s">
        <v>378</v>
      </c>
      <c r="C631" s="1" t="s">
        <v>1033</v>
      </c>
      <c r="S631" s="2" t="s">
        <v>8</v>
      </c>
      <c r="U631" s="1"/>
    </row>
    <row r="632" ht="15.75" customHeight="1">
      <c r="A632" s="1" t="s">
        <v>1007</v>
      </c>
      <c r="B632" s="1" t="s">
        <v>378</v>
      </c>
      <c r="C632" s="1" t="s">
        <v>1034</v>
      </c>
      <c r="S632" s="2" t="s">
        <v>8</v>
      </c>
      <c r="U632" s="1"/>
    </row>
    <row r="633" ht="15.75" customHeight="1">
      <c r="A633" s="1" t="s">
        <v>1007</v>
      </c>
      <c r="B633" s="1" t="s">
        <v>378</v>
      </c>
      <c r="C633" s="1" t="s">
        <v>1035</v>
      </c>
      <c r="S633" s="2" t="s">
        <v>8</v>
      </c>
      <c r="U633" s="1"/>
    </row>
    <row r="634" ht="15.75" customHeight="1">
      <c r="A634" s="1" t="s">
        <v>1007</v>
      </c>
      <c r="B634" s="1" t="s">
        <v>378</v>
      </c>
      <c r="C634" s="1" t="s">
        <v>1036</v>
      </c>
      <c r="S634" s="2" t="s">
        <v>8</v>
      </c>
      <c r="U634" s="1"/>
    </row>
    <row r="635" ht="15.75" customHeight="1">
      <c r="A635" s="1" t="s">
        <v>1007</v>
      </c>
      <c r="B635" s="1" t="s">
        <v>378</v>
      </c>
      <c r="C635" s="1" t="s">
        <v>1037</v>
      </c>
      <c r="S635" s="2" t="s">
        <v>8</v>
      </c>
      <c r="U635" s="1"/>
    </row>
    <row r="636" ht="15.75" customHeight="1">
      <c r="A636" s="1" t="s">
        <v>1007</v>
      </c>
      <c r="B636" s="1" t="s">
        <v>378</v>
      </c>
      <c r="C636" s="1" t="s">
        <v>1038</v>
      </c>
      <c r="S636" s="2" t="s">
        <v>8</v>
      </c>
      <c r="U636" s="1"/>
    </row>
    <row r="637" ht="15.75" customHeight="1">
      <c r="A637" s="1" t="s">
        <v>1007</v>
      </c>
      <c r="B637" s="1" t="s">
        <v>378</v>
      </c>
      <c r="C637" s="1" t="s">
        <v>1039</v>
      </c>
      <c r="S637" s="2" t="s">
        <v>8</v>
      </c>
      <c r="U637" s="1"/>
    </row>
    <row r="638" ht="15.75" customHeight="1">
      <c r="A638" s="1" t="s">
        <v>1007</v>
      </c>
      <c r="B638" s="1" t="s">
        <v>378</v>
      </c>
      <c r="C638" s="1" t="s">
        <v>1040</v>
      </c>
      <c r="S638" s="2" t="s">
        <v>8</v>
      </c>
      <c r="U638" s="1"/>
    </row>
    <row r="639" ht="15.75" customHeight="1">
      <c r="A639" s="1" t="s">
        <v>1007</v>
      </c>
      <c r="B639" s="1" t="s">
        <v>403</v>
      </c>
      <c r="C639" s="1" t="s">
        <v>1041</v>
      </c>
      <c r="S639" s="2" t="s">
        <v>8</v>
      </c>
      <c r="U639" s="1"/>
    </row>
    <row r="640" ht="15.75" customHeight="1">
      <c r="A640" s="1" t="s">
        <v>1007</v>
      </c>
      <c r="B640" s="1" t="s">
        <v>403</v>
      </c>
      <c r="C640" s="1" t="s">
        <v>1042</v>
      </c>
      <c r="S640" s="2" t="s">
        <v>8</v>
      </c>
      <c r="U640" s="1"/>
    </row>
    <row r="641" ht="15.75" customHeight="1">
      <c r="A641" s="1" t="s">
        <v>1007</v>
      </c>
      <c r="B641" s="1" t="s">
        <v>403</v>
      </c>
      <c r="C641" s="1" t="s">
        <v>1043</v>
      </c>
      <c r="S641" s="2" t="s">
        <v>8</v>
      </c>
      <c r="U641" s="1"/>
    </row>
    <row r="642" ht="15.75" customHeight="1">
      <c r="A642" s="1" t="s">
        <v>1007</v>
      </c>
      <c r="B642" s="1" t="s">
        <v>403</v>
      </c>
      <c r="C642" s="1" t="s">
        <v>1044</v>
      </c>
      <c r="S642" s="2" t="s">
        <v>8</v>
      </c>
      <c r="U642" s="1"/>
    </row>
    <row r="643" ht="15.75" customHeight="1">
      <c r="A643" s="1" t="s">
        <v>1007</v>
      </c>
      <c r="B643" s="1" t="s">
        <v>403</v>
      </c>
      <c r="C643" s="1" t="s">
        <v>1045</v>
      </c>
      <c r="S643" s="2" t="s">
        <v>8</v>
      </c>
      <c r="U643" s="1"/>
    </row>
    <row r="644" ht="15.75" customHeight="1">
      <c r="A644" s="1" t="s">
        <v>1007</v>
      </c>
      <c r="B644" s="1" t="s">
        <v>403</v>
      </c>
      <c r="C644" s="1" t="s">
        <v>1041</v>
      </c>
      <c r="S644" s="2" t="s">
        <v>8</v>
      </c>
      <c r="U644" s="1"/>
    </row>
    <row r="645" ht="15.75" customHeight="1">
      <c r="A645" s="1" t="s">
        <v>1007</v>
      </c>
      <c r="B645" s="1" t="s">
        <v>403</v>
      </c>
      <c r="C645" s="1" t="s">
        <v>1046</v>
      </c>
      <c r="S645" s="2" t="s">
        <v>8</v>
      </c>
      <c r="U645" s="1"/>
    </row>
    <row r="646" ht="15.75" customHeight="1">
      <c r="A646" s="1" t="s">
        <v>1007</v>
      </c>
      <c r="B646" s="1" t="s">
        <v>403</v>
      </c>
      <c r="C646" s="1" t="s">
        <v>1047</v>
      </c>
      <c r="S646" s="2" t="s">
        <v>8</v>
      </c>
      <c r="U646" s="1"/>
    </row>
    <row r="647" ht="15.75" customHeight="1">
      <c r="A647" s="1" t="s">
        <v>1007</v>
      </c>
      <c r="B647" s="1" t="s">
        <v>403</v>
      </c>
      <c r="C647" s="1" t="s">
        <v>1048</v>
      </c>
      <c r="S647" s="2" t="s">
        <v>8</v>
      </c>
      <c r="U647" s="1"/>
    </row>
    <row r="648" ht="15.75" customHeight="1">
      <c r="A648" s="1" t="s">
        <v>1007</v>
      </c>
      <c r="B648" s="1" t="s">
        <v>403</v>
      </c>
      <c r="C648" s="1" t="s">
        <v>1049</v>
      </c>
      <c r="S648" s="2" t="s">
        <v>8</v>
      </c>
      <c r="U648" s="1"/>
    </row>
    <row r="649" ht="15.75" customHeight="1">
      <c r="A649" s="1" t="s">
        <v>1007</v>
      </c>
      <c r="B649" s="1" t="s">
        <v>403</v>
      </c>
      <c r="C649" s="1" t="s">
        <v>1050</v>
      </c>
      <c r="S649" s="2" t="s">
        <v>8</v>
      </c>
      <c r="U649" s="1"/>
    </row>
    <row r="650" ht="15.75" customHeight="1">
      <c r="A650" s="1" t="s">
        <v>1007</v>
      </c>
      <c r="B650" s="1" t="s">
        <v>403</v>
      </c>
      <c r="C650" s="1" t="s">
        <v>1051</v>
      </c>
      <c r="S650" s="2" t="s">
        <v>8</v>
      </c>
      <c r="U650" s="1"/>
    </row>
    <row r="651" ht="15.75" customHeight="1">
      <c r="A651" s="1" t="s">
        <v>1007</v>
      </c>
      <c r="B651" s="1" t="s">
        <v>403</v>
      </c>
      <c r="C651" s="1" t="s">
        <v>1052</v>
      </c>
      <c r="S651" s="2" t="s">
        <v>8</v>
      </c>
      <c r="U651" s="1"/>
    </row>
    <row r="652" ht="15.75" customHeight="1">
      <c r="A652" s="1" t="s">
        <v>1007</v>
      </c>
      <c r="B652" s="1" t="s">
        <v>997</v>
      </c>
      <c r="C652" s="1" t="s">
        <v>1053</v>
      </c>
      <c r="S652" s="2" t="s">
        <v>8</v>
      </c>
      <c r="U652" s="1"/>
    </row>
    <row r="653" ht="15.75" customHeight="1">
      <c r="A653" s="1" t="s">
        <v>1007</v>
      </c>
      <c r="B653" s="1" t="s">
        <v>997</v>
      </c>
      <c r="C653" s="1" t="s">
        <v>1054</v>
      </c>
      <c r="S653" s="2" t="s">
        <v>8</v>
      </c>
      <c r="U653" s="1"/>
    </row>
    <row r="654" ht="15.75" customHeight="1">
      <c r="A654" s="1" t="s">
        <v>1007</v>
      </c>
      <c r="B654" s="1" t="s">
        <v>997</v>
      </c>
      <c r="C654" s="1" t="s">
        <v>1055</v>
      </c>
      <c r="S654" s="2" t="s">
        <v>8</v>
      </c>
      <c r="U654" s="1"/>
    </row>
    <row r="655" ht="15.75" customHeight="1">
      <c r="A655" s="1" t="s">
        <v>1007</v>
      </c>
      <c r="B655" s="1" t="s">
        <v>997</v>
      </c>
      <c r="C655" s="1" t="s">
        <v>1056</v>
      </c>
      <c r="S655" s="2" t="s">
        <v>8</v>
      </c>
      <c r="U655" s="1"/>
    </row>
    <row r="656" ht="15.75" customHeight="1">
      <c r="A656" s="1" t="s">
        <v>1007</v>
      </c>
      <c r="B656" s="1" t="s">
        <v>997</v>
      </c>
      <c r="C656" s="1" t="s">
        <v>1057</v>
      </c>
      <c r="S656" s="2" t="s">
        <v>8</v>
      </c>
      <c r="U656" s="1"/>
    </row>
    <row r="657" ht="15.75" customHeight="1">
      <c r="A657" s="1" t="s">
        <v>1007</v>
      </c>
      <c r="B657" s="1" t="s">
        <v>997</v>
      </c>
      <c r="C657" s="1" t="s">
        <v>1058</v>
      </c>
      <c r="S657" s="2" t="s">
        <v>8</v>
      </c>
      <c r="U657" s="1"/>
    </row>
    <row r="658" ht="15.75" customHeight="1">
      <c r="A658" s="1" t="s">
        <v>1007</v>
      </c>
      <c r="B658" s="1" t="s">
        <v>997</v>
      </c>
      <c r="C658" s="1" t="s">
        <v>1059</v>
      </c>
      <c r="S658" s="2" t="s">
        <v>8</v>
      </c>
      <c r="U658" s="1"/>
    </row>
    <row r="659" ht="15.75" customHeight="1">
      <c r="A659" s="1" t="s">
        <v>1007</v>
      </c>
      <c r="B659" s="1" t="s">
        <v>997</v>
      </c>
      <c r="C659" s="1" t="s">
        <v>1060</v>
      </c>
      <c r="S659" s="2" t="s">
        <v>8</v>
      </c>
      <c r="U659" s="1"/>
    </row>
    <row r="660" ht="15.75" customHeight="1">
      <c r="A660" s="1" t="s">
        <v>1007</v>
      </c>
      <c r="B660" s="1" t="s">
        <v>997</v>
      </c>
      <c r="C660" s="1" t="s">
        <v>1061</v>
      </c>
      <c r="S660" s="2" t="s">
        <v>8</v>
      </c>
      <c r="U660" s="1"/>
    </row>
    <row r="661" ht="15.75" customHeight="1">
      <c r="A661" s="1" t="s">
        <v>1007</v>
      </c>
      <c r="B661" s="1" t="s">
        <v>997</v>
      </c>
      <c r="C661" s="1" t="s">
        <v>1062</v>
      </c>
      <c r="S661" s="2" t="s">
        <v>8</v>
      </c>
      <c r="U661" s="1"/>
    </row>
    <row r="662" ht="15.75" customHeight="1">
      <c r="A662" s="1" t="s">
        <v>1007</v>
      </c>
      <c r="B662" s="1" t="s">
        <v>997</v>
      </c>
      <c r="C662" s="1" t="s">
        <v>1063</v>
      </c>
      <c r="S662" s="2" t="s">
        <v>8</v>
      </c>
      <c r="U662" s="1"/>
    </row>
    <row r="663" ht="15.75" customHeight="1">
      <c r="A663" s="1" t="s">
        <v>1007</v>
      </c>
      <c r="B663" s="1" t="s">
        <v>997</v>
      </c>
      <c r="C663" s="1" t="s">
        <v>1064</v>
      </c>
      <c r="S663" s="2" t="s">
        <v>8</v>
      </c>
      <c r="U663" s="1"/>
    </row>
    <row r="664" ht="15.75" customHeight="1">
      <c r="A664" s="1" t="s">
        <v>1007</v>
      </c>
      <c r="B664" s="1" t="s">
        <v>997</v>
      </c>
      <c r="C664" s="1" t="s">
        <v>1065</v>
      </c>
      <c r="S664" s="2" t="s">
        <v>8</v>
      </c>
      <c r="U664" s="1"/>
    </row>
    <row r="665" ht="15.75" customHeight="1">
      <c r="A665" s="1" t="s">
        <v>1007</v>
      </c>
      <c r="B665" s="1" t="s">
        <v>997</v>
      </c>
      <c r="C665" s="1" t="s">
        <v>1066</v>
      </c>
      <c r="S665" s="2" t="s">
        <v>8</v>
      </c>
      <c r="U665" s="1"/>
    </row>
    <row r="666" ht="15.75" customHeight="1">
      <c r="A666" s="1" t="s">
        <v>1007</v>
      </c>
      <c r="B666" s="1" t="s">
        <v>997</v>
      </c>
      <c r="C666" s="1" t="s">
        <v>1067</v>
      </c>
      <c r="U666" s="1"/>
    </row>
    <row r="667" ht="15.75" customHeight="1">
      <c r="A667" s="1" t="s">
        <v>1007</v>
      </c>
      <c r="B667" s="1" t="s">
        <v>997</v>
      </c>
      <c r="C667" s="1" t="s">
        <v>1068</v>
      </c>
      <c r="U667" s="1"/>
    </row>
    <row r="668" ht="15.75" customHeight="1">
      <c r="A668" s="1" t="s">
        <v>1007</v>
      </c>
      <c r="B668" s="1" t="s">
        <v>997</v>
      </c>
      <c r="C668" s="1" t="s">
        <v>1069</v>
      </c>
      <c r="U668" s="1"/>
    </row>
    <row r="669" ht="15.75" customHeight="1">
      <c r="A669" s="1" t="s">
        <v>1007</v>
      </c>
      <c r="B669" s="1" t="s">
        <v>997</v>
      </c>
      <c r="C669" s="1" t="s">
        <v>1070</v>
      </c>
      <c r="U669" s="1"/>
    </row>
    <row r="670" ht="15.75" customHeight="1">
      <c r="A670" s="1" t="s">
        <v>1007</v>
      </c>
      <c r="B670" s="1" t="s">
        <v>1071</v>
      </c>
      <c r="C670" s="1" t="s">
        <v>1072</v>
      </c>
      <c r="U670" s="1"/>
    </row>
    <row r="671" ht="15.75" customHeight="1">
      <c r="A671" s="1" t="s">
        <v>1007</v>
      </c>
      <c r="B671" s="1" t="s">
        <v>1071</v>
      </c>
      <c r="C671" s="1" t="s">
        <v>1073</v>
      </c>
      <c r="U671" s="1"/>
    </row>
    <row r="672" ht="15.75" customHeight="1">
      <c r="A672" s="1" t="s">
        <v>1007</v>
      </c>
      <c r="B672" s="1" t="s">
        <v>1071</v>
      </c>
      <c r="C672" s="1" t="s">
        <v>1074</v>
      </c>
      <c r="U672" s="1"/>
    </row>
    <row r="673" ht="15.75" customHeight="1">
      <c r="A673" s="1" t="s">
        <v>1007</v>
      </c>
      <c r="B673" s="1" t="s">
        <v>1071</v>
      </c>
      <c r="C673" s="1" t="s">
        <v>1075</v>
      </c>
      <c r="U673" s="1"/>
    </row>
    <row r="674" ht="15.75" customHeight="1">
      <c r="A674" s="1" t="s">
        <v>1007</v>
      </c>
      <c r="B674" s="1" t="s">
        <v>1071</v>
      </c>
      <c r="C674" s="1" t="s">
        <v>1076</v>
      </c>
      <c r="U674" s="1"/>
    </row>
    <row r="675" ht="15.75" customHeight="1">
      <c r="A675" s="1" t="s">
        <v>1007</v>
      </c>
      <c r="B675" s="1" t="s">
        <v>1071</v>
      </c>
      <c r="C675" s="1" t="s">
        <v>1077</v>
      </c>
      <c r="U675" s="1"/>
    </row>
    <row r="676" ht="15.75" customHeight="1">
      <c r="A676" s="1" t="s">
        <v>1007</v>
      </c>
      <c r="B676" s="1" t="s">
        <v>1071</v>
      </c>
      <c r="C676" s="1" t="s">
        <v>1078</v>
      </c>
      <c r="U676" s="1"/>
    </row>
    <row r="677" ht="15.75" customHeight="1">
      <c r="A677" s="1" t="s">
        <v>1007</v>
      </c>
      <c r="B677" s="1" t="s">
        <v>1071</v>
      </c>
      <c r="C677" s="1" t="s">
        <v>1079</v>
      </c>
      <c r="U677" s="1"/>
    </row>
    <row r="678" ht="15.75" customHeight="1">
      <c r="A678" s="1" t="s">
        <v>1007</v>
      </c>
      <c r="B678" s="1" t="s">
        <v>1071</v>
      </c>
      <c r="C678" s="1" t="s">
        <v>1080</v>
      </c>
      <c r="U678" s="1"/>
    </row>
    <row r="679" ht="15.75" customHeight="1">
      <c r="A679" s="1" t="s">
        <v>1007</v>
      </c>
      <c r="B679" s="1" t="s">
        <v>1071</v>
      </c>
      <c r="C679" s="1" t="s">
        <v>1081</v>
      </c>
      <c r="U679" s="1"/>
    </row>
    <row r="680" ht="15.75" customHeight="1">
      <c r="A680" s="1" t="s">
        <v>1007</v>
      </c>
      <c r="B680" s="1" t="s">
        <v>1071</v>
      </c>
      <c r="C680" s="1" t="s">
        <v>1082</v>
      </c>
      <c r="U680" s="1"/>
    </row>
    <row r="681" ht="15.75" customHeight="1">
      <c r="A681" s="1" t="s">
        <v>1007</v>
      </c>
      <c r="B681" s="1" t="s">
        <v>1071</v>
      </c>
      <c r="C681" s="1" t="s">
        <v>1083</v>
      </c>
      <c r="U681" s="1"/>
    </row>
    <row r="682" ht="15.75" customHeight="1">
      <c r="A682" s="1" t="s">
        <v>1007</v>
      </c>
      <c r="B682" s="1" t="s">
        <v>1071</v>
      </c>
      <c r="C682" s="1" t="s">
        <v>1084</v>
      </c>
      <c r="U682" s="1"/>
    </row>
    <row r="683" ht="15.75" customHeight="1">
      <c r="A683" s="1" t="s">
        <v>1007</v>
      </c>
      <c r="B683" s="1" t="s">
        <v>1071</v>
      </c>
      <c r="C683" s="1" t="s">
        <v>1085</v>
      </c>
      <c r="U683" s="1"/>
    </row>
    <row r="684" ht="15.75" customHeight="1">
      <c r="A684" s="1" t="s">
        <v>1007</v>
      </c>
      <c r="B684" s="1" t="s">
        <v>1071</v>
      </c>
      <c r="C684" s="1" t="s">
        <v>1045</v>
      </c>
      <c r="U684" s="1"/>
    </row>
    <row r="685" ht="15.75" customHeight="1">
      <c r="A685" s="1" t="s">
        <v>1007</v>
      </c>
      <c r="B685" s="1" t="s">
        <v>1071</v>
      </c>
      <c r="C685" s="1" t="s">
        <v>1086</v>
      </c>
      <c r="U685" s="1"/>
    </row>
    <row r="686" ht="15.75" customHeight="1">
      <c r="A686" s="1" t="s">
        <v>1007</v>
      </c>
      <c r="B686" s="1" t="s">
        <v>1071</v>
      </c>
      <c r="C686" s="1" t="s">
        <v>1087</v>
      </c>
      <c r="U686" s="1"/>
    </row>
    <row r="687" ht="15.75" customHeight="1">
      <c r="A687" s="1" t="s">
        <v>1007</v>
      </c>
      <c r="B687" s="1" t="s">
        <v>1071</v>
      </c>
      <c r="C687" s="1" t="s">
        <v>1088</v>
      </c>
      <c r="U687" s="1"/>
    </row>
    <row r="688" ht="15.75" customHeight="1">
      <c r="A688" s="1" t="s">
        <v>1007</v>
      </c>
      <c r="B688" s="1" t="s">
        <v>1071</v>
      </c>
      <c r="C688" s="1" t="s">
        <v>1089</v>
      </c>
      <c r="U688" s="1"/>
    </row>
    <row r="689" ht="15.75" customHeight="1">
      <c r="A689" s="1" t="s">
        <v>1007</v>
      </c>
      <c r="B689" s="1" t="s">
        <v>1071</v>
      </c>
      <c r="C689" s="1" t="s">
        <v>1090</v>
      </c>
      <c r="U689" s="1"/>
    </row>
    <row r="690" ht="15.75" customHeight="1">
      <c r="A690" s="1" t="s">
        <v>1007</v>
      </c>
      <c r="B690" s="1" t="s">
        <v>1071</v>
      </c>
      <c r="C690" s="1" t="s">
        <v>1091</v>
      </c>
      <c r="U690" s="1"/>
    </row>
    <row r="691" ht="15.75" customHeight="1">
      <c r="A691" s="1" t="s">
        <v>1007</v>
      </c>
      <c r="B691" s="1" t="s">
        <v>1071</v>
      </c>
      <c r="C691" s="1" t="s">
        <v>1092</v>
      </c>
      <c r="U691" s="1"/>
    </row>
    <row r="692" ht="15.75" customHeight="1">
      <c r="A692" s="1" t="s">
        <v>1007</v>
      </c>
      <c r="B692" s="1" t="s">
        <v>1093</v>
      </c>
      <c r="C692" s="1" t="s">
        <v>1094</v>
      </c>
      <c r="U692" s="1"/>
    </row>
    <row r="693" ht="15.75" customHeight="1">
      <c r="A693" s="1" t="s">
        <v>1007</v>
      </c>
      <c r="B693" s="1" t="s">
        <v>1093</v>
      </c>
      <c r="C693" s="1" t="s">
        <v>1095</v>
      </c>
      <c r="U693" s="1"/>
    </row>
    <row r="694" ht="15.75" customHeight="1">
      <c r="A694" s="1" t="s">
        <v>1007</v>
      </c>
      <c r="B694" s="1" t="s">
        <v>1093</v>
      </c>
      <c r="C694" s="1" t="s">
        <v>1076</v>
      </c>
      <c r="U694" s="1"/>
    </row>
    <row r="695" ht="15.75" customHeight="1">
      <c r="A695" s="1" t="s">
        <v>1007</v>
      </c>
      <c r="B695" s="1" t="s">
        <v>1093</v>
      </c>
      <c r="C695" s="1" t="s">
        <v>1096</v>
      </c>
      <c r="U695" s="1"/>
    </row>
    <row r="696" ht="15.75" customHeight="1">
      <c r="A696" s="1" t="s">
        <v>1007</v>
      </c>
      <c r="B696" s="1" t="s">
        <v>1093</v>
      </c>
      <c r="C696" s="1" t="s">
        <v>1097</v>
      </c>
      <c r="U696" s="1"/>
    </row>
    <row r="697" ht="15.75" customHeight="1">
      <c r="A697" s="1" t="s">
        <v>1007</v>
      </c>
      <c r="B697" s="1" t="s">
        <v>1093</v>
      </c>
      <c r="C697" s="1" t="s">
        <v>1098</v>
      </c>
      <c r="U697" s="1"/>
    </row>
    <row r="698" ht="15.75" customHeight="1">
      <c r="A698" s="1" t="s">
        <v>1007</v>
      </c>
      <c r="B698" s="1" t="s">
        <v>1093</v>
      </c>
      <c r="C698" s="1" t="s">
        <v>1099</v>
      </c>
      <c r="U698" s="1"/>
    </row>
    <row r="699" ht="15.75" customHeight="1">
      <c r="A699" s="1" t="s">
        <v>1007</v>
      </c>
      <c r="B699" s="1" t="s">
        <v>1093</v>
      </c>
      <c r="C699" s="1" t="s">
        <v>1100</v>
      </c>
      <c r="U699" s="1"/>
    </row>
    <row r="700" ht="15.75" customHeight="1">
      <c r="A700" s="1" t="s">
        <v>1007</v>
      </c>
      <c r="B700" s="1" t="s">
        <v>1093</v>
      </c>
      <c r="C700" s="1" t="s">
        <v>1101</v>
      </c>
      <c r="U700" s="1"/>
    </row>
    <row r="701" ht="15.75" customHeight="1">
      <c r="A701" s="1" t="s">
        <v>1007</v>
      </c>
      <c r="B701" s="1" t="s">
        <v>1093</v>
      </c>
      <c r="C701" s="1" t="s">
        <v>1102</v>
      </c>
      <c r="U701" s="1"/>
    </row>
    <row r="702" ht="15.75" customHeight="1">
      <c r="A702" s="1" t="s">
        <v>1103</v>
      </c>
      <c r="B702" s="1" t="s">
        <v>6</v>
      </c>
      <c r="C702" s="1" t="s">
        <v>1104</v>
      </c>
      <c r="U702" s="1"/>
    </row>
    <row r="703" ht="15.75" customHeight="1">
      <c r="A703" s="1" t="s">
        <v>1103</v>
      </c>
      <c r="B703" s="1" t="s">
        <v>6</v>
      </c>
      <c r="C703" s="1" t="s">
        <v>1105</v>
      </c>
      <c r="U703" s="1"/>
    </row>
    <row r="704" ht="15.75" customHeight="1">
      <c r="A704" s="1" t="s">
        <v>1103</v>
      </c>
      <c r="B704" s="1" t="s">
        <v>6</v>
      </c>
      <c r="C704" s="1" t="s">
        <v>1106</v>
      </c>
      <c r="U704" s="1"/>
    </row>
    <row r="705" ht="15.75" customHeight="1">
      <c r="A705" s="1" t="s">
        <v>1103</v>
      </c>
      <c r="B705" s="1" t="s">
        <v>6</v>
      </c>
      <c r="C705" s="1" t="s">
        <v>1107</v>
      </c>
      <c r="U705" s="1"/>
    </row>
    <row r="706" ht="15.75" customHeight="1">
      <c r="A706" s="1" t="s">
        <v>1103</v>
      </c>
      <c r="B706" s="1" t="s">
        <v>6</v>
      </c>
      <c r="C706" s="1" t="s">
        <v>1108</v>
      </c>
      <c r="U706" s="1"/>
    </row>
    <row r="707" ht="15.75" customHeight="1">
      <c r="A707" s="1" t="s">
        <v>1103</v>
      </c>
      <c r="B707" s="1" t="s">
        <v>6</v>
      </c>
      <c r="C707" s="1" t="s">
        <v>1109</v>
      </c>
      <c r="U707" s="1"/>
    </row>
    <row r="708" ht="15.75" customHeight="1">
      <c r="A708" s="1" t="s">
        <v>1103</v>
      </c>
      <c r="B708" s="1" t="s">
        <v>6</v>
      </c>
      <c r="C708" s="1" t="s">
        <v>1110</v>
      </c>
      <c r="U708" s="1"/>
    </row>
    <row r="709" ht="15.75" customHeight="1">
      <c r="A709" s="1" t="s">
        <v>1103</v>
      </c>
      <c r="B709" s="1" t="s">
        <v>6</v>
      </c>
      <c r="C709" s="1" t="s">
        <v>1111</v>
      </c>
      <c r="U709" s="1"/>
    </row>
    <row r="710" ht="15.75" customHeight="1">
      <c r="A710" s="1" t="s">
        <v>1103</v>
      </c>
      <c r="B710" s="1" t="s">
        <v>6</v>
      </c>
      <c r="C710" s="1" t="s">
        <v>1112</v>
      </c>
      <c r="U710" s="1"/>
    </row>
    <row r="711" ht="15.75" customHeight="1">
      <c r="A711" s="1" t="s">
        <v>1103</v>
      </c>
      <c r="B711" s="1" t="s">
        <v>6</v>
      </c>
      <c r="C711" s="1" t="s">
        <v>1113</v>
      </c>
      <c r="U711" s="1"/>
    </row>
    <row r="712" ht="15.75" customHeight="1">
      <c r="A712" s="1" t="s">
        <v>1103</v>
      </c>
      <c r="B712" s="1" t="s">
        <v>6</v>
      </c>
      <c r="C712" s="1" t="s">
        <v>1114</v>
      </c>
      <c r="U712" s="1"/>
    </row>
    <row r="713" ht="15.75" customHeight="1">
      <c r="A713" s="1" t="s">
        <v>1103</v>
      </c>
      <c r="B713" s="1" t="s">
        <v>6</v>
      </c>
      <c r="C713" s="1" t="s">
        <v>1115</v>
      </c>
      <c r="U713" s="1"/>
    </row>
    <row r="714" ht="15.75" customHeight="1">
      <c r="A714" s="1" t="s">
        <v>1103</v>
      </c>
      <c r="B714" s="1" t="s">
        <v>6</v>
      </c>
      <c r="C714" s="1" t="s">
        <v>1116</v>
      </c>
      <c r="U714" s="1"/>
    </row>
    <row r="715" ht="15.75" customHeight="1">
      <c r="A715" s="1" t="s">
        <v>1103</v>
      </c>
      <c r="B715" s="1" t="s">
        <v>6</v>
      </c>
      <c r="C715" s="1" t="s">
        <v>1117</v>
      </c>
      <c r="U715" s="1"/>
    </row>
    <row r="716" ht="15.75" customHeight="1">
      <c r="A716" s="1" t="s">
        <v>1103</v>
      </c>
      <c r="B716" s="1" t="s">
        <v>6</v>
      </c>
      <c r="C716" s="1" t="s">
        <v>1118</v>
      </c>
      <c r="U716" s="1"/>
    </row>
    <row r="717" ht="15.75" customHeight="1">
      <c r="A717" s="1" t="s">
        <v>1103</v>
      </c>
      <c r="B717" s="1" t="s">
        <v>6</v>
      </c>
      <c r="C717" s="1" t="s">
        <v>1119</v>
      </c>
      <c r="U717" s="1"/>
    </row>
    <row r="718" ht="15.75" customHeight="1">
      <c r="A718" s="1" t="s">
        <v>1103</v>
      </c>
      <c r="B718" s="1" t="s">
        <v>6</v>
      </c>
      <c r="C718" s="1" t="s">
        <v>1120</v>
      </c>
      <c r="U718" s="1"/>
    </row>
    <row r="719" ht="15.75" customHeight="1">
      <c r="A719" s="1" t="s">
        <v>1103</v>
      </c>
      <c r="B719" s="1" t="s">
        <v>6</v>
      </c>
      <c r="C719" s="1" t="s">
        <v>1121</v>
      </c>
      <c r="U719" s="1"/>
    </row>
    <row r="720" ht="15.75" customHeight="1">
      <c r="A720" s="1" t="s">
        <v>1103</v>
      </c>
      <c r="B720" s="1" t="s">
        <v>6</v>
      </c>
      <c r="C720" s="1" t="s">
        <v>1122</v>
      </c>
      <c r="U720" s="1"/>
    </row>
    <row r="721" ht="15.75" customHeight="1">
      <c r="A721" s="1" t="s">
        <v>1103</v>
      </c>
      <c r="B721" s="1" t="s">
        <v>6</v>
      </c>
      <c r="C721" s="1" t="s">
        <v>1123</v>
      </c>
      <c r="U721" s="1"/>
    </row>
    <row r="722" ht="15.75" customHeight="1">
      <c r="A722" s="1" t="s">
        <v>1103</v>
      </c>
      <c r="B722" s="1" t="s">
        <v>6</v>
      </c>
      <c r="C722" s="1" t="s">
        <v>1124</v>
      </c>
      <c r="U722" s="1"/>
    </row>
    <row r="723" ht="15.75" customHeight="1">
      <c r="A723" s="1" t="s">
        <v>1103</v>
      </c>
      <c r="B723" s="1" t="s">
        <v>29</v>
      </c>
      <c r="C723" s="1" t="s">
        <v>1125</v>
      </c>
      <c r="U723" s="1"/>
    </row>
    <row r="724" ht="15.75" customHeight="1">
      <c r="A724" s="1" t="s">
        <v>1103</v>
      </c>
      <c r="B724" s="1" t="s">
        <v>29</v>
      </c>
      <c r="C724" s="1" t="s">
        <v>1126</v>
      </c>
      <c r="U724" s="1"/>
    </row>
    <row r="725" ht="15.75" customHeight="1">
      <c r="A725" s="1" t="s">
        <v>1103</v>
      </c>
      <c r="B725" s="1" t="s">
        <v>29</v>
      </c>
      <c r="C725" s="1" t="s">
        <v>1127</v>
      </c>
      <c r="U725" s="1"/>
    </row>
    <row r="726" ht="15.75" customHeight="1">
      <c r="A726" s="1" t="s">
        <v>1103</v>
      </c>
      <c r="B726" s="1" t="s">
        <v>29</v>
      </c>
      <c r="C726" s="1" t="s">
        <v>1128</v>
      </c>
      <c r="U726" s="1"/>
    </row>
    <row r="727" ht="15.75" customHeight="1">
      <c r="A727" s="1" t="s">
        <v>1103</v>
      </c>
      <c r="B727" s="1" t="s">
        <v>29</v>
      </c>
      <c r="C727" s="1" t="s">
        <v>1129</v>
      </c>
      <c r="U727" s="1"/>
    </row>
    <row r="728" ht="15.75" customHeight="1">
      <c r="A728" s="1" t="s">
        <v>1103</v>
      </c>
      <c r="B728" s="1" t="s">
        <v>29</v>
      </c>
      <c r="C728" s="1" t="s">
        <v>1130</v>
      </c>
      <c r="U728" s="1"/>
    </row>
    <row r="729" ht="15.75" customHeight="1">
      <c r="A729" s="1" t="s">
        <v>1103</v>
      </c>
      <c r="B729" s="1" t="s">
        <v>29</v>
      </c>
      <c r="C729" s="1" t="s">
        <v>1131</v>
      </c>
      <c r="U729" s="1"/>
    </row>
    <row r="730" ht="15.75" customHeight="1">
      <c r="A730" s="1" t="s">
        <v>1103</v>
      </c>
      <c r="B730" s="1" t="s">
        <v>29</v>
      </c>
      <c r="C730" s="1" t="s">
        <v>1132</v>
      </c>
      <c r="U730" s="1"/>
    </row>
    <row r="731" ht="15.75" customHeight="1">
      <c r="A731" s="1" t="s">
        <v>1103</v>
      </c>
      <c r="B731" s="1" t="s">
        <v>29</v>
      </c>
      <c r="C731" s="1" t="s">
        <v>1133</v>
      </c>
      <c r="U731" s="1"/>
    </row>
    <row r="732" ht="15.75" customHeight="1">
      <c r="A732" s="1" t="s">
        <v>1103</v>
      </c>
      <c r="B732" s="1" t="s">
        <v>29</v>
      </c>
      <c r="C732" s="1" t="s">
        <v>1134</v>
      </c>
      <c r="U732" s="1"/>
    </row>
    <row r="733" ht="15.75" customHeight="1">
      <c r="A733" s="1" t="s">
        <v>1103</v>
      </c>
      <c r="B733" s="1" t="s">
        <v>29</v>
      </c>
      <c r="C733" s="1" t="s">
        <v>1135</v>
      </c>
      <c r="U733" s="1"/>
    </row>
    <row r="734" ht="15.75" customHeight="1">
      <c r="A734" s="1" t="s">
        <v>1103</v>
      </c>
      <c r="B734" s="1" t="s">
        <v>29</v>
      </c>
      <c r="C734" s="1" t="s">
        <v>1136</v>
      </c>
      <c r="U734" s="1"/>
    </row>
    <row r="735" ht="15.75" customHeight="1">
      <c r="A735" s="1" t="s">
        <v>1103</v>
      </c>
      <c r="B735" s="1" t="s">
        <v>29</v>
      </c>
      <c r="C735" s="1" t="s">
        <v>1137</v>
      </c>
      <c r="U735" s="1"/>
    </row>
    <row r="736" ht="15.75" customHeight="1">
      <c r="A736" s="1" t="s">
        <v>1103</v>
      </c>
      <c r="B736" s="1" t="s">
        <v>29</v>
      </c>
      <c r="C736" s="1" t="s">
        <v>1138</v>
      </c>
      <c r="U736" s="1"/>
    </row>
    <row r="737" ht="15.75" customHeight="1">
      <c r="A737" s="1" t="s">
        <v>1103</v>
      </c>
      <c r="B737" s="1" t="s">
        <v>29</v>
      </c>
      <c r="C737" s="1" t="s">
        <v>1139</v>
      </c>
      <c r="U737" s="1"/>
    </row>
    <row r="738" ht="15.75" customHeight="1">
      <c r="A738" s="1" t="s">
        <v>1103</v>
      </c>
      <c r="B738" s="1" t="s">
        <v>29</v>
      </c>
      <c r="C738" s="1" t="s">
        <v>1140</v>
      </c>
      <c r="U738" s="1"/>
    </row>
    <row r="739" ht="15.75" customHeight="1">
      <c r="A739" s="1" t="s">
        <v>1103</v>
      </c>
      <c r="B739" s="1" t="s">
        <v>29</v>
      </c>
      <c r="C739" s="1" t="s">
        <v>1141</v>
      </c>
      <c r="U739" s="1"/>
    </row>
    <row r="740" ht="15.75" customHeight="1">
      <c r="A740" s="1" t="s">
        <v>1103</v>
      </c>
      <c r="B740" s="1" t="s">
        <v>29</v>
      </c>
      <c r="C740" s="1" t="s">
        <v>789</v>
      </c>
      <c r="U740" s="1"/>
    </row>
    <row r="741" ht="15.75" customHeight="1">
      <c r="A741" s="1" t="s">
        <v>1103</v>
      </c>
      <c r="B741" s="1" t="s">
        <v>29</v>
      </c>
      <c r="C741" s="1" t="s">
        <v>1142</v>
      </c>
      <c r="U741" s="1"/>
    </row>
    <row r="742" ht="15.75" customHeight="1">
      <c r="A742" s="1" t="s">
        <v>1103</v>
      </c>
      <c r="B742" s="1" t="s">
        <v>29</v>
      </c>
      <c r="C742" s="1" t="s">
        <v>61</v>
      </c>
      <c r="U742" s="1"/>
    </row>
    <row r="743" ht="15.75" customHeight="1">
      <c r="A743" s="1" t="s">
        <v>1103</v>
      </c>
      <c r="B743" s="1" t="s">
        <v>29</v>
      </c>
      <c r="C743" s="1" t="s">
        <v>1143</v>
      </c>
      <c r="U743" s="1"/>
    </row>
    <row r="744" ht="15.75" customHeight="1">
      <c r="A744" s="1" t="s">
        <v>1103</v>
      </c>
      <c r="B744" s="1" t="s">
        <v>29</v>
      </c>
      <c r="C744" s="1" t="s">
        <v>1144</v>
      </c>
      <c r="U744" s="1"/>
    </row>
    <row r="745" ht="15.75" customHeight="1">
      <c r="A745" s="1" t="s">
        <v>1103</v>
      </c>
      <c r="B745" s="1" t="s">
        <v>29</v>
      </c>
      <c r="C745" s="1" t="s">
        <v>1145</v>
      </c>
      <c r="U745" s="1"/>
    </row>
    <row r="746" ht="15.75" customHeight="1">
      <c r="A746" s="1" t="s">
        <v>1103</v>
      </c>
      <c r="B746" s="1" t="s">
        <v>29</v>
      </c>
      <c r="C746" s="1" t="s">
        <v>1146</v>
      </c>
      <c r="U746" s="1"/>
    </row>
    <row r="747" ht="15.75" customHeight="1">
      <c r="A747" s="1" t="s">
        <v>1103</v>
      </c>
      <c r="B747" s="1" t="s">
        <v>29</v>
      </c>
      <c r="C747" s="1" t="s">
        <v>1147</v>
      </c>
      <c r="U747" s="1"/>
    </row>
    <row r="748" ht="15.75" customHeight="1">
      <c r="A748" s="1" t="s">
        <v>1103</v>
      </c>
      <c r="B748" s="1" t="s">
        <v>29</v>
      </c>
      <c r="C748" s="1" t="s">
        <v>1148</v>
      </c>
      <c r="U748" s="1"/>
    </row>
    <row r="749" ht="15.75" customHeight="1">
      <c r="A749" s="1" t="s">
        <v>1103</v>
      </c>
      <c r="B749" s="1" t="s">
        <v>29</v>
      </c>
      <c r="C749" s="1" t="s">
        <v>1149</v>
      </c>
      <c r="U749" s="1"/>
    </row>
    <row r="750" ht="15.75" customHeight="1">
      <c r="A750" s="1" t="s">
        <v>1103</v>
      </c>
      <c r="B750" s="1" t="s">
        <v>29</v>
      </c>
      <c r="C750" s="1" t="s">
        <v>1150</v>
      </c>
      <c r="U750" s="1"/>
    </row>
    <row r="751" ht="15.75" customHeight="1">
      <c r="A751" s="1" t="s">
        <v>1103</v>
      </c>
      <c r="B751" s="1" t="s">
        <v>77</v>
      </c>
      <c r="C751" s="1" t="s">
        <v>1151</v>
      </c>
      <c r="U751" s="1"/>
    </row>
    <row r="752" ht="15.75" customHeight="1">
      <c r="A752" s="1" t="s">
        <v>1103</v>
      </c>
      <c r="B752" s="1" t="s">
        <v>77</v>
      </c>
      <c r="C752" s="1" t="s">
        <v>1152</v>
      </c>
      <c r="U752" s="1"/>
    </row>
    <row r="753" ht="15.75" customHeight="1">
      <c r="A753" s="1" t="s">
        <v>1103</v>
      </c>
      <c r="B753" s="1" t="s">
        <v>77</v>
      </c>
      <c r="C753" s="1" t="s">
        <v>1153</v>
      </c>
      <c r="U753" s="1"/>
    </row>
    <row r="754" ht="15.75" customHeight="1">
      <c r="A754" s="1" t="s">
        <v>1103</v>
      </c>
      <c r="B754" s="1" t="s">
        <v>77</v>
      </c>
      <c r="C754" s="1" t="s">
        <v>1154</v>
      </c>
      <c r="U754" s="1"/>
    </row>
    <row r="755" ht="15.75" customHeight="1">
      <c r="A755" s="1" t="s">
        <v>1103</v>
      </c>
      <c r="B755" s="1" t="s">
        <v>77</v>
      </c>
      <c r="C755" s="1" t="s">
        <v>1155</v>
      </c>
      <c r="U755" s="1"/>
    </row>
    <row r="756" ht="15.75" customHeight="1">
      <c r="A756" s="1" t="s">
        <v>1103</v>
      </c>
      <c r="B756" s="1" t="s">
        <v>77</v>
      </c>
      <c r="C756" s="1" t="s">
        <v>1156</v>
      </c>
      <c r="U756" s="1"/>
    </row>
    <row r="757" ht="15.75" customHeight="1">
      <c r="A757" s="1" t="s">
        <v>1103</v>
      </c>
      <c r="B757" s="1" t="s">
        <v>77</v>
      </c>
      <c r="C757" s="1" t="s">
        <v>1157</v>
      </c>
      <c r="U757" s="1"/>
    </row>
    <row r="758" ht="15.75" customHeight="1">
      <c r="A758" s="1" t="s">
        <v>1103</v>
      </c>
      <c r="B758" s="1" t="s">
        <v>77</v>
      </c>
      <c r="C758" s="1" t="s">
        <v>1158</v>
      </c>
      <c r="U758" s="1"/>
    </row>
    <row r="759" ht="15.75" customHeight="1">
      <c r="A759" s="1" t="s">
        <v>1103</v>
      </c>
      <c r="B759" s="1" t="s">
        <v>77</v>
      </c>
      <c r="C759" s="1" t="s">
        <v>1159</v>
      </c>
      <c r="U759" s="1"/>
    </row>
    <row r="760" ht="15.75" customHeight="1">
      <c r="A760" s="1" t="s">
        <v>1103</v>
      </c>
      <c r="B760" s="1" t="s">
        <v>77</v>
      </c>
      <c r="C760" s="1" t="s">
        <v>802</v>
      </c>
      <c r="U760" s="1"/>
    </row>
    <row r="761" ht="15.75" customHeight="1">
      <c r="A761" s="1" t="s">
        <v>1103</v>
      </c>
      <c r="B761" s="1" t="s">
        <v>77</v>
      </c>
      <c r="C761" s="1" t="s">
        <v>1160</v>
      </c>
      <c r="U761" s="1"/>
    </row>
    <row r="762" ht="15.75" customHeight="1">
      <c r="A762" s="1" t="s">
        <v>1103</v>
      </c>
      <c r="B762" s="1" t="s">
        <v>77</v>
      </c>
      <c r="C762" s="1" t="s">
        <v>1161</v>
      </c>
      <c r="U762" s="1"/>
    </row>
    <row r="763" ht="15.75" customHeight="1">
      <c r="A763" s="1" t="s">
        <v>1103</v>
      </c>
      <c r="B763" s="1" t="s">
        <v>77</v>
      </c>
      <c r="C763" s="1" t="s">
        <v>1162</v>
      </c>
      <c r="U763" s="1"/>
    </row>
    <row r="764" ht="15.75" customHeight="1">
      <c r="A764" s="1" t="s">
        <v>1103</v>
      </c>
      <c r="B764" s="1" t="s">
        <v>77</v>
      </c>
      <c r="C764" s="1" t="s">
        <v>808</v>
      </c>
      <c r="U764" s="1"/>
    </row>
    <row r="765" ht="15.75" customHeight="1">
      <c r="A765" s="1" t="s">
        <v>1103</v>
      </c>
      <c r="B765" s="1" t="s">
        <v>77</v>
      </c>
      <c r="C765" s="1" t="s">
        <v>1163</v>
      </c>
      <c r="U765" s="1"/>
    </row>
    <row r="766" ht="15.75" customHeight="1">
      <c r="A766" s="1" t="s">
        <v>1103</v>
      </c>
      <c r="B766" s="1" t="s">
        <v>77</v>
      </c>
      <c r="C766" s="1" t="s">
        <v>813</v>
      </c>
      <c r="U766" s="1"/>
    </row>
    <row r="767" ht="15.75" customHeight="1">
      <c r="A767" s="1" t="s">
        <v>1103</v>
      </c>
      <c r="B767" s="1" t="s">
        <v>77</v>
      </c>
      <c r="C767" s="1" t="s">
        <v>1164</v>
      </c>
      <c r="U767" s="1"/>
    </row>
    <row r="768" ht="15.75" customHeight="1">
      <c r="A768" s="1" t="s">
        <v>1103</v>
      </c>
      <c r="B768" s="1" t="s">
        <v>77</v>
      </c>
      <c r="C768" s="1" t="s">
        <v>819</v>
      </c>
      <c r="U768" s="1"/>
    </row>
    <row r="769" ht="15.75" customHeight="1">
      <c r="A769" s="1" t="s">
        <v>1103</v>
      </c>
      <c r="B769" s="1" t="s">
        <v>77</v>
      </c>
      <c r="C769" s="1" t="s">
        <v>821</v>
      </c>
      <c r="U769" s="1"/>
    </row>
    <row r="770" ht="15.75" customHeight="1">
      <c r="A770" s="1" t="s">
        <v>1103</v>
      </c>
      <c r="B770" s="1" t="s">
        <v>77</v>
      </c>
      <c r="C770" s="1" t="s">
        <v>1165</v>
      </c>
      <c r="U770" s="1"/>
    </row>
    <row r="771" ht="15.75" customHeight="1">
      <c r="A771" s="1" t="s">
        <v>1103</v>
      </c>
      <c r="B771" s="1" t="s">
        <v>77</v>
      </c>
      <c r="C771" s="1" t="s">
        <v>1166</v>
      </c>
      <c r="U771" s="1"/>
    </row>
    <row r="772" ht="15.75" customHeight="1">
      <c r="A772" s="1" t="s">
        <v>1103</v>
      </c>
      <c r="B772" s="1" t="s">
        <v>77</v>
      </c>
      <c r="C772" s="1" t="s">
        <v>1167</v>
      </c>
      <c r="U772" s="1"/>
    </row>
    <row r="773" ht="15.75" customHeight="1">
      <c r="A773" s="1" t="s">
        <v>1103</v>
      </c>
      <c r="B773" s="1" t="s">
        <v>77</v>
      </c>
      <c r="C773" s="1" t="s">
        <v>824</v>
      </c>
      <c r="U773" s="1"/>
    </row>
    <row r="774" ht="15.75" customHeight="1">
      <c r="A774" s="1" t="s">
        <v>1103</v>
      </c>
      <c r="B774" s="1" t="s">
        <v>77</v>
      </c>
      <c r="C774" s="1" t="s">
        <v>1168</v>
      </c>
      <c r="U774" s="1"/>
    </row>
    <row r="775" ht="15.75" customHeight="1">
      <c r="A775" s="1" t="s">
        <v>1103</v>
      </c>
      <c r="B775" s="1" t="s">
        <v>77</v>
      </c>
      <c r="C775" s="1" t="s">
        <v>828</v>
      </c>
      <c r="U775" s="1"/>
    </row>
    <row r="776" ht="15.75" customHeight="1">
      <c r="A776" s="1" t="s">
        <v>1103</v>
      </c>
      <c r="B776" s="1" t="s">
        <v>77</v>
      </c>
      <c r="C776" s="1" t="s">
        <v>1169</v>
      </c>
      <c r="U776" s="1"/>
    </row>
    <row r="777" ht="15.75" customHeight="1">
      <c r="A777" s="1" t="s">
        <v>1103</v>
      </c>
      <c r="B777" s="1" t="s">
        <v>77</v>
      </c>
      <c r="C777" s="1" t="s">
        <v>1170</v>
      </c>
      <c r="U777" s="1"/>
    </row>
    <row r="778" ht="15.75" customHeight="1">
      <c r="A778" s="1" t="s">
        <v>1103</v>
      </c>
      <c r="B778" s="1" t="s">
        <v>158</v>
      </c>
      <c r="C778" s="1" t="s">
        <v>836</v>
      </c>
      <c r="U778" s="1"/>
    </row>
    <row r="779" ht="15.75" customHeight="1">
      <c r="A779" s="1" t="s">
        <v>1103</v>
      </c>
      <c r="B779" s="1" t="s">
        <v>158</v>
      </c>
      <c r="C779" s="1" t="s">
        <v>1171</v>
      </c>
      <c r="U779" s="1"/>
    </row>
    <row r="780" ht="15.75" customHeight="1">
      <c r="A780" s="1" t="s">
        <v>1103</v>
      </c>
      <c r="B780" s="1" t="s">
        <v>158</v>
      </c>
      <c r="C780" s="1" t="s">
        <v>1172</v>
      </c>
      <c r="U780" s="1"/>
    </row>
    <row r="781" ht="15.75" customHeight="1">
      <c r="A781" s="1" t="s">
        <v>1103</v>
      </c>
      <c r="B781" s="1" t="s">
        <v>158</v>
      </c>
      <c r="C781" s="1" t="s">
        <v>1173</v>
      </c>
      <c r="U781" s="1"/>
    </row>
    <row r="782" ht="15.75" customHeight="1">
      <c r="A782" s="1" t="s">
        <v>1103</v>
      </c>
      <c r="B782" s="1" t="s">
        <v>158</v>
      </c>
      <c r="C782" s="1" t="s">
        <v>1174</v>
      </c>
      <c r="U782" s="1"/>
    </row>
    <row r="783" ht="15.75" customHeight="1">
      <c r="A783" s="1" t="s">
        <v>1103</v>
      </c>
      <c r="B783" s="1" t="s">
        <v>158</v>
      </c>
      <c r="C783" s="1" t="s">
        <v>1175</v>
      </c>
      <c r="U783" s="1"/>
    </row>
    <row r="784" ht="15.75" customHeight="1">
      <c r="A784" s="1" t="s">
        <v>1103</v>
      </c>
      <c r="B784" s="1" t="s">
        <v>158</v>
      </c>
      <c r="C784" s="1" t="s">
        <v>841</v>
      </c>
      <c r="U784" s="1"/>
    </row>
    <row r="785" ht="15.75" customHeight="1">
      <c r="A785" s="1" t="s">
        <v>1103</v>
      </c>
      <c r="B785" s="1" t="s">
        <v>158</v>
      </c>
      <c r="C785" s="1" t="s">
        <v>1176</v>
      </c>
      <c r="U785" s="1"/>
    </row>
    <row r="786" ht="15.75" customHeight="1">
      <c r="A786" s="1" t="s">
        <v>1103</v>
      </c>
      <c r="B786" s="1" t="s">
        <v>158</v>
      </c>
      <c r="C786" s="1" t="s">
        <v>1177</v>
      </c>
      <c r="U786" s="1"/>
    </row>
    <row r="787" ht="15.75" customHeight="1">
      <c r="A787" s="1" t="s">
        <v>1103</v>
      </c>
      <c r="B787" s="1" t="s">
        <v>158</v>
      </c>
      <c r="C787" s="1" t="s">
        <v>1178</v>
      </c>
      <c r="U787" s="1"/>
    </row>
    <row r="788" ht="15.75" customHeight="1">
      <c r="A788" s="1" t="s">
        <v>1103</v>
      </c>
      <c r="B788" s="1" t="s">
        <v>158</v>
      </c>
      <c r="C788" s="1" t="s">
        <v>1179</v>
      </c>
      <c r="U788" s="1"/>
    </row>
    <row r="789" ht="15.75" customHeight="1">
      <c r="A789" s="1" t="s">
        <v>1103</v>
      </c>
      <c r="B789" s="1" t="s">
        <v>158</v>
      </c>
      <c r="C789" s="1" t="s">
        <v>1180</v>
      </c>
      <c r="U789" s="1"/>
    </row>
    <row r="790" ht="15.75" customHeight="1">
      <c r="A790" s="1" t="s">
        <v>1103</v>
      </c>
      <c r="B790" s="1" t="s">
        <v>158</v>
      </c>
      <c r="C790" s="1" t="s">
        <v>1181</v>
      </c>
      <c r="U790" s="1"/>
    </row>
    <row r="791" ht="15.75" customHeight="1">
      <c r="A791" s="1" t="s">
        <v>1103</v>
      </c>
      <c r="B791" s="1" t="s">
        <v>158</v>
      </c>
      <c r="C791" s="1" t="s">
        <v>847</v>
      </c>
      <c r="U791" s="1"/>
    </row>
    <row r="792" ht="15.75" customHeight="1">
      <c r="A792" s="1" t="s">
        <v>1103</v>
      </c>
      <c r="B792" s="1" t="s">
        <v>158</v>
      </c>
      <c r="C792" s="1" t="s">
        <v>1182</v>
      </c>
      <c r="U792" s="1"/>
    </row>
    <row r="793" ht="15.75" customHeight="1">
      <c r="A793" s="1" t="s">
        <v>1103</v>
      </c>
      <c r="B793" s="1" t="s">
        <v>158</v>
      </c>
      <c r="C793" s="1" t="s">
        <v>192</v>
      </c>
      <c r="U793" s="1"/>
    </row>
    <row r="794" ht="15.75" customHeight="1">
      <c r="A794" s="1" t="s">
        <v>1103</v>
      </c>
      <c r="B794" s="1" t="s">
        <v>158</v>
      </c>
      <c r="C794" s="1" t="s">
        <v>1183</v>
      </c>
      <c r="U794" s="1"/>
    </row>
    <row r="795" ht="15.75" customHeight="1">
      <c r="A795" s="1" t="s">
        <v>1103</v>
      </c>
      <c r="B795" s="1" t="s">
        <v>158</v>
      </c>
      <c r="C795" s="1" t="s">
        <v>1184</v>
      </c>
      <c r="U795" s="1"/>
    </row>
    <row r="796" ht="15.75" customHeight="1">
      <c r="A796" s="1" t="s">
        <v>1103</v>
      </c>
      <c r="B796" s="1" t="s">
        <v>158</v>
      </c>
      <c r="C796" s="1" t="s">
        <v>1185</v>
      </c>
      <c r="U796" s="1"/>
    </row>
    <row r="797" ht="15.75" customHeight="1">
      <c r="A797" s="1" t="s">
        <v>1103</v>
      </c>
      <c r="B797" s="1" t="s">
        <v>158</v>
      </c>
      <c r="C797" s="1" t="s">
        <v>1186</v>
      </c>
      <c r="U797" s="1"/>
    </row>
    <row r="798" ht="15.75" customHeight="1">
      <c r="A798" s="1" t="s">
        <v>1103</v>
      </c>
      <c r="B798" s="1" t="s">
        <v>158</v>
      </c>
      <c r="C798" s="1" t="s">
        <v>849</v>
      </c>
      <c r="U798" s="1"/>
    </row>
    <row r="799" ht="15.75" customHeight="1">
      <c r="A799" s="1" t="s">
        <v>1103</v>
      </c>
      <c r="B799" s="1" t="s">
        <v>158</v>
      </c>
      <c r="C799" s="1" t="s">
        <v>851</v>
      </c>
      <c r="U799" s="1"/>
    </row>
    <row r="800" ht="15.75" customHeight="1">
      <c r="A800" s="1" t="s">
        <v>1103</v>
      </c>
      <c r="B800" s="1" t="s">
        <v>158</v>
      </c>
      <c r="C800" s="1" t="s">
        <v>854</v>
      </c>
      <c r="U800" s="1"/>
    </row>
    <row r="801" ht="15.75" customHeight="1">
      <c r="A801" s="1" t="s">
        <v>1103</v>
      </c>
      <c r="B801" s="1" t="s">
        <v>158</v>
      </c>
      <c r="C801" s="1" t="s">
        <v>1187</v>
      </c>
      <c r="U801" s="1"/>
    </row>
    <row r="802" ht="15.75" customHeight="1">
      <c r="A802" s="1" t="s">
        <v>1188</v>
      </c>
      <c r="B802" s="1" t="s">
        <v>6</v>
      </c>
      <c r="C802" s="1" t="s">
        <v>423</v>
      </c>
      <c r="U802" s="1"/>
    </row>
    <row r="803" ht="15.75" customHeight="1">
      <c r="A803" s="1" t="s">
        <v>1188</v>
      </c>
      <c r="B803" s="1" t="s">
        <v>6</v>
      </c>
      <c r="C803" s="1" t="s">
        <v>1008</v>
      </c>
      <c r="U803" s="1"/>
    </row>
    <row r="804" ht="15.75" customHeight="1">
      <c r="A804" s="1" t="s">
        <v>1188</v>
      </c>
      <c r="B804" s="1" t="s">
        <v>6</v>
      </c>
      <c r="C804" s="1" t="s">
        <v>427</v>
      </c>
      <c r="U804" s="1"/>
    </row>
    <row r="805" ht="15.75" customHeight="1">
      <c r="A805" s="1" t="s">
        <v>1188</v>
      </c>
      <c r="B805" s="1" t="s">
        <v>6</v>
      </c>
      <c r="C805" s="1" t="s">
        <v>1009</v>
      </c>
      <c r="U805" s="1"/>
    </row>
    <row r="806" ht="15.75" customHeight="1">
      <c r="A806" s="1" t="s">
        <v>1188</v>
      </c>
      <c r="B806" s="1" t="s">
        <v>6</v>
      </c>
      <c r="C806" s="1" t="s">
        <v>429</v>
      </c>
      <c r="U806" s="1"/>
    </row>
    <row r="807" ht="15.75" customHeight="1">
      <c r="A807" s="1" t="s">
        <v>1188</v>
      </c>
      <c r="B807" s="1" t="s">
        <v>29</v>
      </c>
      <c r="C807" s="1" t="s">
        <v>33</v>
      </c>
      <c r="U807" s="1"/>
    </row>
    <row r="808" ht="15.75" customHeight="1">
      <c r="A808" s="1" t="s">
        <v>1188</v>
      </c>
      <c r="B808" s="1" t="s">
        <v>29</v>
      </c>
      <c r="C808" s="1" t="s">
        <v>1189</v>
      </c>
      <c r="U808" s="1"/>
    </row>
    <row r="809" ht="15.75" customHeight="1">
      <c r="A809" s="1" t="s">
        <v>1188</v>
      </c>
      <c r="B809" s="1" t="s">
        <v>29</v>
      </c>
      <c r="C809" s="1" t="s">
        <v>1190</v>
      </c>
      <c r="U809" s="1"/>
    </row>
    <row r="810" ht="15.75" customHeight="1">
      <c r="A810" s="1" t="s">
        <v>1188</v>
      </c>
      <c r="B810" s="1" t="s">
        <v>29</v>
      </c>
      <c r="C810" s="1" t="s">
        <v>1191</v>
      </c>
      <c r="U810" s="1"/>
    </row>
    <row r="811" ht="15.75" customHeight="1">
      <c r="A811" s="1" t="s">
        <v>1188</v>
      </c>
      <c r="B811" s="1" t="s">
        <v>29</v>
      </c>
      <c r="C811" s="1" t="s">
        <v>1192</v>
      </c>
      <c r="U811" s="1"/>
    </row>
    <row r="812" ht="15.75" customHeight="1">
      <c r="A812" s="1" t="s">
        <v>1188</v>
      </c>
      <c r="B812" s="1" t="s">
        <v>29</v>
      </c>
      <c r="C812" s="1" t="s">
        <v>1193</v>
      </c>
      <c r="U812" s="1"/>
    </row>
    <row r="813" ht="15.75" customHeight="1">
      <c r="A813" s="1" t="s">
        <v>1188</v>
      </c>
      <c r="B813" s="1" t="s">
        <v>29</v>
      </c>
      <c r="C813" s="1" t="s">
        <v>1194</v>
      </c>
      <c r="U813" s="1"/>
    </row>
    <row r="814" ht="15.75" customHeight="1">
      <c r="A814" s="1" t="s">
        <v>1188</v>
      </c>
      <c r="B814" s="1" t="s">
        <v>29</v>
      </c>
      <c r="C814" s="1" t="s">
        <v>442</v>
      </c>
      <c r="U814" s="1"/>
    </row>
    <row r="815" ht="15.75" customHeight="1">
      <c r="A815" s="1" t="s">
        <v>1188</v>
      </c>
      <c r="B815" s="1" t="s">
        <v>29</v>
      </c>
      <c r="C815" s="1" t="s">
        <v>1195</v>
      </c>
      <c r="U815" s="1"/>
    </row>
    <row r="816" ht="15.75" customHeight="1">
      <c r="A816" s="1" t="s">
        <v>1188</v>
      </c>
      <c r="B816" s="1" t="s">
        <v>29</v>
      </c>
      <c r="C816" s="1" t="s">
        <v>1196</v>
      </c>
      <c r="U816" s="1"/>
    </row>
    <row r="817" ht="15.75" customHeight="1">
      <c r="A817" s="1" t="s">
        <v>1188</v>
      </c>
      <c r="B817" s="1" t="s">
        <v>29</v>
      </c>
      <c r="C817" s="1" t="s">
        <v>1197</v>
      </c>
      <c r="U817" s="1"/>
    </row>
    <row r="818" ht="15.75" customHeight="1">
      <c r="A818" s="1" t="s">
        <v>1188</v>
      </c>
      <c r="B818" s="1" t="s">
        <v>29</v>
      </c>
      <c r="C818" s="1" t="s">
        <v>1198</v>
      </c>
      <c r="U818" s="1"/>
    </row>
    <row r="819" ht="15.75" customHeight="1">
      <c r="A819" s="1" t="s">
        <v>1188</v>
      </c>
      <c r="B819" s="1" t="s">
        <v>29</v>
      </c>
      <c r="C819" s="1" t="s">
        <v>1199</v>
      </c>
      <c r="U819" s="1"/>
    </row>
    <row r="820" ht="15.75" customHeight="1">
      <c r="A820" s="1" t="s">
        <v>1188</v>
      </c>
      <c r="B820" s="1" t="s">
        <v>29</v>
      </c>
      <c r="C820" s="1" t="s">
        <v>1200</v>
      </c>
      <c r="U820" s="1"/>
    </row>
    <row r="821" ht="15.75" customHeight="1">
      <c r="A821" s="1" t="s">
        <v>1188</v>
      </c>
      <c r="B821" s="1" t="s">
        <v>29</v>
      </c>
      <c r="C821" s="1" t="s">
        <v>1201</v>
      </c>
      <c r="U821" s="1"/>
    </row>
    <row r="822" ht="15.75" customHeight="1">
      <c r="A822" s="1" t="s">
        <v>1188</v>
      </c>
      <c r="B822" s="1" t="s">
        <v>29</v>
      </c>
      <c r="C822" s="1" t="s">
        <v>1202</v>
      </c>
      <c r="U822" s="1"/>
    </row>
    <row r="823" ht="15.75" customHeight="1">
      <c r="A823" s="1" t="s">
        <v>1188</v>
      </c>
      <c r="B823" s="1" t="s">
        <v>29</v>
      </c>
      <c r="C823" s="1" t="s">
        <v>1203</v>
      </c>
      <c r="U823" s="1"/>
    </row>
    <row r="824" ht="15.75" customHeight="1">
      <c r="A824" s="1" t="s">
        <v>1188</v>
      </c>
      <c r="B824" s="1" t="s">
        <v>29</v>
      </c>
      <c r="C824" s="1" t="s">
        <v>1011</v>
      </c>
      <c r="U824" s="1"/>
    </row>
    <row r="825" ht="15.75" customHeight="1">
      <c r="A825" s="1" t="s">
        <v>1188</v>
      </c>
      <c r="B825" s="1" t="s">
        <v>29</v>
      </c>
      <c r="C825" s="1" t="s">
        <v>1204</v>
      </c>
      <c r="U825" s="1"/>
    </row>
    <row r="826" ht="15.75" customHeight="1">
      <c r="A826" s="1" t="s">
        <v>1188</v>
      </c>
      <c r="B826" s="1" t="s">
        <v>29</v>
      </c>
      <c r="C826" s="1" t="s">
        <v>1205</v>
      </c>
      <c r="U826" s="1"/>
    </row>
    <row r="827" ht="15.75" customHeight="1">
      <c r="A827" s="1" t="s">
        <v>1188</v>
      </c>
      <c r="B827" s="1" t="s">
        <v>29</v>
      </c>
      <c r="C827" s="1" t="s">
        <v>1206</v>
      </c>
      <c r="U827" s="1"/>
    </row>
    <row r="828" ht="15.75" customHeight="1">
      <c r="A828" s="1" t="s">
        <v>1188</v>
      </c>
      <c r="B828" s="1" t="s">
        <v>29</v>
      </c>
      <c r="C828" s="1" t="s">
        <v>1013</v>
      </c>
      <c r="U828" s="1"/>
    </row>
    <row r="829" ht="15.75" customHeight="1">
      <c r="A829" s="1" t="s">
        <v>1188</v>
      </c>
      <c r="B829" s="1" t="s">
        <v>29</v>
      </c>
      <c r="C829" s="1" t="s">
        <v>1207</v>
      </c>
      <c r="U829" s="1"/>
    </row>
    <row r="830" ht="15.75" customHeight="1">
      <c r="A830" s="1" t="s">
        <v>1188</v>
      </c>
      <c r="B830" s="1" t="s">
        <v>29</v>
      </c>
      <c r="C830" s="1" t="s">
        <v>924</v>
      </c>
      <c r="U830" s="1"/>
    </row>
    <row r="831" ht="15.75" customHeight="1">
      <c r="A831" s="1" t="s">
        <v>1188</v>
      </c>
      <c r="B831" s="1" t="s">
        <v>29</v>
      </c>
      <c r="C831" s="1" t="s">
        <v>1014</v>
      </c>
      <c r="U831" s="1"/>
    </row>
    <row r="832" ht="15.75" customHeight="1">
      <c r="A832" s="1" t="s">
        <v>1188</v>
      </c>
      <c r="B832" s="1" t="s">
        <v>29</v>
      </c>
      <c r="C832" s="1" t="s">
        <v>1208</v>
      </c>
      <c r="U832" s="1"/>
    </row>
    <row r="833" ht="15.75" customHeight="1">
      <c r="A833" s="1" t="s">
        <v>1188</v>
      </c>
      <c r="B833" s="1" t="s">
        <v>29</v>
      </c>
      <c r="C833" s="1" t="s">
        <v>460</v>
      </c>
      <c r="U833" s="1"/>
    </row>
    <row r="834" ht="15.75" customHeight="1">
      <c r="A834" s="1" t="s">
        <v>1188</v>
      </c>
      <c r="B834" s="1" t="s">
        <v>29</v>
      </c>
      <c r="C834" s="1" t="s">
        <v>74</v>
      </c>
      <c r="U834" s="1"/>
    </row>
    <row r="835" ht="15.75" customHeight="1">
      <c r="A835" s="1" t="s">
        <v>1188</v>
      </c>
      <c r="B835" s="1" t="s">
        <v>77</v>
      </c>
      <c r="C835" s="1" t="s">
        <v>1209</v>
      </c>
      <c r="U835" s="1"/>
    </row>
    <row r="836" ht="15.75" customHeight="1">
      <c r="A836" s="1" t="s">
        <v>1188</v>
      </c>
      <c r="B836" s="1" t="s">
        <v>77</v>
      </c>
      <c r="C836" s="1" t="s">
        <v>1210</v>
      </c>
      <c r="U836" s="1"/>
    </row>
    <row r="837" ht="15.75" customHeight="1">
      <c r="A837" s="1" t="s">
        <v>1188</v>
      </c>
      <c r="B837" s="1" t="s">
        <v>77</v>
      </c>
      <c r="C837" s="1" t="s">
        <v>1211</v>
      </c>
      <c r="U837" s="1"/>
    </row>
    <row r="838" ht="15.75" customHeight="1">
      <c r="A838" s="1" t="s">
        <v>1188</v>
      </c>
      <c r="B838" s="1" t="s">
        <v>77</v>
      </c>
      <c r="C838" s="1" t="s">
        <v>1212</v>
      </c>
      <c r="U838" s="1"/>
    </row>
    <row r="839" ht="15.75" customHeight="1">
      <c r="A839" s="1" t="s">
        <v>1188</v>
      </c>
      <c r="B839" s="1" t="s">
        <v>77</v>
      </c>
      <c r="C839" s="1" t="s">
        <v>96</v>
      </c>
      <c r="U839" s="1"/>
    </row>
    <row r="840" ht="15.75" customHeight="1">
      <c r="A840" s="1" t="s">
        <v>1188</v>
      </c>
      <c r="B840" s="1" t="s">
        <v>77</v>
      </c>
      <c r="C840" s="1" t="s">
        <v>1213</v>
      </c>
      <c r="U840" s="1"/>
    </row>
    <row r="841" ht="15.75" customHeight="1">
      <c r="A841" s="1" t="s">
        <v>1188</v>
      </c>
      <c r="B841" s="1" t="s">
        <v>77</v>
      </c>
      <c r="C841" s="1" t="s">
        <v>1214</v>
      </c>
      <c r="U841" s="1"/>
    </row>
    <row r="842" ht="15.75" customHeight="1">
      <c r="A842" s="1" t="s">
        <v>1188</v>
      </c>
      <c r="B842" s="1" t="s">
        <v>77</v>
      </c>
      <c r="C842" s="1" t="s">
        <v>1215</v>
      </c>
      <c r="U842" s="1"/>
    </row>
    <row r="843" ht="15.75" customHeight="1">
      <c r="A843" s="1" t="s">
        <v>1188</v>
      </c>
      <c r="B843" s="1" t="s">
        <v>77</v>
      </c>
      <c r="C843" s="1" t="s">
        <v>1216</v>
      </c>
      <c r="U843" s="1"/>
    </row>
    <row r="844" ht="15.75" customHeight="1">
      <c r="A844" s="1" t="s">
        <v>1188</v>
      </c>
      <c r="B844" s="1" t="s">
        <v>77</v>
      </c>
      <c r="C844" s="1" t="s">
        <v>114</v>
      </c>
      <c r="U844" s="1"/>
    </row>
    <row r="845" ht="15.75" customHeight="1">
      <c r="A845" s="1" t="s">
        <v>1188</v>
      </c>
      <c r="B845" s="1" t="s">
        <v>77</v>
      </c>
      <c r="C845" s="1" t="s">
        <v>1217</v>
      </c>
      <c r="U845" s="1"/>
    </row>
    <row r="846" ht="15.75" customHeight="1">
      <c r="A846" s="1" t="s">
        <v>1188</v>
      </c>
      <c r="B846" s="1" t="s">
        <v>77</v>
      </c>
      <c r="C846" s="1" t="s">
        <v>1218</v>
      </c>
      <c r="U846" s="1"/>
    </row>
    <row r="847" ht="15.75" customHeight="1">
      <c r="A847" s="1" t="s">
        <v>1188</v>
      </c>
      <c r="B847" s="1" t="s">
        <v>77</v>
      </c>
      <c r="C847" s="1" t="s">
        <v>122</v>
      </c>
      <c r="U847" s="1"/>
    </row>
    <row r="848" ht="15.75" customHeight="1">
      <c r="A848" s="1" t="s">
        <v>1188</v>
      </c>
      <c r="B848" s="1" t="s">
        <v>77</v>
      </c>
      <c r="C848" s="1" t="s">
        <v>1219</v>
      </c>
      <c r="U848" s="1"/>
    </row>
    <row r="849" ht="15.75" customHeight="1">
      <c r="A849" s="1" t="s">
        <v>1188</v>
      </c>
      <c r="B849" s="1" t="s">
        <v>77</v>
      </c>
      <c r="C849" s="1" t="s">
        <v>1220</v>
      </c>
      <c r="U849" s="1"/>
    </row>
    <row r="850" ht="15.75" customHeight="1">
      <c r="A850" s="1" t="s">
        <v>1188</v>
      </c>
      <c r="B850" s="1" t="s">
        <v>77</v>
      </c>
      <c r="C850" s="1" t="s">
        <v>1221</v>
      </c>
      <c r="U850" s="1"/>
    </row>
    <row r="851" ht="15.75" customHeight="1">
      <c r="A851" s="1" t="s">
        <v>1188</v>
      </c>
      <c r="B851" s="1" t="s">
        <v>77</v>
      </c>
      <c r="C851" s="1" t="s">
        <v>493</v>
      </c>
      <c r="U851" s="1"/>
    </row>
    <row r="852" ht="15.75" customHeight="1">
      <c r="A852" s="1" t="s">
        <v>1188</v>
      </c>
      <c r="B852" s="1" t="s">
        <v>77</v>
      </c>
      <c r="C852" s="1" t="s">
        <v>134</v>
      </c>
      <c r="U852" s="1"/>
    </row>
    <row r="853" ht="15.75" customHeight="1">
      <c r="A853" s="1" t="s">
        <v>1188</v>
      </c>
      <c r="B853" s="1" t="s">
        <v>77</v>
      </c>
      <c r="C853" s="1" t="s">
        <v>132</v>
      </c>
      <c r="U853" s="1"/>
    </row>
    <row r="854" ht="15.75" customHeight="1">
      <c r="A854" s="1" t="s">
        <v>1188</v>
      </c>
      <c r="B854" s="1" t="s">
        <v>77</v>
      </c>
      <c r="C854" s="1" t="s">
        <v>932</v>
      </c>
      <c r="U854" s="1"/>
    </row>
    <row r="855" ht="15.75" customHeight="1">
      <c r="A855" s="1" t="s">
        <v>1188</v>
      </c>
      <c r="B855" s="1" t="s">
        <v>77</v>
      </c>
      <c r="C855" s="1" t="s">
        <v>1222</v>
      </c>
      <c r="U855" s="1"/>
    </row>
    <row r="856" ht="15.75" customHeight="1">
      <c r="A856" s="1" t="s">
        <v>1188</v>
      </c>
      <c r="B856" s="1" t="s">
        <v>77</v>
      </c>
      <c r="C856" s="1" t="s">
        <v>1223</v>
      </c>
      <c r="U856" s="1"/>
    </row>
    <row r="857" ht="15.75" customHeight="1">
      <c r="A857" s="1" t="s">
        <v>1188</v>
      </c>
      <c r="B857" s="1" t="s">
        <v>77</v>
      </c>
      <c r="C857" s="1" t="s">
        <v>1224</v>
      </c>
      <c r="U857" s="1"/>
    </row>
    <row r="858" ht="15.75" customHeight="1">
      <c r="A858" s="1" t="s">
        <v>1188</v>
      </c>
      <c r="B858" s="1" t="s">
        <v>77</v>
      </c>
      <c r="C858" s="1" t="s">
        <v>1225</v>
      </c>
      <c r="U858" s="1"/>
    </row>
    <row r="859" ht="15.75" customHeight="1">
      <c r="A859" s="1" t="s">
        <v>1188</v>
      </c>
      <c r="B859" s="1" t="s">
        <v>77</v>
      </c>
      <c r="C859" s="1" t="s">
        <v>1226</v>
      </c>
      <c r="U859" s="1"/>
    </row>
    <row r="860" ht="15.75" customHeight="1">
      <c r="A860" s="1" t="s">
        <v>1188</v>
      </c>
      <c r="B860" s="1" t="s">
        <v>77</v>
      </c>
      <c r="C860" s="1" t="s">
        <v>936</v>
      </c>
      <c r="U860" s="1"/>
    </row>
    <row r="861" ht="15.75" customHeight="1">
      <c r="A861" s="1" t="s">
        <v>1188</v>
      </c>
      <c r="B861" s="1" t="s">
        <v>77</v>
      </c>
      <c r="C861" s="1" t="s">
        <v>141</v>
      </c>
      <c r="U861" s="1"/>
    </row>
    <row r="862" ht="15.75" customHeight="1">
      <c r="A862" s="1" t="s">
        <v>1188</v>
      </c>
      <c r="B862" s="1" t="s">
        <v>77</v>
      </c>
      <c r="C862" s="1" t="s">
        <v>935</v>
      </c>
      <c r="U862" s="1"/>
    </row>
    <row r="863" ht="15.75" customHeight="1">
      <c r="A863" s="1" t="s">
        <v>1188</v>
      </c>
      <c r="B863" s="1" t="s">
        <v>77</v>
      </c>
      <c r="C863" s="1" t="s">
        <v>1227</v>
      </c>
      <c r="U863" s="1"/>
    </row>
    <row r="864" ht="15.75" customHeight="1">
      <c r="A864" s="1" t="s">
        <v>1188</v>
      </c>
      <c r="B864" s="1" t="s">
        <v>77</v>
      </c>
      <c r="C864" s="1" t="s">
        <v>1228</v>
      </c>
      <c r="U864" s="1"/>
    </row>
    <row r="865" ht="15.75" customHeight="1">
      <c r="A865" s="1" t="s">
        <v>1188</v>
      </c>
      <c r="B865" s="1" t="s">
        <v>77</v>
      </c>
      <c r="C865" s="1" t="s">
        <v>1229</v>
      </c>
      <c r="U865" s="1"/>
    </row>
    <row r="866" ht="15.75" customHeight="1">
      <c r="A866" s="1" t="s">
        <v>1188</v>
      </c>
      <c r="B866" s="1" t="s">
        <v>77</v>
      </c>
      <c r="C866" s="1" t="s">
        <v>511</v>
      </c>
      <c r="U866" s="1"/>
    </row>
    <row r="867" ht="15.75" customHeight="1">
      <c r="A867" s="1" t="s">
        <v>1188</v>
      </c>
      <c r="B867" s="1" t="s">
        <v>158</v>
      </c>
      <c r="C867" s="1" t="s">
        <v>1230</v>
      </c>
      <c r="U867" s="1"/>
    </row>
    <row r="868" ht="15.75" customHeight="1">
      <c r="A868" s="1" t="s">
        <v>1188</v>
      </c>
      <c r="B868" s="1" t="s">
        <v>158</v>
      </c>
      <c r="C868" s="1" t="s">
        <v>161</v>
      </c>
      <c r="U868" s="1"/>
    </row>
    <row r="869" ht="15.75" customHeight="1">
      <c r="A869" s="1" t="s">
        <v>1188</v>
      </c>
      <c r="B869" s="1" t="s">
        <v>158</v>
      </c>
      <c r="C869" s="1" t="s">
        <v>1231</v>
      </c>
      <c r="U869" s="1"/>
    </row>
    <row r="870" ht="15.75" customHeight="1">
      <c r="A870" s="1" t="s">
        <v>1188</v>
      </c>
      <c r="B870" s="1" t="s">
        <v>158</v>
      </c>
      <c r="C870" s="1" t="s">
        <v>1232</v>
      </c>
      <c r="U870" s="1"/>
    </row>
    <row r="871" ht="15.75" customHeight="1">
      <c r="A871" s="1" t="s">
        <v>1188</v>
      </c>
      <c r="B871" s="1" t="s">
        <v>158</v>
      </c>
      <c r="C871" s="1" t="s">
        <v>1233</v>
      </c>
      <c r="U871" s="1"/>
    </row>
    <row r="872" ht="15.75" customHeight="1">
      <c r="A872" s="1" t="s">
        <v>1188</v>
      </c>
      <c r="B872" s="1" t="s">
        <v>158</v>
      </c>
      <c r="C872" s="1" t="s">
        <v>1018</v>
      </c>
      <c r="U872" s="1"/>
    </row>
    <row r="873" ht="15.75" customHeight="1">
      <c r="A873" s="1" t="s">
        <v>1188</v>
      </c>
      <c r="B873" s="1" t="s">
        <v>158</v>
      </c>
      <c r="C873" s="1" t="s">
        <v>943</v>
      </c>
      <c r="U873" s="1"/>
    </row>
    <row r="874" ht="15.75" customHeight="1">
      <c r="A874" s="1" t="s">
        <v>1188</v>
      </c>
      <c r="B874" s="1" t="s">
        <v>158</v>
      </c>
      <c r="C874" s="1" t="s">
        <v>1234</v>
      </c>
      <c r="U874" s="1"/>
    </row>
    <row r="875" ht="15.75" customHeight="1">
      <c r="A875" s="1" t="s">
        <v>1188</v>
      </c>
      <c r="B875" s="1" t="s">
        <v>158</v>
      </c>
      <c r="C875" s="1" t="s">
        <v>1019</v>
      </c>
      <c r="U875" s="1"/>
    </row>
    <row r="876" ht="15.75" customHeight="1">
      <c r="A876" s="1" t="s">
        <v>1188</v>
      </c>
      <c r="B876" s="1" t="s">
        <v>158</v>
      </c>
      <c r="C876" s="1" t="s">
        <v>1021</v>
      </c>
      <c r="U876" s="1"/>
    </row>
    <row r="877" ht="15.75" customHeight="1">
      <c r="A877" s="1" t="s">
        <v>1188</v>
      </c>
      <c r="B877" s="1" t="s">
        <v>158</v>
      </c>
      <c r="C877" s="1" t="s">
        <v>1235</v>
      </c>
      <c r="U877" s="1"/>
    </row>
    <row r="878" ht="15.75" customHeight="1">
      <c r="A878" s="1" t="s">
        <v>1188</v>
      </c>
      <c r="B878" s="1" t="s">
        <v>158</v>
      </c>
      <c r="C878" s="1" t="s">
        <v>199</v>
      </c>
      <c r="U878" s="1"/>
    </row>
    <row r="879" ht="15.75" customHeight="1">
      <c r="A879" s="1" t="s">
        <v>1188</v>
      </c>
      <c r="B879" s="1" t="s">
        <v>158</v>
      </c>
      <c r="C879" s="1" t="s">
        <v>1236</v>
      </c>
      <c r="U879" s="1"/>
    </row>
    <row r="880" ht="15.75" customHeight="1">
      <c r="A880" s="1" t="s">
        <v>1188</v>
      </c>
      <c r="B880" s="1" t="s">
        <v>158</v>
      </c>
      <c r="C880" s="1" t="s">
        <v>194</v>
      </c>
      <c r="U880" s="1"/>
    </row>
    <row r="881" ht="15.75" customHeight="1">
      <c r="A881" s="1" t="s">
        <v>1188</v>
      </c>
      <c r="B881" s="1" t="s">
        <v>158</v>
      </c>
      <c r="C881" s="1" t="s">
        <v>1237</v>
      </c>
      <c r="U881" s="1"/>
    </row>
    <row r="882" ht="15.75" customHeight="1">
      <c r="A882" s="1" t="s">
        <v>1188</v>
      </c>
      <c r="B882" s="1" t="s">
        <v>158</v>
      </c>
      <c r="C882" s="1" t="s">
        <v>949</v>
      </c>
      <c r="U882" s="1"/>
    </row>
    <row r="883" ht="15.75" customHeight="1">
      <c r="A883" s="1" t="s">
        <v>1188</v>
      </c>
      <c r="B883" s="1" t="s">
        <v>158</v>
      </c>
      <c r="C883" s="1" t="s">
        <v>1238</v>
      </c>
      <c r="U883" s="1"/>
    </row>
    <row r="884" ht="15.75" customHeight="1">
      <c r="A884" s="1" t="s">
        <v>1188</v>
      </c>
      <c r="B884" s="1" t="s">
        <v>158</v>
      </c>
      <c r="C884" s="1" t="s">
        <v>1239</v>
      </c>
      <c r="U884" s="1"/>
    </row>
    <row r="885" ht="15.75" customHeight="1">
      <c r="A885" s="1" t="s">
        <v>1188</v>
      </c>
      <c r="B885" s="1" t="s">
        <v>158</v>
      </c>
      <c r="C885" s="1" t="s">
        <v>1240</v>
      </c>
      <c r="U885" s="1"/>
    </row>
    <row r="886" ht="15.75" customHeight="1">
      <c r="A886" s="1" t="s">
        <v>1188</v>
      </c>
      <c r="B886" s="1" t="s">
        <v>158</v>
      </c>
      <c r="C886" s="1" t="s">
        <v>1241</v>
      </c>
      <c r="U886" s="1"/>
    </row>
    <row r="887" ht="15.75" customHeight="1">
      <c r="A887" s="1" t="s">
        <v>1188</v>
      </c>
      <c r="B887" s="1" t="s">
        <v>158</v>
      </c>
      <c r="C887" s="1" t="s">
        <v>1242</v>
      </c>
      <c r="U887" s="1"/>
    </row>
    <row r="888" ht="15.75" customHeight="1">
      <c r="A888" s="1" t="s">
        <v>1188</v>
      </c>
      <c r="B888" s="1" t="s">
        <v>158</v>
      </c>
      <c r="C888" s="1" t="s">
        <v>229</v>
      </c>
      <c r="U888" s="1"/>
    </row>
    <row r="889" ht="15.75" customHeight="1">
      <c r="A889" s="1" t="s">
        <v>1188</v>
      </c>
      <c r="B889" s="1" t="s">
        <v>158</v>
      </c>
      <c r="C889" s="1" t="s">
        <v>1026</v>
      </c>
      <c r="U889" s="1"/>
    </row>
    <row r="890" ht="15.75" customHeight="1">
      <c r="A890" s="1" t="s">
        <v>1188</v>
      </c>
      <c r="B890" s="1" t="s">
        <v>158</v>
      </c>
      <c r="C890" s="1" t="s">
        <v>231</v>
      </c>
      <c r="U890" s="1"/>
    </row>
    <row r="891" ht="15.75" customHeight="1">
      <c r="A891" s="1" t="s">
        <v>1188</v>
      </c>
      <c r="B891" s="1" t="s">
        <v>158</v>
      </c>
      <c r="C891" s="1" t="s">
        <v>233</v>
      </c>
      <c r="U891" s="1"/>
    </row>
    <row r="892" ht="15.75" customHeight="1">
      <c r="A892" s="1" t="s">
        <v>1188</v>
      </c>
      <c r="B892" s="1" t="s">
        <v>158</v>
      </c>
      <c r="C892" s="1" t="s">
        <v>534</v>
      </c>
      <c r="U892" s="1"/>
    </row>
    <row r="893" ht="15.75" customHeight="1">
      <c r="A893" s="1" t="s">
        <v>1188</v>
      </c>
      <c r="B893" s="1" t="s">
        <v>158</v>
      </c>
      <c r="C893" s="1" t="s">
        <v>536</v>
      </c>
      <c r="U893" s="1"/>
    </row>
    <row r="894" ht="15.75" customHeight="1">
      <c r="A894" s="1" t="s">
        <v>1188</v>
      </c>
      <c r="B894" s="1" t="s">
        <v>330</v>
      </c>
      <c r="C894" s="1" t="s">
        <v>1243</v>
      </c>
      <c r="U894" s="1"/>
    </row>
    <row r="895" ht="15.75" customHeight="1">
      <c r="A895" s="1" t="s">
        <v>1188</v>
      </c>
      <c r="B895" s="1" t="s">
        <v>330</v>
      </c>
      <c r="C895" s="1" t="s">
        <v>1026</v>
      </c>
      <c r="U895" s="1"/>
    </row>
    <row r="896" ht="15.75" customHeight="1">
      <c r="A896" s="1" t="s">
        <v>1188</v>
      </c>
      <c r="B896" s="1" t="s">
        <v>330</v>
      </c>
      <c r="C896" s="1" t="s">
        <v>1028</v>
      </c>
      <c r="U896" s="1"/>
    </row>
    <row r="897" ht="15.75" customHeight="1">
      <c r="A897" s="1" t="s">
        <v>1188</v>
      </c>
      <c r="B897" s="1" t="s">
        <v>330</v>
      </c>
      <c r="C897" s="1" t="s">
        <v>1244</v>
      </c>
      <c r="U897" s="1"/>
    </row>
    <row r="898" ht="15.75" customHeight="1">
      <c r="A898" s="1" t="s">
        <v>1188</v>
      </c>
      <c r="B898" s="1" t="s">
        <v>330</v>
      </c>
      <c r="C898" s="1" t="s">
        <v>699</v>
      </c>
      <c r="U898" s="1"/>
    </row>
    <row r="899" ht="15.75" customHeight="1">
      <c r="A899" s="1" t="s">
        <v>1188</v>
      </c>
      <c r="B899" s="1" t="s">
        <v>330</v>
      </c>
      <c r="C899" s="1" t="s">
        <v>1245</v>
      </c>
      <c r="U899" s="1"/>
    </row>
    <row r="900" ht="15.75" customHeight="1">
      <c r="A900" s="1" t="s">
        <v>1188</v>
      </c>
      <c r="B900" s="1" t="s">
        <v>330</v>
      </c>
      <c r="C900" s="1" t="s">
        <v>1246</v>
      </c>
      <c r="U900" s="1"/>
    </row>
    <row r="901" ht="15.75" customHeight="1">
      <c r="A901" s="1" t="s">
        <v>1188</v>
      </c>
      <c r="B901" s="1" t="s">
        <v>330</v>
      </c>
      <c r="C901" s="1" t="s">
        <v>548</v>
      </c>
      <c r="U901" s="1"/>
    </row>
    <row r="902" ht="15.75" customHeight="1">
      <c r="A902" s="1" t="s">
        <v>1247</v>
      </c>
      <c r="B902" s="1" t="s">
        <v>6</v>
      </c>
      <c r="C902" s="1" t="s">
        <v>1248</v>
      </c>
      <c r="U902" s="1"/>
    </row>
    <row r="903" ht="15.75" customHeight="1">
      <c r="A903" s="1" t="s">
        <v>1247</v>
      </c>
      <c r="B903" s="1" t="s">
        <v>6</v>
      </c>
      <c r="C903" s="1" t="s">
        <v>1249</v>
      </c>
      <c r="U903" s="1"/>
    </row>
    <row r="904" ht="15.75" customHeight="1">
      <c r="A904" s="1" t="s">
        <v>1247</v>
      </c>
      <c r="B904" s="1" t="s">
        <v>6</v>
      </c>
      <c r="C904" s="1" t="s">
        <v>1250</v>
      </c>
      <c r="U904" s="1"/>
    </row>
    <row r="905" ht="15.75" customHeight="1">
      <c r="A905" s="1" t="s">
        <v>1247</v>
      </c>
      <c r="B905" s="1" t="s">
        <v>6</v>
      </c>
      <c r="C905" s="1" t="s">
        <v>1251</v>
      </c>
      <c r="U905" s="1"/>
    </row>
    <row r="906" ht="15.75" customHeight="1">
      <c r="A906" s="1" t="s">
        <v>1247</v>
      </c>
      <c r="B906" s="1" t="s">
        <v>6</v>
      </c>
      <c r="C906" s="1" t="s">
        <v>1252</v>
      </c>
      <c r="U906" s="1"/>
    </row>
    <row r="907" ht="15.75" customHeight="1">
      <c r="A907" s="1" t="s">
        <v>1247</v>
      </c>
      <c r="B907" s="1" t="s">
        <v>6</v>
      </c>
      <c r="C907" s="1" t="s">
        <v>1253</v>
      </c>
      <c r="U907" s="1"/>
    </row>
    <row r="908" ht="15.75" customHeight="1">
      <c r="A908" s="1" t="s">
        <v>1247</v>
      </c>
      <c r="B908" s="1" t="s">
        <v>6</v>
      </c>
      <c r="C908" s="1" t="s">
        <v>1254</v>
      </c>
      <c r="U908" s="1"/>
    </row>
    <row r="909" ht="15.75" customHeight="1">
      <c r="A909" s="1" t="s">
        <v>1247</v>
      </c>
      <c r="B909" s="1" t="s">
        <v>6</v>
      </c>
      <c r="C909" s="1" t="s">
        <v>1255</v>
      </c>
      <c r="U909" s="1"/>
    </row>
    <row r="910" ht="15.75" customHeight="1">
      <c r="A910" s="1" t="s">
        <v>1247</v>
      </c>
      <c r="B910" s="1" t="s">
        <v>6</v>
      </c>
      <c r="C910" s="1" t="s">
        <v>1256</v>
      </c>
      <c r="U910" s="1"/>
    </row>
    <row r="911" ht="15.75" customHeight="1">
      <c r="A911" s="1" t="s">
        <v>1247</v>
      </c>
      <c r="B911" s="1" t="s">
        <v>29</v>
      </c>
      <c r="C911" s="1" t="s">
        <v>1257</v>
      </c>
      <c r="U911" s="1"/>
    </row>
    <row r="912" ht="15.75" customHeight="1">
      <c r="A912" s="1" t="s">
        <v>1247</v>
      </c>
      <c r="B912" s="1" t="s">
        <v>29</v>
      </c>
      <c r="C912" s="1" t="s">
        <v>1258</v>
      </c>
      <c r="U912" s="1"/>
    </row>
    <row r="913" ht="15.75" customHeight="1">
      <c r="A913" s="1" t="s">
        <v>1247</v>
      </c>
      <c r="B913" s="1" t="s">
        <v>29</v>
      </c>
      <c r="C913" s="1" t="s">
        <v>1259</v>
      </c>
      <c r="U913" s="1"/>
    </row>
    <row r="914" ht="15.75" customHeight="1">
      <c r="A914" s="1" t="s">
        <v>1247</v>
      </c>
      <c r="B914" s="1" t="s">
        <v>29</v>
      </c>
      <c r="C914" s="1" t="s">
        <v>1260</v>
      </c>
      <c r="U914" s="1"/>
    </row>
    <row r="915" ht="15.75" customHeight="1">
      <c r="A915" s="1" t="s">
        <v>1247</v>
      </c>
      <c r="B915" s="1" t="s">
        <v>29</v>
      </c>
      <c r="C915" s="1" t="s">
        <v>1261</v>
      </c>
      <c r="U915" s="1"/>
    </row>
    <row r="916" ht="15.75" customHeight="1">
      <c r="A916" s="1" t="s">
        <v>1247</v>
      </c>
      <c r="B916" s="1" t="s">
        <v>29</v>
      </c>
      <c r="C916" s="1" t="s">
        <v>1262</v>
      </c>
      <c r="U916" s="1"/>
    </row>
    <row r="917" ht="15.75" customHeight="1">
      <c r="A917" s="1" t="s">
        <v>1247</v>
      </c>
      <c r="B917" s="1" t="s">
        <v>29</v>
      </c>
      <c r="C917" s="1" t="s">
        <v>1263</v>
      </c>
      <c r="U917" s="1"/>
    </row>
    <row r="918" ht="15.75" customHeight="1">
      <c r="A918" s="1" t="s">
        <v>1247</v>
      </c>
      <c r="B918" s="1" t="s">
        <v>29</v>
      </c>
      <c r="C918" s="1" t="s">
        <v>1264</v>
      </c>
      <c r="U918" s="1"/>
    </row>
    <row r="919" ht="15.75" customHeight="1">
      <c r="A919" s="1" t="s">
        <v>1247</v>
      </c>
      <c r="B919" s="1" t="s">
        <v>29</v>
      </c>
      <c r="C919" s="1" t="s">
        <v>1265</v>
      </c>
      <c r="U919" s="1"/>
    </row>
    <row r="920" ht="15.75" customHeight="1">
      <c r="A920" s="1" t="s">
        <v>1247</v>
      </c>
      <c r="B920" s="1" t="s">
        <v>29</v>
      </c>
      <c r="C920" s="1" t="s">
        <v>1266</v>
      </c>
      <c r="U920" s="1"/>
    </row>
    <row r="921" ht="15.75" customHeight="1">
      <c r="A921" s="1" t="s">
        <v>1247</v>
      </c>
      <c r="B921" s="1" t="s">
        <v>29</v>
      </c>
      <c r="C921" s="1" t="s">
        <v>1267</v>
      </c>
      <c r="U921" s="1"/>
    </row>
    <row r="922" ht="15.75" customHeight="1">
      <c r="A922" s="1" t="s">
        <v>1247</v>
      </c>
      <c r="B922" s="1" t="s">
        <v>29</v>
      </c>
      <c r="C922" s="1" t="s">
        <v>1268</v>
      </c>
      <c r="U922" s="1"/>
    </row>
    <row r="923" ht="15.75" customHeight="1">
      <c r="A923" s="1" t="s">
        <v>1247</v>
      </c>
      <c r="B923" s="1" t="s">
        <v>29</v>
      </c>
      <c r="C923" s="1" t="s">
        <v>1269</v>
      </c>
      <c r="U923" s="1"/>
    </row>
    <row r="924" ht="15.75" customHeight="1">
      <c r="A924" s="1" t="s">
        <v>1247</v>
      </c>
      <c r="B924" s="1" t="s">
        <v>29</v>
      </c>
      <c r="C924" s="1" t="s">
        <v>1270</v>
      </c>
      <c r="U924" s="1"/>
    </row>
    <row r="925" ht="15.75" customHeight="1">
      <c r="A925" s="1" t="s">
        <v>1247</v>
      </c>
      <c r="B925" s="1" t="s">
        <v>29</v>
      </c>
      <c r="C925" s="1" t="s">
        <v>1271</v>
      </c>
      <c r="U925" s="1"/>
    </row>
    <row r="926" ht="15.75" customHeight="1">
      <c r="A926" s="1" t="s">
        <v>1247</v>
      </c>
      <c r="B926" s="1" t="s">
        <v>29</v>
      </c>
      <c r="C926" s="1" t="s">
        <v>454</v>
      </c>
      <c r="U926" s="1"/>
    </row>
    <row r="927" ht="15.75" customHeight="1">
      <c r="A927" s="1" t="s">
        <v>1247</v>
      </c>
      <c r="B927" s="1" t="s">
        <v>29</v>
      </c>
      <c r="C927" s="1" t="s">
        <v>1272</v>
      </c>
      <c r="U927" s="1"/>
    </row>
    <row r="928" ht="15.75" customHeight="1">
      <c r="A928" s="1" t="s">
        <v>1247</v>
      </c>
      <c r="B928" s="1" t="s">
        <v>29</v>
      </c>
      <c r="C928" s="1" t="s">
        <v>1273</v>
      </c>
      <c r="U928" s="1"/>
    </row>
    <row r="929" ht="15.75" customHeight="1">
      <c r="A929" s="1" t="s">
        <v>1247</v>
      </c>
      <c r="B929" s="1" t="s">
        <v>29</v>
      </c>
      <c r="C929" s="1" t="s">
        <v>1274</v>
      </c>
      <c r="U929" s="1"/>
    </row>
    <row r="930" ht="15.75" customHeight="1">
      <c r="A930" s="1" t="s">
        <v>1247</v>
      </c>
      <c r="B930" s="1" t="s">
        <v>29</v>
      </c>
      <c r="C930" s="1" t="s">
        <v>1275</v>
      </c>
      <c r="U930" s="1"/>
    </row>
    <row r="931" ht="15.75" customHeight="1">
      <c r="A931" s="1" t="s">
        <v>1247</v>
      </c>
      <c r="B931" s="1" t="s">
        <v>29</v>
      </c>
      <c r="C931" s="1" t="s">
        <v>1276</v>
      </c>
      <c r="U931" s="1"/>
    </row>
    <row r="932" ht="15.75" customHeight="1">
      <c r="A932" s="1" t="s">
        <v>1247</v>
      </c>
      <c r="B932" s="1" t="s">
        <v>29</v>
      </c>
      <c r="C932" s="1" t="s">
        <v>1277</v>
      </c>
      <c r="U932" s="1"/>
    </row>
    <row r="933" ht="15.75" customHeight="1">
      <c r="A933" s="1" t="s">
        <v>1247</v>
      </c>
      <c r="B933" s="1" t="s">
        <v>29</v>
      </c>
      <c r="C933" s="1" t="s">
        <v>1278</v>
      </c>
      <c r="U933" s="1"/>
    </row>
    <row r="934" ht="15.75" customHeight="1">
      <c r="A934" s="1" t="s">
        <v>1247</v>
      </c>
      <c r="B934" s="1" t="s">
        <v>29</v>
      </c>
      <c r="C934" s="1" t="s">
        <v>1279</v>
      </c>
      <c r="U934" s="1"/>
    </row>
    <row r="935" ht="15.75" customHeight="1">
      <c r="A935" s="1" t="s">
        <v>1247</v>
      </c>
      <c r="B935" s="1" t="s">
        <v>29</v>
      </c>
      <c r="C935" s="1" t="s">
        <v>1280</v>
      </c>
      <c r="U935" s="1"/>
    </row>
    <row r="936" ht="15.75" customHeight="1">
      <c r="A936" s="1" t="s">
        <v>1247</v>
      </c>
      <c r="B936" s="1" t="s">
        <v>77</v>
      </c>
      <c r="C936" s="1" t="s">
        <v>798</v>
      </c>
      <c r="U936" s="1"/>
    </row>
    <row r="937" ht="15.75" customHeight="1">
      <c r="A937" s="1" t="s">
        <v>1247</v>
      </c>
      <c r="B937" s="1" t="s">
        <v>77</v>
      </c>
      <c r="C937" s="1" t="s">
        <v>1281</v>
      </c>
      <c r="U937" s="1"/>
    </row>
    <row r="938" ht="15.75" customHeight="1">
      <c r="A938" s="1" t="s">
        <v>1247</v>
      </c>
      <c r="B938" s="1" t="s">
        <v>77</v>
      </c>
      <c r="C938" s="1" t="s">
        <v>1282</v>
      </c>
      <c r="U938" s="1"/>
    </row>
    <row r="939" ht="15.75" customHeight="1">
      <c r="A939" s="1" t="s">
        <v>1247</v>
      </c>
      <c r="B939" s="1" t="s">
        <v>77</v>
      </c>
      <c r="C939" s="1" t="s">
        <v>1283</v>
      </c>
      <c r="U939" s="1"/>
    </row>
    <row r="940" ht="15.75" customHeight="1">
      <c r="A940" s="1" t="s">
        <v>1247</v>
      </c>
      <c r="B940" s="1" t="s">
        <v>77</v>
      </c>
      <c r="C940" s="1" t="s">
        <v>1284</v>
      </c>
      <c r="U940" s="1"/>
    </row>
    <row r="941" ht="15.75" customHeight="1">
      <c r="A941" s="1" t="s">
        <v>1247</v>
      </c>
      <c r="B941" s="1" t="s">
        <v>77</v>
      </c>
      <c r="C941" s="1" t="s">
        <v>1285</v>
      </c>
      <c r="U941" s="1"/>
    </row>
    <row r="942" ht="15.75" customHeight="1">
      <c r="A942" s="1" t="s">
        <v>1247</v>
      </c>
      <c r="B942" s="1" t="s">
        <v>77</v>
      </c>
      <c r="C942" s="1" t="s">
        <v>1286</v>
      </c>
      <c r="U942" s="1"/>
    </row>
    <row r="943" ht="15.75" customHeight="1">
      <c r="A943" s="1" t="s">
        <v>1247</v>
      </c>
      <c r="B943" s="1" t="s">
        <v>77</v>
      </c>
      <c r="C943" s="1" t="s">
        <v>1287</v>
      </c>
      <c r="U943" s="1"/>
    </row>
    <row r="944" ht="15.75" customHeight="1">
      <c r="A944" s="1" t="s">
        <v>1247</v>
      </c>
      <c r="B944" s="1" t="s">
        <v>77</v>
      </c>
      <c r="C944" s="1" t="s">
        <v>1288</v>
      </c>
      <c r="U944" s="1"/>
    </row>
    <row r="945" ht="15.75" customHeight="1">
      <c r="A945" s="1" t="s">
        <v>1247</v>
      </c>
      <c r="B945" s="1" t="s">
        <v>77</v>
      </c>
      <c r="C945" s="1" t="s">
        <v>1289</v>
      </c>
      <c r="U945" s="1"/>
    </row>
    <row r="946" ht="15.75" customHeight="1">
      <c r="A946" s="1" t="s">
        <v>1247</v>
      </c>
      <c r="B946" s="1" t="s">
        <v>77</v>
      </c>
      <c r="C946" s="1" t="s">
        <v>1290</v>
      </c>
      <c r="U946" s="1"/>
    </row>
    <row r="947" ht="15.75" customHeight="1">
      <c r="A947" s="1" t="s">
        <v>1247</v>
      </c>
      <c r="B947" s="1" t="s">
        <v>77</v>
      </c>
      <c r="C947" s="1" t="s">
        <v>1291</v>
      </c>
      <c r="U947" s="1"/>
    </row>
    <row r="948" ht="15.75" customHeight="1">
      <c r="A948" s="1" t="s">
        <v>1247</v>
      </c>
      <c r="B948" s="1" t="s">
        <v>77</v>
      </c>
      <c r="C948" s="1" t="s">
        <v>1292</v>
      </c>
      <c r="U948" s="1"/>
    </row>
    <row r="949" ht="15.75" customHeight="1">
      <c r="A949" s="1" t="s">
        <v>1247</v>
      </c>
      <c r="B949" s="1" t="s">
        <v>77</v>
      </c>
      <c r="C949" s="1" t="s">
        <v>1293</v>
      </c>
      <c r="U949" s="1"/>
    </row>
    <row r="950" ht="15.75" customHeight="1">
      <c r="A950" s="1" t="s">
        <v>1247</v>
      </c>
      <c r="B950" s="1" t="s">
        <v>77</v>
      </c>
      <c r="C950" s="1" t="s">
        <v>1294</v>
      </c>
      <c r="U950" s="1"/>
    </row>
    <row r="951" ht="15.75" customHeight="1">
      <c r="A951" s="1" t="s">
        <v>1247</v>
      </c>
      <c r="B951" s="1" t="s">
        <v>77</v>
      </c>
      <c r="C951" s="1" t="s">
        <v>1295</v>
      </c>
      <c r="U951" s="1"/>
    </row>
    <row r="952" ht="15.75" customHeight="1">
      <c r="A952" s="1" t="s">
        <v>1247</v>
      </c>
      <c r="B952" s="1" t="s">
        <v>77</v>
      </c>
      <c r="C952" s="1" t="s">
        <v>1296</v>
      </c>
      <c r="U952" s="1"/>
    </row>
    <row r="953" ht="15.75" customHeight="1">
      <c r="A953" s="1" t="s">
        <v>1247</v>
      </c>
      <c r="B953" s="1" t="s">
        <v>77</v>
      </c>
      <c r="C953" s="1" t="s">
        <v>1297</v>
      </c>
      <c r="U953" s="1"/>
    </row>
    <row r="954" ht="15.75" customHeight="1">
      <c r="A954" s="1" t="s">
        <v>1247</v>
      </c>
      <c r="B954" s="1" t="s">
        <v>77</v>
      </c>
      <c r="C954" s="1" t="s">
        <v>1298</v>
      </c>
      <c r="U954" s="1"/>
    </row>
    <row r="955" ht="15.75" customHeight="1">
      <c r="A955" s="1" t="s">
        <v>1247</v>
      </c>
      <c r="B955" s="1" t="s">
        <v>77</v>
      </c>
      <c r="C955" s="1" t="s">
        <v>1299</v>
      </c>
      <c r="U955" s="1"/>
    </row>
    <row r="956" ht="15.75" customHeight="1">
      <c r="A956" s="1" t="s">
        <v>1247</v>
      </c>
      <c r="B956" s="1" t="s">
        <v>77</v>
      </c>
      <c r="C956" s="1" t="s">
        <v>1300</v>
      </c>
      <c r="U956" s="1"/>
    </row>
    <row r="957" ht="15.75" customHeight="1">
      <c r="A957" s="1" t="s">
        <v>1247</v>
      </c>
      <c r="B957" s="1" t="s">
        <v>77</v>
      </c>
      <c r="C957" s="1" t="s">
        <v>1301</v>
      </c>
      <c r="U957" s="1"/>
    </row>
    <row r="958" ht="15.75" customHeight="1">
      <c r="A958" s="1" t="s">
        <v>1247</v>
      </c>
      <c r="B958" s="1" t="s">
        <v>158</v>
      </c>
      <c r="C958" s="1" t="s">
        <v>1302</v>
      </c>
      <c r="U958" s="1"/>
    </row>
    <row r="959" ht="15.75" customHeight="1">
      <c r="A959" s="1" t="s">
        <v>1247</v>
      </c>
      <c r="B959" s="1" t="s">
        <v>158</v>
      </c>
      <c r="C959" s="1" t="s">
        <v>1303</v>
      </c>
      <c r="U959" s="1"/>
    </row>
    <row r="960" ht="15.75" customHeight="1">
      <c r="A960" s="1" t="s">
        <v>1247</v>
      </c>
      <c r="B960" s="1" t="s">
        <v>158</v>
      </c>
      <c r="C960" s="1" t="s">
        <v>1304</v>
      </c>
      <c r="U960" s="1"/>
    </row>
    <row r="961" ht="15.75" customHeight="1">
      <c r="A961" s="1" t="s">
        <v>1247</v>
      </c>
      <c r="B961" s="1" t="s">
        <v>158</v>
      </c>
      <c r="C961" s="1" t="s">
        <v>1305</v>
      </c>
      <c r="U961" s="1"/>
    </row>
    <row r="962" ht="15.75" customHeight="1">
      <c r="A962" s="1" t="s">
        <v>1247</v>
      </c>
      <c r="B962" s="1" t="s">
        <v>158</v>
      </c>
      <c r="C962" s="1" t="s">
        <v>1306</v>
      </c>
      <c r="U962" s="1"/>
    </row>
    <row r="963" ht="15.75" customHeight="1">
      <c r="A963" s="1" t="s">
        <v>1247</v>
      </c>
      <c r="B963" s="1" t="s">
        <v>158</v>
      </c>
      <c r="C963" s="1" t="s">
        <v>1307</v>
      </c>
      <c r="U963" s="1"/>
    </row>
    <row r="964" ht="15.75" customHeight="1">
      <c r="A964" s="1" t="s">
        <v>1247</v>
      </c>
      <c r="B964" s="1" t="s">
        <v>158</v>
      </c>
      <c r="C964" s="1" t="s">
        <v>1308</v>
      </c>
      <c r="U964" s="1"/>
    </row>
    <row r="965" ht="15.75" customHeight="1">
      <c r="A965" s="1" t="s">
        <v>1247</v>
      </c>
      <c r="B965" s="1" t="s">
        <v>158</v>
      </c>
      <c r="C965" s="1" t="s">
        <v>1309</v>
      </c>
      <c r="U965" s="1"/>
    </row>
    <row r="966" ht="15.75" customHeight="1">
      <c r="A966" s="1" t="s">
        <v>1247</v>
      </c>
      <c r="B966" s="1" t="s">
        <v>158</v>
      </c>
      <c r="C966" s="1" t="s">
        <v>1310</v>
      </c>
      <c r="U966" s="1"/>
    </row>
    <row r="967" ht="15.75" customHeight="1">
      <c r="A967" s="1" t="s">
        <v>1247</v>
      </c>
      <c r="B967" s="1" t="s">
        <v>158</v>
      </c>
      <c r="C967" s="1" t="s">
        <v>1311</v>
      </c>
      <c r="U967" s="1"/>
    </row>
    <row r="968" ht="15.75" customHeight="1">
      <c r="A968" s="1" t="s">
        <v>1247</v>
      </c>
      <c r="B968" s="1" t="s">
        <v>158</v>
      </c>
      <c r="C968" s="1" t="s">
        <v>1312</v>
      </c>
      <c r="U968" s="1"/>
    </row>
    <row r="969" ht="15.75" customHeight="1">
      <c r="A969" s="1" t="s">
        <v>1247</v>
      </c>
      <c r="B969" s="1" t="s">
        <v>158</v>
      </c>
      <c r="C969" s="1" t="s">
        <v>1313</v>
      </c>
      <c r="U969" s="1"/>
    </row>
    <row r="970" ht="15.75" customHeight="1">
      <c r="A970" s="1" t="s">
        <v>1247</v>
      </c>
      <c r="B970" s="1" t="s">
        <v>158</v>
      </c>
      <c r="C970" s="1" t="s">
        <v>1314</v>
      </c>
      <c r="U970" s="1"/>
    </row>
    <row r="971" ht="15.75" customHeight="1">
      <c r="A971" s="1" t="s">
        <v>1247</v>
      </c>
      <c r="B971" s="1" t="s">
        <v>158</v>
      </c>
      <c r="C971" s="1" t="s">
        <v>1315</v>
      </c>
      <c r="U971" s="1"/>
    </row>
    <row r="972" ht="15.75" customHeight="1">
      <c r="A972" s="1" t="s">
        <v>1247</v>
      </c>
      <c r="B972" s="1" t="s">
        <v>158</v>
      </c>
      <c r="C972" s="1" t="s">
        <v>1316</v>
      </c>
      <c r="U972" s="1"/>
    </row>
    <row r="973" ht="15.75" customHeight="1">
      <c r="A973" s="1" t="s">
        <v>1247</v>
      </c>
      <c r="B973" s="1" t="s">
        <v>158</v>
      </c>
      <c r="C973" s="1" t="s">
        <v>1317</v>
      </c>
      <c r="U973" s="1"/>
    </row>
    <row r="974" ht="15.75" customHeight="1">
      <c r="A974" s="1" t="s">
        <v>1247</v>
      </c>
      <c r="B974" s="1" t="s">
        <v>158</v>
      </c>
      <c r="C974" s="1" t="s">
        <v>1318</v>
      </c>
      <c r="U974" s="1"/>
    </row>
    <row r="975" ht="15.75" customHeight="1">
      <c r="A975" s="1" t="s">
        <v>1247</v>
      </c>
      <c r="B975" s="1" t="s">
        <v>158</v>
      </c>
      <c r="C975" s="1" t="s">
        <v>1319</v>
      </c>
      <c r="U975" s="1"/>
    </row>
    <row r="976" ht="15.75" customHeight="1">
      <c r="A976" s="1" t="s">
        <v>1247</v>
      </c>
      <c r="B976" s="1" t="s">
        <v>158</v>
      </c>
      <c r="C976" s="1" t="s">
        <v>1320</v>
      </c>
      <c r="U976" s="1"/>
    </row>
    <row r="977" ht="15.75" customHeight="1">
      <c r="A977" s="1" t="s">
        <v>1247</v>
      </c>
      <c r="B977" s="1" t="s">
        <v>330</v>
      </c>
      <c r="C977" s="1" t="s">
        <v>872</v>
      </c>
      <c r="U977" s="1"/>
    </row>
    <row r="978" ht="15.75" customHeight="1">
      <c r="A978" s="1" t="s">
        <v>1247</v>
      </c>
      <c r="B978" s="1" t="s">
        <v>330</v>
      </c>
      <c r="C978" s="1" t="s">
        <v>1321</v>
      </c>
      <c r="U978" s="1"/>
    </row>
    <row r="979" ht="15.75" customHeight="1">
      <c r="A979" s="1" t="s">
        <v>1247</v>
      </c>
      <c r="B979" s="1" t="s">
        <v>330</v>
      </c>
      <c r="C979" s="1" t="s">
        <v>1322</v>
      </c>
      <c r="U979" s="1"/>
    </row>
    <row r="980" ht="15.75" customHeight="1">
      <c r="A980" s="1" t="s">
        <v>1247</v>
      </c>
      <c r="B980" s="1" t="s">
        <v>330</v>
      </c>
      <c r="C980" s="1" t="s">
        <v>1323</v>
      </c>
      <c r="U980" s="1"/>
    </row>
    <row r="981" ht="15.75" customHeight="1">
      <c r="A981" s="1" t="s">
        <v>1247</v>
      </c>
      <c r="B981" s="1" t="s">
        <v>330</v>
      </c>
      <c r="C981" s="1" t="s">
        <v>1324</v>
      </c>
      <c r="U981" s="1"/>
    </row>
    <row r="982" ht="15.75" customHeight="1">
      <c r="A982" s="1" t="s">
        <v>1247</v>
      </c>
      <c r="B982" s="1" t="s">
        <v>330</v>
      </c>
      <c r="C982" s="1" t="s">
        <v>1325</v>
      </c>
      <c r="U982" s="1"/>
    </row>
    <row r="983" ht="15.75" customHeight="1">
      <c r="A983" s="1" t="s">
        <v>1247</v>
      </c>
      <c r="B983" s="1" t="s">
        <v>330</v>
      </c>
      <c r="C983" s="1" t="s">
        <v>1326</v>
      </c>
      <c r="U983" s="1"/>
    </row>
    <row r="984" ht="15.75" customHeight="1">
      <c r="A984" s="1" t="s">
        <v>1247</v>
      </c>
      <c r="B984" s="1" t="s">
        <v>330</v>
      </c>
      <c r="C984" s="1" t="s">
        <v>1327</v>
      </c>
      <c r="U984" s="1"/>
    </row>
    <row r="985" ht="15.75" customHeight="1">
      <c r="A985" s="1" t="s">
        <v>1247</v>
      </c>
      <c r="B985" s="1" t="s">
        <v>330</v>
      </c>
      <c r="C985" s="1" t="s">
        <v>1328</v>
      </c>
      <c r="U985" s="1"/>
    </row>
    <row r="986" ht="15.75" customHeight="1">
      <c r="A986" s="1" t="s">
        <v>1247</v>
      </c>
      <c r="B986" s="1" t="s">
        <v>330</v>
      </c>
      <c r="C986" s="1" t="s">
        <v>1329</v>
      </c>
      <c r="U986" s="1"/>
    </row>
    <row r="987" ht="15.75" customHeight="1">
      <c r="A987" s="1" t="s">
        <v>1247</v>
      </c>
      <c r="B987" s="1" t="s">
        <v>330</v>
      </c>
      <c r="C987" s="1" t="s">
        <v>1330</v>
      </c>
      <c r="U987" s="1"/>
    </row>
    <row r="988" ht="15.75" customHeight="1">
      <c r="A988" s="1" t="s">
        <v>1247</v>
      </c>
      <c r="B988" s="1" t="s">
        <v>330</v>
      </c>
      <c r="C988" s="1" t="s">
        <v>1331</v>
      </c>
      <c r="U988" s="1"/>
    </row>
    <row r="989" ht="15.75" customHeight="1">
      <c r="A989" s="1" t="s">
        <v>1247</v>
      </c>
      <c r="B989" s="1" t="s">
        <v>330</v>
      </c>
      <c r="C989" s="1" t="s">
        <v>1332</v>
      </c>
      <c r="U989" s="1"/>
    </row>
    <row r="990" ht="15.75" customHeight="1">
      <c r="A990" s="1" t="s">
        <v>1247</v>
      </c>
      <c r="B990" s="1" t="s">
        <v>378</v>
      </c>
      <c r="C990" s="1" t="s">
        <v>1333</v>
      </c>
      <c r="U990" s="1"/>
    </row>
    <row r="991" ht="15.75" customHeight="1">
      <c r="A991" s="1" t="s">
        <v>1247</v>
      </c>
      <c r="B991" s="1" t="s">
        <v>378</v>
      </c>
      <c r="C991" s="1" t="s">
        <v>1334</v>
      </c>
      <c r="U991" s="1"/>
    </row>
    <row r="992" ht="15.75" customHeight="1">
      <c r="A992" s="1" t="s">
        <v>1247</v>
      </c>
      <c r="B992" s="1" t="s">
        <v>378</v>
      </c>
      <c r="C992" s="1" t="s">
        <v>1335</v>
      </c>
      <c r="U992" s="1"/>
    </row>
    <row r="993" ht="15.75" customHeight="1">
      <c r="A993" s="1" t="s">
        <v>1247</v>
      </c>
      <c r="B993" s="1" t="s">
        <v>378</v>
      </c>
      <c r="C993" s="1" t="s">
        <v>1336</v>
      </c>
      <c r="U993" s="1"/>
    </row>
    <row r="994" ht="15.75" customHeight="1">
      <c r="A994" s="1" t="s">
        <v>1247</v>
      </c>
      <c r="B994" s="1" t="s">
        <v>378</v>
      </c>
      <c r="C994" s="1" t="s">
        <v>1337</v>
      </c>
      <c r="U994" s="1"/>
    </row>
    <row r="995" ht="15.75" customHeight="1">
      <c r="A995" s="1" t="s">
        <v>1247</v>
      </c>
      <c r="B995" s="1" t="s">
        <v>378</v>
      </c>
      <c r="C995" s="1" t="s">
        <v>1338</v>
      </c>
      <c r="U995" s="1"/>
    </row>
    <row r="996" ht="15.75" customHeight="1">
      <c r="A996" s="1" t="s">
        <v>1247</v>
      </c>
      <c r="B996" s="1" t="s">
        <v>378</v>
      </c>
      <c r="C996" s="1" t="s">
        <v>1339</v>
      </c>
      <c r="U996" s="1"/>
    </row>
    <row r="997" ht="15.75" customHeight="1">
      <c r="A997" s="1" t="s">
        <v>1247</v>
      </c>
      <c r="B997" s="1" t="s">
        <v>378</v>
      </c>
      <c r="C997" s="1" t="s">
        <v>1340</v>
      </c>
      <c r="U997" s="1"/>
    </row>
    <row r="998" ht="15.75" customHeight="1">
      <c r="A998" s="1" t="s">
        <v>1247</v>
      </c>
      <c r="B998" s="1" t="s">
        <v>378</v>
      </c>
      <c r="C998" s="1" t="s">
        <v>1341</v>
      </c>
      <c r="U998" s="1"/>
    </row>
    <row r="999" ht="15.75" customHeight="1">
      <c r="A999" s="1" t="s">
        <v>1247</v>
      </c>
      <c r="B999" s="1" t="s">
        <v>378</v>
      </c>
      <c r="C999" s="1" t="s">
        <v>1342</v>
      </c>
      <c r="U999" s="1"/>
    </row>
    <row r="1000" ht="15.75" customHeight="1">
      <c r="A1000" s="1" t="s">
        <v>1247</v>
      </c>
      <c r="B1000" s="1" t="s">
        <v>378</v>
      </c>
      <c r="C1000" s="1" t="s">
        <v>1343</v>
      </c>
      <c r="U1000" s="1"/>
    </row>
    <row r="1001" ht="15.75" customHeight="1">
      <c r="A1001" s="1" t="s">
        <v>1247</v>
      </c>
      <c r="B1001" s="1" t="s">
        <v>378</v>
      </c>
      <c r="C1001" s="1" t="s">
        <v>1344</v>
      </c>
      <c r="U1001" s="1"/>
    </row>
    <row r="1002" ht="15.75" customHeight="1">
      <c r="A1002" s="1" t="s">
        <v>1345</v>
      </c>
      <c r="B1002" s="1" t="s">
        <v>77</v>
      </c>
      <c r="C1002" s="1" t="s">
        <v>86</v>
      </c>
      <c r="U1002" s="1"/>
    </row>
    <row r="1003" ht="15.75" customHeight="1">
      <c r="A1003" s="1" t="s">
        <v>1345</v>
      </c>
      <c r="B1003" s="1" t="s">
        <v>77</v>
      </c>
      <c r="C1003" s="1" t="s">
        <v>94</v>
      </c>
      <c r="U1003" s="1"/>
    </row>
    <row r="1004" ht="15.75" customHeight="1">
      <c r="A1004" s="1" t="s">
        <v>1345</v>
      </c>
      <c r="B1004" s="1" t="s">
        <v>158</v>
      </c>
      <c r="C1004" s="1" t="s">
        <v>326</v>
      </c>
      <c r="U1004" s="1"/>
    </row>
    <row r="1005" ht="15.75" customHeight="1">
      <c r="A1005" s="1" t="s">
        <v>1345</v>
      </c>
      <c r="B1005" s="1" t="s">
        <v>330</v>
      </c>
      <c r="C1005" s="1" t="s">
        <v>333</v>
      </c>
      <c r="U1005" s="1"/>
    </row>
    <row r="1006" ht="15.75" customHeight="1">
      <c r="A1006" s="1" t="s">
        <v>1345</v>
      </c>
      <c r="B1006" s="1" t="s">
        <v>330</v>
      </c>
      <c r="C1006" s="1" t="s">
        <v>344</v>
      </c>
      <c r="U1006" s="1"/>
    </row>
    <row r="1007" ht="15.75" customHeight="1">
      <c r="A1007" s="1" t="s">
        <v>1345</v>
      </c>
      <c r="B1007" s="1" t="s">
        <v>330</v>
      </c>
      <c r="C1007" s="1" t="s">
        <v>702</v>
      </c>
      <c r="U1007" s="1"/>
    </row>
    <row r="1008" ht="15.75" customHeight="1">
      <c r="A1008" s="1" t="s">
        <v>1345</v>
      </c>
      <c r="B1008" s="1" t="s">
        <v>330</v>
      </c>
      <c r="C1008" s="1" t="s">
        <v>356</v>
      </c>
      <c r="U1008" s="1"/>
    </row>
    <row r="1009" ht="15.75" customHeight="1">
      <c r="A1009" s="1" t="s">
        <v>1345</v>
      </c>
      <c r="B1009" s="1" t="s">
        <v>330</v>
      </c>
      <c r="C1009" s="1" t="s">
        <v>376</v>
      </c>
      <c r="U1009" s="1"/>
    </row>
    <row r="1010" ht="15.75" customHeight="1">
      <c r="A1010" s="1" t="s">
        <v>1345</v>
      </c>
      <c r="B1010" s="1" t="s">
        <v>378</v>
      </c>
      <c r="C1010" s="1" t="s">
        <v>381</v>
      </c>
      <c r="U1010" s="1"/>
    </row>
    <row r="1011" ht="15.75" customHeight="1">
      <c r="A1011" s="1" t="s">
        <v>1345</v>
      </c>
      <c r="B1011" s="1" t="s">
        <v>378</v>
      </c>
      <c r="C1011" s="1" t="s">
        <v>385</v>
      </c>
      <c r="U1011" s="1"/>
    </row>
    <row r="1012" ht="15.75" customHeight="1">
      <c r="A1012" s="1" t="s">
        <v>1345</v>
      </c>
      <c r="B1012" s="1" t="s">
        <v>378</v>
      </c>
      <c r="C1012" s="1" t="s">
        <v>395</v>
      </c>
      <c r="U1012" s="1"/>
    </row>
    <row r="1013" ht="15.75" customHeight="1">
      <c r="A1013" s="1" t="s">
        <v>1345</v>
      </c>
      <c r="B1013" s="1" t="s">
        <v>403</v>
      </c>
      <c r="C1013" s="1" t="s">
        <v>740</v>
      </c>
      <c r="U1013" s="1"/>
    </row>
    <row r="1014" ht="15.75" customHeight="1">
      <c r="A1014" s="1" t="s">
        <v>1345</v>
      </c>
      <c r="B1014" s="1" t="s">
        <v>403</v>
      </c>
      <c r="C1014" s="1" t="s">
        <v>750</v>
      </c>
      <c r="U1014" s="1"/>
    </row>
    <row r="1015" ht="15.75" customHeight="1">
      <c r="A1015" s="1" t="s">
        <v>1345</v>
      </c>
      <c r="B1015" s="1" t="s">
        <v>403</v>
      </c>
      <c r="C1015" s="1" t="s">
        <v>756</v>
      </c>
      <c r="U1015" s="1"/>
    </row>
    <row r="1016" ht="15.75" customHeight="1">
      <c r="A1016" s="1" t="s">
        <v>1345</v>
      </c>
      <c r="B1016" s="1" t="s">
        <v>403</v>
      </c>
      <c r="C1016" s="1" t="s">
        <v>1346</v>
      </c>
      <c r="U1016" s="1"/>
    </row>
    <row r="1017" ht="15.75" customHeight="1">
      <c r="A1017" s="1" t="s">
        <v>1345</v>
      </c>
      <c r="B1017" s="1" t="s">
        <v>997</v>
      </c>
      <c r="C1017" s="1" t="s">
        <v>1347</v>
      </c>
      <c r="U1017" s="1"/>
    </row>
    <row r="1018" ht="15.75" customHeight="1">
      <c r="A1018" s="1" t="s">
        <v>1345</v>
      </c>
      <c r="B1018" s="1" t="s">
        <v>997</v>
      </c>
      <c r="C1018" s="1" t="s">
        <v>1348</v>
      </c>
      <c r="U1018" s="1"/>
    </row>
    <row r="1019" ht="15.75" customHeight="1">
      <c r="A1019" s="1" t="s">
        <v>1345</v>
      </c>
      <c r="B1019" s="1" t="s">
        <v>997</v>
      </c>
      <c r="C1019" s="1" t="s">
        <v>1349</v>
      </c>
      <c r="U1019" s="1"/>
    </row>
    <row r="1020" ht="15.75" customHeight="1">
      <c r="A1020" s="1" t="s">
        <v>1345</v>
      </c>
      <c r="B1020" s="1" t="s">
        <v>997</v>
      </c>
      <c r="C1020" s="1" t="s">
        <v>1350</v>
      </c>
      <c r="U1020" s="1"/>
    </row>
    <row r="1021" ht="15.75" customHeight="1">
      <c r="A1021" s="1" t="s">
        <v>1345</v>
      </c>
      <c r="B1021" s="1" t="s">
        <v>997</v>
      </c>
      <c r="C1021" s="1" t="s">
        <v>1351</v>
      </c>
      <c r="U1021" s="1"/>
    </row>
    <row r="1022" ht="15.75" customHeight="1">
      <c r="A1022" s="1" t="s">
        <v>1345</v>
      </c>
      <c r="B1022" s="1" t="s">
        <v>997</v>
      </c>
      <c r="C1022" s="1" t="s">
        <v>1352</v>
      </c>
      <c r="U1022" s="1"/>
    </row>
    <row r="1023" ht="15.75" customHeight="1">
      <c r="A1023" s="1" t="s">
        <v>1345</v>
      </c>
      <c r="B1023" s="1" t="s">
        <v>997</v>
      </c>
      <c r="C1023" s="1" t="s">
        <v>1353</v>
      </c>
      <c r="U1023" s="1"/>
    </row>
    <row r="1024" ht="15.75" customHeight="1">
      <c r="A1024" s="1" t="s">
        <v>1345</v>
      </c>
      <c r="B1024" s="1" t="s">
        <v>997</v>
      </c>
      <c r="C1024" s="1" t="s">
        <v>1354</v>
      </c>
      <c r="U1024" s="1"/>
    </row>
    <row r="1025" ht="15.75" customHeight="1">
      <c r="A1025" s="1" t="s">
        <v>1345</v>
      </c>
      <c r="B1025" s="1" t="s">
        <v>997</v>
      </c>
      <c r="C1025" s="1" t="s">
        <v>1355</v>
      </c>
      <c r="U1025" s="1"/>
    </row>
    <row r="1026" ht="15.75" customHeight="1">
      <c r="A1026" s="1" t="s">
        <v>1345</v>
      </c>
      <c r="B1026" s="1" t="s">
        <v>1071</v>
      </c>
      <c r="C1026" s="1" t="s">
        <v>1356</v>
      </c>
      <c r="U1026" s="1"/>
    </row>
    <row r="1027" ht="15.75" customHeight="1">
      <c r="A1027" s="1" t="s">
        <v>1345</v>
      </c>
      <c r="B1027" s="1" t="s">
        <v>1071</v>
      </c>
      <c r="C1027" s="1" t="s">
        <v>1357</v>
      </c>
      <c r="U1027" s="1"/>
    </row>
    <row r="1028" ht="15.75" customHeight="1">
      <c r="A1028" s="1" t="s">
        <v>1345</v>
      </c>
      <c r="B1028" s="1" t="s">
        <v>1071</v>
      </c>
      <c r="C1028" s="1" t="s">
        <v>1358</v>
      </c>
      <c r="U1028" s="1"/>
    </row>
    <row r="1029" ht="15.75" customHeight="1">
      <c r="A1029" s="1" t="s">
        <v>1345</v>
      </c>
      <c r="B1029" s="1" t="s">
        <v>1071</v>
      </c>
      <c r="C1029" s="1" t="s">
        <v>1359</v>
      </c>
      <c r="U1029" s="1"/>
    </row>
    <row r="1030" ht="15.75" customHeight="1">
      <c r="A1030" s="1" t="s">
        <v>1345</v>
      </c>
      <c r="B1030" s="1" t="s">
        <v>1071</v>
      </c>
      <c r="C1030" s="1" t="s">
        <v>1360</v>
      </c>
      <c r="U1030" s="1"/>
    </row>
    <row r="1031" ht="15.75" customHeight="1">
      <c r="A1031" s="1" t="s">
        <v>1345</v>
      </c>
      <c r="B1031" s="1" t="s">
        <v>1071</v>
      </c>
      <c r="C1031" s="1" t="s">
        <v>1361</v>
      </c>
      <c r="U1031" s="1"/>
    </row>
    <row r="1032" ht="15.75" customHeight="1">
      <c r="A1032" s="1" t="s">
        <v>1345</v>
      </c>
      <c r="B1032" s="1" t="s">
        <v>1071</v>
      </c>
      <c r="C1032" s="1" t="s">
        <v>1362</v>
      </c>
      <c r="U1032" s="1"/>
    </row>
    <row r="1033" ht="15.75" customHeight="1">
      <c r="A1033" s="1" t="s">
        <v>1345</v>
      </c>
      <c r="B1033" s="1" t="s">
        <v>1071</v>
      </c>
      <c r="C1033" s="1" t="s">
        <v>1363</v>
      </c>
      <c r="U1033" s="1"/>
    </row>
    <row r="1034" ht="15.75" customHeight="1">
      <c r="A1034" s="1" t="s">
        <v>1345</v>
      </c>
      <c r="B1034" s="1" t="s">
        <v>1071</v>
      </c>
      <c r="C1034" s="1" t="s">
        <v>1364</v>
      </c>
      <c r="U1034" s="1"/>
    </row>
    <row r="1035" ht="15.75" customHeight="1">
      <c r="A1035" s="1" t="s">
        <v>1345</v>
      </c>
      <c r="B1035" s="1" t="s">
        <v>1071</v>
      </c>
      <c r="C1035" s="1" t="s">
        <v>1365</v>
      </c>
      <c r="U1035" s="1"/>
    </row>
    <row r="1036" ht="15.75" customHeight="1">
      <c r="A1036" s="1" t="s">
        <v>1345</v>
      </c>
      <c r="B1036" s="1" t="s">
        <v>1071</v>
      </c>
      <c r="C1036" s="1" t="s">
        <v>1366</v>
      </c>
      <c r="U1036" s="1"/>
    </row>
    <row r="1037" ht="15.75" customHeight="1">
      <c r="A1037" s="1" t="s">
        <v>1345</v>
      </c>
      <c r="B1037" s="1" t="s">
        <v>1071</v>
      </c>
      <c r="C1037" s="1" t="s">
        <v>1367</v>
      </c>
      <c r="U1037" s="1"/>
    </row>
    <row r="1038" ht="15.75" customHeight="1">
      <c r="A1038" s="1" t="s">
        <v>1345</v>
      </c>
      <c r="B1038" s="1" t="s">
        <v>1071</v>
      </c>
      <c r="C1038" s="1" t="s">
        <v>1368</v>
      </c>
      <c r="U1038" s="1"/>
    </row>
    <row r="1039" ht="15.75" customHeight="1">
      <c r="A1039" s="1" t="s">
        <v>1345</v>
      </c>
      <c r="B1039" s="1" t="s">
        <v>1071</v>
      </c>
      <c r="C1039" s="1" t="s">
        <v>1356</v>
      </c>
      <c r="U1039" s="1"/>
    </row>
    <row r="1040" ht="15.75" customHeight="1">
      <c r="A1040" s="1" t="s">
        <v>1345</v>
      </c>
      <c r="B1040" s="1" t="s">
        <v>1071</v>
      </c>
      <c r="C1040" s="1" t="s">
        <v>1369</v>
      </c>
      <c r="U1040" s="1"/>
    </row>
    <row r="1041" ht="15.75" customHeight="1">
      <c r="A1041" s="1" t="s">
        <v>1345</v>
      </c>
      <c r="B1041" s="1" t="s">
        <v>1071</v>
      </c>
      <c r="C1041" s="1" t="s">
        <v>1370</v>
      </c>
      <c r="U1041" s="1"/>
    </row>
    <row r="1042" ht="15.75" customHeight="1">
      <c r="A1042" s="1" t="s">
        <v>1345</v>
      </c>
      <c r="B1042" s="1" t="s">
        <v>1071</v>
      </c>
      <c r="C1042" s="1" t="s">
        <v>1371</v>
      </c>
      <c r="U1042" s="1"/>
    </row>
    <row r="1043" ht="15.75" customHeight="1">
      <c r="A1043" s="1" t="s">
        <v>1345</v>
      </c>
      <c r="B1043" s="1" t="s">
        <v>1071</v>
      </c>
      <c r="C1043" s="1" t="s">
        <v>1372</v>
      </c>
      <c r="U1043" s="1"/>
    </row>
    <row r="1044" ht="15.75" customHeight="1">
      <c r="A1044" s="1" t="s">
        <v>1345</v>
      </c>
      <c r="B1044" s="1" t="s">
        <v>1071</v>
      </c>
      <c r="C1044" s="1" t="s">
        <v>1373</v>
      </c>
      <c r="U1044" s="1"/>
    </row>
    <row r="1045" ht="15.75" customHeight="1">
      <c r="A1045" s="1" t="s">
        <v>1345</v>
      </c>
      <c r="B1045" s="1" t="s">
        <v>1071</v>
      </c>
      <c r="C1045" s="1" t="s">
        <v>1374</v>
      </c>
      <c r="U1045" s="1"/>
    </row>
    <row r="1046" ht="15.75" customHeight="1">
      <c r="A1046" s="1" t="s">
        <v>1345</v>
      </c>
      <c r="B1046" s="1" t="s">
        <v>1071</v>
      </c>
      <c r="C1046" s="1" t="s">
        <v>1375</v>
      </c>
      <c r="U1046" s="1"/>
    </row>
    <row r="1047" ht="15.75" customHeight="1">
      <c r="A1047" s="1" t="s">
        <v>1345</v>
      </c>
      <c r="B1047" s="1" t="s">
        <v>1071</v>
      </c>
      <c r="C1047" s="1" t="s">
        <v>1376</v>
      </c>
      <c r="U1047" s="1"/>
    </row>
    <row r="1048" ht="15.75" customHeight="1">
      <c r="A1048" s="1" t="s">
        <v>1345</v>
      </c>
      <c r="B1048" s="1" t="s">
        <v>1071</v>
      </c>
      <c r="C1048" s="1" t="s">
        <v>1377</v>
      </c>
      <c r="U1048" s="1"/>
    </row>
    <row r="1049" ht="15.75" customHeight="1">
      <c r="A1049" s="1" t="s">
        <v>1345</v>
      </c>
      <c r="B1049" s="1" t="s">
        <v>1093</v>
      </c>
      <c r="C1049" s="1" t="s">
        <v>1378</v>
      </c>
      <c r="U1049" s="1"/>
    </row>
    <row r="1050" ht="15.75" customHeight="1">
      <c r="A1050" s="1" t="s">
        <v>1345</v>
      </c>
      <c r="B1050" s="1" t="s">
        <v>1093</v>
      </c>
      <c r="C1050" s="1" t="s">
        <v>1379</v>
      </c>
      <c r="U1050" s="1"/>
    </row>
    <row r="1051" ht="15.75" customHeight="1">
      <c r="A1051" s="1" t="s">
        <v>1345</v>
      </c>
      <c r="B1051" s="1" t="s">
        <v>1093</v>
      </c>
      <c r="C1051" s="1" t="s">
        <v>1380</v>
      </c>
      <c r="U1051" s="1"/>
    </row>
    <row r="1052" ht="15.75" customHeight="1">
      <c r="A1052" s="1" t="s">
        <v>1345</v>
      </c>
      <c r="B1052" s="1" t="s">
        <v>1093</v>
      </c>
      <c r="C1052" s="1" t="s">
        <v>1381</v>
      </c>
      <c r="U1052" s="1"/>
    </row>
    <row r="1053" ht="15.75" customHeight="1">
      <c r="A1053" s="1" t="s">
        <v>1345</v>
      </c>
      <c r="B1053" s="1" t="s">
        <v>1093</v>
      </c>
      <c r="C1053" s="1" t="s">
        <v>1382</v>
      </c>
      <c r="U1053" s="1"/>
    </row>
    <row r="1054" ht="15.75" customHeight="1">
      <c r="A1054" s="1" t="s">
        <v>1345</v>
      </c>
      <c r="B1054" s="1" t="s">
        <v>1093</v>
      </c>
      <c r="C1054" s="1" t="s">
        <v>1383</v>
      </c>
      <c r="U1054" s="1"/>
    </row>
    <row r="1055" ht="15.75" customHeight="1">
      <c r="A1055" s="1" t="s">
        <v>1345</v>
      </c>
      <c r="B1055" s="1" t="s">
        <v>1093</v>
      </c>
      <c r="C1055" s="1" t="s">
        <v>1384</v>
      </c>
      <c r="U1055" s="1"/>
    </row>
    <row r="1056" ht="15.75" customHeight="1">
      <c r="A1056" s="1" t="s">
        <v>1345</v>
      </c>
      <c r="B1056" s="1" t="s">
        <v>1093</v>
      </c>
      <c r="C1056" s="1" t="s">
        <v>1385</v>
      </c>
      <c r="U1056" s="1"/>
    </row>
    <row r="1057" ht="15.75" customHeight="1">
      <c r="A1057" s="1" t="s">
        <v>1345</v>
      </c>
      <c r="B1057" s="1" t="s">
        <v>1093</v>
      </c>
      <c r="C1057" s="1" t="s">
        <v>1386</v>
      </c>
      <c r="U1057" s="1"/>
    </row>
    <row r="1058" ht="15.75" customHeight="1">
      <c r="A1058" s="1" t="s">
        <v>1345</v>
      </c>
      <c r="B1058" s="1" t="s">
        <v>1093</v>
      </c>
      <c r="C1058" s="1" t="s">
        <v>1387</v>
      </c>
      <c r="U1058" s="1"/>
    </row>
    <row r="1059" ht="15.75" customHeight="1">
      <c r="A1059" s="1" t="s">
        <v>1345</v>
      </c>
      <c r="B1059" s="1" t="s">
        <v>1093</v>
      </c>
      <c r="C1059" s="1" t="s">
        <v>1387</v>
      </c>
      <c r="U1059" s="1"/>
    </row>
    <row r="1060" ht="15.75" customHeight="1">
      <c r="A1060" s="1" t="s">
        <v>1345</v>
      </c>
      <c r="B1060" s="1" t="s">
        <v>1093</v>
      </c>
      <c r="C1060" s="1" t="s">
        <v>1388</v>
      </c>
      <c r="U1060" s="1"/>
    </row>
    <row r="1061" ht="15.75" customHeight="1">
      <c r="A1061" s="1" t="s">
        <v>1345</v>
      </c>
      <c r="B1061" s="1" t="s">
        <v>1093</v>
      </c>
      <c r="C1061" s="1" t="s">
        <v>1389</v>
      </c>
      <c r="U1061" s="1"/>
    </row>
    <row r="1062" ht="15.75" customHeight="1">
      <c r="A1062" s="1" t="s">
        <v>1345</v>
      </c>
      <c r="B1062" s="1" t="s">
        <v>1093</v>
      </c>
      <c r="C1062" s="1" t="s">
        <v>1390</v>
      </c>
      <c r="U1062" s="1"/>
    </row>
    <row r="1063" ht="15.75" customHeight="1">
      <c r="A1063" s="1" t="s">
        <v>1345</v>
      </c>
      <c r="B1063" s="1" t="s">
        <v>1093</v>
      </c>
      <c r="C1063" s="1" t="s">
        <v>1391</v>
      </c>
      <c r="U1063" s="1"/>
    </row>
    <row r="1064" ht="15.75" customHeight="1">
      <c r="A1064" s="1" t="s">
        <v>1345</v>
      </c>
      <c r="B1064" s="1" t="s">
        <v>1093</v>
      </c>
      <c r="C1064" s="1" t="s">
        <v>1392</v>
      </c>
      <c r="U1064" s="1"/>
    </row>
    <row r="1065" ht="15.75" customHeight="1">
      <c r="A1065" s="1" t="s">
        <v>1345</v>
      </c>
      <c r="B1065" s="1" t="s">
        <v>1093</v>
      </c>
      <c r="C1065" s="1" t="s">
        <v>1393</v>
      </c>
      <c r="U1065" s="1"/>
    </row>
    <row r="1066" ht="15.75" customHeight="1">
      <c r="A1066" s="1" t="s">
        <v>1345</v>
      </c>
      <c r="B1066" s="1" t="s">
        <v>1093</v>
      </c>
      <c r="C1066" s="1" t="s">
        <v>1386</v>
      </c>
      <c r="U1066" s="1"/>
    </row>
    <row r="1067" ht="15.75" customHeight="1">
      <c r="A1067" s="1" t="s">
        <v>1345</v>
      </c>
      <c r="B1067" s="1" t="s">
        <v>1093</v>
      </c>
      <c r="C1067" s="1" t="s">
        <v>1394</v>
      </c>
      <c r="U1067" s="1"/>
    </row>
    <row r="1068" ht="15.75" customHeight="1">
      <c r="A1068" s="1" t="s">
        <v>1345</v>
      </c>
      <c r="B1068" s="1" t="s">
        <v>1093</v>
      </c>
      <c r="C1068" s="1" t="s">
        <v>1395</v>
      </c>
      <c r="U1068" s="1"/>
    </row>
    <row r="1069" ht="15.75" customHeight="1">
      <c r="A1069" s="1" t="s">
        <v>1345</v>
      </c>
      <c r="B1069" s="1" t="s">
        <v>1093</v>
      </c>
      <c r="C1069" s="1" t="s">
        <v>1396</v>
      </c>
      <c r="U1069" s="1"/>
    </row>
    <row r="1070" ht="15.75" customHeight="1">
      <c r="A1070" s="1" t="s">
        <v>1345</v>
      </c>
      <c r="B1070" s="1" t="s">
        <v>1093</v>
      </c>
      <c r="C1070" s="1" t="s">
        <v>1397</v>
      </c>
      <c r="U1070" s="1"/>
    </row>
    <row r="1071" ht="15.75" customHeight="1">
      <c r="A1071" s="1" t="s">
        <v>1345</v>
      </c>
      <c r="B1071" s="1" t="s">
        <v>1093</v>
      </c>
      <c r="C1071" s="1" t="s">
        <v>1398</v>
      </c>
      <c r="U1071" s="1"/>
    </row>
    <row r="1072" ht="15.75" customHeight="1">
      <c r="A1072" s="1" t="s">
        <v>1345</v>
      </c>
      <c r="B1072" s="1" t="s">
        <v>1093</v>
      </c>
      <c r="C1072" s="1" t="s">
        <v>1399</v>
      </c>
      <c r="U1072" s="1"/>
    </row>
    <row r="1073" ht="15.75" customHeight="1">
      <c r="A1073" s="1" t="s">
        <v>1345</v>
      </c>
      <c r="B1073" s="1" t="s">
        <v>1400</v>
      </c>
      <c r="C1073" s="1" t="s">
        <v>1401</v>
      </c>
      <c r="U1073" s="1"/>
    </row>
    <row r="1074" ht="15.75" customHeight="1">
      <c r="A1074" s="1" t="s">
        <v>1345</v>
      </c>
      <c r="B1074" s="1" t="s">
        <v>1400</v>
      </c>
      <c r="C1074" s="1" t="s">
        <v>1402</v>
      </c>
      <c r="U1074" s="1"/>
    </row>
    <row r="1075" ht="15.75" customHeight="1">
      <c r="A1075" s="1" t="s">
        <v>1345</v>
      </c>
      <c r="B1075" s="1" t="s">
        <v>1400</v>
      </c>
      <c r="C1075" s="1" t="s">
        <v>1403</v>
      </c>
      <c r="U1075" s="1"/>
    </row>
    <row r="1076" ht="15.75" customHeight="1">
      <c r="A1076" s="1" t="s">
        <v>1345</v>
      </c>
      <c r="B1076" s="1" t="s">
        <v>1400</v>
      </c>
      <c r="C1076" s="1" t="s">
        <v>1404</v>
      </c>
      <c r="U1076" s="1"/>
    </row>
    <row r="1077" ht="15.75" customHeight="1">
      <c r="A1077" s="1" t="s">
        <v>1345</v>
      </c>
      <c r="B1077" s="1" t="s">
        <v>1400</v>
      </c>
      <c r="C1077" s="1" t="s">
        <v>1405</v>
      </c>
      <c r="U1077" s="1"/>
    </row>
    <row r="1078" ht="15.75" customHeight="1">
      <c r="A1078" s="1" t="s">
        <v>1345</v>
      </c>
      <c r="B1078" s="1" t="s">
        <v>1400</v>
      </c>
      <c r="C1078" s="1" t="s">
        <v>1406</v>
      </c>
      <c r="U1078" s="1"/>
    </row>
    <row r="1079" ht="15.75" customHeight="1">
      <c r="A1079" s="1" t="s">
        <v>1345</v>
      </c>
      <c r="B1079" s="1" t="s">
        <v>1400</v>
      </c>
      <c r="C1079" s="1" t="s">
        <v>1407</v>
      </c>
      <c r="U1079" s="1"/>
    </row>
    <row r="1080" ht="15.75" customHeight="1">
      <c r="A1080" s="1" t="s">
        <v>1345</v>
      </c>
      <c r="B1080" s="1" t="s">
        <v>1400</v>
      </c>
      <c r="C1080" s="1" t="s">
        <v>1408</v>
      </c>
      <c r="U1080" s="1"/>
    </row>
    <row r="1081" ht="15.75" customHeight="1">
      <c r="A1081" s="1" t="s">
        <v>1345</v>
      </c>
      <c r="B1081" s="1" t="s">
        <v>1400</v>
      </c>
      <c r="C1081" s="1" t="s">
        <v>1409</v>
      </c>
      <c r="U1081" s="1"/>
    </row>
    <row r="1082" ht="15.75" customHeight="1">
      <c r="A1082" s="1" t="s">
        <v>1345</v>
      </c>
      <c r="B1082" s="1" t="s">
        <v>1410</v>
      </c>
      <c r="C1082" s="1" t="s">
        <v>1411</v>
      </c>
      <c r="U1082" s="1"/>
    </row>
    <row r="1083" ht="15.75" customHeight="1">
      <c r="A1083" s="1" t="s">
        <v>1345</v>
      </c>
      <c r="B1083" s="1" t="s">
        <v>1410</v>
      </c>
      <c r="C1083" s="1" t="s">
        <v>1412</v>
      </c>
      <c r="U1083" s="1"/>
    </row>
    <row r="1084" ht="15.75" customHeight="1">
      <c r="A1084" s="1" t="s">
        <v>1345</v>
      </c>
      <c r="B1084" s="1" t="s">
        <v>1410</v>
      </c>
      <c r="C1084" s="1" t="s">
        <v>1413</v>
      </c>
      <c r="U1084" s="1"/>
    </row>
    <row r="1085" ht="15.75" customHeight="1">
      <c r="A1085" s="1" t="s">
        <v>1345</v>
      </c>
      <c r="B1085" s="1" t="s">
        <v>1410</v>
      </c>
      <c r="C1085" s="1" t="s">
        <v>1414</v>
      </c>
      <c r="U1085" s="1"/>
    </row>
    <row r="1086" ht="15.75" customHeight="1">
      <c r="A1086" s="1" t="s">
        <v>1345</v>
      </c>
      <c r="B1086" s="1" t="s">
        <v>1410</v>
      </c>
      <c r="C1086" s="1" t="s">
        <v>1415</v>
      </c>
      <c r="U1086" s="1"/>
    </row>
    <row r="1087" ht="15.75" customHeight="1">
      <c r="A1087" s="1" t="s">
        <v>1345</v>
      </c>
      <c r="B1087" s="1" t="s">
        <v>1410</v>
      </c>
      <c r="C1087" s="1" t="s">
        <v>1416</v>
      </c>
      <c r="U1087" s="1"/>
    </row>
    <row r="1088" ht="15.75" customHeight="1">
      <c r="A1088" s="1" t="s">
        <v>1345</v>
      </c>
      <c r="B1088" s="1" t="s">
        <v>1410</v>
      </c>
      <c r="C1088" s="1" t="s">
        <v>1417</v>
      </c>
      <c r="U1088" s="1"/>
    </row>
    <row r="1089" ht="15.75" customHeight="1">
      <c r="A1089" s="1" t="s">
        <v>1345</v>
      </c>
      <c r="B1089" s="1" t="s">
        <v>1410</v>
      </c>
      <c r="C1089" s="1" t="s">
        <v>1418</v>
      </c>
      <c r="U1089" s="1"/>
    </row>
    <row r="1090" ht="15.75" customHeight="1">
      <c r="A1090" s="1" t="s">
        <v>1345</v>
      </c>
      <c r="B1090" s="1" t="s">
        <v>1410</v>
      </c>
      <c r="C1090" s="1" t="s">
        <v>1419</v>
      </c>
      <c r="U1090" s="1"/>
    </row>
    <row r="1091" ht="15.75" customHeight="1">
      <c r="A1091" s="1" t="s">
        <v>1345</v>
      </c>
      <c r="B1091" s="1" t="s">
        <v>1410</v>
      </c>
      <c r="C1091" s="1" t="s">
        <v>1420</v>
      </c>
      <c r="U1091" s="1"/>
    </row>
    <row r="1092" ht="15.75" customHeight="1">
      <c r="A1092" s="1" t="s">
        <v>1345</v>
      </c>
      <c r="B1092" s="1" t="s">
        <v>1410</v>
      </c>
      <c r="C1092" s="1" t="s">
        <v>1421</v>
      </c>
      <c r="U1092" s="1"/>
    </row>
    <row r="1093" ht="15.75" customHeight="1">
      <c r="A1093" s="1" t="s">
        <v>1345</v>
      </c>
      <c r="B1093" s="1" t="s">
        <v>1410</v>
      </c>
      <c r="C1093" s="1" t="s">
        <v>1422</v>
      </c>
      <c r="U1093" s="1"/>
    </row>
    <row r="1094" ht="15.75" customHeight="1">
      <c r="A1094" s="1" t="s">
        <v>1345</v>
      </c>
      <c r="B1094" s="1" t="s">
        <v>1410</v>
      </c>
      <c r="C1094" s="1" t="s">
        <v>1423</v>
      </c>
      <c r="U1094" s="1"/>
    </row>
    <row r="1095" ht="15.75" customHeight="1">
      <c r="A1095" s="1" t="s">
        <v>1345</v>
      </c>
      <c r="B1095" s="1" t="s">
        <v>1410</v>
      </c>
      <c r="C1095" s="1" t="s">
        <v>1424</v>
      </c>
      <c r="U1095" s="1"/>
    </row>
    <row r="1096" ht="15.75" customHeight="1">
      <c r="A1096" s="1" t="s">
        <v>1345</v>
      </c>
      <c r="B1096" s="1" t="s">
        <v>1425</v>
      </c>
      <c r="C1096" s="1" t="s">
        <v>1426</v>
      </c>
      <c r="U1096" s="1"/>
    </row>
    <row r="1097" ht="15.75" customHeight="1">
      <c r="A1097" s="1" t="s">
        <v>1345</v>
      </c>
      <c r="B1097" s="1" t="s">
        <v>1425</v>
      </c>
      <c r="C1097" s="1" t="s">
        <v>1427</v>
      </c>
      <c r="U1097" s="1"/>
    </row>
    <row r="1098" ht="15.75" customHeight="1">
      <c r="A1098" s="1" t="s">
        <v>1345</v>
      </c>
      <c r="B1098" s="1" t="s">
        <v>1425</v>
      </c>
      <c r="C1098" s="1" t="s">
        <v>1428</v>
      </c>
      <c r="U1098" s="1"/>
    </row>
    <row r="1099" ht="15.75" customHeight="1">
      <c r="A1099" s="1" t="s">
        <v>1345</v>
      </c>
      <c r="B1099" s="1" t="s">
        <v>1425</v>
      </c>
      <c r="C1099" s="1" t="s">
        <v>1429</v>
      </c>
      <c r="U1099" s="1"/>
    </row>
    <row r="1100" ht="15.75" customHeight="1">
      <c r="A1100" s="1" t="s">
        <v>1345</v>
      </c>
      <c r="B1100" s="1" t="s">
        <v>1425</v>
      </c>
      <c r="C1100" s="1" t="s">
        <v>1430</v>
      </c>
      <c r="U1100" s="1"/>
    </row>
    <row r="1101" ht="15.75" customHeight="1">
      <c r="A1101" s="1" t="s">
        <v>1345</v>
      </c>
      <c r="B1101" s="1" t="s">
        <v>1425</v>
      </c>
      <c r="C1101" s="1" t="s">
        <v>1431</v>
      </c>
      <c r="U1101" s="1"/>
    </row>
    <row r="1102" ht="15.75" customHeight="1">
      <c r="A1102" s="1" t="s">
        <v>1432</v>
      </c>
      <c r="B1102" s="1" t="s">
        <v>6</v>
      </c>
      <c r="C1102" s="1" t="s">
        <v>1249</v>
      </c>
      <c r="U1102" s="1"/>
    </row>
    <row r="1103" ht="15.75" customHeight="1">
      <c r="A1103" s="1" t="s">
        <v>1432</v>
      </c>
      <c r="B1103" s="1" t="s">
        <v>6</v>
      </c>
      <c r="C1103" s="1" t="s">
        <v>1433</v>
      </c>
      <c r="U1103" s="1"/>
    </row>
    <row r="1104" ht="15.75" customHeight="1">
      <c r="A1104" s="1" t="s">
        <v>1432</v>
      </c>
      <c r="B1104" s="1" t="s">
        <v>6</v>
      </c>
      <c r="C1104" s="1" t="s">
        <v>7</v>
      </c>
      <c r="U1104" s="1"/>
    </row>
    <row r="1105" ht="15.75" customHeight="1">
      <c r="A1105" s="1" t="s">
        <v>1432</v>
      </c>
      <c r="B1105" s="1" t="s">
        <v>6</v>
      </c>
      <c r="C1105" s="1" t="s">
        <v>1251</v>
      </c>
      <c r="U1105" s="1"/>
    </row>
    <row r="1106" ht="15.75" customHeight="1">
      <c r="A1106" s="1" t="s">
        <v>1432</v>
      </c>
      <c r="B1106" s="1" t="s">
        <v>6</v>
      </c>
      <c r="C1106" s="1" t="s">
        <v>1434</v>
      </c>
      <c r="U1106" s="1"/>
    </row>
    <row r="1107" ht="15.75" customHeight="1">
      <c r="A1107" s="1" t="s">
        <v>1432</v>
      </c>
      <c r="B1107" s="1" t="s">
        <v>6</v>
      </c>
      <c r="C1107" s="1" t="s">
        <v>1255</v>
      </c>
      <c r="U1107" s="1"/>
    </row>
    <row r="1108" ht="15.75" customHeight="1">
      <c r="A1108" s="1" t="s">
        <v>1432</v>
      </c>
      <c r="B1108" s="1" t="s">
        <v>6</v>
      </c>
      <c r="C1108" s="1" t="s">
        <v>1256</v>
      </c>
      <c r="U1108" s="1"/>
    </row>
    <row r="1109" ht="15.75" customHeight="1">
      <c r="A1109" s="1" t="s">
        <v>1432</v>
      </c>
      <c r="B1109" s="1" t="s">
        <v>6</v>
      </c>
      <c r="C1109" s="1" t="s">
        <v>27</v>
      </c>
      <c r="U1109" s="1"/>
    </row>
    <row r="1110" ht="15.75" customHeight="1">
      <c r="A1110" s="1" t="s">
        <v>1432</v>
      </c>
      <c r="B1110" s="1" t="s">
        <v>29</v>
      </c>
      <c r="C1110" s="1" t="s">
        <v>1257</v>
      </c>
      <c r="U1110" s="1"/>
    </row>
    <row r="1111" ht="15.75" customHeight="1">
      <c r="A1111" s="1" t="s">
        <v>1432</v>
      </c>
      <c r="B1111" s="1" t="s">
        <v>29</v>
      </c>
      <c r="C1111" s="1" t="s">
        <v>1259</v>
      </c>
      <c r="U1111" s="1"/>
    </row>
    <row r="1112" ht="15.75" customHeight="1">
      <c r="A1112" s="1" t="s">
        <v>1432</v>
      </c>
      <c r="B1112" s="1" t="s">
        <v>29</v>
      </c>
      <c r="C1112" s="1" t="s">
        <v>1193</v>
      </c>
      <c r="U1112" s="1"/>
    </row>
    <row r="1113" ht="15.75" customHeight="1">
      <c r="A1113" s="1" t="s">
        <v>1432</v>
      </c>
      <c r="B1113" s="1" t="s">
        <v>29</v>
      </c>
      <c r="C1113" s="1" t="s">
        <v>1435</v>
      </c>
      <c r="U1113" s="1"/>
    </row>
    <row r="1114" ht="15.75" customHeight="1">
      <c r="A1114" s="1" t="s">
        <v>1432</v>
      </c>
      <c r="B1114" s="1" t="s">
        <v>29</v>
      </c>
      <c r="C1114" s="1" t="s">
        <v>1194</v>
      </c>
      <c r="U1114" s="1"/>
    </row>
    <row r="1115" ht="15.75" customHeight="1">
      <c r="A1115" s="1" t="s">
        <v>1432</v>
      </c>
      <c r="B1115" s="1" t="s">
        <v>29</v>
      </c>
      <c r="C1115" s="1" t="s">
        <v>1265</v>
      </c>
      <c r="U1115" s="1"/>
    </row>
    <row r="1116" ht="15.75" customHeight="1">
      <c r="A1116" s="1" t="s">
        <v>1432</v>
      </c>
      <c r="B1116" s="1" t="s">
        <v>29</v>
      </c>
      <c r="C1116" s="1" t="s">
        <v>1436</v>
      </c>
      <c r="U1116" s="1"/>
    </row>
    <row r="1117" ht="15.75" customHeight="1">
      <c r="A1117" s="1" t="s">
        <v>1432</v>
      </c>
      <c r="B1117" s="1" t="s">
        <v>29</v>
      </c>
      <c r="C1117" s="1" t="s">
        <v>47</v>
      </c>
      <c r="U1117" s="1"/>
    </row>
    <row r="1118" ht="15.75" customHeight="1">
      <c r="A1118" s="1" t="s">
        <v>1432</v>
      </c>
      <c r="B1118" s="1" t="s">
        <v>29</v>
      </c>
      <c r="C1118" s="1" t="s">
        <v>1437</v>
      </c>
      <c r="U1118" s="1"/>
    </row>
    <row r="1119" ht="15.75" customHeight="1">
      <c r="A1119" s="1" t="s">
        <v>1432</v>
      </c>
      <c r="B1119" s="1" t="s">
        <v>29</v>
      </c>
      <c r="C1119" s="1" t="s">
        <v>1438</v>
      </c>
      <c r="U1119" s="1"/>
    </row>
    <row r="1120" ht="15.75" customHeight="1">
      <c r="A1120" s="1" t="s">
        <v>1432</v>
      </c>
      <c r="B1120" s="1" t="s">
        <v>29</v>
      </c>
      <c r="C1120" s="1" t="s">
        <v>1274</v>
      </c>
      <c r="U1120" s="1"/>
    </row>
    <row r="1121" ht="15.75" customHeight="1">
      <c r="A1121" s="1" t="s">
        <v>1432</v>
      </c>
      <c r="B1121" s="1" t="s">
        <v>29</v>
      </c>
      <c r="C1121" s="1" t="s">
        <v>1275</v>
      </c>
      <c r="U1121" s="1"/>
    </row>
    <row r="1122" ht="15.75" customHeight="1">
      <c r="A1122" s="1" t="s">
        <v>1432</v>
      </c>
      <c r="B1122" s="1" t="s">
        <v>29</v>
      </c>
      <c r="C1122" s="1" t="s">
        <v>1208</v>
      </c>
      <c r="U1122" s="1"/>
    </row>
    <row r="1123" ht="15.75" customHeight="1">
      <c r="A1123" s="1" t="s">
        <v>1432</v>
      </c>
      <c r="B1123" s="1" t="s">
        <v>77</v>
      </c>
      <c r="C1123" s="1" t="s">
        <v>1211</v>
      </c>
      <c r="U1123" s="1"/>
    </row>
    <row r="1124" ht="15.75" customHeight="1">
      <c r="A1124" s="1" t="s">
        <v>1432</v>
      </c>
      <c r="B1124" s="1" t="s">
        <v>77</v>
      </c>
      <c r="C1124" s="1" t="s">
        <v>96</v>
      </c>
      <c r="U1124" s="1"/>
    </row>
    <row r="1125" ht="15.75" customHeight="1">
      <c r="A1125" s="1" t="s">
        <v>1432</v>
      </c>
      <c r="B1125" s="1" t="s">
        <v>77</v>
      </c>
      <c r="C1125" s="1" t="s">
        <v>1439</v>
      </c>
      <c r="U1125" s="1"/>
    </row>
    <row r="1126" ht="15.75" customHeight="1">
      <c r="A1126" s="1" t="s">
        <v>1432</v>
      </c>
      <c r="B1126" s="1" t="s">
        <v>77</v>
      </c>
      <c r="C1126" s="1" t="s">
        <v>1440</v>
      </c>
      <c r="U1126" s="1"/>
    </row>
    <row r="1127" ht="15.75" customHeight="1">
      <c r="A1127" s="1" t="s">
        <v>1432</v>
      </c>
      <c r="B1127" s="1" t="s">
        <v>77</v>
      </c>
      <c r="C1127" s="1" t="s">
        <v>109</v>
      </c>
      <c r="U1127" s="1"/>
    </row>
    <row r="1128" ht="15.75" customHeight="1">
      <c r="A1128" s="1" t="s">
        <v>1432</v>
      </c>
      <c r="B1128" s="1" t="s">
        <v>77</v>
      </c>
      <c r="C1128" s="1" t="s">
        <v>114</v>
      </c>
      <c r="U1128" s="1"/>
    </row>
    <row r="1129" ht="15.75" customHeight="1">
      <c r="A1129" s="1" t="s">
        <v>1432</v>
      </c>
      <c r="B1129" s="1" t="s">
        <v>77</v>
      </c>
      <c r="C1129" s="1" t="s">
        <v>1441</v>
      </c>
      <c r="U1129" s="1"/>
    </row>
    <row r="1130" ht="15.75" customHeight="1">
      <c r="A1130" s="1" t="s">
        <v>1432</v>
      </c>
      <c r="B1130" s="1" t="s">
        <v>77</v>
      </c>
      <c r="C1130" s="1" t="s">
        <v>122</v>
      </c>
      <c r="U1130" s="1"/>
    </row>
    <row r="1131" ht="15.75" customHeight="1">
      <c r="A1131" s="1" t="s">
        <v>1432</v>
      </c>
      <c r="B1131" s="1" t="s">
        <v>77</v>
      </c>
      <c r="C1131" s="1" t="s">
        <v>1442</v>
      </c>
      <c r="U1131" s="1"/>
    </row>
    <row r="1132" ht="15.75" customHeight="1">
      <c r="A1132" s="1" t="s">
        <v>1432</v>
      </c>
      <c r="B1132" s="1" t="s">
        <v>77</v>
      </c>
      <c r="C1132" s="1" t="s">
        <v>1443</v>
      </c>
      <c r="U1132" s="1"/>
    </row>
    <row r="1133" ht="15.75" customHeight="1">
      <c r="A1133" s="1" t="s">
        <v>1432</v>
      </c>
      <c r="B1133" s="1" t="s">
        <v>77</v>
      </c>
      <c r="C1133" s="1" t="s">
        <v>1444</v>
      </c>
      <c r="U1133" s="1"/>
    </row>
    <row r="1134" ht="15.75" customHeight="1">
      <c r="A1134" s="1" t="s">
        <v>1432</v>
      </c>
      <c r="B1134" s="1" t="s">
        <v>77</v>
      </c>
      <c r="C1134" s="1" t="s">
        <v>1293</v>
      </c>
      <c r="U1134" s="1"/>
    </row>
    <row r="1135" ht="15.75" customHeight="1">
      <c r="A1135" s="1" t="s">
        <v>1432</v>
      </c>
      <c r="B1135" s="1" t="s">
        <v>77</v>
      </c>
      <c r="C1135" s="1" t="s">
        <v>1226</v>
      </c>
      <c r="U1135" s="1"/>
    </row>
    <row r="1136" ht="15.75" customHeight="1">
      <c r="A1136" s="1" t="s">
        <v>1432</v>
      </c>
      <c r="B1136" s="1" t="s">
        <v>77</v>
      </c>
      <c r="C1136" s="1" t="s">
        <v>1445</v>
      </c>
      <c r="U1136" s="1"/>
    </row>
    <row r="1137" ht="15.75" customHeight="1">
      <c r="A1137" s="1" t="s">
        <v>1432</v>
      </c>
      <c r="B1137" s="1" t="s">
        <v>77</v>
      </c>
      <c r="C1137" s="1" t="s">
        <v>146</v>
      </c>
      <c r="U1137" s="1"/>
    </row>
    <row r="1138" ht="15.75" customHeight="1">
      <c r="A1138" s="1" t="s">
        <v>1432</v>
      </c>
      <c r="B1138" s="1" t="s">
        <v>77</v>
      </c>
      <c r="C1138" s="1" t="s">
        <v>1446</v>
      </c>
      <c r="U1138" s="1"/>
    </row>
    <row r="1139" ht="15.75" customHeight="1">
      <c r="A1139" s="1" t="s">
        <v>1432</v>
      </c>
      <c r="B1139" s="1" t="s">
        <v>77</v>
      </c>
      <c r="C1139" s="1" t="s">
        <v>937</v>
      </c>
      <c r="U1139" s="1"/>
    </row>
    <row r="1140" ht="15.75" customHeight="1">
      <c r="A1140" s="1" t="s">
        <v>1432</v>
      </c>
      <c r="B1140" s="1" t="s">
        <v>77</v>
      </c>
      <c r="C1140" s="1" t="s">
        <v>1447</v>
      </c>
      <c r="U1140" s="1"/>
    </row>
    <row r="1141" ht="15.75" customHeight="1">
      <c r="A1141" s="1" t="s">
        <v>1432</v>
      </c>
      <c r="B1141" s="1" t="s">
        <v>158</v>
      </c>
      <c r="C1141" s="1" t="s">
        <v>161</v>
      </c>
      <c r="U1141" s="1"/>
    </row>
    <row r="1142" ht="15.75" customHeight="1">
      <c r="A1142" s="1" t="s">
        <v>1432</v>
      </c>
      <c r="B1142" s="1" t="s">
        <v>158</v>
      </c>
      <c r="C1142" s="1" t="s">
        <v>167</v>
      </c>
      <c r="U1142" s="1"/>
    </row>
    <row r="1143" ht="15.75" customHeight="1">
      <c r="A1143" s="1" t="s">
        <v>1432</v>
      </c>
      <c r="B1143" s="1" t="s">
        <v>158</v>
      </c>
      <c r="C1143" s="1" t="s">
        <v>1448</v>
      </c>
      <c r="U1143" s="1"/>
    </row>
    <row r="1144" ht="15.75" customHeight="1">
      <c r="A1144" s="1" t="s">
        <v>1432</v>
      </c>
      <c r="B1144" s="1" t="s">
        <v>158</v>
      </c>
      <c r="C1144" s="1" t="s">
        <v>171</v>
      </c>
      <c r="U1144" s="1"/>
    </row>
    <row r="1145" ht="15.75" customHeight="1">
      <c r="A1145" s="1" t="s">
        <v>1432</v>
      </c>
      <c r="B1145" s="1" t="s">
        <v>158</v>
      </c>
      <c r="C1145" s="1" t="s">
        <v>1235</v>
      </c>
      <c r="U1145" s="1"/>
    </row>
    <row r="1146" ht="15.75" customHeight="1">
      <c r="A1146" s="1" t="s">
        <v>1432</v>
      </c>
      <c r="B1146" s="1" t="s">
        <v>158</v>
      </c>
      <c r="C1146" s="1" t="s">
        <v>189</v>
      </c>
      <c r="U1146" s="1"/>
    </row>
    <row r="1147" ht="15.75" customHeight="1">
      <c r="A1147" s="1" t="s">
        <v>1432</v>
      </c>
      <c r="B1147" s="1" t="s">
        <v>158</v>
      </c>
      <c r="C1147" s="1" t="s">
        <v>219</v>
      </c>
      <c r="U1147" s="1"/>
    </row>
    <row r="1148" ht="15.75" customHeight="1">
      <c r="A1148" s="1" t="s">
        <v>1432</v>
      </c>
      <c r="B1148" s="1" t="s">
        <v>158</v>
      </c>
      <c r="C1148" s="1" t="s">
        <v>1241</v>
      </c>
      <c r="U1148" s="1"/>
    </row>
    <row r="1149" ht="15.75" customHeight="1">
      <c r="A1149" s="1" t="s">
        <v>1432</v>
      </c>
      <c r="B1149" s="1" t="s">
        <v>158</v>
      </c>
      <c r="C1149" s="1" t="s">
        <v>1242</v>
      </c>
      <c r="U1149" s="1"/>
    </row>
    <row r="1150" ht="15.75" customHeight="1">
      <c r="A1150" s="1" t="s">
        <v>1432</v>
      </c>
      <c r="B1150" s="1" t="s">
        <v>158</v>
      </c>
      <c r="C1150" s="1" t="s">
        <v>1449</v>
      </c>
      <c r="U1150" s="1"/>
    </row>
    <row r="1151" ht="15.75" customHeight="1">
      <c r="A1151" s="1" t="s">
        <v>1432</v>
      </c>
      <c r="B1151" s="1" t="s">
        <v>158</v>
      </c>
      <c r="C1151" s="1" t="s">
        <v>1450</v>
      </c>
      <c r="U1151" s="1"/>
    </row>
    <row r="1152" ht="15.75" customHeight="1">
      <c r="A1152" s="1" t="s">
        <v>1432</v>
      </c>
      <c r="B1152" s="1" t="s">
        <v>330</v>
      </c>
      <c r="C1152" s="1" t="s">
        <v>1451</v>
      </c>
      <c r="U1152" s="1"/>
    </row>
    <row r="1153" ht="15.75" customHeight="1">
      <c r="A1153" s="1" t="s">
        <v>1432</v>
      </c>
      <c r="B1153" s="1" t="s">
        <v>330</v>
      </c>
      <c r="C1153" s="1" t="s">
        <v>1244</v>
      </c>
      <c r="U1153" s="1"/>
    </row>
    <row r="1154" ht="15.75" customHeight="1">
      <c r="A1154" s="1" t="s">
        <v>1432</v>
      </c>
      <c r="B1154" s="1" t="s">
        <v>330</v>
      </c>
      <c r="C1154" s="1" t="s">
        <v>1452</v>
      </c>
      <c r="U1154" s="1"/>
    </row>
    <row r="1155" ht="15.75" customHeight="1">
      <c r="A1155" s="1" t="s">
        <v>1432</v>
      </c>
      <c r="B1155" s="1" t="s">
        <v>330</v>
      </c>
      <c r="C1155" s="1" t="s">
        <v>1246</v>
      </c>
      <c r="U1155" s="1"/>
    </row>
    <row r="1156" ht="15.75" customHeight="1">
      <c r="A1156" s="1" t="s">
        <v>1432</v>
      </c>
      <c r="B1156" s="1" t="s">
        <v>330</v>
      </c>
      <c r="C1156" s="1" t="s">
        <v>1453</v>
      </c>
      <c r="U1156" s="1"/>
    </row>
    <row r="1157" ht="15.75" customHeight="1">
      <c r="A1157" s="1" t="s">
        <v>1432</v>
      </c>
      <c r="B1157" s="1" t="s">
        <v>330</v>
      </c>
      <c r="C1157" s="1" t="s">
        <v>1454</v>
      </c>
      <c r="U1157" s="1"/>
    </row>
    <row r="1158" ht="15.75" customHeight="1">
      <c r="A1158" s="1" t="s">
        <v>1432</v>
      </c>
      <c r="B1158" s="1" t="s">
        <v>330</v>
      </c>
      <c r="C1158" s="1" t="s">
        <v>1455</v>
      </c>
      <c r="U1158" s="1"/>
    </row>
    <row r="1159" ht="15.75" customHeight="1">
      <c r="A1159" s="1" t="s">
        <v>1432</v>
      </c>
      <c r="B1159" s="1" t="s">
        <v>330</v>
      </c>
      <c r="C1159" s="1" t="s">
        <v>1456</v>
      </c>
      <c r="U1159" s="1"/>
    </row>
    <row r="1160" ht="15.75" customHeight="1">
      <c r="A1160" s="1" t="s">
        <v>1432</v>
      </c>
      <c r="B1160" s="1" t="s">
        <v>330</v>
      </c>
      <c r="C1160" s="1" t="s">
        <v>1457</v>
      </c>
      <c r="U1160" s="1"/>
    </row>
    <row r="1161" ht="15.75" customHeight="1">
      <c r="A1161" s="1" t="s">
        <v>1432</v>
      </c>
      <c r="B1161" s="1" t="s">
        <v>330</v>
      </c>
      <c r="C1161" s="1" t="s">
        <v>1458</v>
      </c>
      <c r="U1161" s="1"/>
    </row>
    <row r="1162" ht="15.75" customHeight="1">
      <c r="A1162" s="1" t="s">
        <v>1432</v>
      </c>
      <c r="B1162" s="1" t="s">
        <v>330</v>
      </c>
      <c r="C1162" s="1" t="s">
        <v>1332</v>
      </c>
      <c r="U1162" s="1"/>
    </row>
    <row r="1163" ht="15.75" customHeight="1">
      <c r="A1163" s="1" t="s">
        <v>1432</v>
      </c>
      <c r="B1163" s="1" t="s">
        <v>378</v>
      </c>
      <c r="C1163" s="1" t="s">
        <v>1459</v>
      </c>
      <c r="U1163" s="1"/>
    </row>
    <row r="1164" ht="15.75" customHeight="1">
      <c r="A1164" s="1" t="s">
        <v>1432</v>
      </c>
      <c r="B1164" s="1" t="s">
        <v>378</v>
      </c>
      <c r="C1164" s="1" t="s">
        <v>1460</v>
      </c>
      <c r="U1164" s="1"/>
    </row>
    <row r="1165" ht="15.75" customHeight="1">
      <c r="A1165" s="1" t="s">
        <v>1432</v>
      </c>
      <c r="B1165" s="1" t="s">
        <v>378</v>
      </c>
      <c r="C1165" s="1" t="s">
        <v>1461</v>
      </c>
      <c r="U1165" s="1"/>
    </row>
    <row r="1166" ht="15.75" customHeight="1">
      <c r="A1166" s="1" t="s">
        <v>1432</v>
      </c>
      <c r="B1166" s="1" t="s">
        <v>378</v>
      </c>
      <c r="C1166" s="1" t="s">
        <v>1462</v>
      </c>
      <c r="U1166" s="1"/>
    </row>
    <row r="1167" ht="15.75" customHeight="1">
      <c r="A1167" s="1" t="s">
        <v>1432</v>
      </c>
      <c r="B1167" s="1" t="s">
        <v>378</v>
      </c>
      <c r="C1167" s="1" t="s">
        <v>1463</v>
      </c>
      <c r="U1167" s="1"/>
    </row>
    <row r="1168" ht="15.75" customHeight="1">
      <c r="A1168" s="1" t="s">
        <v>1432</v>
      </c>
      <c r="B1168" s="1" t="s">
        <v>378</v>
      </c>
      <c r="C1168" s="1" t="s">
        <v>1464</v>
      </c>
      <c r="U1168" s="1"/>
    </row>
    <row r="1169" ht="15.75" customHeight="1">
      <c r="A1169" s="1" t="s">
        <v>1432</v>
      </c>
      <c r="B1169" s="1" t="s">
        <v>378</v>
      </c>
      <c r="C1169" s="1" t="s">
        <v>1465</v>
      </c>
      <c r="U1169" s="1"/>
    </row>
    <row r="1170" ht="15.75" customHeight="1">
      <c r="A1170" s="1" t="s">
        <v>1432</v>
      </c>
      <c r="B1170" s="1" t="s">
        <v>378</v>
      </c>
      <c r="C1170" s="1" t="s">
        <v>1466</v>
      </c>
      <c r="U1170" s="1"/>
    </row>
    <row r="1171" ht="15.75" customHeight="1">
      <c r="A1171" s="1" t="s">
        <v>1432</v>
      </c>
      <c r="B1171" s="1" t="s">
        <v>378</v>
      </c>
      <c r="C1171" s="1" t="s">
        <v>1467</v>
      </c>
      <c r="U1171" s="1"/>
    </row>
    <row r="1172" ht="15.75" customHeight="1">
      <c r="A1172" s="1" t="s">
        <v>1432</v>
      </c>
      <c r="B1172" s="1" t="s">
        <v>378</v>
      </c>
      <c r="C1172" s="1" t="s">
        <v>969</v>
      </c>
      <c r="U1172" s="1"/>
    </row>
    <row r="1173" ht="15.75" customHeight="1">
      <c r="A1173" s="1" t="s">
        <v>1432</v>
      </c>
      <c r="B1173" s="1" t="s">
        <v>378</v>
      </c>
      <c r="C1173" s="1" t="s">
        <v>1468</v>
      </c>
      <c r="U1173" s="1"/>
    </row>
    <row r="1174" ht="15.75" customHeight="1">
      <c r="A1174" s="1" t="s">
        <v>1432</v>
      </c>
      <c r="B1174" s="1" t="s">
        <v>378</v>
      </c>
      <c r="C1174" s="1" t="s">
        <v>1469</v>
      </c>
      <c r="U1174" s="1"/>
    </row>
    <row r="1175" ht="15.75" customHeight="1">
      <c r="A1175" s="1" t="s">
        <v>1432</v>
      </c>
      <c r="B1175" s="1" t="s">
        <v>403</v>
      </c>
      <c r="C1175" s="1" t="s">
        <v>1470</v>
      </c>
      <c r="U1175" s="1"/>
    </row>
    <row r="1176" ht="15.75" customHeight="1">
      <c r="A1176" s="1" t="s">
        <v>1432</v>
      </c>
      <c r="B1176" s="1" t="s">
        <v>403</v>
      </c>
      <c r="C1176" s="1" t="s">
        <v>1471</v>
      </c>
      <c r="U1176" s="1"/>
    </row>
    <row r="1177" ht="15.75" customHeight="1">
      <c r="A1177" s="1" t="s">
        <v>1432</v>
      </c>
      <c r="B1177" s="1" t="s">
        <v>403</v>
      </c>
      <c r="C1177" s="1" t="s">
        <v>1472</v>
      </c>
      <c r="U1177" s="1"/>
    </row>
    <row r="1178" ht="15.75" customHeight="1">
      <c r="A1178" s="1" t="s">
        <v>1432</v>
      </c>
      <c r="B1178" s="1" t="s">
        <v>403</v>
      </c>
      <c r="C1178" s="1" t="s">
        <v>1473</v>
      </c>
      <c r="U1178" s="1"/>
    </row>
    <row r="1179" ht="15.75" customHeight="1">
      <c r="A1179" s="1" t="s">
        <v>1432</v>
      </c>
      <c r="B1179" s="1" t="s">
        <v>403</v>
      </c>
      <c r="C1179" s="1" t="s">
        <v>989</v>
      </c>
      <c r="U1179" s="1"/>
    </row>
    <row r="1180" ht="15.75" customHeight="1">
      <c r="A1180" s="1" t="s">
        <v>1432</v>
      </c>
      <c r="B1180" s="1" t="s">
        <v>403</v>
      </c>
      <c r="C1180" s="1" t="s">
        <v>1474</v>
      </c>
      <c r="U1180" s="1"/>
    </row>
    <row r="1181" ht="15.75" customHeight="1">
      <c r="A1181" s="1" t="s">
        <v>1432</v>
      </c>
      <c r="B1181" s="1" t="s">
        <v>997</v>
      </c>
      <c r="C1181" s="1" t="s">
        <v>1475</v>
      </c>
      <c r="U1181" s="1"/>
    </row>
    <row r="1182" ht="15.75" customHeight="1">
      <c r="A1182" s="1" t="s">
        <v>1432</v>
      </c>
      <c r="B1182" s="1" t="s">
        <v>997</v>
      </c>
      <c r="C1182" s="1" t="s">
        <v>1476</v>
      </c>
      <c r="U1182" s="1"/>
    </row>
    <row r="1183" ht="15.75" customHeight="1">
      <c r="A1183" s="1" t="s">
        <v>1432</v>
      </c>
      <c r="B1183" s="1" t="s">
        <v>997</v>
      </c>
      <c r="C1183" s="1" t="s">
        <v>1066</v>
      </c>
      <c r="U1183" s="1"/>
    </row>
    <row r="1184" ht="15.75" customHeight="1">
      <c r="A1184" s="1" t="s">
        <v>1432</v>
      </c>
      <c r="B1184" s="1" t="s">
        <v>997</v>
      </c>
      <c r="C1184" s="1" t="s">
        <v>1354</v>
      </c>
      <c r="U1184" s="1"/>
    </row>
    <row r="1185" ht="15.75" customHeight="1">
      <c r="A1185" s="1" t="s">
        <v>1432</v>
      </c>
      <c r="B1185" s="1" t="s">
        <v>1071</v>
      </c>
      <c r="C1185" s="1" t="s">
        <v>1477</v>
      </c>
      <c r="U1185" s="1"/>
    </row>
    <row r="1186" ht="15.75" customHeight="1">
      <c r="A1186" s="1" t="s">
        <v>1432</v>
      </c>
      <c r="B1186" s="1" t="s">
        <v>1071</v>
      </c>
      <c r="C1186" s="1" t="s">
        <v>1478</v>
      </c>
      <c r="U1186" s="1"/>
    </row>
    <row r="1187" ht="15.75" customHeight="1">
      <c r="A1187" s="1" t="s">
        <v>1432</v>
      </c>
      <c r="B1187" s="1" t="s">
        <v>1071</v>
      </c>
      <c r="C1187" s="1" t="s">
        <v>1359</v>
      </c>
      <c r="U1187" s="1"/>
    </row>
    <row r="1188" ht="15.75" customHeight="1">
      <c r="A1188" s="1" t="s">
        <v>1432</v>
      </c>
      <c r="B1188" s="1" t="s">
        <v>1071</v>
      </c>
      <c r="C1188" s="1" t="s">
        <v>1479</v>
      </c>
      <c r="U1188" s="1"/>
    </row>
    <row r="1189" ht="15.75" customHeight="1">
      <c r="A1189" s="1" t="s">
        <v>1432</v>
      </c>
      <c r="B1189" s="1" t="s">
        <v>1093</v>
      </c>
      <c r="C1189" s="1" t="s">
        <v>1480</v>
      </c>
      <c r="U1189" s="1"/>
    </row>
    <row r="1190" ht="15.75" customHeight="1">
      <c r="A1190" s="1" t="s">
        <v>1432</v>
      </c>
      <c r="B1190" s="1" t="s">
        <v>1093</v>
      </c>
      <c r="C1190" s="1" t="s">
        <v>1481</v>
      </c>
      <c r="U1190" s="1"/>
    </row>
    <row r="1191" ht="15.75" customHeight="1">
      <c r="A1191" s="1" t="s">
        <v>1432</v>
      </c>
      <c r="B1191" s="1" t="s">
        <v>1400</v>
      </c>
      <c r="C1191" s="1" t="s">
        <v>1482</v>
      </c>
      <c r="U1191" s="1"/>
    </row>
    <row r="1192" ht="15.75" customHeight="1">
      <c r="A1192" s="1" t="s">
        <v>1432</v>
      </c>
      <c r="B1192" s="1" t="s">
        <v>1400</v>
      </c>
      <c r="C1192" s="1" t="s">
        <v>1483</v>
      </c>
      <c r="U1192" s="1"/>
    </row>
    <row r="1193" ht="15.75" customHeight="1">
      <c r="A1193" s="1" t="s">
        <v>1432</v>
      </c>
      <c r="B1193" s="1" t="s">
        <v>1400</v>
      </c>
      <c r="C1193" s="1" t="s">
        <v>1484</v>
      </c>
      <c r="U1193" s="1"/>
    </row>
    <row r="1194" ht="15.75" customHeight="1">
      <c r="A1194" s="1" t="s">
        <v>1432</v>
      </c>
      <c r="B1194" s="1" t="s">
        <v>1400</v>
      </c>
      <c r="C1194" s="1" t="s">
        <v>1485</v>
      </c>
      <c r="U1194" s="1"/>
    </row>
    <row r="1195" ht="15.75" customHeight="1">
      <c r="A1195" s="1" t="s">
        <v>1432</v>
      </c>
      <c r="B1195" s="1" t="s">
        <v>1400</v>
      </c>
      <c r="C1195" s="1" t="s">
        <v>1486</v>
      </c>
      <c r="U1195" s="1"/>
    </row>
    <row r="1196" ht="15.75" customHeight="1">
      <c r="A1196" s="1" t="s">
        <v>1432</v>
      </c>
      <c r="B1196" s="1" t="s">
        <v>1400</v>
      </c>
      <c r="C1196" s="1" t="s">
        <v>1487</v>
      </c>
      <c r="U1196" s="1"/>
    </row>
    <row r="1197" ht="15.75" customHeight="1">
      <c r="A1197" s="1" t="s">
        <v>1432</v>
      </c>
      <c r="B1197" s="1" t="s">
        <v>1410</v>
      </c>
      <c r="C1197" s="1" t="s">
        <v>1488</v>
      </c>
      <c r="U1197" s="1"/>
    </row>
    <row r="1198" ht="15.75" customHeight="1">
      <c r="A1198" s="1" t="s">
        <v>1432</v>
      </c>
      <c r="B1198" s="1" t="s">
        <v>1410</v>
      </c>
      <c r="C1198" s="1" t="s">
        <v>1489</v>
      </c>
      <c r="U1198" s="1"/>
    </row>
    <row r="1199" ht="15.75" customHeight="1">
      <c r="A1199" s="1" t="s">
        <v>1432</v>
      </c>
      <c r="B1199" s="1" t="s">
        <v>1410</v>
      </c>
      <c r="C1199" s="1" t="s">
        <v>1490</v>
      </c>
      <c r="U1199" s="1"/>
    </row>
    <row r="1200" ht="15.75" customHeight="1">
      <c r="A1200" s="1" t="s">
        <v>1432</v>
      </c>
      <c r="B1200" s="1" t="s">
        <v>1425</v>
      </c>
      <c r="C1200" s="1" t="s">
        <v>1491</v>
      </c>
      <c r="U1200" s="1"/>
    </row>
    <row r="1201" ht="15.75" customHeight="1">
      <c r="A1201" s="1" t="s">
        <v>1432</v>
      </c>
      <c r="B1201" s="1" t="s">
        <v>1492</v>
      </c>
      <c r="C1201" s="1" t="s">
        <v>1493</v>
      </c>
      <c r="U1201" s="1"/>
    </row>
    <row r="1202" ht="15.75" customHeight="1">
      <c r="A1202" s="1" t="s">
        <v>1494</v>
      </c>
      <c r="B1202" s="1" t="s">
        <v>6</v>
      </c>
      <c r="C1202" s="1" t="s">
        <v>1495</v>
      </c>
      <c r="U1202" s="1"/>
    </row>
    <row r="1203" ht="15.75" customHeight="1">
      <c r="A1203" s="1" t="s">
        <v>1494</v>
      </c>
      <c r="B1203" s="1" t="s">
        <v>6</v>
      </c>
      <c r="C1203" s="1" t="s">
        <v>1496</v>
      </c>
      <c r="U1203" s="1"/>
    </row>
    <row r="1204" ht="15.75" customHeight="1">
      <c r="A1204" s="1" t="s">
        <v>1494</v>
      </c>
      <c r="B1204" s="1" t="s">
        <v>6</v>
      </c>
      <c r="C1204" s="1" t="s">
        <v>1497</v>
      </c>
      <c r="U1204" s="1"/>
    </row>
    <row r="1205" ht="15.75" customHeight="1">
      <c r="A1205" s="1" t="s">
        <v>1494</v>
      </c>
      <c r="B1205" s="1" t="s">
        <v>6</v>
      </c>
      <c r="C1205" s="1" t="s">
        <v>1433</v>
      </c>
      <c r="U1205" s="1"/>
    </row>
    <row r="1206" ht="15.75" customHeight="1">
      <c r="A1206" s="1" t="s">
        <v>1494</v>
      </c>
      <c r="B1206" s="1" t="s">
        <v>6</v>
      </c>
      <c r="C1206" s="1" t="s">
        <v>1498</v>
      </c>
      <c r="U1206" s="1"/>
    </row>
    <row r="1207" ht="15.75" customHeight="1">
      <c r="A1207" s="1" t="s">
        <v>1494</v>
      </c>
      <c r="B1207" s="1" t="s">
        <v>6</v>
      </c>
      <c r="C1207" s="1" t="s">
        <v>1434</v>
      </c>
      <c r="U1207" s="1"/>
    </row>
    <row r="1208" ht="15.75" customHeight="1">
      <c r="A1208" s="1" t="s">
        <v>1494</v>
      </c>
      <c r="B1208" s="1" t="s">
        <v>29</v>
      </c>
      <c r="C1208" s="1" t="s">
        <v>1499</v>
      </c>
      <c r="U1208" s="1"/>
    </row>
    <row r="1209" ht="15.75" customHeight="1">
      <c r="A1209" s="1" t="s">
        <v>1494</v>
      </c>
      <c r="B1209" s="1" t="s">
        <v>29</v>
      </c>
      <c r="C1209" s="1" t="s">
        <v>1500</v>
      </c>
      <c r="U1209" s="1"/>
    </row>
    <row r="1210" ht="15.75" customHeight="1">
      <c r="A1210" s="1" t="s">
        <v>1494</v>
      </c>
      <c r="B1210" s="1" t="s">
        <v>29</v>
      </c>
      <c r="C1210" s="1" t="s">
        <v>1501</v>
      </c>
      <c r="U1210" s="1"/>
    </row>
    <row r="1211" ht="15.75" customHeight="1">
      <c r="A1211" s="1" t="s">
        <v>1494</v>
      </c>
      <c r="B1211" s="1" t="s">
        <v>29</v>
      </c>
      <c r="C1211" s="1" t="s">
        <v>1435</v>
      </c>
      <c r="U1211" s="1"/>
    </row>
    <row r="1212" ht="15.75" customHeight="1">
      <c r="A1212" s="1" t="s">
        <v>1494</v>
      </c>
      <c r="B1212" s="1" t="s">
        <v>29</v>
      </c>
      <c r="C1212" s="1" t="s">
        <v>1502</v>
      </c>
      <c r="U1212" s="1"/>
    </row>
    <row r="1213" ht="15.75" customHeight="1">
      <c r="A1213" s="1" t="s">
        <v>1494</v>
      </c>
      <c r="B1213" s="1" t="s">
        <v>29</v>
      </c>
      <c r="C1213" s="1" t="s">
        <v>1436</v>
      </c>
      <c r="U1213" s="1"/>
    </row>
    <row r="1214" ht="15.75" customHeight="1">
      <c r="A1214" s="1" t="s">
        <v>1494</v>
      </c>
      <c r="B1214" s="1" t="s">
        <v>29</v>
      </c>
      <c r="C1214" s="1" t="s">
        <v>1503</v>
      </c>
      <c r="U1214" s="1"/>
    </row>
    <row r="1215" ht="15.75" customHeight="1">
      <c r="A1215" s="1" t="s">
        <v>1494</v>
      </c>
      <c r="B1215" s="1" t="s">
        <v>29</v>
      </c>
      <c r="C1215" s="1" t="s">
        <v>55</v>
      </c>
      <c r="U1215" s="1"/>
    </row>
    <row r="1216" ht="15.75" customHeight="1">
      <c r="A1216" s="1" t="s">
        <v>1494</v>
      </c>
      <c r="B1216" s="1" t="s">
        <v>29</v>
      </c>
      <c r="C1216" s="1" t="s">
        <v>1504</v>
      </c>
      <c r="U1216" s="1"/>
    </row>
    <row r="1217" ht="15.75" customHeight="1">
      <c r="A1217" s="1" t="s">
        <v>1494</v>
      </c>
      <c r="B1217" s="1" t="s">
        <v>29</v>
      </c>
      <c r="C1217" s="1" t="s">
        <v>59</v>
      </c>
      <c r="U1217" s="1"/>
    </row>
    <row r="1218" ht="15.75" customHeight="1">
      <c r="A1218" s="1" t="s">
        <v>1494</v>
      </c>
      <c r="B1218" s="1" t="s">
        <v>29</v>
      </c>
      <c r="C1218" s="1" t="s">
        <v>1505</v>
      </c>
      <c r="U1218" s="1"/>
    </row>
    <row r="1219" ht="15.75" customHeight="1">
      <c r="A1219" s="1" t="s">
        <v>1494</v>
      </c>
      <c r="B1219" s="1" t="s">
        <v>29</v>
      </c>
      <c r="C1219" s="1" t="s">
        <v>1506</v>
      </c>
      <c r="U1219" s="1"/>
    </row>
    <row r="1220" ht="15.75" customHeight="1">
      <c r="A1220" s="1" t="s">
        <v>1494</v>
      </c>
      <c r="B1220" s="1" t="s">
        <v>29</v>
      </c>
      <c r="C1220" s="1" t="s">
        <v>1507</v>
      </c>
      <c r="U1220" s="1"/>
    </row>
    <row r="1221" ht="15.75" customHeight="1">
      <c r="A1221" s="1" t="s">
        <v>1494</v>
      </c>
      <c r="B1221" s="1" t="s">
        <v>29</v>
      </c>
      <c r="C1221" s="1" t="s">
        <v>1508</v>
      </c>
      <c r="U1221" s="1"/>
    </row>
    <row r="1222" ht="15.75" customHeight="1">
      <c r="A1222" s="1" t="s">
        <v>1494</v>
      </c>
      <c r="B1222" s="1" t="s">
        <v>29</v>
      </c>
      <c r="C1222" s="1" t="s">
        <v>1438</v>
      </c>
      <c r="U1222" s="1"/>
    </row>
    <row r="1223" ht="15.75" customHeight="1">
      <c r="A1223" s="1" t="s">
        <v>1494</v>
      </c>
      <c r="B1223" s="1" t="s">
        <v>29</v>
      </c>
      <c r="C1223" s="1" t="s">
        <v>1509</v>
      </c>
      <c r="U1223" s="1"/>
    </row>
    <row r="1224" ht="15.75" customHeight="1">
      <c r="A1224" s="1" t="s">
        <v>1494</v>
      </c>
      <c r="B1224" s="1" t="s">
        <v>77</v>
      </c>
      <c r="C1224" s="1" t="s">
        <v>1510</v>
      </c>
      <c r="U1224" s="1"/>
    </row>
    <row r="1225" ht="15.75" customHeight="1">
      <c r="A1225" s="1" t="s">
        <v>1494</v>
      </c>
      <c r="B1225" s="1" t="s">
        <v>77</v>
      </c>
      <c r="C1225" s="1" t="s">
        <v>1511</v>
      </c>
      <c r="U1225" s="1"/>
    </row>
    <row r="1226" ht="15.75" customHeight="1">
      <c r="A1226" s="1" t="s">
        <v>1494</v>
      </c>
      <c r="B1226" s="1" t="s">
        <v>77</v>
      </c>
      <c r="C1226" s="1" t="s">
        <v>81</v>
      </c>
      <c r="U1226" s="1"/>
    </row>
    <row r="1227" ht="15.75" customHeight="1">
      <c r="A1227" s="1" t="s">
        <v>1494</v>
      </c>
      <c r="B1227" s="1" t="s">
        <v>77</v>
      </c>
      <c r="C1227" s="1" t="s">
        <v>1512</v>
      </c>
      <c r="U1227" s="1"/>
    </row>
    <row r="1228" ht="15.75" customHeight="1">
      <c r="A1228" s="1" t="s">
        <v>1494</v>
      </c>
      <c r="B1228" s="1" t="s">
        <v>77</v>
      </c>
      <c r="C1228" s="1" t="s">
        <v>1513</v>
      </c>
      <c r="U1228" s="1"/>
    </row>
    <row r="1229" ht="15.75" customHeight="1">
      <c r="A1229" s="1" t="s">
        <v>1494</v>
      </c>
      <c r="B1229" s="1" t="s">
        <v>77</v>
      </c>
      <c r="C1229" s="1" t="s">
        <v>1514</v>
      </c>
      <c r="U1229" s="1"/>
    </row>
    <row r="1230" ht="15.75" customHeight="1">
      <c r="A1230" s="1" t="s">
        <v>1494</v>
      </c>
      <c r="B1230" s="1" t="s">
        <v>77</v>
      </c>
      <c r="C1230" s="1" t="s">
        <v>1440</v>
      </c>
      <c r="U1230" s="1"/>
    </row>
    <row r="1231" ht="15.75" customHeight="1">
      <c r="A1231" s="1" t="s">
        <v>1494</v>
      </c>
      <c r="B1231" s="1" t="s">
        <v>77</v>
      </c>
      <c r="C1231" s="1" t="s">
        <v>1515</v>
      </c>
      <c r="U1231" s="1"/>
    </row>
    <row r="1232" ht="15.75" customHeight="1">
      <c r="A1232" s="1" t="s">
        <v>1494</v>
      </c>
      <c r="B1232" s="1" t="s">
        <v>77</v>
      </c>
      <c r="C1232" s="1" t="s">
        <v>116</v>
      </c>
      <c r="U1232" s="1"/>
    </row>
    <row r="1233" ht="15.75" customHeight="1">
      <c r="A1233" s="1" t="s">
        <v>1494</v>
      </c>
      <c r="B1233" s="1" t="s">
        <v>77</v>
      </c>
      <c r="C1233" s="1" t="s">
        <v>1516</v>
      </c>
      <c r="U1233" s="1"/>
    </row>
    <row r="1234" ht="15.75" customHeight="1">
      <c r="A1234" s="1" t="s">
        <v>1494</v>
      </c>
      <c r="B1234" s="1" t="s">
        <v>77</v>
      </c>
      <c r="C1234" s="1" t="s">
        <v>1517</v>
      </c>
      <c r="U1234" s="1"/>
    </row>
    <row r="1235" ht="15.75" customHeight="1">
      <c r="A1235" s="1" t="s">
        <v>1494</v>
      </c>
      <c r="B1235" s="1" t="s">
        <v>77</v>
      </c>
      <c r="C1235" s="1" t="s">
        <v>1518</v>
      </c>
      <c r="U1235" s="1"/>
    </row>
    <row r="1236" ht="15.75" customHeight="1">
      <c r="A1236" s="1" t="s">
        <v>1494</v>
      </c>
      <c r="B1236" s="1" t="s">
        <v>77</v>
      </c>
      <c r="C1236" s="1" t="s">
        <v>1442</v>
      </c>
      <c r="U1236" s="1"/>
    </row>
    <row r="1237" ht="15.75" customHeight="1">
      <c r="A1237" s="1" t="s">
        <v>1494</v>
      </c>
      <c r="B1237" s="1" t="s">
        <v>77</v>
      </c>
      <c r="C1237" s="1" t="s">
        <v>120</v>
      </c>
      <c r="U1237" s="1"/>
    </row>
    <row r="1238" ht="15.75" customHeight="1">
      <c r="A1238" s="1" t="s">
        <v>1494</v>
      </c>
      <c r="B1238" s="1" t="s">
        <v>77</v>
      </c>
      <c r="C1238" s="1" t="s">
        <v>1519</v>
      </c>
      <c r="U1238" s="1"/>
    </row>
    <row r="1239" ht="15.75" customHeight="1">
      <c r="A1239" s="1" t="s">
        <v>1494</v>
      </c>
      <c r="B1239" s="1" t="s">
        <v>77</v>
      </c>
      <c r="C1239" s="1" t="s">
        <v>1520</v>
      </c>
      <c r="U1239" s="1"/>
    </row>
    <row r="1240" ht="15.75" customHeight="1">
      <c r="A1240" s="1" t="s">
        <v>1494</v>
      </c>
      <c r="B1240" s="1" t="s">
        <v>77</v>
      </c>
      <c r="C1240" s="1" t="s">
        <v>1521</v>
      </c>
      <c r="U1240" s="1"/>
    </row>
    <row r="1241" ht="15.75" customHeight="1">
      <c r="A1241" s="1" t="s">
        <v>1494</v>
      </c>
      <c r="B1241" s="1" t="s">
        <v>77</v>
      </c>
      <c r="C1241" s="1" t="s">
        <v>1522</v>
      </c>
      <c r="U1241" s="1"/>
    </row>
    <row r="1242" ht="15.75" customHeight="1">
      <c r="A1242" s="1" t="s">
        <v>1494</v>
      </c>
      <c r="B1242" s="1" t="s">
        <v>77</v>
      </c>
      <c r="C1242" s="1" t="s">
        <v>1523</v>
      </c>
      <c r="U1242" s="1"/>
    </row>
    <row r="1243" ht="15.75" customHeight="1">
      <c r="A1243" s="1" t="s">
        <v>1494</v>
      </c>
      <c r="B1243" s="1" t="s">
        <v>77</v>
      </c>
      <c r="C1243" s="1" t="s">
        <v>1445</v>
      </c>
      <c r="U1243" s="1"/>
    </row>
    <row r="1244" ht="15.75" customHeight="1">
      <c r="A1244" s="1" t="s">
        <v>1494</v>
      </c>
      <c r="B1244" s="1" t="s">
        <v>77</v>
      </c>
      <c r="C1244" s="1" t="s">
        <v>143</v>
      </c>
      <c r="U1244" s="1"/>
    </row>
    <row r="1245" ht="15.75" customHeight="1">
      <c r="A1245" s="1" t="s">
        <v>1494</v>
      </c>
      <c r="B1245" s="1" t="s">
        <v>77</v>
      </c>
      <c r="C1245" s="1" t="s">
        <v>1446</v>
      </c>
      <c r="U1245" s="1"/>
    </row>
    <row r="1246" ht="15.75" customHeight="1">
      <c r="A1246" s="1" t="s">
        <v>1494</v>
      </c>
      <c r="B1246" s="1" t="s">
        <v>77</v>
      </c>
      <c r="C1246" s="1" t="s">
        <v>153</v>
      </c>
      <c r="U1246" s="1"/>
    </row>
    <row r="1247" ht="15.75" customHeight="1">
      <c r="A1247" s="1" t="s">
        <v>1494</v>
      </c>
      <c r="B1247" s="1" t="s">
        <v>77</v>
      </c>
      <c r="C1247" s="1" t="s">
        <v>1447</v>
      </c>
      <c r="U1247" s="1"/>
    </row>
    <row r="1248" ht="15.75" customHeight="1">
      <c r="A1248" s="1" t="s">
        <v>1494</v>
      </c>
      <c r="B1248" s="1" t="s">
        <v>158</v>
      </c>
      <c r="C1248" s="1" t="s">
        <v>159</v>
      </c>
      <c r="U1248" s="1"/>
    </row>
    <row r="1249" ht="15.75" customHeight="1">
      <c r="A1249" s="1" t="s">
        <v>1494</v>
      </c>
      <c r="B1249" s="1" t="s">
        <v>158</v>
      </c>
      <c r="C1249" s="1" t="s">
        <v>1524</v>
      </c>
      <c r="U1249" s="1"/>
    </row>
    <row r="1250" ht="15.75" customHeight="1">
      <c r="A1250" s="1" t="s">
        <v>1494</v>
      </c>
      <c r="B1250" s="1" t="s">
        <v>158</v>
      </c>
      <c r="C1250" s="1" t="s">
        <v>1525</v>
      </c>
      <c r="U1250" s="1"/>
    </row>
    <row r="1251" ht="15.75" customHeight="1">
      <c r="A1251" s="1" t="s">
        <v>1494</v>
      </c>
      <c r="B1251" s="1" t="s">
        <v>158</v>
      </c>
      <c r="C1251" s="1" t="s">
        <v>163</v>
      </c>
      <c r="U1251" s="1"/>
    </row>
    <row r="1252" ht="15.75" customHeight="1">
      <c r="A1252" s="1" t="s">
        <v>1494</v>
      </c>
      <c r="B1252" s="1" t="s">
        <v>158</v>
      </c>
      <c r="C1252" s="1" t="s">
        <v>1526</v>
      </c>
      <c r="U1252" s="1"/>
    </row>
    <row r="1253" ht="15.75" customHeight="1">
      <c r="A1253" s="1" t="s">
        <v>1494</v>
      </c>
      <c r="B1253" s="1" t="s">
        <v>158</v>
      </c>
      <c r="C1253" s="1" t="s">
        <v>1527</v>
      </c>
      <c r="U1253" s="1"/>
    </row>
    <row r="1254" ht="15.75" customHeight="1">
      <c r="A1254" s="1" t="s">
        <v>1494</v>
      </c>
      <c r="B1254" s="1" t="s">
        <v>158</v>
      </c>
      <c r="C1254" s="1" t="s">
        <v>1528</v>
      </c>
      <c r="U1254" s="1"/>
    </row>
    <row r="1255" ht="15.75" customHeight="1">
      <c r="A1255" s="1" t="s">
        <v>1494</v>
      </c>
      <c r="B1255" s="1" t="s">
        <v>158</v>
      </c>
      <c r="C1255" s="1" t="s">
        <v>1529</v>
      </c>
      <c r="U1255" s="1"/>
    </row>
    <row r="1256" ht="15.75" customHeight="1">
      <c r="A1256" s="1" t="s">
        <v>1494</v>
      </c>
      <c r="B1256" s="1" t="s">
        <v>158</v>
      </c>
      <c r="C1256" s="1" t="s">
        <v>189</v>
      </c>
      <c r="U1256" s="1"/>
    </row>
    <row r="1257" ht="15.75" customHeight="1">
      <c r="A1257" s="1" t="s">
        <v>1494</v>
      </c>
      <c r="B1257" s="1" t="s">
        <v>158</v>
      </c>
      <c r="C1257" s="1" t="s">
        <v>1530</v>
      </c>
      <c r="U1257" s="1"/>
    </row>
    <row r="1258" ht="15.75" customHeight="1">
      <c r="A1258" s="1" t="s">
        <v>1494</v>
      </c>
      <c r="B1258" s="1" t="s">
        <v>158</v>
      </c>
      <c r="C1258" s="1" t="s">
        <v>1531</v>
      </c>
      <c r="U1258" s="1"/>
    </row>
    <row r="1259" ht="15.75" customHeight="1">
      <c r="A1259" s="1" t="s">
        <v>1494</v>
      </c>
      <c r="B1259" s="1" t="s">
        <v>158</v>
      </c>
      <c r="C1259" s="1" t="s">
        <v>1532</v>
      </c>
      <c r="U1259" s="1"/>
    </row>
    <row r="1260" ht="15.75" customHeight="1">
      <c r="A1260" s="1" t="s">
        <v>1494</v>
      </c>
      <c r="B1260" s="1" t="s">
        <v>158</v>
      </c>
      <c r="C1260" s="1" t="s">
        <v>201</v>
      </c>
      <c r="U1260" s="1"/>
    </row>
    <row r="1261" ht="15.75" customHeight="1">
      <c r="A1261" s="1" t="s">
        <v>1494</v>
      </c>
      <c r="B1261" s="1" t="s">
        <v>158</v>
      </c>
      <c r="C1261" s="1" t="s">
        <v>1533</v>
      </c>
      <c r="U1261" s="1"/>
    </row>
    <row r="1262" ht="15.75" customHeight="1">
      <c r="A1262" s="1" t="s">
        <v>1494</v>
      </c>
      <c r="B1262" s="1" t="s">
        <v>158</v>
      </c>
      <c r="C1262" s="1" t="s">
        <v>1534</v>
      </c>
      <c r="U1262" s="1"/>
    </row>
    <row r="1263" ht="15.75" customHeight="1">
      <c r="A1263" s="1" t="s">
        <v>1494</v>
      </c>
      <c r="B1263" s="1" t="s">
        <v>158</v>
      </c>
      <c r="C1263" s="1" t="s">
        <v>1535</v>
      </c>
      <c r="U1263" s="1"/>
    </row>
    <row r="1264" ht="15.75" customHeight="1">
      <c r="A1264" s="1" t="s">
        <v>1494</v>
      </c>
      <c r="B1264" s="1" t="s">
        <v>158</v>
      </c>
      <c r="C1264" s="1" t="s">
        <v>221</v>
      </c>
      <c r="U1264" s="1"/>
    </row>
    <row r="1265" ht="15.75" customHeight="1">
      <c r="A1265" s="1" t="s">
        <v>1494</v>
      </c>
      <c r="B1265" s="1" t="s">
        <v>158</v>
      </c>
      <c r="C1265" s="1" t="s">
        <v>1536</v>
      </c>
      <c r="U1265" s="1"/>
    </row>
    <row r="1266" ht="15.75" customHeight="1">
      <c r="A1266" s="1" t="s">
        <v>1494</v>
      </c>
      <c r="B1266" s="1" t="s">
        <v>158</v>
      </c>
      <c r="C1266" s="1" t="s">
        <v>235</v>
      </c>
      <c r="U1266" s="1"/>
    </row>
    <row r="1267" ht="15.75" customHeight="1">
      <c r="A1267" s="1" t="s">
        <v>1494</v>
      </c>
      <c r="B1267" s="1" t="s">
        <v>158</v>
      </c>
      <c r="C1267" s="1" t="s">
        <v>1450</v>
      </c>
      <c r="U1267" s="1"/>
    </row>
    <row r="1268" ht="15.75" customHeight="1">
      <c r="A1268" s="1" t="s">
        <v>1494</v>
      </c>
      <c r="B1268" s="1" t="s">
        <v>158</v>
      </c>
      <c r="C1268" s="1" t="s">
        <v>1537</v>
      </c>
      <c r="U1268" s="1"/>
    </row>
    <row r="1269" ht="15.75" customHeight="1">
      <c r="A1269" s="1" t="s">
        <v>1494</v>
      </c>
      <c r="B1269" s="1" t="s">
        <v>330</v>
      </c>
      <c r="C1269" s="1" t="s">
        <v>1538</v>
      </c>
      <c r="U1269" s="1"/>
    </row>
    <row r="1270" ht="15.75" customHeight="1">
      <c r="A1270" s="1" t="s">
        <v>1494</v>
      </c>
      <c r="B1270" s="1" t="s">
        <v>330</v>
      </c>
      <c r="C1270" s="1" t="s">
        <v>1539</v>
      </c>
      <c r="U1270" s="1"/>
    </row>
    <row r="1271" ht="15.75" customHeight="1">
      <c r="A1271" s="1" t="s">
        <v>1494</v>
      </c>
      <c r="B1271" s="1" t="s">
        <v>330</v>
      </c>
      <c r="C1271" s="1" t="s">
        <v>1540</v>
      </c>
      <c r="U1271" s="1"/>
    </row>
    <row r="1272" ht="15.75" customHeight="1">
      <c r="A1272" s="1" t="s">
        <v>1494</v>
      </c>
      <c r="B1272" s="1" t="s">
        <v>330</v>
      </c>
      <c r="C1272" s="1" t="s">
        <v>1452</v>
      </c>
      <c r="U1272" s="1"/>
    </row>
    <row r="1273" ht="15.75" customHeight="1">
      <c r="A1273" s="1" t="s">
        <v>1494</v>
      </c>
      <c r="B1273" s="1" t="s">
        <v>330</v>
      </c>
      <c r="C1273" s="1" t="s">
        <v>1541</v>
      </c>
      <c r="U1273" s="1"/>
    </row>
    <row r="1274" ht="15.75" customHeight="1">
      <c r="A1274" s="1" t="s">
        <v>1494</v>
      </c>
      <c r="B1274" s="1" t="s">
        <v>330</v>
      </c>
      <c r="C1274" s="1" t="s">
        <v>1542</v>
      </c>
      <c r="U1274" s="1"/>
    </row>
    <row r="1275" ht="15.75" customHeight="1">
      <c r="A1275" s="1" t="s">
        <v>1494</v>
      </c>
      <c r="B1275" s="1" t="s">
        <v>330</v>
      </c>
      <c r="C1275" s="1" t="s">
        <v>1543</v>
      </c>
      <c r="U1275" s="1"/>
    </row>
    <row r="1276" ht="15.75" customHeight="1">
      <c r="A1276" s="1" t="s">
        <v>1494</v>
      </c>
      <c r="B1276" s="1" t="s">
        <v>330</v>
      </c>
      <c r="C1276" s="1" t="s">
        <v>1454</v>
      </c>
      <c r="U1276" s="1"/>
    </row>
    <row r="1277" ht="15.75" customHeight="1">
      <c r="A1277" s="1" t="s">
        <v>1494</v>
      </c>
      <c r="B1277" s="1" t="s">
        <v>330</v>
      </c>
      <c r="C1277" s="1" t="s">
        <v>1544</v>
      </c>
      <c r="U1277" s="1"/>
    </row>
    <row r="1278" ht="15.75" customHeight="1">
      <c r="A1278" s="1" t="s">
        <v>1494</v>
      </c>
      <c r="B1278" s="1" t="s">
        <v>330</v>
      </c>
      <c r="C1278" s="1" t="s">
        <v>1545</v>
      </c>
      <c r="U1278" s="1"/>
    </row>
    <row r="1279" ht="15.75" customHeight="1">
      <c r="A1279" s="1" t="s">
        <v>1494</v>
      </c>
      <c r="B1279" s="1" t="s">
        <v>330</v>
      </c>
      <c r="C1279" s="1" t="s">
        <v>1546</v>
      </c>
      <c r="U1279" s="1"/>
    </row>
    <row r="1280" ht="15.75" customHeight="1">
      <c r="A1280" s="1" t="s">
        <v>1494</v>
      </c>
      <c r="B1280" s="1" t="s">
        <v>330</v>
      </c>
      <c r="C1280" s="1" t="s">
        <v>1547</v>
      </c>
      <c r="U1280" s="1"/>
    </row>
    <row r="1281" ht="15.75" customHeight="1">
      <c r="A1281" s="1" t="s">
        <v>1494</v>
      </c>
      <c r="B1281" s="1" t="s">
        <v>378</v>
      </c>
      <c r="C1281" s="1" t="s">
        <v>1548</v>
      </c>
      <c r="U1281" s="1"/>
    </row>
    <row r="1282" ht="15.75" customHeight="1">
      <c r="A1282" s="1" t="s">
        <v>1494</v>
      </c>
      <c r="B1282" s="1" t="s">
        <v>378</v>
      </c>
      <c r="C1282" s="1" t="s">
        <v>1549</v>
      </c>
      <c r="U1282" s="1"/>
    </row>
    <row r="1283" ht="15.75" customHeight="1">
      <c r="A1283" s="1" t="s">
        <v>1494</v>
      </c>
      <c r="B1283" s="1" t="s">
        <v>378</v>
      </c>
      <c r="C1283" s="1" t="s">
        <v>1550</v>
      </c>
      <c r="U1283" s="1"/>
    </row>
    <row r="1284" ht="15.75" customHeight="1">
      <c r="A1284" s="1" t="s">
        <v>1494</v>
      </c>
      <c r="B1284" s="1" t="s">
        <v>378</v>
      </c>
      <c r="C1284" s="1" t="s">
        <v>1551</v>
      </c>
      <c r="U1284" s="1"/>
    </row>
    <row r="1285" ht="15.75" customHeight="1">
      <c r="A1285" s="1" t="s">
        <v>1494</v>
      </c>
      <c r="B1285" s="1" t="s">
        <v>378</v>
      </c>
      <c r="C1285" s="1" t="s">
        <v>1552</v>
      </c>
      <c r="U1285" s="1"/>
    </row>
    <row r="1286" ht="15.75" customHeight="1">
      <c r="A1286" s="1" t="s">
        <v>1494</v>
      </c>
      <c r="B1286" s="1" t="s">
        <v>378</v>
      </c>
      <c r="C1286" s="1" t="s">
        <v>1553</v>
      </c>
      <c r="U1286" s="1"/>
    </row>
    <row r="1287" ht="15.75" customHeight="1">
      <c r="A1287" s="1" t="s">
        <v>1494</v>
      </c>
      <c r="B1287" s="1" t="s">
        <v>378</v>
      </c>
      <c r="C1287" s="1" t="s">
        <v>1469</v>
      </c>
      <c r="U1287" s="1"/>
    </row>
    <row r="1288" ht="15.75" customHeight="1">
      <c r="A1288" s="1" t="s">
        <v>1494</v>
      </c>
      <c r="B1288" s="1" t="s">
        <v>378</v>
      </c>
      <c r="C1288" s="1" t="s">
        <v>1554</v>
      </c>
      <c r="U1288" s="1"/>
    </row>
    <row r="1289" ht="15.75" customHeight="1">
      <c r="A1289" s="1" t="s">
        <v>1494</v>
      </c>
      <c r="B1289" s="1" t="s">
        <v>378</v>
      </c>
      <c r="C1289" s="1" t="s">
        <v>1555</v>
      </c>
      <c r="U1289" s="1"/>
    </row>
    <row r="1290" ht="15.75" customHeight="1">
      <c r="A1290" s="1" t="s">
        <v>1494</v>
      </c>
      <c r="B1290" s="1" t="s">
        <v>1071</v>
      </c>
      <c r="C1290" s="1" t="s">
        <v>1556</v>
      </c>
      <c r="U1290" s="1"/>
    </row>
    <row r="1291" ht="15.75" customHeight="1">
      <c r="A1291" s="1" t="s">
        <v>1494</v>
      </c>
      <c r="B1291" s="1" t="s">
        <v>1071</v>
      </c>
      <c r="C1291" s="1" t="s">
        <v>1557</v>
      </c>
      <c r="U1291" s="1"/>
    </row>
    <row r="1292" ht="15.75" customHeight="1">
      <c r="A1292" s="1" t="s">
        <v>1558</v>
      </c>
      <c r="B1292" s="1" t="s">
        <v>6</v>
      </c>
      <c r="C1292" s="1" t="s">
        <v>10</v>
      </c>
      <c r="U1292" s="1"/>
    </row>
    <row r="1293" ht="15.75" customHeight="1">
      <c r="A1293" s="1" t="s">
        <v>1558</v>
      </c>
      <c r="B1293" s="1" t="s">
        <v>6</v>
      </c>
      <c r="C1293" s="1" t="s">
        <v>18</v>
      </c>
      <c r="U1293" s="1"/>
    </row>
    <row r="1294" ht="15.75" customHeight="1">
      <c r="A1294" s="1" t="s">
        <v>1558</v>
      </c>
      <c r="B1294" s="1" t="s">
        <v>6</v>
      </c>
      <c r="C1294" s="1" t="s">
        <v>24</v>
      </c>
      <c r="U1294" s="1"/>
    </row>
    <row r="1295" ht="15.75" customHeight="1">
      <c r="A1295" s="1" t="s">
        <v>1558</v>
      </c>
      <c r="B1295" s="1" t="s">
        <v>29</v>
      </c>
      <c r="C1295" s="1" t="s">
        <v>30</v>
      </c>
      <c r="U1295" s="1"/>
    </row>
    <row r="1296" ht="15.75" customHeight="1">
      <c r="A1296" s="1" t="s">
        <v>1558</v>
      </c>
      <c r="B1296" s="1" t="s">
        <v>29</v>
      </c>
      <c r="C1296" s="1" t="s">
        <v>38</v>
      </c>
      <c r="U1296" s="1"/>
    </row>
    <row r="1297" ht="15.75" customHeight="1">
      <c r="A1297" s="1" t="s">
        <v>1558</v>
      </c>
      <c r="B1297" s="1" t="s">
        <v>29</v>
      </c>
      <c r="C1297" s="1" t="s">
        <v>52</v>
      </c>
      <c r="U1297" s="1"/>
    </row>
    <row r="1298" ht="15.75" customHeight="1">
      <c r="A1298" s="1" t="s">
        <v>1558</v>
      </c>
      <c r="B1298" s="1" t="s">
        <v>29</v>
      </c>
      <c r="C1298" s="1" t="s">
        <v>57</v>
      </c>
      <c r="U1298" s="1"/>
    </row>
    <row r="1299" ht="15.75" customHeight="1">
      <c r="A1299" s="1" t="s">
        <v>1558</v>
      </c>
      <c r="B1299" s="1" t="s">
        <v>29</v>
      </c>
      <c r="C1299" s="1" t="s">
        <v>63</v>
      </c>
      <c r="U1299" s="1"/>
    </row>
    <row r="1300" ht="15.75" customHeight="1">
      <c r="A1300" s="1" t="s">
        <v>1558</v>
      </c>
      <c r="B1300" s="1" t="s">
        <v>29</v>
      </c>
      <c r="C1300" s="1" t="s">
        <v>72</v>
      </c>
      <c r="U1300" s="1"/>
    </row>
    <row r="1301" ht="15.75" customHeight="1">
      <c r="A1301" s="1" t="s">
        <v>1558</v>
      </c>
      <c r="B1301" s="1" t="s">
        <v>77</v>
      </c>
      <c r="C1301" s="1" t="s">
        <v>78</v>
      </c>
      <c r="U1301" s="1"/>
    </row>
    <row r="1302" ht="15.75" customHeight="1">
      <c r="A1302" s="1" t="s">
        <v>1558</v>
      </c>
      <c r="B1302" s="1" t="s">
        <v>77</v>
      </c>
      <c r="C1302" s="1" t="s">
        <v>84</v>
      </c>
      <c r="U1302" s="1"/>
    </row>
    <row r="1303" ht="15.75" customHeight="1">
      <c r="A1303" s="1" t="s">
        <v>1558</v>
      </c>
      <c r="B1303" s="1" t="s">
        <v>77</v>
      </c>
      <c r="C1303" s="1" t="s">
        <v>91</v>
      </c>
      <c r="U1303" s="1"/>
    </row>
    <row r="1304" ht="15.75" customHeight="1">
      <c r="A1304" s="1" t="s">
        <v>1558</v>
      </c>
      <c r="B1304" s="1" t="s">
        <v>77</v>
      </c>
      <c r="C1304" s="1" t="s">
        <v>96</v>
      </c>
      <c r="U1304" s="1"/>
    </row>
    <row r="1305" ht="15.75" customHeight="1">
      <c r="A1305" s="1" t="s">
        <v>1558</v>
      </c>
      <c r="B1305" s="1" t="s">
        <v>77</v>
      </c>
      <c r="C1305" s="1" t="s">
        <v>98</v>
      </c>
      <c r="U1305" s="1"/>
    </row>
    <row r="1306" ht="15.75" customHeight="1">
      <c r="A1306" s="1" t="s">
        <v>1558</v>
      </c>
      <c r="B1306" s="1" t="s">
        <v>77</v>
      </c>
      <c r="C1306" s="1" t="s">
        <v>114</v>
      </c>
      <c r="U1306" s="1"/>
    </row>
    <row r="1307" ht="15.75" customHeight="1">
      <c r="A1307" s="1" t="s">
        <v>1558</v>
      </c>
      <c r="B1307" s="1" t="s">
        <v>77</v>
      </c>
      <c r="C1307" s="1" t="s">
        <v>118</v>
      </c>
      <c r="U1307" s="1"/>
    </row>
    <row r="1308" ht="15.75" customHeight="1">
      <c r="A1308" s="1" t="s">
        <v>1558</v>
      </c>
      <c r="B1308" s="1" t="s">
        <v>77</v>
      </c>
      <c r="C1308" s="1" t="s">
        <v>126</v>
      </c>
      <c r="U1308" s="1"/>
    </row>
    <row r="1309" ht="15.75" customHeight="1">
      <c r="A1309" s="1" t="s">
        <v>1558</v>
      </c>
      <c r="B1309" s="1" t="s">
        <v>77</v>
      </c>
      <c r="C1309" s="1" t="s">
        <v>128</v>
      </c>
      <c r="U1309" s="1"/>
    </row>
    <row r="1310" ht="15.75" customHeight="1">
      <c r="A1310" s="1" t="s">
        <v>1558</v>
      </c>
      <c r="B1310" s="1" t="s">
        <v>77</v>
      </c>
      <c r="C1310" s="1" t="s">
        <v>136</v>
      </c>
      <c r="U1310" s="1"/>
    </row>
    <row r="1311" ht="15.75" customHeight="1">
      <c r="A1311" s="1" t="s">
        <v>1558</v>
      </c>
      <c r="B1311" s="1" t="s">
        <v>77</v>
      </c>
      <c r="C1311" s="1" t="s">
        <v>138</v>
      </c>
      <c r="U1311" s="1"/>
    </row>
    <row r="1312" ht="15.75" customHeight="1">
      <c r="A1312" s="1" t="s">
        <v>1558</v>
      </c>
      <c r="B1312" s="1" t="s">
        <v>77</v>
      </c>
      <c r="C1312" s="1" t="s">
        <v>141</v>
      </c>
      <c r="U1312" s="1"/>
    </row>
    <row r="1313" ht="15.75" customHeight="1">
      <c r="A1313" s="1" t="s">
        <v>1558</v>
      </c>
      <c r="B1313" s="1" t="s">
        <v>77</v>
      </c>
      <c r="C1313" s="1" t="s">
        <v>146</v>
      </c>
      <c r="U1313" s="1"/>
    </row>
    <row r="1314" ht="15.75" customHeight="1">
      <c r="A1314" s="1" t="s">
        <v>1558</v>
      </c>
      <c r="B1314" s="1" t="s">
        <v>158</v>
      </c>
      <c r="C1314" s="1" t="s">
        <v>167</v>
      </c>
      <c r="U1314" s="1"/>
    </row>
    <row r="1315" ht="15.75" customHeight="1">
      <c r="A1315" s="1" t="s">
        <v>1558</v>
      </c>
      <c r="B1315" s="1" t="s">
        <v>158</v>
      </c>
      <c r="C1315" s="1" t="s">
        <v>173</v>
      </c>
      <c r="U1315" s="1"/>
    </row>
    <row r="1316" ht="15.75" customHeight="1">
      <c r="A1316" s="1" t="s">
        <v>1558</v>
      </c>
      <c r="B1316" s="1" t="s">
        <v>158</v>
      </c>
      <c r="C1316" s="1" t="s">
        <v>185</v>
      </c>
      <c r="U1316" s="1"/>
    </row>
    <row r="1317" ht="15.75" customHeight="1">
      <c r="A1317" s="1" t="s">
        <v>1558</v>
      </c>
      <c r="B1317" s="1" t="s">
        <v>158</v>
      </c>
      <c r="C1317" s="1" t="s">
        <v>217</v>
      </c>
      <c r="U1317" s="1"/>
    </row>
    <row r="1318" ht="15.75" customHeight="1">
      <c r="A1318" s="1" t="s">
        <v>1558</v>
      </c>
      <c r="B1318" s="1" t="s">
        <v>158</v>
      </c>
      <c r="C1318" s="1" t="s">
        <v>219</v>
      </c>
      <c r="U1318" s="1"/>
    </row>
    <row r="1319" ht="15.75" customHeight="1">
      <c r="A1319" s="1" t="s">
        <v>1558</v>
      </c>
      <c r="B1319" s="1" t="s">
        <v>330</v>
      </c>
      <c r="C1319" s="1" t="s">
        <v>690</v>
      </c>
      <c r="U1319" s="1"/>
    </row>
    <row r="1320" ht="15.75" customHeight="1">
      <c r="A1320" s="1" t="s">
        <v>1558</v>
      </c>
      <c r="B1320" s="1" t="s">
        <v>330</v>
      </c>
      <c r="C1320" s="1" t="s">
        <v>692</v>
      </c>
      <c r="U1320" s="1"/>
    </row>
    <row r="1321" ht="15.75" customHeight="1">
      <c r="A1321" s="1" t="s">
        <v>1558</v>
      </c>
      <c r="B1321" s="1" t="s">
        <v>330</v>
      </c>
      <c r="C1321" s="1" t="s">
        <v>694</v>
      </c>
      <c r="U1321" s="1"/>
    </row>
    <row r="1322" ht="15.75" customHeight="1">
      <c r="A1322" s="1" t="s">
        <v>1558</v>
      </c>
      <c r="B1322" s="1" t="s">
        <v>330</v>
      </c>
      <c r="C1322" s="1" t="s">
        <v>696</v>
      </c>
      <c r="U1322" s="1"/>
    </row>
    <row r="1323" ht="15.75" customHeight="1">
      <c r="A1323" s="1" t="s">
        <v>1558</v>
      </c>
      <c r="B1323" s="1" t="s">
        <v>330</v>
      </c>
      <c r="C1323" s="1" t="s">
        <v>699</v>
      </c>
      <c r="U1323" s="1"/>
    </row>
    <row r="1324" ht="15.75" customHeight="1">
      <c r="A1324" s="1" t="s">
        <v>1558</v>
      </c>
      <c r="B1324" s="1" t="s">
        <v>330</v>
      </c>
      <c r="C1324" s="1" t="s">
        <v>706</v>
      </c>
      <c r="U1324" s="1"/>
    </row>
    <row r="1325" ht="15.75" customHeight="1">
      <c r="A1325" s="1" t="s">
        <v>1558</v>
      </c>
      <c r="B1325" s="1" t="s">
        <v>330</v>
      </c>
      <c r="C1325" s="1" t="s">
        <v>708</v>
      </c>
      <c r="U1325" s="1"/>
    </row>
    <row r="1326" ht="15.75" customHeight="1">
      <c r="A1326" s="1" t="s">
        <v>1558</v>
      </c>
      <c r="B1326" s="1" t="s">
        <v>330</v>
      </c>
      <c r="C1326" s="1" t="s">
        <v>704</v>
      </c>
      <c r="U1326" s="1"/>
    </row>
    <row r="1327" ht="15.75" customHeight="1">
      <c r="A1327" s="1" t="s">
        <v>1558</v>
      </c>
      <c r="B1327" s="1" t="s">
        <v>330</v>
      </c>
      <c r="C1327" s="1" t="s">
        <v>710</v>
      </c>
      <c r="U1327" s="1"/>
    </row>
    <row r="1328" ht="15.75" customHeight="1">
      <c r="A1328" s="1" t="s">
        <v>1558</v>
      </c>
      <c r="B1328" s="1" t="s">
        <v>330</v>
      </c>
      <c r="C1328" s="1" t="s">
        <v>713</v>
      </c>
      <c r="U1328" s="1"/>
    </row>
    <row r="1329" ht="15.75" customHeight="1">
      <c r="A1329" s="1" t="s">
        <v>1558</v>
      </c>
      <c r="B1329" s="1" t="s">
        <v>330</v>
      </c>
      <c r="C1329" s="1" t="s">
        <v>715</v>
      </c>
      <c r="U1329" s="1"/>
    </row>
    <row r="1330" ht="15.75" customHeight="1">
      <c r="A1330" s="1" t="s">
        <v>1558</v>
      </c>
      <c r="B1330" s="1" t="s">
        <v>330</v>
      </c>
      <c r="C1330" s="1" t="s">
        <v>717</v>
      </c>
      <c r="U1330" s="1"/>
    </row>
    <row r="1331" ht="15.75" customHeight="1">
      <c r="A1331" s="1" t="s">
        <v>1558</v>
      </c>
      <c r="B1331" s="1" t="s">
        <v>330</v>
      </c>
      <c r="C1331" s="1" t="s">
        <v>719</v>
      </c>
      <c r="U1331" s="1"/>
    </row>
    <row r="1332" ht="15.75" customHeight="1">
      <c r="A1332" s="1" t="s">
        <v>1558</v>
      </c>
      <c r="B1332" s="1" t="s">
        <v>330</v>
      </c>
      <c r="C1332" s="1" t="s">
        <v>721</v>
      </c>
      <c r="U1332" s="1"/>
    </row>
    <row r="1333" ht="15.75" customHeight="1">
      <c r="A1333" s="1" t="s">
        <v>1558</v>
      </c>
      <c r="B1333" s="1" t="s">
        <v>330</v>
      </c>
      <c r="C1333" s="1" t="s">
        <v>723</v>
      </c>
      <c r="U1333" s="1"/>
    </row>
    <row r="1334" ht="15.75" customHeight="1">
      <c r="A1334" s="1" t="s">
        <v>1558</v>
      </c>
      <c r="B1334" s="1" t="s">
        <v>330</v>
      </c>
      <c r="C1334" s="1" t="s">
        <v>725</v>
      </c>
      <c r="U1334" s="1"/>
    </row>
    <row r="1335" ht="15.75" customHeight="1">
      <c r="A1335" s="1" t="s">
        <v>1558</v>
      </c>
      <c r="B1335" s="1" t="s">
        <v>378</v>
      </c>
      <c r="C1335" s="1" t="s">
        <v>728</v>
      </c>
      <c r="U1335" s="1"/>
    </row>
    <row r="1336" ht="15.75" customHeight="1">
      <c r="A1336" s="1" t="s">
        <v>1558</v>
      </c>
      <c r="B1336" s="1" t="s">
        <v>378</v>
      </c>
      <c r="C1336" s="1" t="s">
        <v>731</v>
      </c>
      <c r="U1336" s="1"/>
    </row>
    <row r="1337" ht="15.75" customHeight="1">
      <c r="A1337" s="1" t="s">
        <v>1558</v>
      </c>
      <c r="B1337" s="1" t="s">
        <v>378</v>
      </c>
      <c r="C1337" s="1" t="s">
        <v>389</v>
      </c>
      <c r="U1337" s="1"/>
    </row>
    <row r="1338" ht="15.75" customHeight="1">
      <c r="A1338" s="1" t="s">
        <v>1558</v>
      </c>
      <c r="B1338" s="1" t="s">
        <v>378</v>
      </c>
      <c r="C1338" s="1" t="s">
        <v>734</v>
      </c>
      <c r="U1338" s="1"/>
    </row>
    <row r="1339" ht="15.75" customHeight="1">
      <c r="A1339" s="1" t="s">
        <v>1558</v>
      </c>
      <c r="B1339" s="1" t="s">
        <v>378</v>
      </c>
      <c r="C1339" s="1" t="s">
        <v>737</v>
      </c>
      <c r="U1339" s="1"/>
    </row>
    <row r="1340" ht="15.75" customHeight="1">
      <c r="A1340" s="1" t="s">
        <v>1558</v>
      </c>
      <c r="B1340" s="1" t="s">
        <v>403</v>
      </c>
      <c r="C1340" s="1" t="s">
        <v>740</v>
      </c>
      <c r="U1340" s="1"/>
    </row>
    <row r="1341" ht="15.75" customHeight="1">
      <c r="A1341" s="1" t="s">
        <v>1558</v>
      </c>
      <c r="B1341" s="1" t="s">
        <v>403</v>
      </c>
      <c r="C1341" s="1" t="s">
        <v>408</v>
      </c>
      <c r="U1341" s="1"/>
    </row>
    <row r="1342" ht="15.75" customHeight="1">
      <c r="A1342" s="1" t="s">
        <v>1558</v>
      </c>
      <c r="B1342" s="1" t="s">
        <v>403</v>
      </c>
      <c r="C1342" s="1" t="s">
        <v>414</v>
      </c>
      <c r="U1342" s="1"/>
    </row>
    <row r="1343" ht="15.75" customHeight="1">
      <c r="A1343" s="1" t="s">
        <v>1558</v>
      </c>
      <c r="B1343" s="1" t="s">
        <v>403</v>
      </c>
      <c r="C1343" s="1" t="s">
        <v>418</v>
      </c>
      <c r="U1343" s="1"/>
    </row>
    <row r="1344" ht="15.75" customHeight="1">
      <c r="A1344" s="1" t="s">
        <v>1558</v>
      </c>
      <c r="B1344" s="1" t="s">
        <v>403</v>
      </c>
      <c r="C1344" s="1" t="s">
        <v>745</v>
      </c>
      <c r="U1344" s="1"/>
    </row>
    <row r="1345" ht="15.75" customHeight="1">
      <c r="A1345" s="1" t="s">
        <v>1558</v>
      </c>
      <c r="B1345" s="1" t="s">
        <v>403</v>
      </c>
      <c r="C1345" s="1" t="s">
        <v>747</v>
      </c>
      <c r="U1345" s="1"/>
    </row>
    <row r="1346" ht="15.75" customHeight="1">
      <c r="A1346" s="1" t="s">
        <v>1558</v>
      </c>
      <c r="B1346" s="1" t="s">
        <v>403</v>
      </c>
      <c r="C1346" s="1" t="s">
        <v>416</v>
      </c>
      <c r="U1346" s="1"/>
    </row>
    <row r="1347" ht="15.75" customHeight="1">
      <c r="A1347" s="1" t="s">
        <v>1558</v>
      </c>
      <c r="B1347" s="1" t="s">
        <v>403</v>
      </c>
      <c r="C1347" s="1" t="s">
        <v>750</v>
      </c>
      <c r="U1347" s="1"/>
    </row>
    <row r="1348" ht="15.75" customHeight="1">
      <c r="A1348" s="1" t="s">
        <v>1558</v>
      </c>
      <c r="B1348" s="1" t="s">
        <v>403</v>
      </c>
      <c r="C1348" s="1" t="s">
        <v>410</v>
      </c>
      <c r="U1348" s="1"/>
    </row>
    <row r="1349" ht="15.75" customHeight="1">
      <c r="A1349" s="1" t="s">
        <v>1558</v>
      </c>
      <c r="B1349" s="1" t="s">
        <v>403</v>
      </c>
      <c r="C1349" s="1" t="s">
        <v>420</v>
      </c>
      <c r="U1349" s="1"/>
    </row>
    <row r="1350" ht="15.75" customHeight="1">
      <c r="A1350" s="1" t="s">
        <v>1558</v>
      </c>
      <c r="B1350" s="1" t="s">
        <v>403</v>
      </c>
      <c r="C1350" s="1" t="s">
        <v>756</v>
      </c>
      <c r="U1350" s="1"/>
    </row>
    <row r="1351" ht="15.75" customHeight="1">
      <c r="A1351" s="1" t="s">
        <v>1558</v>
      </c>
      <c r="B1351" s="1" t="s">
        <v>403</v>
      </c>
      <c r="C1351" s="1" t="s">
        <v>754</v>
      </c>
      <c r="U1351" s="1"/>
    </row>
    <row r="1352" ht="15.75" customHeight="1">
      <c r="A1352" s="1" t="s">
        <v>1558</v>
      </c>
      <c r="B1352" s="1" t="s">
        <v>403</v>
      </c>
      <c r="C1352" s="1" t="s">
        <v>1559</v>
      </c>
      <c r="U1352" s="1"/>
    </row>
    <row r="1353" ht="15.75" customHeight="1">
      <c r="A1353" s="1" t="s">
        <v>1558</v>
      </c>
      <c r="B1353" s="1" t="s">
        <v>403</v>
      </c>
      <c r="C1353" s="1" t="s">
        <v>1346</v>
      </c>
      <c r="U1353" s="1"/>
    </row>
    <row r="1354" ht="15.75" customHeight="1">
      <c r="A1354" s="1" t="s">
        <v>1558</v>
      </c>
      <c r="B1354" s="1" t="s">
        <v>403</v>
      </c>
      <c r="C1354" s="1" t="s">
        <v>1560</v>
      </c>
      <c r="U1354" s="1"/>
    </row>
    <row r="1355" ht="15.75" customHeight="1">
      <c r="A1355" s="1" t="s">
        <v>1558</v>
      </c>
      <c r="B1355" s="1" t="s">
        <v>403</v>
      </c>
      <c r="C1355" s="1" t="s">
        <v>1561</v>
      </c>
      <c r="U1355" s="1"/>
    </row>
    <row r="1356" ht="15.75" customHeight="1">
      <c r="A1356" s="1" t="s">
        <v>1558</v>
      </c>
      <c r="B1356" s="1" t="s">
        <v>403</v>
      </c>
      <c r="C1356" s="1" t="s">
        <v>1562</v>
      </c>
      <c r="U1356" s="1"/>
    </row>
    <row r="1357" ht="15.75" customHeight="1">
      <c r="A1357" s="1" t="s">
        <v>1558</v>
      </c>
      <c r="B1357" s="1" t="s">
        <v>403</v>
      </c>
      <c r="C1357" s="1" t="s">
        <v>1563</v>
      </c>
      <c r="U1357" s="1"/>
    </row>
    <row r="1358" ht="15.75" customHeight="1">
      <c r="A1358" s="1" t="s">
        <v>1558</v>
      </c>
      <c r="B1358" s="1" t="s">
        <v>403</v>
      </c>
      <c r="C1358" s="1" t="s">
        <v>1564</v>
      </c>
      <c r="U1358" s="1"/>
    </row>
    <row r="1359" ht="15.75" customHeight="1">
      <c r="A1359" s="1" t="s">
        <v>1558</v>
      </c>
      <c r="B1359" s="1" t="s">
        <v>403</v>
      </c>
      <c r="C1359" s="1" t="s">
        <v>1565</v>
      </c>
      <c r="U1359" s="1"/>
    </row>
    <row r="1360" ht="15.75" customHeight="1">
      <c r="A1360" s="1" t="s">
        <v>1558</v>
      </c>
      <c r="B1360" s="1" t="s">
        <v>403</v>
      </c>
      <c r="C1360" s="1" t="s">
        <v>1566</v>
      </c>
      <c r="U1360" s="1"/>
    </row>
    <row r="1361" ht="15.75" customHeight="1">
      <c r="A1361" s="1" t="s">
        <v>1558</v>
      </c>
      <c r="B1361" s="1" t="s">
        <v>403</v>
      </c>
      <c r="C1361" s="1" t="s">
        <v>1567</v>
      </c>
      <c r="U1361" s="1"/>
    </row>
    <row r="1362" ht="15.75" customHeight="1">
      <c r="A1362" s="1" t="s">
        <v>1558</v>
      </c>
      <c r="B1362" s="1" t="s">
        <v>403</v>
      </c>
      <c r="C1362" s="1" t="s">
        <v>1568</v>
      </c>
      <c r="U1362" s="1"/>
    </row>
    <row r="1363" ht="15.75" customHeight="1">
      <c r="A1363" s="1" t="s">
        <v>1558</v>
      </c>
      <c r="B1363" s="1" t="s">
        <v>997</v>
      </c>
      <c r="C1363" s="1" t="s">
        <v>1569</v>
      </c>
      <c r="U1363" s="1"/>
    </row>
    <row r="1364" ht="15.75" customHeight="1">
      <c r="A1364" s="1" t="s">
        <v>1558</v>
      </c>
      <c r="B1364" s="1" t="s">
        <v>997</v>
      </c>
      <c r="C1364" s="1" t="s">
        <v>1570</v>
      </c>
      <c r="U1364" s="1"/>
    </row>
    <row r="1365" ht="15.75" customHeight="1">
      <c r="A1365" s="1" t="s">
        <v>1558</v>
      </c>
      <c r="B1365" s="1" t="s">
        <v>997</v>
      </c>
      <c r="C1365" s="1" t="s">
        <v>1571</v>
      </c>
      <c r="U1365" s="1"/>
    </row>
    <row r="1366" ht="15.75" customHeight="1">
      <c r="A1366" s="1" t="s">
        <v>1558</v>
      </c>
      <c r="B1366" s="1" t="s">
        <v>997</v>
      </c>
      <c r="C1366" s="1" t="s">
        <v>1572</v>
      </c>
      <c r="U1366" s="1"/>
    </row>
    <row r="1367" ht="15.75" customHeight="1">
      <c r="A1367" s="1" t="s">
        <v>1558</v>
      </c>
      <c r="B1367" s="1" t="s">
        <v>997</v>
      </c>
      <c r="C1367" s="1" t="s">
        <v>1347</v>
      </c>
      <c r="U1367" s="1"/>
    </row>
    <row r="1368" ht="15.75" customHeight="1">
      <c r="A1368" s="1" t="s">
        <v>1558</v>
      </c>
      <c r="B1368" s="1" t="s">
        <v>997</v>
      </c>
      <c r="C1368" s="1" t="s">
        <v>1573</v>
      </c>
      <c r="U1368" s="1"/>
    </row>
    <row r="1369" ht="15.75" customHeight="1">
      <c r="A1369" s="1" t="s">
        <v>1558</v>
      </c>
      <c r="B1369" s="1" t="s">
        <v>997</v>
      </c>
      <c r="C1369" s="1" t="s">
        <v>1574</v>
      </c>
      <c r="U1369" s="1"/>
    </row>
    <row r="1370" ht="15.75" customHeight="1">
      <c r="A1370" s="1" t="s">
        <v>1558</v>
      </c>
      <c r="B1370" s="1" t="s">
        <v>997</v>
      </c>
      <c r="C1370" s="1" t="s">
        <v>1575</v>
      </c>
      <c r="U1370" s="1"/>
    </row>
    <row r="1371" ht="15.75" customHeight="1">
      <c r="A1371" s="1" t="s">
        <v>1558</v>
      </c>
      <c r="B1371" s="1" t="s">
        <v>997</v>
      </c>
      <c r="C1371" s="1" t="s">
        <v>1576</v>
      </c>
      <c r="U1371" s="1"/>
    </row>
    <row r="1372" ht="15.75" customHeight="1">
      <c r="A1372" s="1" t="s">
        <v>1558</v>
      </c>
      <c r="B1372" s="1" t="s">
        <v>997</v>
      </c>
      <c r="C1372" s="1" t="s">
        <v>1577</v>
      </c>
      <c r="U1372" s="1"/>
    </row>
    <row r="1373" ht="15.75" customHeight="1">
      <c r="A1373" s="1" t="s">
        <v>1558</v>
      </c>
      <c r="B1373" s="1" t="s">
        <v>997</v>
      </c>
      <c r="C1373" s="1" t="s">
        <v>1350</v>
      </c>
      <c r="U1373" s="1"/>
    </row>
    <row r="1374" ht="15.75" customHeight="1">
      <c r="A1374" s="1" t="s">
        <v>1558</v>
      </c>
      <c r="B1374" s="1" t="s">
        <v>997</v>
      </c>
      <c r="C1374" s="1" t="s">
        <v>1476</v>
      </c>
      <c r="U1374" s="1"/>
    </row>
    <row r="1375" ht="15.75" customHeight="1">
      <c r="A1375" s="1" t="s">
        <v>1558</v>
      </c>
      <c r="B1375" s="1" t="s">
        <v>997</v>
      </c>
      <c r="C1375" s="1" t="s">
        <v>1578</v>
      </c>
      <c r="U1375" s="1"/>
    </row>
    <row r="1376" ht="15.75" customHeight="1">
      <c r="A1376" s="1" t="s">
        <v>1558</v>
      </c>
      <c r="B1376" s="1" t="s">
        <v>997</v>
      </c>
      <c r="C1376" s="1" t="s">
        <v>1353</v>
      </c>
      <c r="U1376" s="1"/>
    </row>
    <row r="1377" ht="15.75" customHeight="1">
      <c r="A1377" s="1" t="s">
        <v>1558</v>
      </c>
      <c r="B1377" s="1" t="s">
        <v>1071</v>
      </c>
      <c r="C1377" s="1" t="s">
        <v>1477</v>
      </c>
      <c r="U1377" s="1"/>
    </row>
    <row r="1378" ht="15.75" customHeight="1">
      <c r="A1378" s="1" t="s">
        <v>1558</v>
      </c>
      <c r="B1378" s="1" t="s">
        <v>1071</v>
      </c>
      <c r="C1378" s="1" t="s">
        <v>1579</v>
      </c>
      <c r="U1378" s="1"/>
    </row>
    <row r="1379" ht="15.75" customHeight="1">
      <c r="A1379" s="1" t="s">
        <v>1580</v>
      </c>
      <c r="B1379" s="1" t="s">
        <v>6</v>
      </c>
      <c r="C1379" s="1" t="s">
        <v>1581</v>
      </c>
      <c r="U1379" s="1"/>
    </row>
    <row r="1380" ht="15.75" customHeight="1">
      <c r="A1380" s="1" t="s">
        <v>1580</v>
      </c>
      <c r="B1380" s="1" t="s">
        <v>6</v>
      </c>
      <c r="C1380" s="1" t="s">
        <v>761</v>
      </c>
      <c r="U1380" s="1"/>
    </row>
    <row r="1381" ht="15.75" customHeight="1">
      <c r="A1381" s="1" t="s">
        <v>1580</v>
      </c>
      <c r="B1381" s="1" t="s">
        <v>6</v>
      </c>
      <c r="C1381" s="1" t="s">
        <v>919</v>
      </c>
      <c r="U1381" s="1"/>
    </row>
    <row r="1382" ht="15.75" customHeight="1">
      <c r="A1382" s="1" t="s">
        <v>1580</v>
      </c>
      <c r="B1382" s="1" t="s">
        <v>6</v>
      </c>
      <c r="C1382" s="1" t="s">
        <v>1582</v>
      </c>
      <c r="U1382" s="1"/>
    </row>
    <row r="1383" ht="15.75" customHeight="1">
      <c r="A1383" s="1" t="s">
        <v>1580</v>
      </c>
      <c r="B1383" s="1" t="s">
        <v>6</v>
      </c>
      <c r="C1383" s="1" t="s">
        <v>920</v>
      </c>
      <c r="U1383" s="1"/>
    </row>
    <row r="1384" ht="15.75" customHeight="1">
      <c r="A1384" s="1" t="s">
        <v>1580</v>
      </c>
      <c r="B1384" s="1" t="s">
        <v>29</v>
      </c>
      <c r="C1384" s="1" t="s">
        <v>33</v>
      </c>
      <c r="U1384" s="1"/>
    </row>
    <row r="1385" ht="15.75" customHeight="1">
      <c r="A1385" s="1" t="s">
        <v>1580</v>
      </c>
      <c r="B1385" s="1" t="s">
        <v>29</v>
      </c>
      <c r="C1385" s="1" t="s">
        <v>1583</v>
      </c>
      <c r="U1385" s="1"/>
    </row>
    <row r="1386" ht="15.75" customHeight="1">
      <c r="A1386" s="1" t="s">
        <v>1580</v>
      </c>
      <c r="B1386" s="1" t="s">
        <v>29</v>
      </c>
      <c r="C1386" s="1" t="s">
        <v>1584</v>
      </c>
      <c r="U1386" s="1"/>
    </row>
    <row r="1387" ht="15.75" customHeight="1">
      <c r="A1387" s="1" t="s">
        <v>1580</v>
      </c>
      <c r="B1387" s="1" t="s">
        <v>29</v>
      </c>
      <c r="C1387" s="1" t="s">
        <v>1585</v>
      </c>
      <c r="U1387" s="1"/>
    </row>
    <row r="1388" ht="15.75" customHeight="1">
      <c r="A1388" s="1" t="s">
        <v>1580</v>
      </c>
      <c r="B1388" s="1" t="s">
        <v>29</v>
      </c>
      <c r="C1388" s="1" t="s">
        <v>1586</v>
      </c>
      <c r="U1388" s="1"/>
    </row>
    <row r="1389" ht="15.75" customHeight="1">
      <c r="A1389" s="1" t="s">
        <v>1580</v>
      </c>
      <c r="B1389" s="1" t="s">
        <v>29</v>
      </c>
      <c r="C1389" s="1" t="s">
        <v>1587</v>
      </c>
      <c r="U1389" s="1"/>
    </row>
    <row r="1390" ht="15.75" customHeight="1">
      <c r="A1390" s="1" t="s">
        <v>1580</v>
      </c>
      <c r="B1390" s="1" t="s">
        <v>29</v>
      </c>
      <c r="C1390" s="1" t="s">
        <v>1588</v>
      </c>
      <c r="U1390" s="1"/>
    </row>
    <row r="1391" ht="15.75" customHeight="1">
      <c r="A1391" s="1" t="s">
        <v>1580</v>
      </c>
      <c r="B1391" s="1" t="s">
        <v>29</v>
      </c>
      <c r="C1391" s="1" t="s">
        <v>1589</v>
      </c>
      <c r="U1391" s="1"/>
    </row>
    <row r="1392" ht="15.75" customHeight="1">
      <c r="A1392" s="1" t="s">
        <v>1580</v>
      </c>
      <c r="B1392" s="1" t="s">
        <v>29</v>
      </c>
      <c r="C1392" s="1" t="s">
        <v>1590</v>
      </c>
      <c r="U1392" s="1"/>
    </row>
    <row r="1393" ht="15.75" customHeight="1">
      <c r="A1393" s="1" t="s">
        <v>1580</v>
      </c>
      <c r="B1393" s="1" t="s">
        <v>29</v>
      </c>
      <c r="C1393" s="1" t="s">
        <v>1591</v>
      </c>
      <c r="U1393" s="1"/>
    </row>
    <row r="1394" ht="15.75" customHeight="1">
      <c r="A1394" s="1" t="s">
        <v>1580</v>
      </c>
      <c r="B1394" s="1" t="s">
        <v>29</v>
      </c>
      <c r="C1394" s="1" t="s">
        <v>1592</v>
      </c>
      <c r="U1394" s="1"/>
    </row>
    <row r="1395" ht="15.75" customHeight="1">
      <c r="A1395" s="1" t="s">
        <v>1580</v>
      </c>
      <c r="B1395" s="1" t="s">
        <v>29</v>
      </c>
      <c r="C1395" s="1" t="s">
        <v>1593</v>
      </c>
      <c r="U1395" s="1"/>
    </row>
    <row r="1396" ht="15.75" customHeight="1">
      <c r="A1396" s="1" t="s">
        <v>1580</v>
      </c>
      <c r="B1396" s="1" t="s">
        <v>29</v>
      </c>
      <c r="C1396" s="1" t="s">
        <v>925</v>
      </c>
      <c r="U1396" s="1"/>
    </row>
    <row r="1397" ht="15.75" customHeight="1">
      <c r="A1397" s="1" t="s">
        <v>1580</v>
      </c>
      <c r="B1397" s="1" t="s">
        <v>77</v>
      </c>
      <c r="C1397" s="1" t="s">
        <v>1594</v>
      </c>
      <c r="U1397" s="1"/>
    </row>
    <row r="1398" ht="15.75" customHeight="1">
      <c r="A1398" s="1" t="s">
        <v>1580</v>
      </c>
      <c r="B1398" s="1" t="s">
        <v>77</v>
      </c>
      <c r="C1398" s="1" t="s">
        <v>1595</v>
      </c>
      <c r="U1398" s="1"/>
    </row>
    <row r="1399" ht="15.75" customHeight="1">
      <c r="A1399" s="1" t="s">
        <v>1580</v>
      </c>
      <c r="B1399" s="1" t="s">
        <v>77</v>
      </c>
      <c r="C1399" s="1" t="s">
        <v>1596</v>
      </c>
      <c r="U1399" s="1"/>
    </row>
    <row r="1400" ht="15.75" customHeight="1">
      <c r="A1400" s="1" t="s">
        <v>1580</v>
      </c>
      <c r="B1400" s="1" t="s">
        <v>77</v>
      </c>
      <c r="C1400" s="1" t="s">
        <v>94</v>
      </c>
      <c r="U1400" s="1"/>
    </row>
    <row r="1401" ht="15.75" customHeight="1">
      <c r="A1401" s="1" t="s">
        <v>1580</v>
      </c>
      <c r="B1401" s="1" t="s">
        <v>77</v>
      </c>
      <c r="C1401" s="1" t="s">
        <v>1597</v>
      </c>
      <c r="U1401" s="1"/>
    </row>
    <row r="1402" ht="15.75" customHeight="1">
      <c r="A1402" s="1" t="s">
        <v>1580</v>
      </c>
      <c r="B1402" s="1" t="s">
        <v>77</v>
      </c>
      <c r="C1402" s="1" t="s">
        <v>1217</v>
      </c>
      <c r="U1402" s="1"/>
    </row>
    <row r="1403" ht="15.75" customHeight="1">
      <c r="A1403" s="1" t="s">
        <v>1580</v>
      </c>
      <c r="B1403" s="1" t="s">
        <v>77</v>
      </c>
      <c r="C1403" s="1" t="s">
        <v>1598</v>
      </c>
      <c r="U1403" s="1"/>
    </row>
    <row r="1404" ht="15.75" customHeight="1">
      <c r="A1404" s="1" t="s">
        <v>1580</v>
      </c>
      <c r="B1404" s="1" t="s">
        <v>77</v>
      </c>
      <c r="C1404" s="1" t="s">
        <v>1599</v>
      </c>
      <c r="U1404" s="1"/>
    </row>
    <row r="1405" ht="15.75" customHeight="1">
      <c r="A1405" s="1" t="s">
        <v>1580</v>
      </c>
      <c r="B1405" s="1" t="s">
        <v>77</v>
      </c>
      <c r="C1405" s="1" t="s">
        <v>1600</v>
      </c>
      <c r="U1405" s="1"/>
    </row>
    <row r="1406" ht="15.75" customHeight="1">
      <c r="A1406" s="1" t="s">
        <v>1580</v>
      </c>
      <c r="B1406" s="1" t="s">
        <v>77</v>
      </c>
      <c r="C1406" s="1" t="s">
        <v>1601</v>
      </c>
      <c r="U1406" s="1"/>
    </row>
    <row r="1407" ht="15.75" customHeight="1">
      <c r="A1407" s="1" t="s">
        <v>1580</v>
      </c>
      <c r="B1407" s="1" t="s">
        <v>77</v>
      </c>
      <c r="C1407" s="1" t="s">
        <v>1602</v>
      </c>
      <c r="U1407" s="1"/>
    </row>
    <row r="1408" ht="15.75" customHeight="1">
      <c r="A1408" s="1" t="s">
        <v>1580</v>
      </c>
      <c r="B1408" s="1" t="s">
        <v>77</v>
      </c>
      <c r="C1408" s="1" t="s">
        <v>1603</v>
      </c>
      <c r="U1408" s="1"/>
    </row>
    <row r="1409" ht="15.75" customHeight="1">
      <c r="A1409" s="1" t="s">
        <v>1580</v>
      </c>
      <c r="B1409" s="1" t="s">
        <v>77</v>
      </c>
      <c r="C1409" s="1" t="s">
        <v>1604</v>
      </c>
      <c r="U1409" s="1"/>
    </row>
    <row r="1410" ht="15.75" customHeight="1">
      <c r="A1410" s="1" t="s">
        <v>1580</v>
      </c>
      <c r="B1410" s="1" t="s">
        <v>77</v>
      </c>
      <c r="C1410" s="1" t="s">
        <v>1605</v>
      </c>
      <c r="U1410" s="1"/>
    </row>
    <row r="1411" ht="15.75" customHeight="1">
      <c r="A1411" s="1" t="s">
        <v>1580</v>
      </c>
      <c r="B1411" s="1" t="s">
        <v>77</v>
      </c>
      <c r="C1411" s="1" t="s">
        <v>1606</v>
      </c>
      <c r="U1411" s="1"/>
    </row>
    <row r="1412" ht="15.75" customHeight="1">
      <c r="A1412" s="1" t="s">
        <v>1580</v>
      </c>
      <c r="B1412" s="1" t="s">
        <v>77</v>
      </c>
      <c r="C1412" s="1" t="s">
        <v>1607</v>
      </c>
      <c r="U1412" s="1"/>
    </row>
    <row r="1413" ht="15.75" customHeight="1">
      <c r="A1413" s="1" t="s">
        <v>1580</v>
      </c>
      <c r="B1413" s="1" t="s">
        <v>77</v>
      </c>
      <c r="C1413" s="1" t="s">
        <v>1608</v>
      </c>
      <c r="U1413" s="1"/>
    </row>
    <row r="1414" ht="15.75" customHeight="1">
      <c r="A1414" s="1" t="s">
        <v>1580</v>
      </c>
      <c r="B1414" s="1" t="s">
        <v>158</v>
      </c>
      <c r="C1414" s="1" t="s">
        <v>1609</v>
      </c>
      <c r="U1414" s="1"/>
    </row>
    <row r="1415" ht="15.75" customHeight="1">
      <c r="A1415" s="1" t="s">
        <v>1580</v>
      </c>
      <c r="B1415" s="1" t="s">
        <v>158</v>
      </c>
      <c r="C1415" s="1" t="s">
        <v>1610</v>
      </c>
      <c r="U1415" s="1"/>
    </row>
    <row r="1416" ht="15.75" customHeight="1">
      <c r="A1416" s="1" t="s">
        <v>1580</v>
      </c>
      <c r="B1416" s="1" t="s">
        <v>158</v>
      </c>
      <c r="C1416" s="1" t="s">
        <v>1611</v>
      </c>
      <c r="U1416" s="1"/>
    </row>
    <row r="1417" ht="15.75" customHeight="1">
      <c r="A1417" s="1" t="s">
        <v>1580</v>
      </c>
      <c r="B1417" s="1" t="s">
        <v>158</v>
      </c>
      <c r="C1417" s="1" t="s">
        <v>1612</v>
      </c>
      <c r="U1417" s="1"/>
    </row>
    <row r="1418" ht="15.75" customHeight="1">
      <c r="A1418" s="1" t="s">
        <v>1580</v>
      </c>
      <c r="B1418" s="1" t="s">
        <v>158</v>
      </c>
      <c r="C1418" s="1" t="s">
        <v>1613</v>
      </c>
      <c r="U1418" s="1"/>
    </row>
    <row r="1419" ht="15.75" customHeight="1">
      <c r="A1419" s="1" t="s">
        <v>1580</v>
      </c>
      <c r="B1419" s="1" t="s">
        <v>158</v>
      </c>
      <c r="C1419" s="1" t="s">
        <v>1238</v>
      </c>
      <c r="U1419" s="1"/>
    </row>
    <row r="1420" ht="15.75" customHeight="1">
      <c r="A1420" s="1" t="s">
        <v>1580</v>
      </c>
      <c r="B1420" s="1" t="s">
        <v>158</v>
      </c>
      <c r="C1420" s="1" t="s">
        <v>1449</v>
      </c>
      <c r="U1420" s="1"/>
    </row>
    <row r="1421" ht="15.75" customHeight="1">
      <c r="A1421" s="1" t="s">
        <v>1580</v>
      </c>
      <c r="B1421" s="1" t="s">
        <v>158</v>
      </c>
      <c r="C1421" s="1" t="s">
        <v>233</v>
      </c>
      <c r="U1421" s="1"/>
    </row>
    <row r="1422" ht="15.75" customHeight="1">
      <c r="A1422" s="1" t="s">
        <v>1580</v>
      </c>
      <c r="B1422" s="1" t="s">
        <v>330</v>
      </c>
      <c r="C1422" s="1" t="s">
        <v>1614</v>
      </c>
      <c r="U1422" s="1"/>
    </row>
    <row r="1423" ht="15.75" customHeight="1">
      <c r="A1423" s="1" t="s">
        <v>1580</v>
      </c>
      <c r="B1423" s="1" t="s">
        <v>330</v>
      </c>
      <c r="C1423" s="1" t="s">
        <v>1615</v>
      </c>
      <c r="U1423" s="1"/>
    </row>
    <row r="1424" ht="15.75" customHeight="1">
      <c r="A1424" s="1" t="s">
        <v>1580</v>
      </c>
      <c r="B1424" s="1" t="s">
        <v>330</v>
      </c>
      <c r="C1424" s="1" t="s">
        <v>1616</v>
      </c>
      <c r="U1424" s="1"/>
    </row>
    <row r="1425" ht="15.75" customHeight="1">
      <c r="A1425" s="1" t="s">
        <v>1580</v>
      </c>
      <c r="B1425" s="1" t="s">
        <v>330</v>
      </c>
      <c r="C1425" s="1" t="s">
        <v>1617</v>
      </c>
      <c r="U1425" s="1"/>
    </row>
    <row r="1426" ht="15.75" customHeight="1">
      <c r="A1426" s="1" t="s">
        <v>1580</v>
      </c>
      <c r="B1426" s="1" t="s">
        <v>330</v>
      </c>
      <c r="C1426" s="1" t="s">
        <v>1618</v>
      </c>
      <c r="U1426" s="1"/>
    </row>
    <row r="1427" ht="15.75" customHeight="1">
      <c r="A1427" s="1" t="s">
        <v>1580</v>
      </c>
      <c r="B1427" s="1" t="s">
        <v>330</v>
      </c>
      <c r="C1427" s="1" t="s">
        <v>1619</v>
      </c>
      <c r="U1427" s="1"/>
    </row>
    <row r="1428" ht="15.75" customHeight="1">
      <c r="A1428" s="1" t="s">
        <v>1580</v>
      </c>
      <c r="B1428" s="1" t="s">
        <v>330</v>
      </c>
      <c r="C1428" s="1" t="s">
        <v>1031</v>
      </c>
      <c r="U1428" s="1"/>
    </row>
    <row r="1429" ht="15.75" customHeight="1">
      <c r="A1429" s="1" t="s">
        <v>1580</v>
      </c>
      <c r="B1429" s="1" t="s">
        <v>330</v>
      </c>
      <c r="C1429" s="1" t="s">
        <v>1620</v>
      </c>
      <c r="U1429" s="1"/>
    </row>
    <row r="1430" ht="15.75" customHeight="1">
      <c r="A1430" s="1" t="s">
        <v>1580</v>
      </c>
      <c r="B1430" s="1" t="s">
        <v>330</v>
      </c>
      <c r="C1430" s="1" t="s">
        <v>1456</v>
      </c>
      <c r="U1430" s="1"/>
    </row>
    <row r="1431" ht="15.75" customHeight="1">
      <c r="A1431" s="1" t="s">
        <v>1580</v>
      </c>
      <c r="B1431" s="1" t="s">
        <v>330</v>
      </c>
      <c r="C1431" s="1" t="s">
        <v>1621</v>
      </c>
      <c r="U1431" s="1"/>
    </row>
    <row r="1432" ht="15.75" customHeight="1">
      <c r="A1432" s="1" t="s">
        <v>1580</v>
      </c>
      <c r="B1432" s="1" t="s">
        <v>330</v>
      </c>
      <c r="C1432" s="1" t="s">
        <v>1622</v>
      </c>
      <c r="U1432" s="1"/>
    </row>
    <row r="1433" ht="15.75" customHeight="1">
      <c r="A1433" s="1" t="s">
        <v>1580</v>
      </c>
      <c r="B1433" s="1" t="s">
        <v>378</v>
      </c>
      <c r="C1433" s="1" t="s">
        <v>1623</v>
      </c>
      <c r="U1433" s="1"/>
    </row>
    <row r="1434" ht="15.75" customHeight="1">
      <c r="A1434" s="1" t="s">
        <v>1580</v>
      </c>
      <c r="B1434" s="1" t="s">
        <v>378</v>
      </c>
      <c r="C1434" s="1" t="s">
        <v>1624</v>
      </c>
      <c r="U1434" s="1"/>
    </row>
    <row r="1435" ht="15.75" customHeight="1">
      <c r="A1435" s="1" t="s">
        <v>1580</v>
      </c>
      <c r="B1435" s="1" t="s">
        <v>378</v>
      </c>
      <c r="C1435" s="1" t="s">
        <v>1461</v>
      </c>
      <c r="U1435" s="1"/>
    </row>
    <row r="1436" ht="15.75" customHeight="1">
      <c r="A1436" s="1" t="s">
        <v>1580</v>
      </c>
      <c r="B1436" s="1" t="s">
        <v>378</v>
      </c>
      <c r="C1436" s="1" t="s">
        <v>1625</v>
      </c>
      <c r="U1436" s="1"/>
    </row>
    <row r="1437" ht="15.75" customHeight="1">
      <c r="A1437" s="1" t="s">
        <v>1580</v>
      </c>
      <c r="B1437" s="1" t="s">
        <v>378</v>
      </c>
      <c r="C1437" s="1" t="s">
        <v>1626</v>
      </c>
      <c r="U1437" s="1"/>
    </row>
    <row r="1438" ht="15.75" customHeight="1">
      <c r="A1438" s="1" t="s">
        <v>1580</v>
      </c>
      <c r="B1438" s="1" t="s">
        <v>378</v>
      </c>
      <c r="C1438" s="1" t="s">
        <v>1627</v>
      </c>
      <c r="U1438" s="1"/>
    </row>
    <row r="1439" ht="15.75" customHeight="1">
      <c r="A1439" s="1" t="s">
        <v>1580</v>
      </c>
      <c r="B1439" s="1" t="s">
        <v>378</v>
      </c>
      <c r="C1439" s="1" t="s">
        <v>1628</v>
      </c>
      <c r="U1439" s="1"/>
    </row>
    <row r="1440" ht="15.75" customHeight="1">
      <c r="A1440" s="1" t="s">
        <v>1580</v>
      </c>
      <c r="B1440" s="1" t="s">
        <v>378</v>
      </c>
      <c r="C1440" s="1" t="s">
        <v>1629</v>
      </c>
      <c r="U1440" s="1"/>
    </row>
    <row r="1441" ht="15.75" customHeight="1">
      <c r="A1441" s="1" t="s">
        <v>1580</v>
      </c>
      <c r="B1441" s="1" t="s">
        <v>378</v>
      </c>
      <c r="C1441" s="1" t="s">
        <v>1630</v>
      </c>
      <c r="U1441" s="1"/>
    </row>
    <row r="1442" ht="15.75" customHeight="1">
      <c r="A1442" s="1" t="s">
        <v>1580</v>
      </c>
      <c r="B1442" s="1" t="s">
        <v>378</v>
      </c>
      <c r="C1442" s="1" t="s">
        <v>1631</v>
      </c>
      <c r="U1442" s="1"/>
    </row>
    <row r="1443" ht="15.75" customHeight="1">
      <c r="A1443" s="1" t="s">
        <v>1580</v>
      </c>
      <c r="B1443" s="1" t="s">
        <v>378</v>
      </c>
      <c r="C1443" s="1" t="s">
        <v>1632</v>
      </c>
      <c r="U1443" s="1"/>
    </row>
    <row r="1444" ht="15.75" customHeight="1">
      <c r="A1444" s="1" t="s">
        <v>1580</v>
      </c>
      <c r="B1444" s="1" t="s">
        <v>403</v>
      </c>
      <c r="C1444" s="1" t="s">
        <v>1633</v>
      </c>
      <c r="U1444" s="1"/>
    </row>
    <row r="1445" ht="15.75" customHeight="1">
      <c r="A1445" s="1" t="s">
        <v>1580</v>
      </c>
      <c r="B1445" s="1" t="s">
        <v>403</v>
      </c>
      <c r="C1445" s="1" t="s">
        <v>1634</v>
      </c>
      <c r="U1445" s="1"/>
    </row>
    <row r="1446" ht="15.75" customHeight="1">
      <c r="A1446" s="1" t="s">
        <v>1580</v>
      </c>
      <c r="B1446" s="1" t="s">
        <v>403</v>
      </c>
      <c r="C1446" s="1" t="s">
        <v>1635</v>
      </c>
      <c r="U1446" s="1"/>
    </row>
    <row r="1447" ht="15.75" customHeight="1">
      <c r="A1447" s="1" t="s">
        <v>1580</v>
      </c>
      <c r="B1447" s="1" t="s">
        <v>403</v>
      </c>
      <c r="C1447" s="1" t="s">
        <v>1636</v>
      </c>
      <c r="U1447" s="1"/>
    </row>
    <row r="1448" ht="15.75" customHeight="1">
      <c r="A1448" s="1" t="s">
        <v>1580</v>
      </c>
      <c r="B1448" s="1" t="s">
        <v>403</v>
      </c>
      <c r="C1448" s="1" t="s">
        <v>1637</v>
      </c>
      <c r="U1448" s="1"/>
    </row>
    <row r="1449" ht="15.75" customHeight="1">
      <c r="A1449" s="1" t="s">
        <v>1580</v>
      </c>
      <c r="B1449" s="1" t="s">
        <v>403</v>
      </c>
      <c r="C1449" s="1" t="s">
        <v>990</v>
      </c>
      <c r="U1449" s="1"/>
    </row>
    <row r="1450" ht="15.75" customHeight="1">
      <c r="A1450" s="1" t="s">
        <v>1580</v>
      </c>
      <c r="B1450" s="1" t="s">
        <v>403</v>
      </c>
      <c r="C1450" s="1" t="s">
        <v>1638</v>
      </c>
      <c r="U1450" s="1"/>
    </row>
    <row r="1451" ht="15.75" customHeight="1">
      <c r="A1451" s="1" t="s">
        <v>1580</v>
      </c>
      <c r="B1451" s="1" t="s">
        <v>403</v>
      </c>
      <c r="C1451" s="1" t="s">
        <v>1474</v>
      </c>
      <c r="U1451" s="1"/>
    </row>
    <row r="1452" ht="15.75" customHeight="1">
      <c r="A1452" s="1" t="s">
        <v>1580</v>
      </c>
      <c r="B1452" s="1" t="s">
        <v>403</v>
      </c>
      <c r="C1452" s="1" t="s">
        <v>1639</v>
      </c>
      <c r="U1452" s="1"/>
    </row>
    <row r="1453" ht="15.75" customHeight="1">
      <c r="A1453" s="1" t="s">
        <v>1580</v>
      </c>
      <c r="B1453" s="1" t="s">
        <v>997</v>
      </c>
      <c r="C1453" s="1" t="s">
        <v>1640</v>
      </c>
      <c r="U1453" s="1"/>
    </row>
    <row r="1454" ht="15.75" customHeight="1">
      <c r="A1454" s="1" t="s">
        <v>1580</v>
      </c>
      <c r="B1454" s="1" t="s">
        <v>997</v>
      </c>
      <c r="C1454" s="1" t="s">
        <v>1641</v>
      </c>
      <c r="U1454" s="1"/>
    </row>
    <row r="1455" ht="15.75" customHeight="1">
      <c r="A1455" s="1" t="s">
        <v>1580</v>
      </c>
      <c r="B1455" s="1" t="s">
        <v>997</v>
      </c>
      <c r="C1455" s="1" t="s">
        <v>1642</v>
      </c>
      <c r="U1455" s="1"/>
    </row>
    <row r="1456" ht="15.75" customHeight="1">
      <c r="A1456" s="1" t="s">
        <v>1580</v>
      </c>
      <c r="B1456" s="1" t="s">
        <v>997</v>
      </c>
      <c r="C1456" s="1" t="s">
        <v>1643</v>
      </c>
      <c r="U1456" s="1"/>
    </row>
    <row r="1457" ht="15.75" customHeight="1">
      <c r="A1457" s="1" t="s">
        <v>1580</v>
      </c>
      <c r="B1457" s="1" t="s">
        <v>997</v>
      </c>
      <c r="C1457" s="1" t="s">
        <v>1644</v>
      </c>
      <c r="U1457" s="1"/>
    </row>
    <row r="1458" ht="15.75" customHeight="1">
      <c r="A1458" s="1" t="s">
        <v>1580</v>
      </c>
      <c r="B1458" s="1" t="s">
        <v>997</v>
      </c>
      <c r="C1458" s="1" t="s">
        <v>1645</v>
      </c>
      <c r="U1458" s="1"/>
    </row>
    <row r="1459" ht="15.75" customHeight="1">
      <c r="A1459" s="1" t="s">
        <v>1580</v>
      </c>
      <c r="B1459" s="1" t="s">
        <v>997</v>
      </c>
      <c r="C1459" s="1" t="s">
        <v>1646</v>
      </c>
      <c r="U1459" s="1"/>
    </row>
    <row r="1460" ht="15.75" customHeight="1">
      <c r="A1460" s="1" t="s">
        <v>1580</v>
      </c>
      <c r="B1460" s="1" t="s">
        <v>997</v>
      </c>
      <c r="C1460" s="1" t="s">
        <v>1647</v>
      </c>
      <c r="U1460" s="1"/>
    </row>
    <row r="1461" ht="15.75" customHeight="1">
      <c r="A1461" s="1" t="s">
        <v>1580</v>
      </c>
      <c r="B1461" s="1" t="s">
        <v>997</v>
      </c>
      <c r="C1461" s="1" t="s">
        <v>1648</v>
      </c>
      <c r="U1461" s="1"/>
    </row>
    <row r="1462" ht="15.75" customHeight="1">
      <c r="A1462" s="1" t="s">
        <v>1649</v>
      </c>
      <c r="B1462" s="1" t="s">
        <v>6</v>
      </c>
      <c r="C1462" s="1" t="s">
        <v>761</v>
      </c>
      <c r="U1462" s="1"/>
    </row>
    <row r="1463" ht="15.75" customHeight="1">
      <c r="A1463" s="1" t="s">
        <v>1649</v>
      </c>
      <c r="B1463" s="1" t="s">
        <v>6</v>
      </c>
      <c r="C1463" s="1" t="s">
        <v>10</v>
      </c>
      <c r="U1463" s="1"/>
    </row>
    <row r="1464" ht="15.75" customHeight="1">
      <c r="A1464" s="1" t="s">
        <v>1649</v>
      </c>
      <c r="B1464" s="1" t="s">
        <v>6</v>
      </c>
      <c r="C1464" s="1" t="s">
        <v>766</v>
      </c>
      <c r="U1464" s="1"/>
    </row>
    <row r="1465" ht="15.75" customHeight="1">
      <c r="A1465" s="1" t="s">
        <v>1649</v>
      </c>
      <c r="B1465" s="1" t="s">
        <v>6</v>
      </c>
      <c r="C1465" s="1" t="s">
        <v>18</v>
      </c>
      <c r="U1465" s="1"/>
    </row>
    <row r="1466" ht="15.75" customHeight="1">
      <c r="A1466" s="1" t="s">
        <v>1649</v>
      </c>
      <c r="B1466" s="1" t="s">
        <v>6</v>
      </c>
      <c r="C1466" s="1" t="s">
        <v>24</v>
      </c>
      <c r="U1466" s="1"/>
    </row>
    <row r="1467" ht="15.75" customHeight="1">
      <c r="A1467" s="1" t="s">
        <v>1649</v>
      </c>
      <c r="B1467" s="1" t="s">
        <v>29</v>
      </c>
      <c r="C1467" s="1" t="s">
        <v>771</v>
      </c>
      <c r="U1467" s="1"/>
    </row>
    <row r="1468" ht="15.75" customHeight="1">
      <c r="A1468" s="1" t="s">
        <v>1649</v>
      </c>
      <c r="B1468" s="1" t="s">
        <v>29</v>
      </c>
      <c r="C1468" s="1" t="s">
        <v>30</v>
      </c>
      <c r="U1468" s="1"/>
    </row>
    <row r="1469" ht="15.75" customHeight="1">
      <c r="A1469" s="1" t="s">
        <v>1649</v>
      </c>
      <c r="B1469" s="1" t="s">
        <v>29</v>
      </c>
      <c r="C1469" s="1" t="s">
        <v>38</v>
      </c>
      <c r="U1469" s="1"/>
    </row>
    <row r="1470" ht="15.75" customHeight="1">
      <c r="A1470" s="1" t="s">
        <v>1649</v>
      </c>
      <c r="B1470" s="1" t="s">
        <v>29</v>
      </c>
      <c r="C1470" s="1" t="s">
        <v>52</v>
      </c>
      <c r="U1470" s="1"/>
    </row>
    <row r="1471" ht="15.75" customHeight="1">
      <c r="A1471" s="1" t="s">
        <v>1649</v>
      </c>
      <c r="B1471" s="1" t="s">
        <v>29</v>
      </c>
      <c r="C1471" s="1" t="s">
        <v>57</v>
      </c>
      <c r="U1471" s="1"/>
    </row>
    <row r="1472" ht="15.75" customHeight="1">
      <c r="A1472" s="1" t="s">
        <v>1649</v>
      </c>
      <c r="B1472" s="1" t="s">
        <v>29</v>
      </c>
      <c r="C1472" s="1" t="s">
        <v>785</v>
      </c>
      <c r="U1472" s="1"/>
    </row>
    <row r="1473" ht="15.75" customHeight="1">
      <c r="A1473" s="1" t="s">
        <v>1649</v>
      </c>
      <c r="B1473" s="1" t="s">
        <v>29</v>
      </c>
      <c r="C1473" s="1" t="s">
        <v>787</v>
      </c>
      <c r="U1473" s="1"/>
    </row>
    <row r="1474" ht="15.75" customHeight="1">
      <c r="A1474" s="1" t="s">
        <v>1649</v>
      </c>
      <c r="B1474" s="1" t="s">
        <v>29</v>
      </c>
      <c r="C1474" s="1" t="s">
        <v>63</v>
      </c>
      <c r="U1474" s="1"/>
    </row>
    <row r="1475" ht="15.75" customHeight="1">
      <c r="A1475" s="1" t="s">
        <v>1649</v>
      </c>
      <c r="B1475" s="1" t="s">
        <v>29</v>
      </c>
      <c r="C1475" s="1" t="s">
        <v>72</v>
      </c>
      <c r="U1475" s="1"/>
    </row>
    <row r="1476" ht="15.75" customHeight="1">
      <c r="A1476" s="1" t="s">
        <v>1649</v>
      </c>
      <c r="B1476" s="1" t="s">
        <v>77</v>
      </c>
      <c r="C1476" s="1" t="s">
        <v>78</v>
      </c>
      <c r="U1476" s="1"/>
    </row>
    <row r="1477" ht="15.75" customHeight="1">
      <c r="A1477" s="1" t="s">
        <v>1649</v>
      </c>
      <c r="B1477" s="1" t="s">
        <v>77</v>
      </c>
      <c r="C1477" s="1" t="s">
        <v>84</v>
      </c>
      <c r="U1477" s="1"/>
    </row>
    <row r="1478" ht="15.75" customHeight="1">
      <c r="A1478" s="1" t="s">
        <v>1649</v>
      </c>
      <c r="B1478" s="1" t="s">
        <v>77</v>
      </c>
      <c r="C1478" s="1" t="s">
        <v>91</v>
      </c>
      <c r="U1478" s="1"/>
    </row>
    <row r="1479" ht="15.75" customHeight="1">
      <c r="A1479" s="1" t="s">
        <v>1649</v>
      </c>
      <c r="B1479" s="1" t="s">
        <v>77</v>
      </c>
      <c r="C1479" s="1" t="s">
        <v>806</v>
      </c>
      <c r="U1479" s="1"/>
    </row>
    <row r="1480" ht="15.75" customHeight="1">
      <c r="A1480" s="1" t="s">
        <v>1649</v>
      </c>
      <c r="B1480" s="1" t="s">
        <v>77</v>
      </c>
      <c r="C1480" s="1" t="s">
        <v>98</v>
      </c>
      <c r="U1480" s="1"/>
    </row>
    <row r="1481" ht="15.75" customHeight="1">
      <c r="A1481" s="1" t="s">
        <v>1649</v>
      </c>
      <c r="B1481" s="1" t="s">
        <v>77</v>
      </c>
      <c r="C1481" s="1" t="s">
        <v>118</v>
      </c>
      <c r="U1481" s="1"/>
    </row>
    <row r="1482" ht="15.75" customHeight="1">
      <c r="A1482" s="1" t="s">
        <v>1649</v>
      </c>
      <c r="B1482" s="1" t="s">
        <v>77</v>
      </c>
      <c r="C1482" s="1" t="s">
        <v>126</v>
      </c>
      <c r="U1482" s="1"/>
    </row>
    <row r="1483" ht="15.75" customHeight="1">
      <c r="A1483" s="1" t="s">
        <v>1649</v>
      </c>
      <c r="B1483" s="1" t="s">
        <v>77</v>
      </c>
      <c r="C1483" s="1" t="s">
        <v>816</v>
      </c>
      <c r="U1483" s="1"/>
    </row>
    <row r="1484" ht="15.75" customHeight="1">
      <c r="A1484" s="1" t="s">
        <v>1649</v>
      </c>
      <c r="B1484" s="1" t="s">
        <v>77</v>
      </c>
      <c r="C1484" s="1" t="s">
        <v>128</v>
      </c>
      <c r="U1484" s="1"/>
    </row>
    <row r="1485" ht="15.75" customHeight="1">
      <c r="A1485" s="1" t="s">
        <v>1649</v>
      </c>
      <c r="B1485" s="1" t="s">
        <v>77</v>
      </c>
      <c r="C1485" s="1" t="s">
        <v>138</v>
      </c>
      <c r="U1485" s="1"/>
    </row>
    <row r="1486" ht="15.75" customHeight="1">
      <c r="A1486" s="1" t="s">
        <v>1649</v>
      </c>
      <c r="B1486" s="1" t="s">
        <v>77</v>
      </c>
      <c r="C1486" s="1" t="s">
        <v>136</v>
      </c>
      <c r="U1486" s="1"/>
    </row>
    <row r="1487" ht="15.75" customHeight="1">
      <c r="A1487" s="1" t="s">
        <v>1649</v>
      </c>
      <c r="B1487" s="1" t="s">
        <v>77</v>
      </c>
      <c r="C1487" s="1" t="s">
        <v>141</v>
      </c>
      <c r="U1487" s="1"/>
    </row>
    <row r="1488" ht="15.75" customHeight="1">
      <c r="A1488" s="1" t="s">
        <v>1649</v>
      </c>
      <c r="B1488" s="1" t="s">
        <v>77</v>
      </c>
      <c r="C1488" s="1" t="s">
        <v>146</v>
      </c>
      <c r="U1488" s="1"/>
    </row>
    <row r="1489" ht="15.75" customHeight="1">
      <c r="A1489" s="1" t="s">
        <v>1649</v>
      </c>
      <c r="B1489" s="1" t="s">
        <v>77</v>
      </c>
      <c r="C1489" s="1" t="s">
        <v>832</v>
      </c>
      <c r="U1489" s="1"/>
    </row>
    <row r="1490" ht="15.75" customHeight="1">
      <c r="A1490" s="1" t="s">
        <v>1649</v>
      </c>
      <c r="B1490" s="1" t="s">
        <v>158</v>
      </c>
      <c r="C1490" s="1" t="s">
        <v>173</v>
      </c>
      <c r="U1490" s="1"/>
    </row>
    <row r="1491" ht="15.75" customHeight="1">
      <c r="A1491" s="1" t="s">
        <v>1649</v>
      </c>
      <c r="B1491" s="1" t="s">
        <v>158</v>
      </c>
      <c r="C1491" s="1" t="s">
        <v>843</v>
      </c>
      <c r="U1491" s="1"/>
    </row>
    <row r="1492" ht="15.75" customHeight="1">
      <c r="A1492" s="1" t="s">
        <v>1649</v>
      </c>
      <c r="B1492" s="1" t="s">
        <v>158</v>
      </c>
      <c r="C1492" s="1" t="s">
        <v>167</v>
      </c>
      <c r="U1492" s="1"/>
    </row>
    <row r="1493" ht="15.75" customHeight="1">
      <c r="A1493" s="1" t="s">
        <v>1649</v>
      </c>
      <c r="B1493" s="1" t="s">
        <v>158</v>
      </c>
      <c r="C1493" s="1" t="s">
        <v>185</v>
      </c>
      <c r="U1493" s="1"/>
    </row>
    <row r="1494" ht="15.75" customHeight="1">
      <c r="A1494" s="1" t="s">
        <v>1649</v>
      </c>
      <c r="B1494" s="1" t="s">
        <v>158</v>
      </c>
      <c r="C1494" s="1" t="s">
        <v>847</v>
      </c>
      <c r="U1494" s="1"/>
    </row>
    <row r="1495" ht="15.75" customHeight="1">
      <c r="A1495" s="1" t="s">
        <v>1649</v>
      </c>
      <c r="B1495" s="1" t="s">
        <v>158</v>
      </c>
      <c r="C1495" s="1" t="s">
        <v>856</v>
      </c>
      <c r="U1495" s="1"/>
    </row>
    <row r="1496" ht="15.75" customHeight="1">
      <c r="A1496" s="1" t="s">
        <v>1649</v>
      </c>
      <c r="B1496" s="1" t="s">
        <v>158</v>
      </c>
      <c r="C1496" s="1" t="s">
        <v>219</v>
      </c>
      <c r="U1496" s="1"/>
    </row>
    <row r="1497" ht="15.75" customHeight="1">
      <c r="A1497" s="1" t="s">
        <v>1649</v>
      </c>
      <c r="B1497" s="1" t="s">
        <v>158</v>
      </c>
      <c r="C1497" s="1" t="s">
        <v>217</v>
      </c>
      <c r="U1497" s="1"/>
    </row>
    <row r="1498" ht="15.75" customHeight="1">
      <c r="A1498" s="1" t="s">
        <v>1649</v>
      </c>
      <c r="B1498" s="1" t="s">
        <v>158</v>
      </c>
      <c r="C1498" s="1" t="s">
        <v>1650</v>
      </c>
      <c r="U1498" s="1"/>
    </row>
    <row r="1499" ht="15.75" customHeight="1">
      <c r="A1499" s="1" t="s">
        <v>1649</v>
      </c>
      <c r="B1499" s="1" t="s">
        <v>330</v>
      </c>
      <c r="C1499" s="1" t="s">
        <v>872</v>
      </c>
      <c r="U1499" s="1"/>
    </row>
    <row r="1500" ht="15.75" customHeight="1">
      <c r="A1500" s="1" t="s">
        <v>1649</v>
      </c>
      <c r="B1500" s="1" t="s">
        <v>330</v>
      </c>
      <c r="C1500" s="1" t="s">
        <v>690</v>
      </c>
      <c r="U1500" s="1"/>
    </row>
    <row r="1501" ht="15.75" customHeight="1">
      <c r="A1501" s="1" t="s">
        <v>1649</v>
      </c>
      <c r="B1501" s="1" t="s">
        <v>330</v>
      </c>
      <c r="C1501" s="1" t="s">
        <v>692</v>
      </c>
      <c r="U1501" s="1"/>
    </row>
    <row r="1502" ht="15.75" customHeight="1">
      <c r="A1502" s="1" t="s">
        <v>1649</v>
      </c>
      <c r="B1502" s="1" t="s">
        <v>330</v>
      </c>
      <c r="C1502" s="1" t="s">
        <v>694</v>
      </c>
      <c r="U1502" s="1"/>
    </row>
    <row r="1503" ht="15.75" customHeight="1">
      <c r="A1503" s="1" t="s">
        <v>1649</v>
      </c>
      <c r="B1503" s="1" t="s">
        <v>330</v>
      </c>
      <c r="C1503" s="1" t="s">
        <v>696</v>
      </c>
      <c r="U1503" s="1"/>
    </row>
    <row r="1504" ht="15.75" customHeight="1">
      <c r="A1504" s="1" t="s">
        <v>1649</v>
      </c>
      <c r="B1504" s="1" t="s">
        <v>330</v>
      </c>
      <c r="C1504" s="1" t="s">
        <v>699</v>
      </c>
      <c r="U1504" s="1"/>
    </row>
    <row r="1505" ht="15.75" customHeight="1">
      <c r="A1505" s="1" t="s">
        <v>1649</v>
      </c>
      <c r="B1505" s="1" t="s">
        <v>330</v>
      </c>
      <c r="C1505" s="1" t="s">
        <v>704</v>
      </c>
      <c r="U1505" s="1"/>
    </row>
    <row r="1506" ht="15.75" customHeight="1">
      <c r="A1506" s="1" t="s">
        <v>1649</v>
      </c>
      <c r="B1506" s="1" t="s">
        <v>330</v>
      </c>
      <c r="C1506" s="1" t="s">
        <v>706</v>
      </c>
      <c r="U1506" s="1"/>
    </row>
    <row r="1507" ht="15.75" customHeight="1">
      <c r="A1507" s="1" t="s">
        <v>1649</v>
      </c>
      <c r="B1507" s="1" t="s">
        <v>330</v>
      </c>
      <c r="C1507" s="1" t="s">
        <v>708</v>
      </c>
      <c r="U1507" s="1"/>
    </row>
    <row r="1508" ht="15.75" customHeight="1">
      <c r="A1508" s="1" t="s">
        <v>1649</v>
      </c>
      <c r="B1508" s="1" t="s">
        <v>330</v>
      </c>
      <c r="C1508" s="1" t="s">
        <v>710</v>
      </c>
      <c r="U1508" s="1"/>
    </row>
    <row r="1509" ht="15.75" customHeight="1">
      <c r="A1509" s="1" t="s">
        <v>1649</v>
      </c>
      <c r="B1509" s="1" t="s">
        <v>330</v>
      </c>
      <c r="C1509" s="1" t="s">
        <v>713</v>
      </c>
      <c r="U1509" s="1"/>
    </row>
    <row r="1510" ht="15.75" customHeight="1">
      <c r="A1510" s="1" t="s">
        <v>1649</v>
      </c>
      <c r="B1510" s="1" t="s">
        <v>330</v>
      </c>
      <c r="C1510" s="1" t="s">
        <v>715</v>
      </c>
      <c r="U1510" s="1"/>
    </row>
    <row r="1511" ht="15.75" customHeight="1">
      <c r="A1511" s="1" t="s">
        <v>1649</v>
      </c>
      <c r="B1511" s="1" t="s">
        <v>330</v>
      </c>
      <c r="C1511" s="1" t="s">
        <v>721</v>
      </c>
      <c r="U1511" s="1"/>
    </row>
    <row r="1512" ht="15.75" customHeight="1">
      <c r="A1512" s="1" t="s">
        <v>1649</v>
      </c>
      <c r="B1512" s="1" t="s">
        <v>330</v>
      </c>
      <c r="C1512" s="1" t="s">
        <v>717</v>
      </c>
      <c r="U1512" s="1"/>
    </row>
    <row r="1513" ht="15.75" customHeight="1">
      <c r="A1513" s="1" t="s">
        <v>1649</v>
      </c>
      <c r="B1513" s="1" t="s">
        <v>330</v>
      </c>
      <c r="C1513" s="1" t="s">
        <v>719</v>
      </c>
      <c r="U1513" s="1"/>
    </row>
    <row r="1514" ht="15.75" customHeight="1">
      <c r="A1514" s="1" t="s">
        <v>1649</v>
      </c>
      <c r="B1514" s="1" t="s">
        <v>330</v>
      </c>
      <c r="C1514" s="1" t="s">
        <v>723</v>
      </c>
      <c r="U1514" s="1"/>
    </row>
    <row r="1515" ht="15.75" customHeight="1">
      <c r="A1515" s="1" t="s">
        <v>1649</v>
      </c>
      <c r="B1515" s="1" t="s">
        <v>330</v>
      </c>
      <c r="C1515" s="1" t="s">
        <v>725</v>
      </c>
      <c r="U1515" s="1"/>
    </row>
    <row r="1516" ht="15.75" customHeight="1">
      <c r="A1516" s="1" t="s">
        <v>1649</v>
      </c>
      <c r="B1516" s="1" t="s">
        <v>378</v>
      </c>
      <c r="C1516" s="1" t="s">
        <v>728</v>
      </c>
      <c r="U1516" s="1"/>
    </row>
    <row r="1517" ht="15.75" customHeight="1">
      <c r="A1517" s="1" t="s">
        <v>1649</v>
      </c>
      <c r="B1517" s="1" t="s">
        <v>378</v>
      </c>
      <c r="C1517" s="1" t="s">
        <v>731</v>
      </c>
      <c r="U1517" s="1"/>
    </row>
    <row r="1518" ht="15.75" customHeight="1">
      <c r="A1518" s="1" t="s">
        <v>1649</v>
      </c>
      <c r="B1518" s="1" t="s">
        <v>378</v>
      </c>
      <c r="C1518" s="1" t="s">
        <v>734</v>
      </c>
      <c r="U1518" s="1"/>
    </row>
    <row r="1519" ht="15.75" customHeight="1">
      <c r="A1519" s="1" t="s">
        <v>1649</v>
      </c>
      <c r="B1519" s="1" t="s">
        <v>378</v>
      </c>
      <c r="C1519" s="1" t="s">
        <v>1651</v>
      </c>
      <c r="U1519" s="1"/>
    </row>
    <row r="1520" ht="15.75" customHeight="1">
      <c r="A1520" s="1" t="s">
        <v>1649</v>
      </c>
      <c r="B1520" s="1" t="s">
        <v>378</v>
      </c>
      <c r="C1520" s="1" t="s">
        <v>737</v>
      </c>
      <c r="U1520" s="1"/>
    </row>
    <row r="1521" ht="15.75" customHeight="1">
      <c r="A1521" s="1" t="s">
        <v>1649</v>
      </c>
      <c r="B1521" s="1" t="s">
        <v>378</v>
      </c>
      <c r="C1521" s="1" t="s">
        <v>1652</v>
      </c>
      <c r="U1521" s="1"/>
    </row>
    <row r="1522" ht="15.75" customHeight="1">
      <c r="A1522" s="1" t="s">
        <v>1649</v>
      </c>
      <c r="B1522" s="1" t="s">
        <v>403</v>
      </c>
      <c r="C1522" s="1" t="s">
        <v>740</v>
      </c>
      <c r="U1522" s="1"/>
    </row>
    <row r="1523" ht="15.75" customHeight="1">
      <c r="A1523" s="1" t="s">
        <v>1649</v>
      </c>
      <c r="B1523" s="1" t="s">
        <v>403</v>
      </c>
      <c r="C1523" s="1" t="s">
        <v>747</v>
      </c>
      <c r="U1523" s="1"/>
    </row>
    <row r="1524" ht="15.75" customHeight="1">
      <c r="A1524" s="1" t="s">
        <v>1649</v>
      </c>
      <c r="B1524" s="1" t="s">
        <v>403</v>
      </c>
      <c r="C1524" s="1" t="s">
        <v>745</v>
      </c>
      <c r="U1524" s="1"/>
    </row>
    <row r="1525" ht="15.75" customHeight="1">
      <c r="A1525" s="1" t="s">
        <v>1649</v>
      </c>
      <c r="B1525" s="1" t="s">
        <v>403</v>
      </c>
      <c r="C1525" s="1" t="s">
        <v>750</v>
      </c>
      <c r="U1525" s="1"/>
    </row>
    <row r="1526" ht="15.75" customHeight="1">
      <c r="A1526" s="1" t="s">
        <v>1649</v>
      </c>
      <c r="B1526" s="1" t="s">
        <v>403</v>
      </c>
      <c r="C1526" s="1" t="s">
        <v>756</v>
      </c>
      <c r="U1526" s="1"/>
    </row>
    <row r="1527" ht="15.75" customHeight="1">
      <c r="A1527" s="1" t="s">
        <v>1649</v>
      </c>
      <c r="B1527" s="1" t="s">
        <v>403</v>
      </c>
      <c r="C1527" s="1" t="s">
        <v>1560</v>
      </c>
      <c r="U1527" s="1"/>
    </row>
    <row r="1528" ht="15.75" customHeight="1">
      <c r="A1528" s="1" t="s">
        <v>1649</v>
      </c>
      <c r="B1528" s="1" t="s">
        <v>403</v>
      </c>
      <c r="C1528" s="1" t="s">
        <v>1346</v>
      </c>
      <c r="U1528" s="1"/>
    </row>
    <row r="1529" ht="15.75" customHeight="1">
      <c r="A1529" s="1" t="s">
        <v>1649</v>
      </c>
      <c r="B1529" s="1" t="s">
        <v>403</v>
      </c>
      <c r="C1529" s="1" t="s">
        <v>1651</v>
      </c>
      <c r="U1529" s="1"/>
    </row>
    <row r="1530" ht="15.75" customHeight="1">
      <c r="A1530" s="1" t="s">
        <v>1649</v>
      </c>
      <c r="B1530" s="1" t="s">
        <v>403</v>
      </c>
      <c r="C1530" s="1" t="s">
        <v>1561</v>
      </c>
      <c r="U1530" s="1"/>
    </row>
    <row r="1531" ht="15.75" customHeight="1">
      <c r="A1531" s="1" t="s">
        <v>1649</v>
      </c>
      <c r="B1531" s="1" t="s">
        <v>403</v>
      </c>
      <c r="C1531" s="1" t="s">
        <v>1653</v>
      </c>
      <c r="U1531" s="1"/>
    </row>
    <row r="1532" ht="15.75" customHeight="1">
      <c r="A1532" s="1" t="s">
        <v>1649</v>
      </c>
      <c r="B1532" s="1" t="s">
        <v>403</v>
      </c>
      <c r="C1532" s="1" t="s">
        <v>1568</v>
      </c>
      <c r="U1532" s="1"/>
    </row>
    <row r="1533" ht="15.75" customHeight="1">
      <c r="A1533" s="1" t="s">
        <v>1649</v>
      </c>
      <c r="B1533" s="1" t="s">
        <v>997</v>
      </c>
      <c r="C1533" s="1" t="s">
        <v>1347</v>
      </c>
      <c r="U1533" s="1"/>
    </row>
    <row r="1534" ht="15.75" customHeight="1">
      <c r="A1534" s="1" t="s">
        <v>1649</v>
      </c>
      <c r="B1534" s="1" t="s">
        <v>997</v>
      </c>
      <c r="C1534" s="1" t="s">
        <v>1350</v>
      </c>
      <c r="U1534" s="1"/>
    </row>
    <row r="1535" ht="15.75" customHeight="1">
      <c r="A1535" s="1" t="s">
        <v>1649</v>
      </c>
      <c r="B1535" s="1" t="s">
        <v>997</v>
      </c>
      <c r="C1535" s="1" t="s">
        <v>1353</v>
      </c>
      <c r="U1535" s="1"/>
    </row>
    <row r="1536" ht="15.75" customHeight="1">
      <c r="A1536" s="1" t="s">
        <v>1654</v>
      </c>
      <c r="B1536" s="1" t="s">
        <v>6</v>
      </c>
      <c r="C1536" s="1" t="s">
        <v>1655</v>
      </c>
      <c r="U1536" s="1"/>
    </row>
    <row r="1537" ht="15.75" customHeight="1">
      <c r="A1537" s="1" t="s">
        <v>1654</v>
      </c>
      <c r="B1537" s="1" t="s">
        <v>6</v>
      </c>
      <c r="C1537" s="1" t="s">
        <v>917</v>
      </c>
      <c r="U1537" s="1"/>
    </row>
    <row r="1538" ht="15.75" customHeight="1">
      <c r="A1538" s="1" t="s">
        <v>1654</v>
      </c>
      <c r="B1538" s="1" t="s">
        <v>6</v>
      </c>
      <c r="C1538" s="1" t="s">
        <v>1656</v>
      </c>
      <c r="U1538" s="1"/>
    </row>
    <row r="1539" ht="15.75" customHeight="1">
      <c r="A1539" s="1" t="s">
        <v>1654</v>
      </c>
      <c r="B1539" s="1" t="s">
        <v>6</v>
      </c>
      <c r="C1539" s="1" t="s">
        <v>918</v>
      </c>
      <c r="U1539" s="1"/>
    </row>
    <row r="1540" ht="15.75" customHeight="1">
      <c r="A1540" s="1" t="s">
        <v>1654</v>
      </c>
      <c r="B1540" s="1" t="s">
        <v>6</v>
      </c>
      <c r="C1540" s="1" t="s">
        <v>1657</v>
      </c>
      <c r="U1540" s="1"/>
    </row>
    <row r="1541" ht="15.75" customHeight="1">
      <c r="A1541" s="1" t="s">
        <v>1654</v>
      </c>
      <c r="B1541" s="1" t="s">
        <v>29</v>
      </c>
      <c r="C1541" s="1" t="s">
        <v>921</v>
      </c>
      <c r="U1541" s="1"/>
    </row>
    <row r="1542" ht="15.75" customHeight="1">
      <c r="A1542" s="1" t="s">
        <v>1654</v>
      </c>
      <c r="B1542" s="1" t="s">
        <v>29</v>
      </c>
      <c r="C1542" s="1" t="s">
        <v>1658</v>
      </c>
      <c r="U1542" s="1"/>
    </row>
    <row r="1543" ht="15.75" customHeight="1">
      <c r="A1543" s="1" t="s">
        <v>1654</v>
      </c>
      <c r="B1543" s="1" t="s">
        <v>29</v>
      </c>
      <c r="C1543" s="1" t="s">
        <v>1659</v>
      </c>
      <c r="U1543" s="1"/>
    </row>
    <row r="1544" ht="15.75" customHeight="1">
      <c r="A1544" s="1" t="s">
        <v>1654</v>
      </c>
      <c r="B1544" s="1" t="s">
        <v>29</v>
      </c>
      <c r="C1544" s="1" t="s">
        <v>1660</v>
      </c>
      <c r="U1544" s="1"/>
    </row>
    <row r="1545" ht="15.75" customHeight="1">
      <c r="A1545" s="1" t="s">
        <v>1654</v>
      </c>
      <c r="B1545" s="1" t="s">
        <v>29</v>
      </c>
      <c r="C1545" s="1" t="s">
        <v>1661</v>
      </c>
      <c r="U1545" s="1"/>
    </row>
    <row r="1546" ht="15.75" customHeight="1">
      <c r="A1546" s="1" t="s">
        <v>1654</v>
      </c>
      <c r="B1546" s="1" t="s">
        <v>29</v>
      </c>
      <c r="C1546" s="1" t="s">
        <v>1662</v>
      </c>
      <c r="U1546" s="1"/>
    </row>
    <row r="1547" ht="15.75" customHeight="1">
      <c r="A1547" s="1" t="s">
        <v>1654</v>
      </c>
      <c r="B1547" s="1" t="s">
        <v>77</v>
      </c>
      <c r="C1547" s="1" t="s">
        <v>1663</v>
      </c>
      <c r="U1547" s="1"/>
    </row>
    <row r="1548" ht="15.75" customHeight="1">
      <c r="A1548" s="1" t="s">
        <v>1654</v>
      </c>
      <c r="B1548" s="1" t="s">
        <v>77</v>
      </c>
      <c r="C1548" s="1" t="s">
        <v>1664</v>
      </c>
      <c r="U1548" s="1"/>
    </row>
    <row r="1549" ht="15.75" customHeight="1">
      <c r="A1549" s="1" t="s">
        <v>1654</v>
      </c>
      <c r="B1549" s="1" t="s">
        <v>77</v>
      </c>
      <c r="C1549" s="1" t="s">
        <v>927</v>
      </c>
      <c r="U1549" s="1"/>
    </row>
    <row r="1550" ht="15.75" customHeight="1">
      <c r="A1550" s="1" t="s">
        <v>1654</v>
      </c>
      <c r="B1550" s="1" t="s">
        <v>77</v>
      </c>
      <c r="C1550" s="1" t="s">
        <v>1665</v>
      </c>
      <c r="U1550" s="1"/>
    </row>
    <row r="1551" ht="15.75" customHeight="1">
      <c r="A1551" s="1" t="s">
        <v>1654</v>
      </c>
      <c r="B1551" s="1" t="s">
        <v>77</v>
      </c>
      <c r="C1551" s="1" t="s">
        <v>1666</v>
      </c>
      <c r="U1551" s="1"/>
    </row>
    <row r="1552" ht="15.75" customHeight="1">
      <c r="A1552" s="1" t="s">
        <v>1654</v>
      </c>
      <c r="B1552" s="1" t="s">
        <v>77</v>
      </c>
      <c r="C1552" s="1" t="s">
        <v>1439</v>
      </c>
      <c r="U1552" s="1"/>
    </row>
    <row r="1553" ht="15.75" customHeight="1">
      <c r="A1553" s="1" t="s">
        <v>1654</v>
      </c>
      <c r="B1553" s="1" t="s">
        <v>77</v>
      </c>
      <c r="C1553" s="1" t="s">
        <v>928</v>
      </c>
      <c r="U1553" s="1"/>
    </row>
    <row r="1554" ht="15.75" customHeight="1">
      <c r="A1554" s="1" t="s">
        <v>1654</v>
      </c>
      <c r="B1554" s="1" t="s">
        <v>77</v>
      </c>
      <c r="C1554" s="1" t="s">
        <v>1441</v>
      </c>
      <c r="U1554" s="1"/>
    </row>
    <row r="1555" ht="15.75" customHeight="1">
      <c r="A1555" s="1" t="s">
        <v>1654</v>
      </c>
      <c r="B1555" s="1" t="s">
        <v>77</v>
      </c>
      <c r="C1555" s="1" t="s">
        <v>1443</v>
      </c>
      <c r="U1555" s="1"/>
    </row>
    <row r="1556" ht="15.75" customHeight="1">
      <c r="A1556" s="1" t="s">
        <v>1654</v>
      </c>
      <c r="B1556" s="1" t="s">
        <v>77</v>
      </c>
      <c r="C1556" s="1" t="s">
        <v>1667</v>
      </c>
      <c r="U1556" s="1"/>
    </row>
    <row r="1557" ht="15.75" customHeight="1">
      <c r="A1557" s="1" t="s">
        <v>1654</v>
      </c>
      <c r="B1557" s="1" t="s">
        <v>77</v>
      </c>
      <c r="C1557" s="1" t="s">
        <v>1668</v>
      </c>
      <c r="U1557" s="1"/>
    </row>
    <row r="1558" ht="15.75" customHeight="1">
      <c r="A1558" s="1" t="s">
        <v>1654</v>
      </c>
      <c r="B1558" s="1" t="s">
        <v>77</v>
      </c>
      <c r="C1558" s="1" t="s">
        <v>931</v>
      </c>
      <c r="U1558" s="1"/>
    </row>
    <row r="1559" ht="15.75" customHeight="1">
      <c r="A1559" s="1" t="s">
        <v>1654</v>
      </c>
      <c r="B1559" s="1" t="s">
        <v>77</v>
      </c>
      <c r="C1559" s="1" t="s">
        <v>1444</v>
      </c>
      <c r="U1559" s="1"/>
    </row>
    <row r="1560" ht="15.75" customHeight="1">
      <c r="A1560" s="1" t="s">
        <v>1654</v>
      </c>
      <c r="B1560" s="1" t="s">
        <v>77</v>
      </c>
      <c r="C1560" s="1" t="s">
        <v>1669</v>
      </c>
      <c r="U1560" s="1"/>
    </row>
    <row r="1561" ht="15.75" customHeight="1">
      <c r="A1561" s="1" t="s">
        <v>1654</v>
      </c>
      <c r="B1561" s="1" t="s">
        <v>77</v>
      </c>
      <c r="C1561" s="1" t="s">
        <v>1670</v>
      </c>
      <c r="U1561" s="1"/>
    </row>
    <row r="1562" ht="15.75" customHeight="1">
      <c r="A1562" s="1" t="s">
        <v>1654</v>
      </c>
      <c r="B1562" s="1" t="s">
        <v>77</v>
      </c>
      <c r="C1562" s="1" t="s">
        <v>1671</v>
      </c>
      <c r="U1562" s="1"/>
    </row>
    <row r="1563" ht="15.75" customHeight="1">
      <c r="A1563" s="1" t="s">
        <v>1654</v>
      </c>
      <c r="B1563" s="1" t="s">
        <v>77</v>
      </c>
      <c r="C1563" s="1" t="s">
        <v>1672</v>
      </c>
      <c r="U1563" s="1"/>
    </row>
    <row r="1564" ht="15.75" customHeight="1">
      <c r="A1564" s="1" t="s">
        <v>1654</v>
      </c>
      <c r="B1564" s="1" t="s">
        <v>77</v>
      </c>
      <c r="C1564" s="1" t="s">
        <v>1673</v>
      </c>
      <c r="U1564" s="1"/>
    </row>
    <row r="1565" ht="15.75" customHeight="1">
      <c r="A1565" s="1" t="s">
        <v>1654</v>
      </c>
      <c r="B1565" s="1" t="s">
        <v>77</v>
      </c>
      <c r="C1565" s="1" t="s">
        <v>1674</v>
      </c>
      <c r="U1565" s="1"/>
    </row>
    <row r="1566" ht="15.75" customHeight="1">
      <c r="A1566" s="1" t="s">
        <v>1654</v>
      </c>
      <c r="B1566" s="1" t="s">
        <v>158</v>
      </c>
      <c r="C1566" s="1" t="s">
        <v>1675</v>
      </c>
      <c r="U1566" s="1"/>
    </row>
    <row r="1567" ht="15.75" customHeight="1">
      <c r="A1567" s="1" t="s">
        <v>1654</v>
      </c>
      <c r="B1567" s="1" t="s">
        <v>158</v>
      </c>
      <c r="C1567" s="1" t="s">
        <v>1676</v>
      </c>
      <c r="U1567" s="1"/>
    </row>
    <row r="1568" ht="15.75" customHeight="1">
      <c r="A1568" s="1" t="s">
        <v>1654</v>
      </c>
      <c r="B1568" s="1" t="s">
        <v>158</v>
      </c>
      <c r="C1568" s="1" t="s">
        <v>942</v>
      </c>
      <c r="U1568" s="1"/>
    </row>
    <row r="1569" ht="15.75" customHeight="1">
      <c r="A1569" s="1" t="s">
        <v>1654</v>
      </c>
      <c r="B1569" s="1" t="s">
        <v>158</v>
      </c>
      <c r="C1569" s="1" t="s">
        <v>1677</v>
      </c>
      <c r="U1569" s="1"/>
    </row>
    <row r="1570" ht="15.75" customHeight="1">
      <c r="A1570" s="1" t="s">
        <v>1654</v>
      </c>
      <c r="B1570" s="1" t="s">
        <v>158</v>
      </c>
      <c r="C1570" s="1" t="s">
        <v>944</v>
      </c>
      <c r="U1570" s="1"/>
    </row>
    <row r="1571" ht="15.75" customHeight="1">
      <c r="A1571" s="1" t="s">
        <v>1654</v>
      </c>
      <c r="B1571" s="1" t="s">
        <v>158</v>
      </c>
      <c r="C1571" s="1" t="s">
        <v>1678</v>
      </c>
      <c r="U1571" s="1"/>
    </row>
    <row r="1572" ht="15.75" customHeight="1">
      <c r="A1572" s="1" t="s">
        <v>1654</v>
      </c>
      <c r="B1572" s="1" t="s">
        <v>158</v>
      </c>
      <c r="C1572" s="1" t="s">
        <v>1448</v>
      </c>
      <c r="U1572" s="1"/>
    </row>
    <row r="1573" ht="15.75" customHeight="1">
      <c r="A1573" s="1" t="s">
        <v>1654</v>
      </c>
      <c r="B1573" s="1" t="s">
        <v>158</v>
      </c>
      <c r="C1573" s="1" t="s">
        <v>1679</v>
      </c>
      <c r="U1573" s="1"/>
    </row>
    <row r="1574" ht="15.75" customHeight="1">
      <c r="A1574" s="1" t="s">
        <v>1654</v>
      </c>
      <c r="B1574" s="1" t="s">
        <v>158</v>
      </c>
      <c r="C1574" s="1" t="s">
        <v>947</v>
      </c>
      <c r="U1574" s="1"/>
    </row>
    <row r="1575" ht="15.75" customHeight="1">
      <c r="A1575" s="1" t="s">
        <v>1654</v>
      </c>
      <c r="B1575" s="1" t="s">
        <v>158</v>
      </c>
      <c r="C1575" s="1" t="s">
        <v>1680</v>
      </c>
      <c r="U1575" s="1"/>
    </row>
    <row r="1576" ht="15.75" customHeight="1">
      <c r="A1576" s="1" t="s">
        <v>1654</v>
      </c>
      <c r="B1576" s="1" t="s">
        <v>158</v>
      </c>
      <c r="C1576" s="1" t="s">
        <v>1681</v>
      </c>
      <c r="U1576" s="1"/>
    </row>
    <row r="1577" ht="15.75" customHeight="1">
      <c r="A1577" s="1" t="s">
        <v>1654</v>
      </c>
      <c r="B1577" s="1" t="s">
        <v>158</v>
      </c>
      <c r="C1577" s="1" t="s">
        <v>1682</v>
      </c>
      <c r="U1577" s="1"/>
    </row>
    <row r="1578" ht="15.75" customHeight="1">
      <c r="A1578" s="1" t="s">
        <v>1654</v>
      </c>
      <c r="B1578" s="1" t="s">
        <v>330</v>
      </c>
      <c r="C1578" s="1" t="s">
        <v>1451</v>
      </c>
      <c r="U1578" s="1"/>
    </row>
    <row r="1579" ht="15.75" customHeight="1">
      <c r="A1579" s="1" t="s">
        <v>1654</v>
      </c>
      <c r="B1579" s="1" t="s">
        <v>330</v>
      </c>
      <c r="C1579" s="1" t="s">
        <v>955</v>
      </c>
      <c r="U1579" s="1"/>
    </row>
    <row r="1580" ht="15.75" customHeight="1">
      <c r="A1580" s="1" t="s">
        <v>1654</v>
      </c>
      <c r="B1580" s="1" t="s">
        <v>330</v>
      </c>
      <c r="C1580" s="1" t="s">
        <v>1683</v>
      </c>
      <c r="U1580" s="1"/>
    </row>
    <row r="1581" ht="15.75" customHeight="1">
      <c r="A1581" s="1" t="s">
        <v>1654</v>
      </c>
      <c r="B1581" s="1" t="s">
        <v>330</v>
      </c>
      <c r="C1581" s="1" t="s">
        <v>1684</v>
      </c>
      <c r="U1581" s="1"/>
    </row>
    <row r="1582" ht="15.75" customHeight="1">
      <c r="A1582" s="1" t="s">
        <v>1654</v>
      </c>
      <c r="B1582" s="1" t="s">
        <v>330</v>
      </c>
      <c r="C1582" s="1" t="s">
        <v>1685</v>
      </c>
      <c r="U1582" s="1"/>
    </row>
    <row r="1583" ht="15.75" customHeight="1">
      <c r="A1583" s="1" t="s">
        <v>1654</v>
      </c>
      <c r="B1583" s="1" t="s">
        <v>330</v>
      </c>
      <c r="C1583" s="1" t="s">
        <v>1686</v>
      </c>
      <c r="U1583" s="1"/>
    </row>
    <row r="1584" ht="15.75" customHeight="1">
      <c r="A1584" s="1" t="s">
        <v>1654</v>
      </c>
      <c r="B1584" s="1" t="s">
        <v>330</v>
      </c>
      <c r="C1584" s="1" t="s">
        <v>1455</v>
      </c>
      <c r="U1584" s="1"/>
    </row>
    <row r="1585" ht="15.75" customHeight="1">
      <c r="A1585" s="1" t="s">
        <v>1654</v>
      </c>
      <c r="B1585" s="1" t="s">
        <v>330</v>
      </c>
      <c r="C1585" s="1" t="s">
        <v>962</v>
      </c>
      <c r="U1585" s="1"/>
    </row>
    <row r="1586" ht="15.75" customHeight="1">
      <c r="A1586" s="1" t="s">
        <v>1654</v>
      </c>
      <c r="B1586" s="1" t="s">
        <v>330</v>
      </c>
      <c r="C1586" s="1" t="s">
        <v>963</v>
      </c>
      <c r="U1586" s="1"/>
    </row>
    <row r="1587" ht="15.75" customHeight="1">
      <c r="A1587" s="1" t="s">
        <v>1654</v>
      </c>
      <c r="B1587" s="1" t="s">
        <v>378</v>
      </c>
      <c r="C1587" s="1" t="s">
        <v>1687</v>
      </c>
      <c r="U1587" s="1"/>
    </row>
    <row r="1588" ht="15.75" customHeight="1">
      <c r="A1588" s="1" t="s">
        <v>1654</v>
      </c>
      <c r="B1588" s="1" t="s">
        <v>378</v>
      </c>
      <c r="C1588" s="1" t="s">
        <v>1688</v>
      </c>
      <c r="U1588" s="1"/>
    </row>
    <row r="1589" ht="15.75" customHeight="1">
      <c r="A1589" s="1" t="s">
        <v>1654</v>
      </c>
      <c r="B1589" s="1" t="s">
        <v>378</v>
      </c>
      <c r="C1589" s="1" t="s">
        <v>1689</v>
      </c>
      <c r="U1589" s="1"/>
    </row>
    <row r="1590" ht="15.75" customHeight="1">
      <c r="A1590" s="1" t="s">
        <v>1654</v>
      </c>
      <c r="B1590" s="1" t="s">
        <v>378</v>
      </c>
      <c r="C1590" s="1" t="s">
        <v>1465</v>
      </c>
      <c r="U1590" s="1"/>
    </row>
    <row r="1591" ht="15.75" customHeight="1">
      <c r="A1591" s="1" t="s">
        <v>1654</v>
      </c>
      <c r="B1591" s="1" t="s">
        <v>378</v>
      </c>
      <c r="C1591" s="1" t="s">
        <v>1690</v>
      </c>
      <c r="U1591" s="1"/>
    </row>
    <row r="1592" ht="15.75" customHeight="1">
      <c r="A1592" s="1" t="s">
        <v>1654</v>
      </c>
      <c r="B1592" s="1" t="s">
        <v>378</v>
      </c>
      <c r="C1592" s="1" t="s">
        <v>977</v>
      </c>
      <c r="U1592" s="1"/>
    </row>
    <row r="1593" ht="15.75" customHeight="1">
      <c r="A1593" s="1" t="s">
        <v>1654</v>
      </c>
      <c r="B1593" s="1" t="s">
        <v>403</v>
      </c>
      <c r="C1593" s="1" t="s">
        <v>1470</v>
      </c>
      <c r="U1593" s="1"/>
    </row>
    <row r="1594" ht="15.75" customHeight="1">
      <c r="A1594" s="1" t="s">
        <v>1654</v>
      </c>
      <c r="B1594" s="1" t="s">
        <v>403</v>
      </c>
      <c r="C1594" s="1" t="s">
        <v>1472</v>
      </c>
      <c r="U1594" s="1"/>
    </row>
    <row r="1595" ht="15.75" customHeight="1">
      <c r="A1595" s="1" t="s">
        <v>1654</v>
      </c>
      <c r="B1595" s="1" t="s">
        <v>403</v>
      </c>
      <c r="C1595" s="1" t="s">
        <v>1473</v>
      </c>
      <c r="U1595" s="1"/>
    </row>
    <row r="1596" ht="15.75" customHeight="1">
      <c r="A1596" s="1" t="s">
        <v>1654</v>
      </c>
      <c r="B1596" s="1" t="s">
        <v>1691</v>
      </c>
      <c r="C1596" s="1" t="s">
        <v>1692</v>
      </c>
      <c r="U1596" s="1"/>
    </row>
    <row r="1597" ht="15.75" customHeight="1">
      <c r="A1597" s="1" t="s">
        <v>1693</v>
      </c>
      <c r="B1597" s="1" t="s">
        <v>6</v>
      </c>
      <c r="C1597" s="1" t="s">
        <v>763</v>
      </c>
      <c r="U1597" s="1"/>
    </row>
    <row r="1598" ht="15.75" customHeight="1">
      <c r="A1598" s="1" t="s">
        <v>1693</v>
      </c>
      <c r="B1598" s="1" t="s">
        <v>6</v>
      </c>
      <c r="C1598" s="1" t="s">
        <v>1694</v>
      </c>
      <c r="U1598" s="1"/>
    </row>
    <row r="1599" ht="15.75" customHeight="1">
      <c r="A1599" s="1" t="s">
        <v>1693</v>
      </c>
      <c r="B1599" s="1" t="s">
        <v>29</v>
      </c>
      <c r="C1599" s="1" t="s">
        <v>769</v>
      </c>
      <c r="U1599" s="1"/>
    </row>
    <row r="1600" ht="15.75" customHeight="1">
      <c r="A1600" s="1" t="s">
        <v>1693</v>
      </c>
      <c r="B1600" s="1" t="s">
        <v>29</v>
      </c>
      <c r="C1600" s="1" t="s">
        <v>33</v>
      </c>
      <c r="U1600" s="1"/>
    </row>
    <row r="1601" ht="15.75" customHeight="1">
      <c r="A1601" s="1" t="s">
        <v>1693</v>
      </c>
      <c r="B1601" s="1" t="s">
        <v>29</v>
      </c>
      <c r="C1601" s="1" t="s">
        <v>922</v>
      </c>
      <c r="U1601" s="1"/>
    </row>
    <row r="1602" ht="15.75" customHeight="1">
      <c r="A1602" s="1" t="s">
        <v>1693</v>
      </c>
      <c r="B1602" s="1" t="s">
        <v>29</v>
      </c>
      <c r="C1602" s="1" t="s">
        <v>45</v>
      </c>
      <c r="U1602" s="1"/>
    </row>
    <row r="1603" ht="15.75" customHeight="1">
      <c r="A1603" s="1" t="s">
        <v>1693</v>
      </c>
      <c r="B1603" s="1" t="s">
        <v>29</v>
      </c>
      <c r="C1603" s="1" t="s">
        <v>782</v>
      </c>
      <c r="U1603" s="1"/>
    </row>
    <row r="1604" ht="15.75" customHeight="1">
      <c r="A1604" s="1" t="s">
        <v>1693</v>
      </c>
      <c r="B1604" s="1" t="s">
        <v>29</v>
      </c>
      <c r="C1604" s="1" t="s">
        <v>792</v>
      </c>
      <c r="U1604" s="1"/>
    </row>
    <row r="1605" ht="15.75" customHeight="1">
      <c r="A1605" s="1" t="s">
        <v>1693</v>
      </c>
      <c r="B1605" s="1" t="s">
        <v>29</v>
      </c>
      <c r="C1605" s="1" t="s">
        <v>1695</v>
      </c>
      <c r="U1605" s="1"/>
    </row>
    <row r="1606" ht="15.75" customHeight="1">
      <c r="A1606" s="1" t="s">
        <v>1693</v>
      </c>
      <c r="B1606" s="1" t="s">
        <v>29</v>
      </c>
      <c r="C1606" s="1" t="s">
        <v>1591</v>
      </c>
      <c r="U1606" s="1"/>
    </row>
    <row r="1607" ht="15.75" customHeight="1">
      <c r="A1607" s="1" t="s">
        <v>1693</v>
      </c>
      <c r="B1607" s="1" t="s">
        <v>77</v>
      </c>
      <c r="C1607" s="1" t="s">
        <v>804</v>
      </c>
      <c r="U1607" s="1"/>
    </row>
    <row r="1608" ht="15.75" customHeight="1">
      <c r="A1608" s="1" t="s">
        <v>1693</v>
      </c>
      <c r="B1608" s="1" t="s">
        <v>77</v>
      </c>
      <c r="C1608" s="1" t="s">
        <v>94</v>
      </c>
      <c r="U1608" s="1"/>
    </row>
    <row r="1609" ht="15.75" customHeight="1">
      <c r="A1609" s="1" t="s">
        <v>1693</v>
      </c>
      <c r="B1609" s="1" t="s">
        <v>77</v>
      </c>
      <c r="C1609" s="1" t="s">
        <v>103</v>
      </c>
      <c r="U1609" s="1"/>
    </row>
    <row r="1610" ht="15.75" customHeight="1">
      <c r="A1610" s="1" t="s">
        <v>1693</v>
      </c>
      <c r="B1610" s="1" t="s">
        <v>77</v>
      </c>
      <c r="C1610" s="1" t="s">
        <v>811</v>
      </c>
      <c r="U1610" s="1"/>
    </row>
    <row r="1611" ht="15.75" customHeight="1">
      <c r="A1611" s="1" t="s">
        <v>1693</v>
      </c>
      <c r="B1611" s="1" t="s">
        <v>77</v>
      </c>
      <c r="C1611" s="1" t="s">
        <v>1696</v>
      </c>
      <c r="U1611" s="1"/>
    </row>
    <row r="1612" ht="15.75" customHeight="1">
      <c r="A1612" s="1" t="s">
        <v>1693</v>
      </c>
      <c r="B1612" s="1" t="s">
        <v>77</v>
      </c>
      <c r="C1612" s="1" t="s">
        <v>826</v>
      </c>
      <c r="U1612" s="1"/>
    </row>
    <row r="1613" ht="15.75" customHeight="1">
      <c r="A1613" s="1" t="s">
        <v>1693</v>
      </c>
      <c r="B1613" s="1" t="s">
        <v>77</v>
      </c>
      <c r="C1613" s="1" t="s">
        <v>1697</v>
      </c>
      <c r="U1613" s="1"/>
    </row>
    <row r="1614" ht="15.75" customHeight="1">
      <c r="A1614" s="1" t="s">
        <v>1693</v>
      </c>
      <c r="B1614" s="1" t="s">
        <v>77</v>
      </c>
      <c r="C1614" s="1" t="s">
        <v>1698</v>
      </c>
      <c r="U1614" s="1"/>
    </row>
    <row r="1615" ht="15.75" customHeight="1">
      <c r="A1615" s="1" t="s">
        <v>1693</v>
      </c>
      <c r="B1615" s="1" t="s">
        <v>158</v>
      </c>
      <c r="C1615" s="1" t="s">
        <v>938</v>
      </c>
      <c r="U1615" s="1"/>
    </row>
    <row r="1616" ht="15.75" customHeight="1">
      <c r="A1616" s="1" t="s">
        <v>1693</v>
      </c>
      <c r="B1616" s="1" t="s">
        <v>158</v>
      </c>
      <c r="C1616" s="1" t="s">
        <v>169</v>
      </c>
      <c r="U1616" s="1"/>
    </row>
    <row r="1617" ht="15.75" customHeight="1">
      <c r="A1617" s="1" t="s">
        <v>1693</v>
      </c>
      <c r="B1617" s="1" t="s">
        <v>158</v>
      </c>
      <c r="C1617" s="1" t="s">
        <v>1699</v>
      </c>
      <c r="U1617" s="1"/>
    </row>
    <row r="1618" ht="15.75" customHeight="1">
      <c r="A1618" s="1" t="s">
        <v>1693</v>
      </c>
      <c r="B1618" s="1" t="s">
        <v>158</v>
      </c>
      <c r="C1618" s="1" t="s">
        <v>1700</v>
      </c>
      <c r="U1618" s="1"/>
    </row>
    <row r="1619" ht="15.75" customHeight="1">
      <c r="A1619" s="1" t="s">
        <v>1693</v>
      </c>
      <c r="B1619" s="1" t="s">
        <v>158</v>
      </c>
      <c r="C1619" s="1" t="s">
        <v>1701</v>
      </c>
      <c r="U1619" s="1"/>
    </row>
    <row r="1620" ht="15.75" customHeight="1">
      <c r="A1620" s="1" t="s">
        <v>1693</v>
      </c>
      <c r="B1620" s="1" t="s">
        <v>158</v>
      </c>
      <c r="C1620" s="1" t="s">
        <v>1702</v>
      </c>
      <c r="U1620" s="1"/>
    </row>
    <row r="1621" ht="15.75" customHeight="1">
      <c r="A1621" s="1" t="s">
        <v>1693</v>
      </c>
      <c r="B1621" s="1" t="s">
        <v>158</v>
      </c>
      <c r="C1621" s="1" t="s">
        <v>1703</v>
      </c>
      <c r="U1621" s="1"/>
    </row>
    <row r="1622" ht="15.75" customHeight="1">
      <c r="A1622" s="1" t="s">
        <v>1693</v>
      </c>
      <c r="B1622" s="1" t="s">
        <v>158</v>
      </c>
      <c r="C1622" s="1" t="s">
        <v>1704</v>
      </c>
      <c r="U1622" s="1"/>
    </row>
    <row r="1623" ht="15.75" customHeight="1">
      <c r="A1623" s="1" t="s">
        <v>1693</v>
      </c>
      <c r="B1623" s="1" t="s">
        <v>158</v>
      </c>
      <c r="C1623" s="1" t="s">
        <v>1705</v>
      </c>
      <c r="U1623" s="1"/>
    </row>
    <row r="1624" ht="15.75" customHeight="1">
      <c r="A1624" s="1" t="s">
        <v>1693</v>
      </c>
      <c r="B1624" s="1" t="s">
        <v>158</v>
      </c>
      <c r="C1624" s="1" t="s">
        <v>1706</v>
      </c>
      <c r="U1624" s="1"/>
    </row>
    <row r="1625" ht="15.75" customHeight="1">
      <c r="A1625" s="1" t="s">
        <v>1693</v>
      </c>
      <c r="B1625" s="1" t="s">
        <v>158</v>
      </c>
      <c r="C1625" s="1" t="s">
        <v>1707</v>
      </c>
      <c r="U1625" s="1"/>
    </row>
    <row r="1626" ht="15.75" customHeight="1">
      <c r="A1626" s="1" t="s">
        <v>1693</v>
      </c>
      <c r="B1626" s="1" t="s">
        <v>158</v>
      </c>
      <c r="C1626" s="1" t="s">
        <v>1708</v>
      </c>
      <c r="U1626" s="1"/>
    </row>
    <row r="1627" ht="15.75" customHeight="1">
      <c r="A1627" s="1" t="s">
        <v>1693</v>
      </c>
      <c r="B1627" s="1" t="s">
        <v>158</v>
      </c>
      <c r="C1627" s="1" t="s">
        <v>223</v>
      </c>
      <c r="U1627" s="1"/>
    </row>
    <row r="1628" ht="15.75" customHeight="1">
      <c r="A1628" s="1" t="s">
        <v>1693</v>
      </c>
      <c r="B1628" s="1" t="s">
        <v>158</v>
      </c>
      <c r="C1628" s="1" t="s">
        <v>859</v>
      </c>
      <c r="U1628" s="1"/>
    </row>
    <row r="1629" ht="15.75" customHeight="1">
      <c r="A1629" s="1" t="s">
        <v>1693</v>
      </c>
      <c r="B1629" s="1" t="s">
        <v>158</v>
      </c>
      <c r="C1629" s="1" t="s">
        <v>231</v>
      </c>
      <c r="U1629" s="1"/>
    </row>
    <row r="1630" ht="15.75" customHeight="1">
      <c r="A1630" s="1" t="s">
        <v>1693</v>
      </c>
      <c r="B1630" s="1" t="s">
        <v>158</v>
      </c>
      <c r="C1630" s="1" t="s">
        <v>233</v>
      </c>
      <c r="U1630" s="1"/>
    </row>
    <row r="1631" ht="15.75" customHeight="1">
      <c r="A1631" s="1" t="s">
        <v>1693</v>
      </c>
      <c r="B1631" s="1" t="s">
        <v>158</v>
      </c>
      <c r="C1631" s="1" t="s">
        <v>686</v>
      </c>
      <c r="U1631" s="1"/>
    </row>
    <row r="1632" ht="15.75" customHeight="1">
      <c r="A1632" s="1" t="s">
        <v>1693</v>
      </c>
      <c r="B1632" s="1" t="s">
        <v>158</v>
      </c>
      <c r="C1632" s="1" t="s">
        <v>1709</v>
      </c>
      <c r="U1632" s="1"/>
    </row>
    <row r="1633" ht="15.75" customHeight="1">
      <c r="A1633" s="1" t="s">
        <v>1693</v>
      </c>
      <c r="B1633" s="1" t="s">
        <v>158</v>
      </c>
      <c r="C1633" s="1" t="s">
        <v>1710</v>
      </c>
      <c r="U1633" s="1"/>
    </row>
    <row r="1634" ht="15.75" customHeight="1">
      <c r="A1634" s="1" t="s">
        <v>1693</v>
      </c>
      <c r="B1634" s="1" t="s">
        <v>158</v>
      </c>
      <c r="C1634" s="1" t="s">
        <v>1711</v>
      </c>
      <c r="U1634" s="1"/>
    </row>
    <row r="1635" ht="15.75" customHeight="1">
      <c r="A1635" s="1" t="s">
        <v>1693</v>
      </c>
      <c r="B1635" s="1" t="s">
        <v>158</v>
      </c>
      <c r="C1635" s="1" t="s">
        <v>1712</v>
      </c>
      <c r="U1635" s="1"/>
    </row>
    <row r="1636" ht="15.75" customHeight="1">
      <c r="A1636" s="1" t="s">
        <v>1693</v>
      </c>
      <c r="B1636" s="1" t="s">
        <v>158</v>
      </c>
      <c r="C1636" s="1" t="s">
        <v>1713</v>
      </c>
      <c r="U1636" s="1"/>
    </row>
    <row r="1637" ht="15.75" customHeight="1">
      <c r="A1637" s="1" t="s">
        <v>1693</v>
      </c>
      <c r="B1637" s="1" t="s">
        <v>330</v>
      </c>
      <c r="C1637" s="1" t="s">
        <v>1714</v>
      </c>
      <c r="U1637" s="1"/>
    </row>
    <row r="1638" ht="15.75" customHeight="1">
      <c r="A1638" s="1" t="s">
        <v>1693</v>
      </c>
      <c r="B1638" s="1" t="s">
        <v>330</v>
      </c>
      <c r="C1638" s="1" t="s">
        <v>891</v>
      </c>
      <c r="U1638" s="1"/>
    </row>
    <row r="1639" ht="15.75" customHeight="1">
      <c r="A1639" s="1" t="s">
        <v>1693</v>
      </c>
      <c r="B1639" s="1" t="s">
        <v>330</v>
      </c>
      <c r="C1639" s="1" t="s">
        <v>1715</v>
      </c>
      <c r="U1639" s="1"/>
    </row>
    <row r="1640" ht="15.75" customHeight="1">
      <c r="A1640" s="1" t="s">
        <v>1693</v>
      </c>
      <c r="B1640" s="1" t="s">
        <v>1093</v>
      </c>
      <c r="C1640" s="1" t="s">
        <v>1716</v>
      </c>
      <c r="U1640" s="1"/>
    </row>
    <row r="1641" ht="15.75" customHeight="1">
      <c r="A1641" s="1" t="s">
        <v>1717</v>
      </c>
      <c r="B1641" s="1" t="s">
        <v>6</v>
      </c>
      <c r="C1641" s="1" t="s">
        <v>10</v>
      </c>
      <c r="U1641" s="1"/>
    </row>
    <row r="1642" ht="15.75" customHeight="1">
      <c r="A1642" s="1" t="s">
        <v>1717</v>
      </c>
      <c r="B1642" s="1" t="s">
        <v>6</v>
      </c>
      <c r="C1642" s="1" t="s">
        <v>18</v>
      </c>
      <c r="U1642" s="1"/>
    </row>
    <row r="1643" ht="15.75" customHeight="1">
      <c r="A1643" s="1" t="s">
        <v>1717</v>
      </c>
      <c r="B1643" s="1" t="s">
        <v>29</v>
      </c>
      <c r="C1643" s="1" t="s">
        <v>30</v>
      </c>
      <c r="U1643" s="1"/>
    </row>
    <row r="1644" ht="15.75" customHeight="1">
      <c r="A1644" s="1" t="s">
        <v>1717</v>
      </c>
      <c r="B1644" s="1" t="s">
        <v>29</v>
      </c>
      <c r="C1644" s="1" t="s">
        <v>41</v>
      </c>
      <c r="U1644" s="1"/>
    </row>
    <row r="1645" ht="15.75" customHeight="1">
      <c r="A1645" s="1" t="s">
        <v>1717</v>
      </c>
      <c r="B1645" s="1" t="s">
        <v>29</v>
      </c>
      <c r="C1645" s="1" t="s">
        <v>68</v>
      </c>
      <c r="U1645" s="1"/>
    </row>
    <row r="1646" ht="15.75" customHeight="1">
      <c r="A1646" s="1" t="s">
        <v>1717</v>
      </c>
      <c r="B1646" s="1" t="s">
        <v>29</v>
      </c>
      <c r="C1646" s="1" t="s">
        <v>70</v>
      </c>
      <c r="U1646" s="1"/>
    </row>
    <row r="1647" ht="15.75" customHeight="1">
      <c r="A1647" s="1" t="s">
        <v>1717</v>
      </c>
      <c r="B1647" s="1" t="s">
        <v>29</v>
      </c>
      <c r="C1647" s="1" t="s">
        <v>72</v>
      </c>
      <c r="U1647" s="1"/>
    </row>
    <row r="1648" ht="15.75" customHeight="1">
      <c r="A1648" s="1" t="s">
        <v>1717</v>
      </c>
      <c r="B1648" s="1" t="s">
        <v>77</v>
      </c>
      <c r="C1648" s="1" t="s">
        <v>96</v>
      </c>
      <c r="U1648" s="1"/>
    </row>
    <row r="1649" ht="15.75" customHeight="1">
      <c r="A1649" s="1" t="s">
        <v>1717</v>
      </c>
      <c r="B1649" s="1" t="s">
        <v>77</v>
      </c>
      <c r="C1649" s="1" t="s">
        <v>107</v>
      </c>
      <c r="U1649" s="1"/>
    </row>
    <row r="1650" ht="15.75" customHeight="1">
      <c r="A1650" s="1" t="s">
        <v>1717</v>
      </c>
      <c r="B1650" s="1" t="s">
        <v>77</v>
      </c>
      <c r="C1650" s="1" t="s">
        <v>107</v>
      </c>
      <c r="U1650" s="1"/>
    </row>
    <row r="1651" ht="15.75" customHeight="1">
      <c r="A1651" s="1" t="s">
        <v>1717</v>
      </c>
      <c r="B1651" s="1" t="s">
        <v>77</v>
      </c>
      <c r="C1651" s="1" t="s">
        <v>114</v>
      </c>
      <c r="U1651" s="1"/>
    </row>
    <row r="1652" ht="15.75" customHeight="1">
      <c r="A1652" s="1" t="s">
        <v>1717</v>
      </c>
      <c r="B1652" s="1" t="s">
        <v>77</v>
      </c>
      <c r="C1652" s="1" t="s">
        <v>146</v>
      </c>
      <c r="U1652" s="1"/>
    </row>
    <row r="1653" ht="15.75" customHeight="1">
      <c r="A1653" s="1" t="s">
        <v>1717</v>
      </c>
      <c r="B1653" s="1" t="s">
        <v>77</v>
      </c>
      <c r="C1653" s="1" t="s">
        <v>151</v>
      </c>
      <c r="U1653" s="1"/>
    </row>
    <row r="1654" ht="15.75" customHeight="1">
      <c r="A1654" s="1" t="s">
        <v>1717</v>
      </c>
      <c r="B1654" s="1" t="s">
        <v>158</v>
      </c>
      <c r="C1654" s="1" t="s">
        <v>167</v>
      </c>
      <c r="U1654" s="1"/>
    </row>
    <row r="1655" ht="15.75" customHeight="1">
      <c r="A1655" s="1" t="s">
        <v>1717</v>
      </c>
      <c r="B1655" s="1" t="s">
        <v>158</v>
      </c>
      <c r="C1655" s="1" t="s">
        <v>175</v>
      </c>
      <c r="U1655" s="1"/>
    </row>
    <row r="1656" ht="15.75" customHeight="1">
      <c r="A1656" s="1" t="s">
        <v>1717</v>
      </c>
      <c r="B1656" s="1" t="s">
        <v>158</v>
      </c>
      <c r="C1656" s="1" t="s">
        <v>203</v>
      </c>
      <c r="U1656" s="1"/>
    </row>
    <row r="1657" ht="15.75" customHeight="1">
      <c r="A1657" s="1" t="s">
        <v>1717</v>
      </c>
      <c r="B1657" s="1" t="s">
        <v>158</v>
      </c>
      <c r="C1657" s="1" t="s">
        <v>208</v>
      </c>
      <c r="U1657" s="1"/>
    </row>
    <row r="1658" ht="15.75" customHeight="1">
      <c r="A1658" s="1" t="s">
        <v>1717</v>
      </c>
      <c r="B1658" s="1" t="s">
        <v>158</v>
      </c>
      <c r="C1658" s="1" t="s">
        <v>219</v>
      </c>
      <c r="U1658" s="1"/>
    </row>
    <row r="1659" ht="15.75" customHeight="1">
      <c r="A1659" s="1" t="s">
        <v>1717</v>
      </c>
      <c r="B1659" s="1" t="s">
        <v>330</v>
      </c>
      <c r="C1659" s="1" t="s">
        <v>692</v>
      </c>
      <c r="U1659" s="1"/>
    </row>
    <row r="1660" ht="15.75" customHeight="1">
      <c r="A1660" s="1" t="s">
        <v>1717</v>
      </c>
      <c r="B1660" s="1" t="s">
        <v>330</v>
      </c>
      <c r="C1660" s="1" t="s">
        <v>335</v>
      </c>
      <c r="U1660" s="1"/>
    </row>
    <row r="1661" ht="15.75" customHeight="1">
      <c r="A1661" s="1" t="s">
        <v>1717</v>
      </c>
      <c r="B1661" s="1" t="s">
        <v>330</v>
      </c>
      <c r="C1661" s="1" t="s">
        <v>337</v>
      </c>
      <c r="U1661" s="1"/>
    </row>
    <row r="1662" ht="15.75" customHeight="1">
      <c r="A1662" s="1" t="s">
        <v>1717</v>
      </c>
      <c r="B1662" s="1" t="s">
        <v>330</v>
      </c>
      <c r="C1662" s="1" t="s">
        <v>956</v>
      </c>
      <c r="U1662" s="1"/>
    </row>
    <row r="1663" ht="15.75" customHeight="1">
      <c r="A1663" s="1" t="s">
        <v>1717</v>
      </c>
      <c r="B1663" s="1" t="s">
        <v>330</v>
      </c>
      <c r="C1663" s="1" t="s">
        <v>704</v>
      </c>
      <c r="U1663" s="1"/>
    </row>
    <row r="1664" ht="15.75" customHeight="1">
      <c r="A1664" s="1" t="s">
        <v>1717</v>
      </c>
      <c r="B1664" s="1" t="s">
        <v>330</v>
      </c>
      <c r="C1664" s="1" t="s">
        <v>1718</v>
      </c>
      <c r="U1664" s="1"/>
    </row>
    <row r="1665" ht="15.75" customHeight="1">
      <c r="A1665" s="1" t="s">
        <v>1717</v>
      </c>
      <c r="B1665" s="1" t="s">
        <v>330</v>
      </c>
      <c r="C1665" s="1" t="s">
        <v>725</v>
      </c>
      <c r="U1665" s="1"/>
    </row>
    <row r="1666" ht="15.75" customHeight="1">
      <c r="A1666" s="1" t="s">
        <v>1717</v>
      </c>
      <c r="B1666" s="1" t="s">
        <v>330</v>
      </c>
      <c r="C1666" s="1" t="s">
        <v>964</v>
      </c>
      <c r="U1666" s="1"/>
    </row>
    <row r="1667" ht="15.75" customHeight="1">
      <c r="A1667" s="1" t="s">
        <v>1717</v>
      </c>
      <c r="B1667" s="1" t="s">
        <v>378</v>
      </c>
      <c r="C1667" s="1" t="s">
        <v>1719</v>
      </c>
      <c r="U1667" s="1"/>
    </row>
    <row r="1668" ht="15.75" customHeight="1">
      <c r="A1668" s="1" t="s">
        <v>1717</v>
      </c>
      <c r="B1668" s="1" t="s">
        <v>378</v>
      </c>
      <c r="C1668" s="1" t="s">
        <v>1720</v>
      </c>
      <c r="U1668" s="1"/>
    </row>
    <row r="1669" ht="15.75" customHeight="1">
      <c r="A1669" s="1" t="s">
        <v>1717</v>
      </c>
      <c r="B1669" s="1" t="s">
        <v>378</v>
      </c>
      <c r="C1669" s="1" t="s">
        <v>734</v>
      </c>
      <c r="U1669" s="1"/>
    </row>
    <row r="1670" ht="15.75" customHeight="1">
      <c r="A1670" s="1" t="s">
        <v>1717</v>
      </c>
      <c r="B1670" s="1" t="s">
        <v>378</v>
      </c>
      <c r="C1670" s="1" t="s">
        <v>391</v>
      </c>
      <c r="U1670" s="1"/>
    </row>
    <row r="1671" ht="15.75" customHeight="1">
      <c r="A1671" s="1" t="s">
        <v>1717</v>
      </c>
      <c r="B1671" s="1" t="s">
        <v>378</v>
      </c>
      <c r="C1671" s="1" t="s">
        <v>393</v>
      </c>
      <c r="U1671" s="1"/>
    </row>
    <row r="1672" ht="15.75" customHeight="1">
      <c r="A1672" s="1" t="s">
        <v>1717</v>
      </c>
      <c r="B1672" s="1" t="s">
        <v>403</v>
      </c>
      <c r="C1672" s="1" t="s">
        <v>750</v>
      </c>
      <c r="U1672" s="1"/>
    </row>
    <row r="1673" ht="15.75" customHeight="1">
      <c r="A1673" s="1" t="s">
        <v>1717</v>
      </c>
      <c r="B1673" s="1" t="s">
        <v>403</v>
      </c>
      <c r="C1673" s="1" t="s">
        <v>1346</v>
      </c>
      <c r="U1673" s="1"/>
    </row>
    <row r="1674" ht="15.75" customHeight="1">
      <c r="A1674" s="1" t="s">
        <v>1717</v>
      </c>
      <c r="B1674" s="1" t="s">
        <v>403</v>
      </c>
      <c r="C1674" s="1" t="s">
        <v>988</v>
      </c>
      <c r="U1674" s="1"/>
    </row>
    <row r="1675" ht="15.75" customHeight="1">
      <c r="A1675" s="1" t="s">
        <v>1717</v>
      </c>
      <c r="B1675" s="1" t="s">
        <v>403</v>
      </c>
      <c r="C1675" s="1" t="s">
        <v>995</v>
      </c>
      <c r="U1675" s="1"/>
    </row>
    <row r="1676" ht="15.75" customHeight="1">
      <c r="A1676" s="1" t="s">
        <v>1717</v>
      </c>
      <c r="B1676" s="1" t="s">
        <v>997</v>
      </c>
      <c r="C1676" s="1" t="s">
        <v>1721</v>
      </c>
      <c r="U1676" s="1"/>
    </row>
    <row r="1677" ht="15.75" customHeight="1">
      <c r="A1677" s="1" t="s">
        <v>1717</v>
      </c>
      <c r="B1677" s="1" t="s">
        <v>997</v>
      </c>
      <c r="C1677" s="1" t="s">
        <v>1722</v>
      </c>
      <c r="U1677" s="1"/>
    </row>
    <row r="1678" ht="15.75" customHeight="1">
      <c r="A1678" s="1" t="s">
        <v>1717</v>
      </c>
      <c r="B1678" s="1" t="s">
        <v>997</v>
      </c>
      <c r="C1678" s="1" t="s">
        <v>1723</v>
      </c>
      <c r="U1678" s="1"/>
    </row>
    <row r="1679" ht="15.75" customHeight="1">
      <c r="A1679" s="1" t="s">
        <v>1717</v>
      </c>
      <c r="B1679" s="1" t="s">
        <v>997</v>
      </c>
      <c r="C1679" s="1" t="s">
        <v>1724</v>
      </c>
      <c r="U1679" s="1"/>
    </row>
    <row r="1680" ht="15.75" customHeight="1">
      <c r="A1680" s="1" t="s">
        <v>1725</v>
      </c>
      <c r="B1680" s="1" t="s">
        <v>29</v>
      </c>
      <c r="C1680" s="1" t="s">
        <v>1193</v>
      </c>
      <c r="U1680" s="1"/>
    </row>
    <row r="1681" ht="15.75" customHeight="1">
      <c r="A1681" s="1" t="s">
        <v>1725</v>
      </c>
      <c r="B1681" s="1" t="s">
        <v>29</v>
      </c>
      <c r="C1681" s="1" t="s">
        <v>1194</v>
      </c>
      <c r="U1681" s="1"/>
    </row>
    <row r="1682" ht="15.75" customHeight="1">
      <c r="A1682" s="1" t="s">
        <v>1725</v>
      </c>
      <c r="B1682" s="1" t="s">
        <v>29</v>
      </c>
      <c r="C1682" s="1" t="s">
        <v>1208</v>
      </c>
      <c r="U1682" s="1"/>
    </row>
    <row r="1683" ht="15.75" customHeight="1">
      <c r="A1683" s="1" t="s">
        <v>1725</v>
      </c>
      <c r="B1683" s="1" t="s">
        <v>77</v>
      </c>
      <c r="C1683" s="1" t="s">
        <v>96</v>
      </c>
      <c r="U1683" s="1"/>
    </row>
    <row r="1684" ht="15.75" customHeight="1">
      <c r="A1684" s="1" t="s">
        <v>1725</v>
      </c>
      <c r="B1684" s="1" t="s">
        <v>77</v>
      </c>
      <c r="C1684" s="1" t="s">
        <v>114</v>
      </c>
      <c r="U1684" s="1"/>
    </row>
    <row r="1685" ht="15.75" customHeight="1">
      <c r="A1685" s="1" t="s">
        <v>1725</v>
      </c>
      <c r="B1685" s="1" t="s">
        <v>77</v>
      </c>
      <c r="C1685" s="1" t="s">
        <v>122</v>
      </c>
      <c r="U1685" s="1"/>
    </row>
    <row r="1686" ht="15.75" customHeight="1">
      <c r="A1686" s="1" t="s">
        <v>1725</v>
      </c>
      <c r="B1686" s="1" t="s">
        <v>77</v>
      </c>
      <c r="C1686" s="1" t="s">
        <v>1226</v>
      </c>
      <c r="U1686" s="1"/>
    </row>
    <row r="1687" ht="15.75" customHeight="1">
      <c r="A1687" s="1" t="s">
        <v>1725</v>
      </c>
      <c r="B1687" s="1" t="s">
        <v>158</v>
      </c>
      <c r="C1687" s="1" t="s">
        <v>161</v>
      </c>
      <c r="U1687" s="1"/>
    </row>
    <row r="1688" ht="15.75" customHeight="1">
      <c r="A1688" s="1" t="s">
        <v>1725</v>
      </c>
      <c r="B1688" s="1" t="s">
        <v>158</v>
      </c>
      <c r="C1688" s="1" t="s">
        <v>171</v>
      </c>
      <c r="U1688" s="1"/>
    </row>
    <row r="1689" ht="15.75" customHeight="1">
      <c r="A1689" s="1" t="s">
        <v>1725</v>
      </c>
      <c r="B1689" s="1" t="s">
        <v>158</v>
      </c>
      <c r="C1689" s="1" t="s">
        <v>1235</v>
      </c>
      <c r="U1689" s="1"/>
    </row>
    <row r="1690" ht="15.75" customHeight="1">
      <c r="A1690" s="1" t="s">
        <v>1725</v>
      </c>
      <c r="B1690" s="1" t="s">
        <v>158</v>
      </c>
      <c r="C1690" s="1" t="s">
        <v>189</v>
      </c>
      <c r="U1690" s="1"/>
    </row>
    <row r="1691" ht="15.75" customHeight="1">
      <c r="A1691" s="1" t="s">
        <v>1725</v>
      </c>
      <c r="B1691" s="1" t="s">
        <v>158</v>
      </c>
      <c r="C1691" s="1" t="s">
        <v>1241</v>
      </c>
      <c r="U1691" s="1"/>
    </row>
    <row r="1692" ht="15.75" customHeight="1">
      <c r="A1692" s="1" t="s">
        <v>1725</v>
      </c>
      <c r="B1692" s="1" t="s">
        <v>158</v>
      </c>
      <c r="C1692" s="1" t="s">
        <v>1242</v>
      </c>
      <c r="U1692" s="1"/>
    </row>
    <row r="1693" ht="15.75" customHeight="1">
      <c r="A1693" s="1" t="s">
        <v>1725</v>
      </c>
      <c r="B1693" s="1" t="s">
        <v>158</v>
      </c>
      <c r="C1693" s="1" t="s">
        <v>1450</v>
      </c>
      <c r="U1693" s="1"/>
    </row>
    <row r="1694" ht="15.75" customHeight="1">
      <c r="A1694" s="1" t="s">
        <v>1725</v>
      </c>
      <c r="B1694" s="1" t="s">
        <v>330</v>
      </c>
      <c r="C1694" s="1" t="s">
        <v>1244</v>
      </c>
      <c r="U1694" s="1"/>
    </row>
    <row r="1695" ht="15.75" customHeight="1">
      <c r="A1695" s="1" t="s">
        <v>1725</v>
      </c>
      <c r="B1695" s="1" t="s">
        <v>330</v>
      </c>
      <c r="C1695" s="1" t="s">
        <v>1246</v>
      </c>
      <c r="U1695" s="1"/>
    </row>
    <row r="1696" ht="15.75" customHeight="1">
      <c r="A1696" s="1" t="s">
        <v>1725</v>
      </c>
      <c r="B1696" s="1" t="s">
        <v>330</v>
      </c>
      <c r="C1696" s="1" t="s">
        <v>1453</v>
      </c>
      <c r="U1696" s="1"/>
    </row>
    <row r="1697" ht="15.75" customHeight="1">
      <c r="A1697" s="1" t="s">
        <v>1725</v>
      </c>
      <c r="B1697" s="1" t="s">
        <v>330</v>
      </c>
      <c r="C1697" s="1" t="s">
        <v>1457</v>
      </c>
      <c r="U1697" s="1"/>
    </row>
    <row r="1698" ht="15.75" customHeight="1">
      <c r="A1698" s="1" t="s">
        <v>1725</v>
      </c>
      <c r="B1698" s="1" t="s">
        <v>330</v>
      </c>
      <c r="C1698" s="1" t="s">
        <v>1458</v>
      </c>
      <c r="U1698" s="1"/>
    </row>
    <row r="1699" ht="15.75" customHeight="1">
      <c r="A1699" s="1" t="s">
        <v>1725</v>
      </c>
      <c r="B1699" s="1" t="s">
        <v>330</v>
      </c>
      <c r="C1699" s="1" t="s">
        <v>1332</v>
      </c>
      <c r="U1699" s="1"/>
    </row>
    <row r="1700" ht="15.75" customHeight="1">
      <c r="A1700" s="1" t="s">
        <v>1725</v>
      </c>
      <c r="B1700" s="1" t="s">
        <v>378</v>
      </c>
      <c r="C1700" s="1" t="s">
        <v>1460</v>
      </c>
      <c r="U1700" s="1"/>
    </row>
    <row r="1701" ht="15.75" customHeight="1">
      <c r="A1701" s="1" t="s">
        <v>1725</v>
      </c>
      <c r="B1701" s="1" t="s">
        <v>378</v>
      </c>
      <c r="C1701" s="1" t="s">
        <v>1462</v>
      </c>
      <c r="U1701" s="1"/>
    </row>
    <row r="1702" ht="15.75" customHeight="1">
      <c r="A1702" s="1" t="s">
        <v>1725</v>
      </c>
      <c r="B1702" s="1" t="s">
        <v>378</v>
      </c>
      <c r="C1702" s="1" t="s">
        <v>1463</v>
      </c>
      <c r="U1702" s="1"/>
    </row>
    <row r="1703" ht="15.75" customHeight="1">
      <c r="A1703" s="1" t="s">
        <v>1725</v>
      </c>
      <c r="B1703" s="1" t="s">
        <v>378</v>
      </c>
      <c r="C1703" s="1" t="s">
        <v>1464</v>
      </c>
      <c r="U1703" s="1"/>
    </row>
    <row r="1704" ht="15.75" customHeight="1">
      <c r="A1704" s="1" t="s">
        <v>1725</v>
      </c>
      <c r="B1704" s="1" t="s">
        <v>378</v>
      </c>
      <c r="C1704" s="1" t="s">
        <v>1465</v>
      </c>
      <c r="U1704" s="1"/>
    </row>
    <row r="1705" ht="15.75" customHeight="1">
      <c r="A1705" s="1" t="s">
        <v>1725</v>
      </c>
      <c r="B1705" s="1" t="s">
        <v>378</v>
      </c>
      <c r="C1705" s="1" t="s">
        <v>1466</v>
      </c>
      <c r="U1705" s="1"/>
    </row>
    <row r="1706" ht="15.75" customHeight="1">
      <c r="A1706" s="1" t="s">
        <v>1725</v>
      </c>
      <c r="B1706" s="1" t="s">
        <v>378</v>
      </c>
      <c r="C1706" s="1" t="s">
        <v>1467</v>
      </c>
      <c r="U1706" s="1"/>
    </row>
    <row r="1707" ht="15.75" customHeight="1">
      <c r="A1707" s="1" t="s">
        <v>1725</v>
      </c>
      <c r="B1707" s="1" t="s">
        <v>378</v>
      </c>
      <c r="C1707" s="1" t="s">
        <v>1468</v>
      </c>
      <c r="U1707" s="1"/>
    </row>
    <row r="1708" ht="15.75" customHeight="1">
      <c r="A1708" s="1" t="s">
        <v>1725</v>
      </c>
      <c r="B1708" s="1" t="s">
        <v>378</v>
      </c>
      <c r="C1708" s="1" t="s">
        <v>1469</v>
      </c>
      <c r="U1708" s="1"/>
    </row>
    <row r="1709" ht="15.75" customHeight="1">
      <c r="A1709" s="1" t="s">
        <v>1725</v>
      </c>
      <c r="B1709" s="1" t="s">
        <v>403</v>
      </c>
      <c r="C1709" s="1" t="s">
        <v>1471</v>
      </c>
      <c r="U1709" s="1"/>
    </row>
    <row r="1710" ht="15.75" customHeight="1">
      <c r="A1710" s="1" t="s">
        <v>1725</v>
      </c>
      <c r="B1710" s="1" t="s">
        <v>403</v>
      </c>
      <c r="C1710" s="1" t="s">
        <v>1474</v>
      </c>
      <c r="U1710" s="1"/>
    </row>
    <row r="1711" ht="15.75" customHeight="1">
      <c r="A1711" s="1" t="s">
        <v>1725</v>
      </c>
      <c r="B1711" s="1" t="s">
        <v>997</v>
      </c>
      <c r="C1711" s="1" t="s">
        <v>1066</v>
      </c>
      <c r="U1711" s="1"/>
    </row>
    <row r="1712" ht="15.75" customHeight="1">
      <c r="A1712" s="1" t="s">
        <v>1725</v>
      </c>
      <c r="B1712" s="1" t="s">
        <v>1071</v>
      </c>
      <c r="C1712" s="1" t="s">
        <v>1478</v>
      </c>
      <c r="U1712" s="1"/>
    </row>
    <row r="1713" ht="15.75" customHeight="1">
      <c r="A1713" s="1" t="s">
        <v>1725</v>
      </c>
      <c r="B1713" s="1" t="s">
        <v>1400</v>
      </c>
      <c r="C1713" s="1" t="s">
        <v>1482</v>
      </c>
      <c r="U1713" s="1"/>
    </row>
    <row r="1714" ht="15.75" customHeight="1">
      <c r="A1714" s="1" t="s">
        <v>1725</v>
      </c>
      <c r="B1714" s="1" t="s">
        <v>1400</v>
      </c>
      <c r="C1714" s="1" t="s">
        <v>1483</v>
      </c>
      <c r="U1714" s="1"/>
    </row>
    <row r="1715" ht="15.75" customHeight="1">
      <c r="A1715" s="1" t="s">
        <v>1725</v>
      </c>
      <c r="B1715" s="1" t="s">
        <v>1400</v>
      </c>
      <c r="C1715" s="1" t="s">
        <v>1486</v>
      </c>
      <c r="U1715" s="1"/>
    </row>
    <row r="1716" ht="15.75" customHeight="1">
      <c r="A1716" s="1" t="s">
        <v>1725</v>
      </c>
      <c r="B1716" s="1" t="s">
        <v>1400</v>
      </c>
      <c r="C1716" s="1" t="s">
        <v>1487</v>
      </c>
      <c r="U1716" s="1"/>
    </row>
    <row r="1717" ht="15.75" customHeight="1">
      <c r="A1717" s="1" t="s">
        <v>1725</v>
      </c>
      <c r="B1717" s="1" t="s">
        <v>1410</v>
      </c>
      <c r="C1717" s="1" t="s">
        <v>1489</v>
      </c>
      <c r="U1717" s="1"/>
    </row>
    <row r="1718" ht="15.75" customHeight="1">
      <c r="A1718" s="1" t="s">
        <v>1726</v>
      </c>
      <c r="B1718" s="1" t="s">
        <v>6</v>
      </c>
      <c r="C1718" s="1" t="s">
        <v>917</v>
      </c>
      <c r="U1718" s="1"/>
    </row>
    <row r="1719" ht="15.75" customHeight="1">
      <c r="A1719" s="1" t="s">
        <v>1726</v>
      </c>
      <c r="B1719" s="1" t="s">
        <v>6</v>
      </c>
      <c r="C1719" s="1" t="s">
        <v>1655</v>
      </c>
      <c r="U1719" s="1"/>
    </row>
    <row r="1720" ht="15.75" customHeight="1">
      <c r="A1720" s="1" t="s">
        <v>1726</v>
      </c>
      <c r="B1720" s="1" t="s">
        <v>6</v>
      </c>
      <c r="C1720" s="1" t="s">
        <v>1656</v>
      </c>
      <c r="U1720" s="1"/>
    </row>
    <row r="1721" ht="15.75" customHeight="1">
      <c r="A1721" s="1" t="s">
        <v>1726</v>
      </c>
      <c r="B1721" s="1" t="s">
        <v>6</v>
      </c>
      <c r="C1721" s="1" t="s">
        <v>918</v>
      </c>
      <c r="U1721" s="1"/>
    </row>
    <row r="1722" ht="15.75" customHeight="1">
      <c r="A1722" s="1" t="s">
        <v>1726</v>
      </c>
      <c r="B1722" s="1" t="s">
        <v>6</v>
      </c>
      <c r="C1722" s="1" t="s">
        <v>1657</v>
      </c>
      <c r="U1722" s="1"/>
    </row>
    <row r="1723" ht="15.75" customHeight="1">
      <c r="A1723" s="1" t="s">
        <v>1726</v>
      </c>
      <c r="B1723" s="1" t="s">
        <v>29</v>
      </c>
      <c r="C1723" s="1" t="s">
        <v>921</v>
      </c>
      <c r="U1723" s="1"/>
    </row>
    <row r="1724" ht="15.75" customHeight="1">
      <c r="A1724" s="1" t="s">
        <v>1726</v>
      </c>
      <c r="B1724" s="1" t="s">
        <v>29</v>
      </c>
      <c r="C1724" s="1" t="s">
        <v>1658</v>
      </c>
      <c r="U1724" s="1"/>
    </row>
    <row r="1725" ht="15.75" customHeight="1">
      <c r="A1725" s="1" t="s">
        <v>1726</v>
      </c>
      <c r="B1725" s="1" t="s">
        <v>29</v>
      </c>
      <c r="C1725" s="1" t="s">
        <v>1659</v>
      </c>
      <c r="U1725" s="1"/>
    </row>
    <row r="1726" ht="15.75" customHeight="1">
      <c r="A1726" s="1" t="s">
        <v>1726</v>
      </c>
      <c r="B1726" s="1" t="s">
        <v>29</v>
      </c>
      <c r="C1726" s="1" t="s">
        <v>1660</v>
      </c>
      <c r="U1726" s="1"/>
    </row>
    <row r="1727" ht="15.75" customHeight="1">
      <c r="A1727" s="1" t="s">
        <v>1726</v>
      </c>
      <c r="B1727" s="1" t="s">
        <v>29</v>
      </c>
      <c r="C1727" s="1" t="s">
        <v>1661</v>
      </c>
      <c r="U1727" s="1"/>
    </row>
    <row r="1728" ht="15.75" customHeight="1">
      <c r="A1728" s="1" t="s">
        <v>1726</v>
      </c>
      <c r="B1728" s="1" t="s">
        <v>29</v>
      </c>
      <c r="C1728" s="1" t="s">
        <v>1662</v>
      </c>
      <c r="U1728" s="1"/>
    </row>
    <row r="1729" ht="15.75" customHeight="1">
      <c r="A1729" s="1" t="s">
        <v>1726</v>
      </c>
      <c r="B1729" s="1" t="s">
        <v>77</v>
      </c>
      <c r="C1729" s="1" t="s">
        <v>1663</v>
      </c>
      <c r="U1729" s="1"/>
    </row>
    <row r="1730" ht="15.75" customHeight="1">
      <c r="A1730" s="1" t="s">
        <v>1726</v>
      </c>
      <c r="B1730" s="1" t="s">
        <v>77</v>
      </c>
      <c r="C1730" s="1" t="s">
        <v>1666</v>
      </c>
      <c r="U1730" s="1"/>
    </row>
    <row r="1731" ht="15.75" customHeight="1">
      <c r="A1731" s="1" t="s">
        <v>1726</v>
      </c>
      <c r="B1731" s="1" t="s">
        <v>77</v>
      </c>
      <c r="C1731" s="1" t="s">
        <v>927</v>
      </c>
      <c r="U1731" s="1"/>
    </row>
    <row r="1732" ht="15.75" customHeight="1">
      <c r="A1732" s="1" t="s">
        <v>1726</v>
      </c>
      <c r="B1732" s="1" t="s">
        <v>77</v>
      </c>
      <c r="C1732" s="1" t="s">
        <v>1664</v>
      </c>
      <c r="U1732" s="1"/>
    </row>
    <row r="1733" ht="15.75" customHeight="1">
      <c r="A1733" s="1" t="s">
        <v>1726</v>
      </c>
      <c r="B1733" s="1" t="s">
        <v>77</v>
      </c>
      <c r="C1733" s="1" t="s">
        <v>1665</v>
      </c>
      <c r="U1733" s="1"/>
    </row>
    <row r="1734" ht="15.75" customHeight="1">
      <c r="A1734" s="1" t="s">
        <v>1726</v>
      </c>
      <c r="B1734" s="1" t="s">
        <v>77</v>
      </c>
      <c r="C1734" s="1" t="s">
        <v>1441</v>
      </c>
      <c r="U1734" s="1"/>
    </row>
    <row r="1735" ht="15.75" customHeight="1">
      <c r="A1735" s="1" t="s">
        <v>1726</v>
      </c>
      <c r="B1735" s="1" t="s">
        <v>77</v>
      </c>
      <c r="C1735" s="1" t="s">
        <v>1667</v>
      </c>
      <c r="U1735" s="1"/>
    </row>
    <row r="1736" ht="15.75" customHeight="1">
      <c r="A1736" s="1" t="s">
        <v>1726</v>
      </c>
      <c r="B1736" s="1" t="s">
        <v>77</v>
      </c>
      <c r="C1736" s="1" t="s">
        <v>1668</v>
      </c>
      <c r="U1736" s="1"/>
    </row>
    <row r="1737" ht="15.75" customHeight="1">
      <c r="A1737" s="1" t="s">
        <v>1726</v>
      </c>
      <c r="B1737" s="1" t="s">
        <v>77</v>
      </c>
      <c r="C1737" s="1" t="s">
        <v>1444</v>
      </c>
      <c r="U1737" s="1"/>
    </row>
    <row r="1738" ht="15.75" customHeight="1">
      <c r="A1738" s="1" t="s">
        <v>1726</v>
      </c>
      <c r="B1738" s="1" t="s">
        <v>77</v>
      </c>
      <c r="C1738" s="1" t="s">
        <v>1671</v>
      </c>
      <c r="U1738" s="1"/>
    </row>
    <row r="1739" ht="15.75" customHeight="1">
      <c r="A1739" s="1" t="s">
        <v>1726</v>
      </c>
      <c r="B1739" s="1" t="s">
        <v>77</v>
      </c>
      <c r="C1739" s="1" t="s">
        <v>1669</v>
      </c>
      <c r="U1739" s="1"/>
    </row>
    <row r="1740" ht="15.75" customHeight="1">
      <c r="A1740" s="1" t="s">
        <v>1726</v>
      </c>
      <c r="B1740" s="1" t="s">
        <v>77</v>
      </c>
      <c r="C1740" s="1" t="s">
        <v>1672</v>
      </c>
      <c r="U1740" s="1"/>
    </row>
    <row r="1741" ht="15.75" customHeight="1">
      <c r="A1741" s="1" t="s">
        <v>1726</v>
      </c>
      <c r="B1741" s="1" t="s">
        <v>77</v>
      </c>
      <c r="C1741" s="1" t="s">
        <v>1670</v>
      </c>
      <c r="U1741" s="1"/>
    </row>
    <row r="1742" ht="15.75" customHeight="1">
      <c r="A1742" s="1" t="s">
        <v>1726</v>
      </c>
      <c r="B1742" s="1" t="s">
        <v>77</v>
      </c>
      <c r="C1742" s="1" t="s">
        <v>1673</v>
      </c>
      <c r="U1742" s="1"/>
    </row>
    <row r="1743" ht="15.75" customHeight="1">
      <c r="A1743" s="1" t="s">
        <v>1726</v>
      </c>
      <c r="B1743" s="1" t="s">
        <v>77</v>
      </c>
      <c r="C1743" s="1" t="s">
        <v>1674</v>
      </c>
      <c r="U1743" s="1"/>
    </row>
    <row r="1744" ht="15.75" customHeight="1">
      <c r="A1744" s="1" t="s">
        <v>1726</v>
      </c>
      <c r="B1744" s="1" t="s">
        <v>158</v>
      </c>
      <c r="C1744" s="1" t="s">
        <v>1675</v>
      </c>
      <c r="U1744" s="1"/>
    </row>
    <row r="1745" ht="15.75" customHeight="1">
      <c r="A1745" s="1" t="s">
        <v>1726</v>
      </c>
      <c r="B1745" s="1" t="s">
        <v>158</v>
      </c>
      <c r="C1745" s="1" t="s">
        <v>1676</v>
      </c>
      <c r="U1745" s="1"/>
    </row>
    <row r="1746" ht="15.75" customHeight="1">
      <c r="A1746" s="1" t="s">
        <v>1726</v>
      </c>
      <c r="B1746" s="1" t="s">
        <v>158</v>
      </c>
      <c r="C1746" s="1" t="s">
        <v>1678</v>
      </c>
      <c r="U1746" s="1"/>
    </row>
    <row r="1747" ht="15.75" customHeight="1">
      <c r="A1747" s="1" t="s">
        <v>1726</v>
      </c>
      <c r="B1747" s="1" t="s">
        <v>1691</v>
      </c>
      <c r="C1747" s="1" t="s">
        <v>1692</v>
      </c>
      <c r="U1747" s="1"/>
    </row>
    <row r="1748" ht="15.75" customHeight="1">
      <c r="A1748" s="1" t="s">
        <v>1727</v>
      </c>
      <c r="B1748" s="1" t="s">
        <v>29</v>
      </c>
      <c r="C1748" s="1" t="s">
        <v>43</v>
      </c>
      <c r="U1748" s="1"/>
    </row>
    <row r="1749" ht="15.75" customHeight="1">
      <c r="A1749" s="1" t="s">
        <v>1727</v>
      </c>
      <c r="B1749" s="1" t="s">
        <v>29</v>
      </c>
      <c r="C1749" s="1" t="s">
        <v>49</v>
      </c>
      <c r="U1749" s="1"/>
    </row>
    <row r="1750" ht="15.75" customHeight="1">
      <c r="A1750" s="1" t="s">
        <v>1727</v>
      </c>
      <c r="B1750" s="1" t="s">
        <v>29</v>
      </c>
      <c r="C1750" s="1" t="s">
        <v>66</v>
      </c>
      <c r="U1750" s="1"/>
    </row>
    <row r="1751" ht="15.75" customHeight="1">
      <c r="A1751" s="1" t="s">
        <v>1727</v>
      </c>
      <c r="B1751" s="1" t="s">
        <v>77</v>
      </c>
      <c r="C1751" s="1" t="s">
        <v>86</v>
      </c>
      <c r="U1751" s="1"/>
    </row>
    <row r="1752" ht="15.75" customHeight="1">
      <c r="A1752" s="1" t="s">
        <v>1727</v>
      </c>
      <c r="B1752" s="1" t="s">
        <v>77</v>
      </c>
      <c r="C1752" s="1" t="s">
        <v>88</v>
      </c>
      <c r="U1752" s="1"/>
    </row>
    <row r="1753" ht="15.75" customHeight="1">
      <c r="A1753" s="1" t="s">
        <v>1727</v>
      </c>
      <c r="B1753" s="1" t="s">
        <v>77</v>
      </c>
      <c r="C1753" s="1" t="s">
        <v>100</v>
      </c>
      <c r="U1753" s="1"/>
    </row>
    <row r="1754" ht="15.75" customHeight="1">
      <c r="A1754" s="1" t="s">
        <v>1727</v>
      </c>
      <c r="B1754" s="1" t="s">
        <v>77</v>
      </c>
      <c r="C1754" s="1" t="s">
        <v>105</v>
      </c>
      <c r="U1754" s="1"/>
    </row>
    <row r="1755" ht="15.75" customHeight="1">
      <c r="A1755" s="1" t="s">
        <v>1727</v>
      </c>
      <c r="B1755" s="1" t="s">
        <v>77</v>
      </c>
      <c r="C1755" s="1" t="s">
        <v>107</v>
      </c>
      <c r="U1755" s="1"/>
    </row>
    <row r="1756" ht="15.75" customHeight="1">
      <c r="A1756" s="1" t="s">
        <v>1727</v>
      </c>
      <c r="B1756" s="1" t="s">
        <v>77</v>
      </c>
      <c r="C1756" s="1" t="s">
        <v>107</v>
      </c>
      <c r="U1756" s="1"/>
    </row>
    <row r="1757" ht="15.75" customHeight="1">
      <c r="A1757" s="1" t="s">
        <v>1727</v>
      </c>
      <c r="B1757" s="1" t="s">
        <v>77</v>
      </c>
      <c r="C1757" s="1" t="s">
        <v>124</v>
      </c>
      <c r="U1757" s="1"/>
    </row>
    <row r="1758" ht="15.75" customHeight="1">
      <c r="A1758" s="1" t="s">
        <v>1727</v>
      </c>
      <c r="B1758" s="1" t="s">
        <v>77</v>
      </c>
      <c r="C1758" s="1" t="s">
        <v>130</v>
      </c>
      <c r="U1758" s="1"/>
    </row>
    <row r="1759" ht="15.75" customHeight="1">
      <c r="A1759" s="1" t="s">
        <v>1727</v>
      </c>
      <c r="B1759" s="1" t="s">
        <v>77</v>
      </c>
      <c r="C1759" s="1" t="s">
        <v>148</v>
      </c>
      <c r="U1759" s="1"/>
    </row>
    <row r="1760" ht="15.75" customHeight="1">
      <c r="A1760" s="1" t="s">
        <v>1727</v>
      </c>
      <c r="B1760" s="1" t="s">
        <v>77</v>
      </c>
      <c r="C1760" s="1" t="s">
        <v>155</v>
      </c>
      <c r="U1760" s="1"/>
    </row>
    <row r="1761" ht="15.75" customHeight="1">
      <c r="A1761" s="1" t="s">
        <v>1727</v>
      </c>
      <c r="B1761" s="1" t="s">
        <v>158</v>
      </c>
      <c r="C1761" s="1" t="s">
        <v>165</v>
      </c>
      <c r="U1761" s="1"/>
    </row>
    <row r="1762" ht="15.75" customHeight="1">
      <c r="A1762" s="1" t="s">
        <v>1727</v>
      </c>
      <c r="B1762" s="1" t="s">
        <v>158</v>
      </c>
      <c r="C1762" s="1" t="s">
        <v>177</v>
      </c>
      <c r="U1762" s="1"/>
    </row>
    <row r="1763" ht="15.75" customHeight="1">
      <c r="A1763" s="1" t="s">
        <v>1727</v>
      </c>
      <c r="B1763" s="1" t="s">
        <v>158</v>
      </c>
      <c r="C1763" s="1" t="s">
        <v>180</v>
      </c>
      <c r="U1763" s="1"/>
    </row>
    <row r="1764" ht="15.75" customHeight="1">
      <c r="A1764" s="1" t="s">
        <v>1727</v>
      </c>
      <c r="B1764" s="1" t="s">
        <v>158</v>
      </c>
      <c r="C1764" s="1" t="s">
        <v>182</v>
      </c>
      <c r="U1764" s="1"/>
    </row>
    <row r="1765" ht="15.75" customHeight="1">
      <c r="A1765" s="1" t="s">
        <v>1727</v>
      </c>
      <c r="B1765" s="1" t="s">
        <v>158</v>
      </c>
      <c r="C1765" s="1" t="s">
        <v>185</v>
      </c>
      <c r="U1765" s="1"/>
    </row>
    <row r="1766" ht="15.75" customHeight="1">
      <c r="A1766" s="1" t="s">
        <v>1727</v>
      </c>
      <c r="B1766" s="1" t="s">
        <v>158</v>
      </c>
      <c r="C1766" s="1" t="s">
        <v>187</v>
      </c>
      <c r="U1766" s="1"/>
    </row>
    <row r="1767" ht="15.75" customHeight="1">
      <c r="A1767" s="1" t="s">
        <v>1727</v>
      </c>
      <c r="B1767" s="1" t="s">
        <v>158</v>
      </c>
      <c r="C1767" s="1" t="s">
        <v>196</v>
      </c>
      <c r="U1767" s="1"/>
    </row>
    <row r="1768" ht="15.75" customHeight="1">
      <c r="A1768" s="1" t="s">
        <v>1727</v>
      </c>
      <c r="B1768" s="1" t="s">
        <v>158</v>
      </c>
      <c r="C1768" s="1" t="s">
        <v>203</v>
      </c>
      <c r="U1768" s="1"/>
    </row>
    <row r="1769" ht="15.75" customHeight="1">
      <c r="A1769" s="1" t="s">
        <v>1727</v>
      </c>
      <c r="B1769" s="1" t="s">
        <v>158</v>
      </c>
      <c r="C1769" s="1" t="s">
        <v>205</v>
      </c>
      <c r="U1769" s="1"/>
    </row>
    <row r="1770" ht="15.75" customHeight="1">
      <c r="A1770" s="1" t="s">
        <v>1727</v>
      </c>
      <c r="B1770" s="1" t="s">
        <v>158</v>
      </c>
      <c r="C1770" s="1" t="s">
        <v>208</v>
      </c>
      <c r="U1770" s="1"/>
    </row>
    <row r="1771" ht="15.75" customHeight="1">
      <c r="A1771" s="1" t="s">
        <v>1727</v>
      </c>
      <c r="B1771" s="1" t="s">
        <v>158</v>
      </c>
      <c r="C1771" s="1" t="s">
        <v>210</v>
      </c>
      <c r="U1771" s="1"/>
    </row>
    <row r="1772" ht="15.75" customHeight="1">
      <c r="A1772" s="1" t="s">
        <v>1727</v>
      </c>
      <c r="B1772" s="1" t="s">
        <v>158</v>
      </c>
      <c r="C1772" s="1" t="s">
        <v>212</v>
      </c>
      <c r="U1772" s="1"/>
    </row>
    <row r="1773" ht="15.75" customHeight="1">
      <c r="A1773" s="1" t="s">
        <v>1727</v>
      </c>
      <c r="B1773" s="1" t="s">
        <v>158</v>
      </c>
      <c r="C1773" s="1" t="s">
        <v>227</v>
      </c>
      <c r="U1773" s="1"/>
    </row>
    <row r="1774" ht="15.75" customHeight="1">
      <c r="A1774" s="1" t="s">
        <v>1727</v>
      </c>
      <c r="B1774" s="1" t="s">
        <v>158</v>
      </c>
      <c r="C1774" s="1" t="s">
        <v>320</v>
      </c>
      <c r="U1774" s="1"/>
    </row>
    <row r="1775" ht="15.75" customHeight="1">
      <c r="A1775" s="1" t="s">
        <v>1727</v>
      </c>
      <c r="B1775" s="1" t="s">
        <v>158</v>
      </c>
      <c r="C1775" s="1" t="s">
        <v>328</v>
      </c>
      <c r="U1775" s="1"/>
    </row>
    <row r="1776" ht="15.75" customHeight="1">
      <c r="A1776" s="1" t="s">
        <v>1727</v>
      </c>
      <c r="B1776" s="1" t="s">
        <v>158</v>
      </c>
      <c r="C1776" s="1" t="s">
        <v>326</v>
      </c>
      <c r="U1776" s="1"/>
    </row>
    <row r="1777" ht="15.75" customHeight="1">
      <c r="A1777" s="1" t="s">
        <v>1728</v>
      </c>
      <c r="B1777" s="1" t="s">
        <v>6</v>
      </c>
      <c r="C1777" s="1" t="s">
        <v>1249</v>
      </c>
      <c r="U1777" s="1"/>
    </row>
    <row r="1778" ht="15.75" customHeight="1">
      <c r="A1778" s="1" t="s">
        <v>1728</v>
      </c>
      <c r="B1778" s="1" t="s">
        <v>6</v>
      </c>
      <c r="C1778" s="1" t="s">
        <v>1433</v>
      </c>
      <c r="U1778" s="1"/>
    </row>
    <row r="1779" ht="15.75" customHeight="1">
      <c r="A1779" s="1" t="s">
        <v>1728</v>
      </c>
      <c r="B1779" s="1" t="s">
        <v>6</v>
      </c>
      <c r="C1779" s="1" t="s">
        <v>7</v>
      </c>
      <c r="U1779" s="1"/>
    </row>
    <row r="1780" ht="15.75" customHeight="1">
      <c r="A1780" s="1" t="s">
        <v>1728</v>
      </c>
      <c r="B1780" s="1" t="s">
        <v>6</v>
      </c>
      <c r="C1780" s="1" t="s">
        <v>1251</v>
      </c>
      <c r="U1780" s="1"/>
    </row>
    <row r="1781" ht="15.75" customHeight="1">
      <c r="A1781" s="1" t="s">
        <v>1728</v>
      </c>
      <c r="B1781" s="1" t="s">
        <v>6</v>
      </c>
      <c r="C1781" s="1" t="s">
        <v>1434</v>
      </c>
      <c r="U1781" s="1"/>
    </row>
    <row r="1782" ht="15.75" customHeight="1">
      <c r="A1782" s="1" t="s">
        <v>1728</v>
      </c>
      <c r="B1782" s="1" t="s">
        <v>6</v>
      </c>
      <c r="C1782" s="1" t="s">
        <v>1255</v>
      </c>
      <c r="U1782" s="1"/>
    </row>
    <row r="1783" ht="15.75" customHeight="1">
      <c r="A1783" s="1" t="s">
        <v>1728</v>
      </c>
      <c r="B1783" s="1" t="s">
        <v>6</v>
      </c>
      <c r="C1783" s="1" t="s">
        <v>1256</v>
      </c>
      <c r="U1783" s="1"/>
    </row>
    <row r="1784" ht="15.75" customHeight="1">
      <c r="A1784" s="1" t="s">
        <v>1728</v>
      </c>
      <c r="B1784" s="1" t="s">
        <v>6</v>
      </c>
      <c r="C1784" s="1" t="s">
        <v>27</v>
      </c>
      <c r="U1784" s="1"/>
    </row>
    <row r="1785" ht="15.75" customHeight="1">
      <c r="A1785" s="1" t="s">
        <v>1728</v>
      </c>
      <c r="B1785" s="1" t="s">
        <v>29</v>
      </c>
      <c r="C1785" s="1" t="s">
        <v>1257</v>
      </c>
      <c r="U1785" s="1"/>
    </row>
    <row r="1786" ht="15.75" customHeight="1">
      <c r="A1786" s="1" t="s">
        <v>1728</v>
      </c>
      <c r="B1786" s="1" t="s">
        <v>29</v>
      </c>
      <c r="C1786" s="1" t="s">
        <v>1259</v>
      </c>
      <c r="U1786" s="1"/>
    </row>
    <row r="1787" ht="15.75" customHeight="1">
      <c r="A1787" s="1" t="s">
        <v>1728</v>
      </c>
      <c r="B1787" s="1" t="s">
        <v>29</v>
      </c>
      <c r="C1787" s="1" t="s">
        <v>1435</v>
      </c>
      <c r="U1787" s="1"/>
    </row>
    <row r="1788" ht="15.75" customHeight="1">
      <c r="A1788" s="1" t="s">
        <v>1728</v>
      </c>
      <c r="B1788" s="1" t="s">
        <v>29</v>
      </c>
      <c r="C1788" s="1" t="s">
        <v>1265</v>
      </c>
      <c r="U1788" s="1"/>
    </row>
    <row r="1789" ht="15.75" customHeight="1">
      <c r="A1789" s="1" t="s">
        <v>1728</v>
      </c>
      <c r="B1789" s="1" t="s">
        <v>29</v>
      </c>
      <c r="C1789" s="1" t="s">
        <v>1436</v>
      </c>
      <c r="U1789" s="1"/>
    </row>
    <row r="1790" ht="15.75" customHeight="1">
      <c r="A1790" s="1" t="s">
        <v>1728</v>
      </c>
      <c r="B1790" s="1" t="s">
        <v>29</v>
      </c>
      <c r="C1790" s="1" t="s">
        <v>1438</v>
      </c>
      <c r="U1790" s="1"/>
    </row>
    <row r="1791" ht="15.75" customHeight="1">
      <c r="A1791" s="1" t="s">
        <v>1728</v>
      </c>
      <c r="B1791" s="1" t="s">
        <v>29</v>
      </c>
      <c r="C1791" s="1" t="s">
        <v>1274</v>
      </c>
      <c r="U1791" s="1"/>
    </row>
    <row r="1792" ht="15.75" customHeight="1">
      <c r="A1792" s="1" t="s">
        <v>1728</v>
      </c>
      <c r="B1792" s="1" t="s">
        <v>29</v>
      </c>
      <c r="C1792" s="1" t="s">
        <v>1275</v>
      </c>
      <c r="U1792" s="1"/>
    </row>
    <row r="1793" ht="15.75" customHeight="1">
      <c r="A1793" s="1" t="s">
        <v>1728</v>
      </c>
      <c r="B1793" s="1" t="s">
        <v>77</v>
      </c>
      <c r="C1793" s="1" t="s">
        <v>1440</v>
      </c>
      <c r="U1793" s="1"/>
    </row>
    <row r="1794" ht="15.75" customHeight="1">
      <c r="A1794" s="1" t="s">
        <v>1728</v>
      </c>
      <c r="B1794" s="1" t="s">
        <v>77</v>
      </c>
      <c r="C1794" s="1" t="s">
        <v>122</v>
      </c>
      <c r="U1794" s="1"/>
    </row>
    <row r="1795" ht="15.75" customHeight="1">
      <c r="A1795" s="1" t="s">
        <v>1728</v>
      </c>
      <c r="B1795" s="1" t="s">
        <v>77</v>
      </c>
      <c r="C1795" s="1" t="s">
        <v>1442</v>
      </c>
      <c r="U1795" s="1"/>
    </row>
    <row r="1796" ht="15.75" customHeight="1">
      <c r="A1796" s="1" t="s">
        <v>1728</v>
      </c>
      <c r="B1796" s="1" t="s">
        <v>77</v>
      </c>
      <c r="C1796" s="1" t="s">
        <v>1293</v>
      </c>
      <c r="U1796" s="1"/>
    </row>
    <row r="1797" ht="15.75" customHeight="1">
      <c r="A1797" s="1" t="s">
        <v>1728</v>
      </c>
      <c r="B1797" s="1" t="s">
        <v>77</v>
      </c>
      <c r="C1797" s="1" t="s">
        <v>1445</v>
      </c>
      <c r="U1797" s="1"/>
    </row>
    <row r="1798" ht="15.75" customHeight="1">
      <c r="A1798" s="1" t="s">
        <v>1728</v>
      </c>
      <c r="B1798" s="1" t="s">
        <v>77</v>
      </c>
      <c r="C1798" s="1" t="s">
        <v>1446</v>
      </c>
      <c r="U1798" s="1"/>
    </row>
    <row r="1799" ht="15.75" customHeight="1">
      <c r="A1799" s="1" t="s">
        <v>1728</v>
      </c>
      <c r="B1799" s="1" t="s">
        <v>77</v>
      </c>
      <c r="C1799" s="1" t="s">
        <v>1447</v>
      </c>
      <c r="U1799" s="1"/>
    </row>
    <row r="1800" ht="15.75" customHeight="1">
      <c r="A1800" s="1" t="s">
        <v>1728</v>
      </c>
      <c r="B1800" s="1" t="s">
        <v>330</v>
      </c>
      <c r="C1800" s="1" t="s">
        <v>1452</v>
      </c>
      <c r="U1800" s="1"/>
    </row>
    <row r="1801" ht="15.75" customHeight="1">
      <c r="A1801" s="1" t="s">
        <v>1728</v>
      </c>
      <c r="B1801" s="1" t="s">
        <v>330</v>
      </c>
      <c r="C1801" s="1" t="s">
        <v>1454</v>
      </c>
      <c r="U1801" s="1"/>
    </row>
    <row r="1802" ht="15.75" customHeight="1">
      <c r="A1802" s="1" t="s">
        <v>1728</v>
      </c>
      <c r="B1802" s="1" t="s">
        <v>378</v>
      </c>
      <c r="C1802" s="1" t="s">
        <v>969</v>
      </c>
      <c r="U1802" s="1"/>
    </row>
    <row r="1803" ht="15.75" customHeight="1">
      <c r="A1803" s="1" t="s">
        <v>1728</v>
      </c>
      <c r="B1803" s="1" t="s">
        <v>403</v>
      </c>
      <c r="C1803" s="1" t="s">
        <v>989</v>
      </c>
      <c r="U1803" s="1"/>
    </row>
    <row r="1804" ht="15.75" customHeight="1">
      <c r="A1804" s="1" t="s">
        <v>1729</v>
      </c>
      <c r="B1804" s="1" t="s">
        <v>6</v>
      </c>
      <c r="C1804" s="1" t="s">
        <v>18</v>
      </c>
      <c r="U1804" s="1"/>
    </row>
    <row r="1805" ht="15.75" customHeight="1">
      <c r="A1805" s="1" t="s">
        <v>1729</v>
      </c>
      <c r="B1805" s="1" t="s">
        <v>29</v>
      </c>
      <c r="C1805" s="1" t="s">
        <v>30</v>
      </c>
      <c r="U1805" s="1"/>
    </row>
    <row r="1806" ht="15.75" customHeight="1">
      <c r="A1806" s="1" t="s">
        <v>1729</v>
      </c>
      <c r="B1806" s="1" t="s">
        <v>29</v>
      </c>
      <c r="C1806" s="1" t="s">
        <v>41</v>
      </c>
      <c r="U1806" s="1"/>
    </row>
    <row r="1807" ht="15.75" customHeight="1">
      <c r="A1807" s="1" t="s">
        <v>1729</v>
      </c>
      <c r="B1807" s="1" t="s">
        <v>29</v>
      </c>
      <c r="C1807" s="1" t="s">
        <v>68</v>
      </c>
      <c r="U1807" s="1"/>
    </row>
    <row r="1808" ht="15.75" customHeight="1">
      <c r="A1808" s="1" t="s">
        <v>1729</v>
      </c>
      <c r="B1808" s="1" t="s">
        <v>29</v>
      </c>
      <c r="C1808" s="1" t="s">
        <v>70</v>
      </c>
      <c r="U1808" s="1"/>
    </row>
    <row r="1809" ht="15.75" customHeight="1">
      <c r="A1809" s="1" t="s">
        <v>1729</v>
      </c>
      <c r="B1809" s="1" t="s">
        <v>29</v>
      </c>
      <c r="C1809" s="1" t="s">
        <v>72</v>
      </c>
      <c r="U1809" s="1"/>
    </row>
    <row r="1810" ht="15.75" customHeight="1">
      <c r="A1810" s="1" t="s">
        <v>1729</v>
      </c>
      <c r="B1810" s="1" t="s">
        <v>77</v>
      </c>
      <c r="C1810" s="1" t="s">
        <v>96</v>
      </c>
      <c r="U1810" s="1"/>
    </row>
    <row r="1811" ht="15.75" customHeight="1">
      <c r="A1811" s="1" t="s">
        <v>1729</v>
      </c>
      <c r="B1811" s="1" t="s">
        <v>77</v>
      </c>
      <c r="C1811" s="1" t="s">
        <v>114</v>
      </c>
      <c r="U1811" s="1"/>
    </row>
    <row r="1812" ht="15.75" customHeight="1">
      <c r="A1812" s="1" t="s">
        <v>1729</v>
      </c>
      <c r="B1812" s="1" t="s">
        <v>77</v>
      </c>
      <c r="C1812" s="1" t="s">
        <v>151</v>
      </c>
      <c r="U1812" s="1"/>
    </row>
    <row r="1813" ht="15.75" customHeight="1">
      <c r="A1813" s="1" t="s">
        <v>1729</v>
      </c>
      <c r="B1813" s="1" t="s">
        <v>158</v>
      </c>
      <c r="C1813" s="1" t="s">
        <v>175</v>
      </c>
      <c r="U1813" s="1"/>
    </row>
    <row r="1814" ht="15.75" customHeight="1">
      <c r="A1814" s="1" t="s">
        <v>1729</v>
      </c>
      <c r="B1814" s="1" t="s">
        <v>158</v>
      </c>
      <c r="C1814" s="1" t="s">
        <v>167</v>
      </c>
      <c r="U1814" s="1"/>
    </row>
    <row r="1815" ht="15.75" customHeight="1">
      <c r="A1815" s="1" t="s">
        <v>1729</v>
      </c>
      <c r="B1815" s="1" t="s">
        <v>158</v>
      </c>
      <c r="C1815" s="1" t="s">
        <v>219</v>
      </c>
      <c r="U1815" s="1"/>
    </row>
    <row r="1816" ht="15.75" customHeight="1">
      <c r="A1816" s="1" t="s">
        <v>1729</v>
      </c>
      <c r="B1816" s="1" t="s">
        <v>330</v>
      </c>
      <c r="C1816" s="1" t="s">
        <v>692</v>
      </c>
      <c r="U1816" s="1"/>
    </row>
    <row r="1817" ht="15.75" customHeight="1">
      <c r="A1817" s="1" t="s">
        <v>1729</v>
      </c>
      <c r="B1817" s="1" t="s">
        <v>330</v>
      </c>
      <c r="C1817" s="1" t="s">
        <v>335</v>
      </c>
      <c r="U1817" s="1"/>
    </row>
    <row r="1818" ht="15.75" customHeight="1">
      <c r="A1818" s="1" t="s">
        <v>1729</v>
      </c>
      <c r="B1818" s="1" t="s">
        <v>330</v>
      </c>
      <c r="C1818" s="1" t="s">
        <v>337</v>
      </c>
      <c r="U1818" s="1"/>
    </row>
    <row r="1819" ht="15.75" customHeight="1">
      <c r="A1819" s="1" t="s">
        <v>1729</v>
      </c>
      <c r="B1819" s="1" t="s">
        <v>330</v>
      </c>
      <c r="C1819" s="1" t="s">
        <v>704</v>
      </c>
      <c r="U1819" s="1"/>
    </row>
    <row r="1820" ht="15.75" customHeight="1">
      <c r="A1820" s="1" t="s">
        <v>1729</v>
      </c>
      <c r="B1820" s="1" t="s">
        <v>330</v>
      </c>
      <c r="C1820" s="1" t="s">
        <v>725</v>
      </c>
      <c r="U1820" s="1"/>
    </row>
    <row r="1821" ht="15.75" customHeight="1">
      <c r="A1821" s="1" t="s">
        <v>1729</v>
      </c>
      <c r="B1821" s="1" t="s">
        <v>378</v>
      </c>
      <c r="C1821" s="1" t="s">
        <v>1719</v>
      </c>
      <c r="U1821" s="1"/>
    </row>
    <row r="1822" ht="15.75" customHeight="1">
      <c r="A1822" s="1" t="s">
        <v>1729</v>
      </c>
      <c r="B1822" s="1" t="s">
        <v>378</v>
      </c>
      <c r="C1822" s="1" t="s">
        <v>1720</v>
      </c>
      <c r="U1822" s="1"/>
    </row>
    <row r="1823" ht="15.75" customHeight="1">
      <c r="A1823" s="1" t="s">
        <v>1729</v>
      </c>
      <c r="B1823" s="1" t="s">
        <v>378</v>
      </c>
      <c r="C1823" s="1" t="s">
        <v>391</v>
      </c>
      <c r="U1823" s="1"/>
    </row>
    <row r="1824" ht="15.75" customHeight="1">
      <c r="A1824" s="1" t="s">
        <v>1729</v>
      </c>
      <c r="B1824" s="1" t="s">
        <v>378</v>
      </c>
      <c r="C1824" s="1" t="s">
        <v>393</v>
      </c>
      <c r="U1824" s="1"/>
    </row>
    <row r="1825" ht="15.75" customHeight="1">
      <c r="A1825" s="1" t="s">
        <v>1729</v>
      </c>
      <c r="B1825" s="1" t="s">
        <v>403</v>
      </c>
      <c r="C1825" s="1" t="s">
        <v>750</v>
      </c>
      <c r="U1825" s="1"/>
    </row>
    <row r="1826" ht="15.75" customHeight="1">
      <c r="A1826" s="1" t="s">
        <v>1729</v>
      </c>
      <c r="B1826" s="1" t="s">
        <v>403</v>
      </c>
      <c r="C1826" s="1" t="s">
        <v>1346</v>
      </c>
      <c r="U1826" s="1"/>
    </row>
    <row r="1827" ht="15.75" customHeight="1">
      <c r="A1827" s="1" t="s">
        <v>1729</v>
      </c>
      <c r="B1827" s="1" t="s">
        <v>997</v>
      </c>
      <c r="C1827" s="1" t="s">
        <v>1721</v>
      </c>
      <c r="U1827" s="1"/>
    </row>
    <row r="1828" ht="15.75" customHeight="1">
      <c r="A1828" s="1" t="s">
        <v>1729</v>
      </c>
      <c r="B1828" s="1" t="s">
        <v>997</v>
      </c>
      <c r="C1828" s="1" t="s">
        <v>1722</v>
      </c>
      <c r="U1828" s="1"/>
    </row>
    <row r="1829" ht="15.75" customHeight="1">
      <c r="A1829" s="1" t="s">
        <v>1729</v>
      </c>
      <c r="B1829" s="1" t="s">
        <v>997</v>
      </c>
      <c r="C1829" s="1" t="s">
        <v>1723</v>
      </c>
      <c r="U1829" s="1"/>
    </row>
    <row r="1830" ht="15.75" customHeight="1">
      <c r="A1830" s="1" t="s">
        <v>1730</v>
      </c>
      <c r="B1830" s="1" t="s">
        <v>6</v>
      </c>
      <c r="C1830" s="1" t="s">
        <v>761</v>
      </c>
      <c r="U1830" s="1"/>
    </row>
    <row r="1831" ht="15.75" customHeight="1">
      <c r="A1831" s="1" t="s">
        <v>1730</v>
      </c>
      <c r="B1831" s="1" t="s">
        <v>29</v>
      </c>
      <c r="C1831" s="1" t="s">
        <v>780</v>
      </c>
      <c r="U1831" s="1"/>
    </row>
    <row r="1832" ht="15.75" customHeight="1">
      <c r="A1832" s="1" t="s">
        <v>1730</v>
      </c>
      <c r="B1832" s="1" t="s">
        <v>77</v>
      </c>
      <c r="C1832" s="1" t="s">
        <v>800</v>
      </c>
      <c r="U1832" s="1"/>
    </row>
    <row r="1833" ht="15.75" customHeight="1">
      <c r="A1833" s="1" t="s">
        <v>1730</v>
      </c>
      <c r="B1833" s="1" t="s">
        <v>77</v>
      </c>
      <c r="C1833" s="1" t="s">
        <v>1596</v>
      </c>
      <c r="U1833" s="1"/>
    </row>
    <row r="1834" ht="15.75" customHeight="1">
      <c r="A1834" s="1" t="s">
        <v>1730</v>
      </c>
      <c r="B1834" s="1" t="s">
        <v>77</v>
      </c>
      <c r="C1834" s="1" t="s">
        <v>1731</v>
      </c>
      <c r="U1834" s="1"/>
    </row>
    <row r="1835" ht="15.75" customHeight="1">
      <c r="A1835" s="1" t="s">
        <v>1730</v>
      </c>
      <c r="B1835" s="1" t="s">
        <v>77</v>
      </c>
      <c r="C1835" s="1" t="s">
        <v>1608</v>
      </c>
      <c r="U1835" s="1"/>
    </row>
    <row r="1836" ht="15.75" customHeight="1">
      <c r="A1836" s="1" t="s">
        <v>1730</v>
      </c>
      <c r="B1836" s="1" t="s">
        <v>158</v>
      </c>
      <c r="C1836" s="1" t="s">
        <v>1732</v>
      </c>
      <c r="U1836" s="1"/>
    </row>
    <row r="1837" ht="15.75" customHeight="1">
      <c r="A1837" s="1" t="s">
        <v>1730</v>
      </c>
      <c r="B1837" s="1" t="s">
        <v>997</v>
      </c>
      <c r="C1837" s="1" t="s">
        <v>1733</v>
      </c>
      <c r="U1837" s="1"/>
    </row>
    <row r="1838" ht="15.75" customHeight="1">
      <c r="A1838" s="1" t="s">
        <v>1730</v>
      </c>
      <c r="B1838" s="1" t="s">
        <v>997</v>
      </c>
      <c r="C1838" s="1" t="s">
        <v>1734</v>
      </c>
      <c r="U1838" s="1"/>
    </row>
    <row r="1839" ht="15.75" customHeight="1">
      <c r="A1839" s="1" t="s">
        <v>1730</v>
      </c>
      <c r="B1839" s="1" t="s">
        <v>1093</v>
      </c>
      <c r="C1839" s="1" t="s">
        <v>1735</v>
      </c>
      <c r="U1839" s="1"/>
    </row>
    <row r="1840" ht="15.75" customHeight="1">
      <c r="A1840" s="1" t="s">
        <v>1730</v>
      </c>
      <c r="B1840" s="1" t="s">
        <v>1400</v>
      </c>
      <c r="C1840" s="1" t="s">
        <v>1736</v>
      </c>
      <c r="U1840" s="1"/>
    </row>
    <row r="1841" ht="15.75" customHeight="1">
      <c r="A1841" s="1" t="s">
        <v>1730</v>
      </c>
      <c r="B1841" s="1" t="s">
        <v>1400</v>
      </c>
      <c r="C1841" s="1" t="s">
        <v>1737</v>
      </c>
      <c r="U1841" s="1"/>
    </row>
    <row r="1842" ht="15.75" customHeight="1">
      <c r="A1842" s="1" t="s">
        <v>1730</v>
      </c>
      <c r="B1842" s="1" t="s">
        <v>1410</v>
      </c>
      <c r="C1842" s="1" t="s">
        <v>1738</v>
      </c>
      <c r="U1842" s="1"/>
    </row>
    <row r="1843" ht="15.75" customHeight="1">
      <c r="A1843" s="1" t="s">
        <v>1730</v>
      </c>
      <c r="B1843" s="1" t="s">
        <v>1410</v>
      </c>
      <c r="C1843" s="1" t="s">
        <v>1739</v>
      </c>
      <c r="U1843" s="1"/>
    </row>
    <row r="1844" ht="15.75" customHeight="1">
      <c r="A1844" s="1" t="s">
        <v>1730</v>
      </c>
      <c r="B1844" s="1" t="s">
        <v>1410</v>
      </c>
      <c r="C1844" s="1" t="s">
        <v>1740</v>
      </c>
      <c r="U1844" s="1"/>
    </row>
    <row r="1845" ht="15.75" customHeight="1">
      <c r="A1845" s="1" t="s">
        <v>1730</v>
      </c>
      <c r="B1845" s="1" t="s">
        <v>1425</v>
      </c>
      <c r="C1845" s="1" t="s">
        <v>1741</v>
      </c>
      <c r="U1845" s="1"/>
    </row>
    <row r="1846" ht="15.75" customHeight="1">
      <c r="A1846" s="1" t="s">
        <v>1730</v>
      </c>
      <c r="B1846" s="1" t="s">
        <v>1425</v>
      </c>
      <c r="C1846" s="1" t="s">
        <v>1742</v>
      </c>
      <c r="U1846" s="1"/>
    </row>
    <row r="1847" ht="15.75" customHeight="1">
      <c r="A1847" s="1" t="s">
        <v>1730</v>
      </c>
      <c r="B1847" s="1" t="s">
        <v>1425</v>
      </c>
      <c r="C1847" s="1" t="s">
        <v>1743</v>
      </c>
      <c r="U1847" s="1"/>
    </row>
    <row r="1848" ht="15.75" customHeight="1">
      <c r="A1848" s="1" t="s">
        <v>1730</v>
      </c>
      <c r="B1848" s="1" t="s">
        <v>1425</v>
      </c>
      <c r="C1848" s="1" t="s">
        <v>1744</v>
      </c>
      <c r="U1848" s="1"/>
    </row>
    <row r="1849" ht="15.75" customHeight="1">
      <c r="A1849" s="1" t="s">
        <v>1730</v>
      </c>
      <c r="B1849" s="1" t="s">
        <v>1492</v>
      </c>
      <c r="C1849" s="1" t="s">
        <v>1745</v>
      </c>
      <c r="U1849" s="1"/>
    </row>
    <row r="1850" ht="15.75" customHeight="1">
      <c r="A1850" s="1" t="s">
        <v>1730</v>
      </c>
      <c r="B1850" s="1" t="s">
        <v>1492</v>
      </c>
      <c r="C1850" s="1" t="s">
        <v>1746</v>
      </c>
      <c r="U1850" s="1"/>
    </row>
    <row r="1851" ht="15.75" customHeight="1">
      <c r="A1851" s="1" t="s">
        <v>1730</v>
      </c>
      <c r="B1851" s="1" t="s">
        <v>1492</v>
      </c>
      <c r="C1851" s="1" t="s">
        <v>1747</v>
      </c>
      <c r="U1851" s="1"/>
    </row>
    <row r="1852" ht="15.75" customHeight="1">
      <c r="A1852" s="1" t="s">
        <v>1730</v>
      </c>
      <c r="B1852" s="1" t="s">
        <v>1748</v>
      </c>
      <c r="C1852" s="1" t="s">
        <v>1749</v>
      </c>
      <c r="U1852" s="1"/>
    </row>
    <row r="1853" ht="15.75" customHeight="1">
      <c r="A1853" s="1" t="s">
        <v>1730</v>
      </c>
      <c r="B1853" s="1" t="s">
        <v>1748</v>
      </c>
      <c r="C1853" s="1" t="s">
        <v>1750</v>
      </c>
      <c r="U1853" s="1"/>
    </row>
    <row r="1854" ht="15.75" customHeight="1">
      <c r="A1854" s="1" t="s">
        <v>1751</v>
      </c>
      <c r="B1854" s="1" t="s">
        <v>29</v>
      </c>
      <c r="C1854" s="1" t="s">
        <v>55</v>
      </c>
      <c r="U1854" s="1"/>
    </row>
    <row r="1855" ht="15.75" customHeight="1">
      <c r="A1855" s="1" t="s">
        <v>1751</v>
      </c>
      <c r="B1855" s="1" t="s">
        <v>29</v>
      </c>
      <c r="C1855" s="1" t="s">
        <v>59</v>
      </c>
      <c r="U1855" s="1"/>
    </row>
    <row r="1856" ht="15.75" customHeight="1">
      <c r="A1856" s="1" t="s">
        <v>1751</v>
      </c>
      <c r="B1856" s="1" t="s">
        <v>77</v>
      </c>
      <c r="C1856" s="1" t="s">
        <v>81</v>
      </c>
      <c r="U1856" s="1"/>
    </row>
    <row r="1857" ht="15.75" customHeight="1">
      <c r="A1857" s="1" t="s">
        <v>1751</v>
      </c>
      <c r="B1857" s="1" t="s">
        <v>77</v>
      </c>
      <c r="C1857" s="1" t="s">
        <v>116</v>
      </c>
      <c r="U1857" s="1"/>
    </row>
    <row r="1858" ht="15.75" customHeight="1">
      <c r="A1858" s="1" t="s">
        <v>1751</v>
      </c>
      <c r="B1858" s="1" t="s">
        <v>77</v>
      </c>
      <c r="C1858" s="1" t="s">
        <v>120</v>
      </c>
      <c r="U1858" s="1"/>
    </row>
    <row r="1859" ht="15.75" customHeight="1">
      <c r="A1859" s="1" t="s">
        <v>1751</v>
      </c>
      <c r="B1859" s="1" t="s">
        <v>77</v>
      </c>
      <c r="C1859" s="1" t="s">
        <v>143</v>
      </c>
      <c r="U1859" s="1"/>
    </row>
    <row r="1860" ht="15.75" customHeight="1">
      <c r="A1860" s="1" t="s">
        <v>1751</v>
      </c>
      <c r="B1860" s="1" t="s">
        <v>77</v>
      </c>
      <c r="C1860" s="1" t="s">
        <v>153</v>
      </c>
      <c r="U1860" s="1"/>
    </row>
    <row r="1861" ht="15.75" customHeight="1">
      <c r="A1861" s="1" t="s">
        <v>1751</v>
      </c>
      <c r="B1861" s="1" t="s">
        <v>158</v>
      </c>
      <c r="C1861" s="1" t="s">
        <v>159</v>
      </c>
      <c r="U1861" s="1"/>
    </row>
    <row r="1862" ht="15.75" customHeight="1">
      <c r="A1862" s="1" t="s">
        <v>1751</v>
      </c>
      <c r="B1862" s="1" t="s">
        <v>158</v>
      </c>
      <c r="C1862" s="1" t="s">
        <v>163</v>
      </c>
      <c r="U1862" s="1"/>
    </row>
    <row r="1863" ht="15.75" customHeight="1">
      <c r="A1863" s="1" t="s">
        <v>1751</v>
      </c>
      <c r="B1863" s="1" t="s">
        <v>158</v>
      </c>
      <c r="C1863" s="1" t="s">
        <v>189</v>
      </c>
      <c r="U1863" s="1"/>
    </row>
    <row r="1864" ht="15.75" customHeight="1">
      <c r="A1864" s="1" t="s">
        <v>1751</v>
      </c>
      <c r="B1864" s="1" t="s">
        <v>158</v>
      </c>
      <c r="C1864" s="1" t="s">
        <v>201</v>
      </c>
      <c r="U1864" s="1"/>
    </row>
    <row r="1865" ht="15.75" customHeight="1">
      <c r="A1865" s="1" t="s">
        <v>1751</v>
      </c>
      <c r="B1865" s="1" t="s">
        <v>158</v>
      </c>
      <c r="C1865" s="1" t="s">
        <v>221</v>
      </c>
      <c r="U1865" s="1"/>
    </row>
    <row r="1866" ht="15.75" customHeight="1">
      <c r="A1866" s="1" t="s">
        <v>1751</v>
      </c>
      <c r="B1866" s="1" t="s">
        <v>158</v>
      </c>
      <c r="C1866" s="1" t="s">
        <v>1450</v>
      </c>
      <c r="U1866" s="1"/>
    </row>
    <row r="1867" ht="15.75" customHeight="1">
      <c r="A1867" s="1" t="s">
        <v>1751</v>
      </c>
      <c r="B1867" s="1" t="s">
        <v>158</v>
      </c>
      <c r="C1867" s="1" t="s">
        <v>235</v>
      </c>
      <c r="U1867" s="1"/>
    </row>
    <row r="1868" ht="15.75" customHeight="1">
      <c r="A1868" s="1" t="s">
        <v>1751</v>
      </c>
      <c r="B1868" s="1" t="s">
        <v>330</v>
      </c>
      <c r="C1868" s="1" t="s">
        <v>1539</v>
      </c>
      <c r="U1868" s="1"/>
    </row>
    <row r="1869" ht="15.75" customHeight="1">
      <c r="A1869" s="1" t="s">
        <v>1751</v>
      </c>
      <c r="B1869" s="1" t="s">
        <v>330</v>
      </c>
      <c r="C1869" s="1" t="s">
        <v>1540</v>
      </c>
      <c r="U1869" s="1"/>
    </row>
    <row r="1870" ht="15.75" customHeight="1">
      <c r="A1870" s="1" t="s">
        <v>1751</v>
      </c>
      <c r="B1870" s="1" t="s">
        <v>330</v>
      </c>
      <c r="C1870" s="1" t="s">
        <v>1545</v>
      </c>
      <c r="U1870" s="1"/>
    </row>
    <row r="1871" ht="15.75" customHeight="1">
      <c r="A1871" s="1" t="s">
        <v>1751</v>
      </c>
      <c r="B1871" s="1" t="s">
        <v>378</v>
      </c>
      <c r="C1871" s="1" t="s">
        <v>1549</v>
      </c>
      <c r="U1871" s="1"/>
    </row>
    <row r="1872" ht="15.75" customHeight="1">
      <c r="A1872" s="1" t="s">
        <v>1751</v>
      </c>
      <c r="B1872" s="1" t="s">
        <v>378</v>
      </c>
      <c r="C1872" s="1" t="s">
        <v>1550</v>
      </c>
      <c r="U1872" s="1"/>
    </row>
    <row r="1873" ht="15.75" customHeight="1">
      <c r="A1873" s="1" t="s">
        <v>1751</v>
      </c>
      <c r="B1873" s="1" t="s">
        <v>378</v>
      </c>
      <c r="C1873" s="1" t="s">
        <v>1552</v>
      </c>
      <c r="U1873" s="1"/>
    </row>
    <row r="1874" ht="15.75" customHeight="1">
      <c r="A1874" s="1" t="s">
        <v>1751</v>
      </c>
      <c r="B1874" s="1" t="s">
        <v>378</v>
      </c>
      <c r="C1874" s="1" t="s">
        <v>1551</v>
      </c>
      <c r="U1874" s="1"/>
    </row>
    <row r="1875" ht="15.75" customHeight="1">
      <c r="A1875" s="1" t="s">
        <v>1751</v>
      </c>
      <c r="B1875" s="1" t="s">
        <v>378</v>
      </c>
      <c r="C1875" s="1" t="s">
        <v>1469</v>
      </c>
      <c r="U1875" s="1"/>
    </row>
    <row r="1876" ht="15.75" customHeight="1">
      <c r="A1876" s="1" t="s">
        <v>1751</v>
      </c>
      <c r="B1876" s="1" t="s">
        <v>378</v>
      </c>
      <c r="C1876" s="1" t="s">
        <v>1554</v>
      </c>
      <c r="U1876" s="1"/>
    </row>
    <row r="1877" ht="15.75" customHeight="1">
      <c r="A1877" s="1" t="s">
        <v>1751</v>
      </c>
      <c r="B1877" s="1" t="s">
        <v>403</v>
      </c>
      <c r="C1877" s="1" t="s">
        <v>1752</v>
      </c>
      <c r="U1877" s="1"/>
    </row>
    <row r="1878" ht="15.75" customHeight="1">
      <c r="A1878" s="1" t="s">
        <v>1753</v>
      </c>
      <c r="B1878" s="1" t="s">
        <v>29</v>
      </c>
      <c r="C1878" s="1" t="s">
        <v>59</v>
      </c>
      <c r="U1878" s="1"/>
    </row>
    <row r="1879" ht="15.75" customHeight="1">
      <c r="A1879" s="1" t="s">
        <v>1753</v>
      </c>
      <c r="B1879" s="1" t="s">
        <v>77</v>
      </c>
      <c r="C1879" s="1" t="s">
        <v>81</v>
      </c>
      <c r="U1879" s="1"/>
    </row>
    <row r="1880" ht="15.75" customHeight="1">
      <c r="A1880" s="1" t="s">
        <v>1753</v>
      </c>
      <c r="B1880" s="1" t="s">
        <v>77</v>
      </c>
      <c r="C1880" s="1" t="s">
        <v>116</v>
      </c>
      <c r="U1880" s="1"/>
    </row>
    <row r="1881" ht="15.75" customHeight="1">
      <c r="A1881" s="1" t="s">
        <v>1753</v>
      </c>
      <c r="B1881" s="1" t="s">
        <v>77</v>
      </c>
      <c r="C1881" s="1" t="s">
        <v>120</v>
      </c>
      <c r="U1881" s="1"/>
    </row>
    <row r="1882" ht="15.75" customHeight="1">
      <c r="A1882" s="1" t="s">
        <v>1753</v>
      </c>
      <c r="B1882" s="1" t="s">
        <v>77</v>
      </c>
      <c r="C1882" s="1" t="s">
        <v>143</v>
      </c>
      <c r="U1882" s="1"/>
    </row>
    <row r="1883" ht="15.75" customHeight="1">
      <c r="A1883" s="1" t="s">
        <v>1753</v>
      </c>
      <c r="B1883" s="1" t="s">
        <v>77</v>
      </c>
      <c r="C1883" s="1" t="s">
        <v>153</v>
      </c>
      <c r="U1883" s="1"/>
    </row>
    <row r="1884" ht="15.75" customHeight="1">
      <c r="A1884" s="1" t="s">
        <v>1753</v>
      </c>
      <c r="B1884" s="1" t="s">
        <v>158</v>
      </c>
      <c r="C1884" s="1" t="s">
        <v>159</v>
      </c>
      <c r="U1884" s="1"/>
    </row>
    <row r="1885" ht="15.75" customHeight="1">
      <c r="A1885" s="1" t="s">
        <v>1753</v>
      </c>
      <c r="B1885" s="1" t="s">
        <v>158</v>
      </c>
      <c r="C1885" s="1" t="s">
        <v>163</v>
      </c>
      <c r="U1885" s="1"/>
    </row>
    <row r="1886" ht="15.75" customHeight="1">
      <c r="A1886" s="1" t="s">
        <v>1753</v>
      </c>
      <c r="B1886" s="1" t="s">
        <v>158</v>
      </c>
      <c r="C1886" s="1" t="s">
        <v>189</v>
      </c>
      <c r="U1886" s="1"/>
    </row>
    <row r="1887" ht="15.75" customHeight="1">
      <c r="A1887" s="1" t="s">
        <v>1753</v>
      </c>
      <c r="B1887" s="1" t="s">
        <v>158</v>
      </c>
      <c r="C1887" s="1" t="s">
        <v>201</v>
      </c>
      <c r="U1887" s="1"/>
    </row>
    <row r="1888" ht="15.75" customHeight="1">
      <c r="A1888" s="1" t="s">
        <v>1753</v>
      </c>
      <c r="B1888" s="1" t="s">
        <v>158</v>
      </c>
      <c r="C1888" s="1" t="s">
        <v>221</v>
      </c>
      <c r="U1888" s="1"/>
    </row>
    <row r="1889" ht="15.75" customHeight="1">
      <c r="A1889" s="1" t="s">
        <v>1753</v>
      </c>
      <c r="B1889" s="1" t="s">
        <v>158</v>
      </c>
      <c r="C1889" s="1" t="s">
        <v>235</v>
      </c>
      <c r="U1889" s="1"/>
    </row>
    <row r="1890" ht="15.75" customHeight="1">
      <c r="A1890" s="1" t="s">
        <v>1753</v>
      </c>
      <c r="B1890" s="1" t="s">
        <v>158</v>
      </c>
      <c r="C1890" s="1" t="s">
        <v>1450</v>
      </c>
      <c r="U1890" s="1"/>
    </row>
    <row r="1891" ht="15.75" customHeight="1">
      <c r="A1891" s="1" t="s">
        <v>1753</v>
      </c>
      <c r="B1891" s="1" t="s">
        <v>330</v>
      </c>
      <c r="C1891" s="1" t="s">
        <v>1539</v>
      </c>
      <c r="U1891" s="1"/>
    </row>
    <row r="1892" ht="15.75" customHeight="1">
      <c r="A1892" s="1" t="s">
        <v>1753</v>
      </c>
      <c r="B1892" s="1" t="s">
        <v>330</v>
      </c>
      <c r="C1892" s="1" t="s">
        <v>1540</v>
      </c>
      <c r="U1892" s="1"/>
    </row>
    <row r="1893" ht="15.75" customHeight="1">
      <c r="A1893" s="1" t="s">
        <v>1753</v>
      </c>
      <c r="B1893" s="1" t="s">
        <v>330</v>
      </c>
      <c r="C1893" s="1" t="s">
        <v>1545</v>
      </c>
      <c r="U1893" s="1"/>
    </row>
    <row r="1894" ht="15.75" customHeight="1">
      <c r="A1894" s="1" t="s">
        <v>1753</v>
      </c>
      <c r="B1894" s="1" t="s">
        <v>378</v>
      </c>
      <c r="C1894" s="1" t="s">
        <v>1549</v>
      </c>
      <c r="U1894" s="1"/>
    </row>
    <row r="1895" ht="15.75" customHeight="1">
      <c r="A1895" s="1" t="s">
        <v>1753</v>
      </c>
      <c r="B1895" s="1" t="s">
        <v>378</v>
      </c>
      <c r="C1895" s="1" t="s">
        <v>1550</v>
      </c>
      <c r="U1895" s="1"/>
    </row>
    <row r="1896" ht="15.75" customHeight="1">
      <c r="A1896" s="1" t="s">
        <v>1753</v>
      </c>
      <c r="B1896" s="1" t="s">
        <v>378</v>
      </c>
      <c r="C1896" s="1" t="s">
        <v>1551</v>
      </c>
      <c r="U1896" s="1"/>
    </row>
    <row r="1897" ht="15.75" customHeight="1">
      <c r="A1897" s="1" t="s">
        <v>1753</v>
      </c>
      <c r="B1897" s="1" t="s">
        <v>378</v>
      </c>
      <c r="C1897" s="1" t="s">
        <v>1552</v>
      </c>
      <c r="U1897" s="1"/>
    </row>
    <row r="1898" ht="15.75" customHeight="1">
      <c r="A1898" s="1" t="s">
        <v>1753</v>
      </c>
      <c r="B1898" s="1" t="s">
        <v>378</v>
      </c>
      <c r="C1898" s="1" t="s">
        <v>1469</v>
      </c>
      <c r="U1898" s="1"/>
    </row>
    <row r="1899" ht="15.75" customHeight="1">
      <c r="A1899" s="1" t="s">
        <v>1753</v>
      </c>
      <c r="B1899" s="1" t="s">
        <v>378</v>
      </c>
      <c r="C1899" s="1" t="s">
        <v>1554</v>
      </c>
      <c r="U1899" s="1"/>
    </row>
    <row r="1900" ht="15.75" customHeight="1">
      <c r="A1900" s="1" t="s">
        <v>1753</v>
      </c>
      <c r="B1900" s="1" t="s">
        <v>403</v>
      </c>
      <c r="C1900" s="1" t="s">
        <v>1752</v>
      </c>
      <c r="U1900" s="1"/>
    </row>
    <row r="1901" ht="15.75" customHeight="1">
      <c r="A1901" s="1" t="s">
        <v>1754</v>
      </c>
      <c r="B1901" s="1" t="s">
        <v>29</v>
      </c>
      <c r="C1901" s="1" t="s">
        <v>55</v>
      </c>
      <c r="U1901" s="1"/>
    </row>
    <row r="1902" ht="15.75" customHeight="1">
      <c r="A1902" s="1" t="s">
        <v>1754</v>
      </c>
      <c r="B1902" s="1" t="s">
        <v>29</v>
      </c>
      <c r="C1902" s="1" t="s">
        <v>59</v>
      </c>
      <c r="U1902" s="1"/>
    </row>
    <row r="1903" ht="15.75" customHeight="1">
      <c r="A1903" s="1" t="s">
        <v>1754</v>
      </c>
      <c r="B1903" s="1" t="s">
        <v>77</v>
      </c>
      <c r="C1903" s="1" t="s">
        <v>81</v>
      </c>
      <c r="U1903" s="1"/>
    </row>
    <row r="1904" ht="15.75" customHeight="1">
      <c r="A1904" s="1" t="s">
        <v>1754</v>
      </c>
      <c r="B1904" s="1" t="s">
        <v>77</v>
      </c>
      <c r="C1904" s="1" t="s">
        <v>116</v>
      </c>
      <c r="U1904" s="1"/>
    </row>
    <row r="1905" ht="15.75" customHeight="1">
      <c r="A1905" s="1" t="s">
        <v>1754</v>
      </c>
      <c r="B1905" s="1" t="s">
        <v>77</v>
      </c>
      <c r="C1905" s="1" t="s">
        <v>120</v>
      </c>
      <c r="U1905" s="1"/>
    </row>
    <row r="1906" ht="15.75" customHeight="1">
      <c r="A1906" s="1" t="s">
        <v>1754</v>
      </c>
      <c r="B1906" s="1" t="s">
        <v>77</v>
      </c>
      <c r="C1906" s="1" t="s">
        <v>143</v>
      </c>
      <c r="U1906" s="1"/>
    </row>
    <row r="1907" ht="15.75" customHeight="1">
      <c r="A1907" s="1" t="s">
        <v>1754</v>
      </c>
      <c r="B1907" s="1" t="s">
        <v>77</v>
      </c>
      <c r="C1907" s="1" t="s">
        <v>153</v>
      </c>
      <c r="U1907" s="1"/>
    </row>
    <row r="1908" ht="15.75" customHeight="1">
      <c r="A1908" s="1" t="s">
        <v>1754</v>
      </c>
      <c r="B1908" s="1" t="s">
        <v>158</v>
      </c>
      <c r="C1908" s="1" t="s">
        <v>159</v>
      </c>
      <c r="U1908" s="1"/>
    </row>
    <row r="1909" ht="15.75" customHeight="1">
      <c r="A1909" s="1" t="s">
        <v>1754</v>
      </c>
      <c r="B1909" s="1" t="s">
        <v>158</v>
      </c>
      <c r="C1909" s="1" t="s">
        <v>163</v>
      </c>
      <c r="U1909" s="1"/>
    </row>
    <row r="1910" ht="15.75" customHeight="1">
      <c r="A1910" s="1" t="s">
        <v>1754</v>
      </c>
      <c r="B1910" s="1" t="s">
        <v>158</v>
      </c>
      <c r="C1910" s="1" t="s">
        <v>189</v>
      </c>
      <c r="U1910" s="1"/>
    </row>
    <row r="1911" ht="15.75" customHeight="1">
      <c r="A1911" s="1" t="s">
        <v>1754</v>
      </c>
      <c r="B1911" s="1" t="s">
        <v>158</v>
      </c>
      <c r="C1911" s="1" t="s">
        <v>201</v>
      </c>
      <c r="U1911" s="1"/>
    </row>
    <row r="1912" ht="15.75" customHeight="1">
      <c r="A1912" s="1" t="s">
        <v>1754</v>
      </c>
      <c r="B1912" s="1" t="s">
        <v>158</v>
      </c>
      <c r="C1912" s="1" t="s">
        <v>221</v>
      </c>
      <c r="U1912" s="1"/>
    </row>
    <row r="1913" ht="15.75" customHeight="1">
      <c r="A1913" s="1" t="s">
        <v>1754</v>
      </c>
      <c r="B1913" s="1" t="s">
        <v>158</v>
      </c>
      <c r="C1913" s="1" t="s">
        <v>235</v>
      </c>
      <c r="U1913" s="1"/>
    </row>
    <row r="1914" ht="15.75" customHeight="1">
      <c r="A1914" s="1" t="s">
        <v>1754</v>
      </c>
      <c r="B1914" s="1" t="s">
        <v>158</v>
      </c>
      <c r="C1914" s="1" t="s">
        <v>1450</v>
      </c>
      <c r="U1914" s="1"/>
    </row>
    <row r="1915" ht="15.75" customHeight="1">
      <c r="A1915" s="1" t="s">
        <v>1755</v>
      </c>
      <c r="B1915" s="1" t="s">
        <v>77</v>
      </c>
      <c r="C1915" s="1" t="s">
        <v>86</v>
      </c>
      <c r="U1915" s="1"/>
    </row>
    <row r="1916" ht="15.75" customHeight="1">
      <c r="A1916" s="1" t="s">
        <v>1755</v>
      </c>
      <c r="B1916" s="1" t="s">
        <v>77</v>
      </c>
      <c r="C1916" s="1" t="s">
        <v>94</v>
      </c>
      <c r="U1916" s="1"/>
    </row>
    <row r="1917" ht="15.75" customHeight="1">
      <c r="A1917" s="1" t="s">
        <v>1755</v>
      </c>
      <c r="B1917" s="1" t="s">
        <v>158</v>
      </c>
      <c r="C1917" s="1" t="s">
        <v>169</v>
      </c>
      <c r="U1917" s="1"/>
    </row>
    <row r="1918" ht="15.75" customHeight="1">
      <c r="A1918" s="1" t="s">
        <v>1755</v>
      </c>
      <c r="B1918" s="1" t="s">
        <v>158</v>
      </c>
      <c r="C1918" s="1" t="s">
        <v>223</v>
      </c>
      <c r="U1918" s="1"/>
    </row>
    <row r="1919" ht="15.75" customHeight="1">
      <c r="A1919" s="1" t="s">
        <v>1755</v>
      </c>
      <c r="B1919" s="1" t="s">
        <v>158</v>
      </c>
      <c r="C1919" s="1" t="s">
        <v>686</v>
      </c>
      <c r="U1919" s="1"/>
    </row>
    <row r="1920" ht="15.75" customHeight="1">
      <c r="A1920" s="1" t="s">
        <v>1755</v>
      </c>
      <c r="B1920" s="1" t="s">
        <v>158</v>
      </c>
      <c r="C1920" s="1" t="s">
        <v>326</v>
      </c>
      <c r="U1920" s="1"/>
    </row>
    <row r="1921" ht="15.75" customHeight="1">
      <c r="A1921" s="1" t="s">
        <v>1755</v>
      </c>
      <c r="B1921" s="1" t="s">
        <v>378</v>
      </c>
      <c r="C1921" s="1" t="s">
        <v>395</v>
      </c>
      <c r="U1921" s="1"/>
    </row>
    <row r="1922" ht="15.75" customHeight="1">
      <c r="A1922" s="1" t="s">
        <v>1755</v>
      </c>
      <c r="B1922" s="1" t="s">
        <v>403</v>
      </c>
      <c r="C1922" s="1" t="s">
        <v>740</v>
      </c>
      <c r="U1922" s="1"/>
    </row>
    <row r="1923" ht="15.75" customHeight="1">
      <c r="A1923" s="1" t="s">
        <v>1756</v>
      </c>
      <c r="B1923" s="1" t="s">
        <v>29</v>
      </c>
      <c r="C1923" s="1" t="s">
        <v>1437</v>
      </c>
      <c r="U1923" s="1"/>
    </row>
    <row r="1924" ht="15.75" customHeight="1">
      <c r="A1924" s="1" t="s">
        <v>1756</v>
      </c>
      <c r="B1924" s="1" t="s">
        <v>77</v>
      </c>
      <c r="C1924" s="1" t="s">
        <v>1441</v>
      </c>
      <c r="U1924" s="1"/>
    </row>
    <row r="1925" ht="15.75" customHeight="1">
      <c r="A1925" s="1" t="s">
        <v>1756</v>
      </c>
      <c r="B1925" s="1" t="s">
        <v>77</v>
      </c>
      <c r="C1925" s="1" t="s">
        <v>1443</v>
      </c>
      <c r="U1925" s="1"/>
    </row>
    <row r="1926" ht="15.75" customHeight="1">
      <c r="A1926" s="1" t="s">
        <v>1756</v>
      </c>
      <c r="B1926" s="1" t="s">
        <v>77</v>
      </c>
      <c r="C1926" s="1" t="s">
        <v>1444</v>
      </c>
      <c r="U1926" s="1"/>
    </row>
    <row r="1927" ht="15.75" customHeight="1">
      <c r="A1927" s="1" t="s">
        <v>1756</v>
      </c>
      <c r="B1927" s="1" t="s">
        <v>158</v>
      </c>
      <c r="C1927" s="1" t="s">
        <v>1448</v>
      </c>
      <c r="U1927" s="1"/>
    </row>
    <row r="1928" ht="15.75" customHeight="1">
      <c r="A1928" s="1" t="s">
        <v>1756</v>
      </c>
      <c r="B1928" s="1" t="s">
        <v>158</v>
      </c>
      <c r="C1928" s="1" t="s">
        <v>171</v>
      </c>
      <c r="U1928" s="1"/>
    </row>
    <row r="1929" ht="15.75" customHeight="1">
      <c r="A1929" s="1" t="s">
        <v>1756</v>
      </c>
      <c r="B1929" s="1" t="s">
        <v>378</v>
      </c>
      <c r="C1929" s="1" t="s">
        <v>1459</v>
      </c>
      <c r="U1929" s="1"/>
    </row>
    <row r="1930" ht="15.75" customHeight="1">
      <c r="A1930" s="1" t="s">
        <v>1757</v>
      </c>
      <c r="B1930" s="1" t="s">
        <v>6</v>
      </c>
      <c r="C1930" s="1" t="s">
        <v>7</v>
      </c>
      <c r="U1930" s="1"/>
    </row>
    <row r="1931" ht="15.75" customHeight="1">
      <c r="A1931" s="1" t="s">
        <v>1757</v>
      </c>
      <c r="B1931" s="1" t="s">
        <v>6</v>
      </c>
      <c r="C1931" s="1" t="s">
        <v>27</v>
      </c>
      <c r="U1931" s="1"/>
    </row>
    <row r="1932" ht="15.75" customHeight="1">
      <c r="A1932" s="1" t="s">
        <v>1757</v>
      </c>
      <c r="B1932" s="1" t="s">
        <v>77</v>
      </c>
      <c r="C1932" s="1" t="s">
        <v>109</v>
      </c>
      <c r="U1932" s="1"/>
    </row>
    <row r="1933" ht="15.75" customHeight="1">
      <c r="A1933" s="1" t="s">
        <v>1757</v>
      </c>
      <c r="B1933" s="1" t="s">
        <v>158</v>
      </c>
      <c r="C1933" s="1" t="s">
        <v>189</v>
      </c>
      <c r="U1933" s="1"/>
    </row>
    <row r="1934" ht="15.75" customHeight="1">
      <c r="A1934" s="1" t="s">
        <v>1757</v>
      </c>
      <c r="B1934" s="1" t="s">
        <v>158</v>
      </c>
      <c r="C1934" s="1" t="s">
        <v>1450</v>
      </c>
      <c r="U1934" s="1"/>
    </row>
    <row r="1935" ht="15.75" customHeight="1">
      <c r="A1935" s="1" t="s">
        <v>1757</v>
      </c>
      <c r="B1935" s="1" t="s">
        <v>330</v>
      </c>
      <c r="C1935" s="1" t="s">
        <v>1453</v>
      </c>
      <c r="U1935" s="1"/>
    </row>
    <row r="1936" ht="15.75" customHeight="1">
      <c r="A1936" s="1" t="s">
        <v>1757</v>
      </c>
      <c r="B1936" s="1" t="s">
        <v>330</v>
      </c>
      <c r="C1936" s="1" t="s">
        <v>1457</v>
      </c>
      <c r="U1936" s="1"/>
    </row>
    <row r="1937" ht="15.75" customHeight="1">
      <c r="A1937" s="1" t="s">
        <v>1758</v>
      </c>
      <c r="B1937" s="1" t="s">
        <v>330</v>
      </c>
      <c r="C1937" s="1" t="s">
        <v>956</v>
      </c>
      <c r="U1937" s="1"/>
    </row>
    <row r="1938" ht="15.75" customHeight="1">
      <c r="A1938" s="1" t="s">
        <v>1758</v>
      </c>
      <c r="B1938" s="1" t="s">
        <v>330</v>
      </c>
      <c r="C1938" s="1" t="s">
        <v>964</v>
      </c>
      <c r="U1938" s="1"/>
    </row>
    <row r="1939" ht="15.75" customHeight="1">
      <c r="A1939" s="1" t="s">
        <v>1758</v>
      </c>
      <c r="B1939" s="1" t="s">
        <v>378</v>
      </c>
      <c r="C1939" s="1" t="s">
        <v>734</v>
      </c>
      <c r="U1939" s="1"/>
    </row>
    <row r="1940" ht="15.75" customHeight="1">
      <c r="A1940" s="1" t="s">
        <v>1758</v>
      </c>
      <c r="B1940" s="1" t="s">
        <v>403</v>
      </c>
      <c r="C1940" s="1" t="s">
        <v>988</v>
      </c>
      <c r="U1940" s="1"/>
    </row>
    <row r="1941" ht="15.75" customHeight="1">
      <c r="A1941" s="1" t="s">
        <v>1758</v>
      </c>
      <c r="B1941" s="1" t="s">
        <v>403</v>
      </c>
      <c r="C1941" s="1" t="s">
        <v>995</v>
      </c>
      <c r="U1941" s="1"/>
    </row>
    <row r="1942" ht="15.75" customHeight="1">
      <c r="A1942" s="1" t="s">
        <v>1758</v>
      </c>
      <c r="B1942" s="1" t="s">
        <v>997</v>
      </c>
      <c r="C1942" s="1" t="s">
        <v>1724</v>
      </c>
      <c r="U1942" s="1"/>
    </row>
    <row r="1943" ht="15.75" customHeight="1">
      <c r="A1943" s="1" t="s">
        <v>1759</v>
      </c>
      <c r="B1943" s="1" t="s">
        <v>1410</v>
      </c>
      <c r="C1943" s="1" t="s">
        <v>1760</v>
      </c>
      <c r="U1943" s="1"/>
    </row>
    <row r="1944" ht="15.75" customHeight="1">
      <c r="A1944" s="1" t="s">
        <v>1759</v>
      </c>
      <c r="B1944" s="1" t="s">
        <v>1748</v>
      </c>
      <c r="C1944" s="1" t="s">
        <v>1761</v>
      </c>
      <c r="U1944" s="1"/>
    </row>
    <row r="1945" ht="15.75" customHeight="1">
      <c r="A1945" s="1" t="s">
        <v>1759</v>
      </c>
      <c r="B1945" s="1" t="s">
        <v>1748</v>
      </c>
      <c r="C1945" s="1" t="s">
        <v>1762</v>
      </c>
      <c r="U1945" s="1"/>
    </row>
    <row r="1946" ht="15.75" customHeight="1">
      <c r="A1946" s="1" t="s">
        <v>1759</v>
      </c>
      <c r="B1946" s="1" t="s">
        <v>1763</v>
      </c>
      <c r="C1946" s="1" t="s">
        <v>1764</v>
      </c>
      <c r="U1946" s="1"/>
    </row>
    <row r="1947" ht="15.75" customHeight="1">
      <c r="A1947" s="1" t="s">
        <v>1759</v>
      </c>
      <c r="B1947" s="1" t="s">
        <v>1763</v>
      </c>
      <c r="C1947" s="1" t="s">
        <v>1765</v>
      </c>
      <c r="U1947" s="1"/>
    </row>
    <row r="1948" ht="15.75" customHeight="1">
      <c r="A1948" s="1" t="s">
        <v>1766</v>
      </c>
      <c r="B1948" s="1" t="s">
        <v>6</v>
      </c>
      <c r="C1948" s="1" t="s">
        <v>10</v>
      </c>
      <c r="U1948" s="1"/>
    </row>
    <row r="1949" ht="15.75" customHeight="1">
      <c r="A1949" s="1" t="s">
        <v>1766</v>
      </c>
      <c r="B1949" s="1" t="s">
        <v>77</v>
      </c>
      <c r="C1949" s="1" t="s">
        <v>107</v>
      </c>
      <c r="U1949" s="1"/>
    </row>
    <row r="1950" ht="15.75" customHeight="1">
      <c r="A1950" s="1" t="s">
        <v>1766</v>
      </c>
      <c r="B1950" s="1" t="s">
        <v>77</v>
      </c>
      <c r="C1950" s="1" t="s">
        <v>107</v>
      </c>
      <c r="U1950" s="1"/>
    </row>
    <row r="1951" ht="15.75" customHeight="1">
      <c r="A1951" s="1" t="s">
        <v>1766</v>
      </c>
      <c r="B1951" s="1" t="s">
        <v>158</v>
      </c>
      <c r="C1951" s="1" t="s">
        <v>203</v>
      </c>
      <c r="U1951" s="1"/>
    </row>
    <row r="1952" ht="15.75" customHeight="1">
      <c r="A1952" s="1" t="s">
        <v>1766</v>
      </c>
      <c r="B1952" s="1" t="s">
        <v>158</v>
      </c>
      <c r="C1952" s="1" t="s">
        <v>208</v>
      </c>
      <c r="U1952" s="1"/>
    </row>
    <row r="1953" ht="15.75" customHeight="1">
      <c r="A1953" s="1" t="s">
        <v>1767</v>
      </c>
      <c r="B1953" s="1" t="s">
        <v>6</v>
      </c>
      <c r="C1953" s="1" t="s">
        <v>7</v>
      </c>
      <c r="U1953" s="1"/>
    </row>
    <row r="1954" ht="15.75" customHeight="1">
      <c r="A1954" s="1" t="s">
        <v>1767</v>
      </c>
      <c r="B1954" s="1" t="s">
        <v>6</v>
      </c>
      <c r="C1954" s="1" t="s">
        <v>27</v>
      </c>
      <c r="U1954" s="1"/>
    </row>
    <row r="1955" ht="15.75" customHeight="1">
      <c r="A1955" s="1" t="s">
        <v>1767</v>
      </c>
      <c r="B1955" s="1" t="s">
        <v>29</v>
      </c>
      <c r="C1955" s="1" t="s">
        <v>47</v>
      </c>
      <c r="U1955" s="1"/>
    </row>
    <row r="1956" ht="15.75" customHeight="1">
      <c r="A1956" s="1" t="s">
        <v>1767</v>
      </c>
      <c r="B1956" s="1" t="s">
        <v>77</v>
      </c>
      <c r="C1956" s="1" t="s">
        <v>109</v>
      </c>
      <c r="U1956" s="1"/>
    </row>
    <row r="1957" ht="15.75" customHeight="1">
      <c r="A1957" s="1" t="s">
        <v>1768</v>
      </c>
      <c r="B1957" s="1" t="s">
        <v>29</v>
      </c>
      <c r="C1957" s="1" t="s">
        <v>1437</v>
      </c>
      <c r="U1957" s="1"/>
    </row>
    <row r="1958" ht="15.75" customHeight="1">
      <c r="A1958" s="1" t="s">
        <v>1768</v>
      </c>
      <c r="B1958" s="1" t="s">
        <v>77</v>
      </c>
      <c r="C1958" s="1" t="s">
        <v>1211</v>
      </c>
      <c r="U1958" s="1"/>
    </row>
    <row r="1959" ht="15.75" customHeight="1">
      <c r="A1959" s="1" t="s">
        <v>1768</v>
      </c>
      <c r="B1959" s="1" t="s">
        <v>378</v>
      </c>
      <c r="C1959" s="1" t="s">
        <v>1459</v>
      </c>
      <c r="U1959" s="1"/>
    </row>
    <row r="1960" ht="15.75" customHeight="1">
      <c r="A1960" s="1" t="s">
        <v>1769</v>
      </c>
      <c r="B1960" s="1" t="s">
        <v>330</v>
      </c>
      <c r="C1960" s="1" t="s">
        <v>1718</v>
      </c>
      <c r="U1960" s="1"/>
    </row>
    <row r="1961" ht="15.75" customHeight="1">
      <c r="A1961" s="1" t="s">
        <v>1769</v>
      </c>
      <c r="B1961" s="1" t="s">
        <v>378</v>
      </c>
      <c r="C1961" s="1" t="s">
        <v>1719</v>
      </c>
      <c r="U1961" s="1"/>
    </row>
    <row r="1962" ht="15.75" customHeight="1">
      <c r="A1962" s="1" t="s">
        <v>1769</v>
      </c>
      <c r="B1962" s="1" t="s">
        <v>378</v>
      </c>
      <c r="C1962" s="1" t="s">
        <v>1720</v>
      </c>
      <c r="U1962" s="1"/>
    </row>
    <row r="1963" ht="15.75" customHeight="1">
      <c r="A1963" s="1" t="s">
        <v>1770</v>
      </c>
      <c r="B1963" s="1" t="s">
        <v>77</v>
      </c>
      <c r="C1963" s="1" t="s">
        <v>114</v>
      </c>
      <c r="U1963" s="1"/>
    </row>
    <row r="1964" ht="15.75" customHeight="1">
      <c r="A1964" s="1" t="s">
        <v>1770</v>
      </c>
      <c r="B1964" s="1" t="s">
        <v>77</v>
      </c>
      <c r="C1964" s="1" t="s">
        <v>146</v>
      </c>
      <c r="U1964" s="1"/>
    </row>
    <row r="1965" ht="15.75" customHeight="1">
      <c r="A1965" s="1" t="s">
        <v>9</v>
      </c>
      <c r="B1965" s="1" t="s">
        <v>6</v>
      </c>
      <c r="C1965" s="1" t="s">
        <v>1495</v>
      </c>
      <c r="U1965" s="1"/>
    </row>
    <row r="1966" ht="15.75" customHeight="1">
      <c r="A1966" s="1" t="s">
        <v>9</v>
      </c>
      <c r="B1966" s="1" t="s">
        <v>6</v>
      </c>
      <c r="C1966" s="1" t="s">
        <v>1116</v>
      </c>
      <c r="U1966" s="1"/>
    </row>
    <row r="1967" ht="15.75" customHeight="1">
      <c r="A1967" s="1" t="s">
        <v>9</v>
      </c>
      <c r="B1967" s="1" t="s">
        <v>6</v>
      </c>
      <c r="C1967" s="1" t="s">
        <v>1123</v>
      </c>
      <c r="U1967" s="1"/>
    </row>
    <row r="1968" ht="15.75" customHeight="1">
      <c r="A1968" s="1" t="s">
        <v>9</v>
      </c>
      <c r="B1968" s="1" t="s">
        <v>6</v>
      </c>
      <c r="C1968" s="1" t="s">
        <v>1771</v>
      </c>
      <c r="U1968" s="1"/>
    </row>
    <row r="1969" ht="15.75" customHeight="1">
      <c r="A1969" s="1" t="s">
        <v>9</v>
      </c>
      <c r="B1969" s="1" t="s">
        <v>29</v>
      </c>
      <c r="C1969" s="1" t="s">
        <v>1500</v>
      </c>
      <c r="U1969" s="1"/>
    </row>
    <row r="1970" ht="15.75" customHeight="1">
      <c r="A1970" s="1" t="s">
        <v>9</v>
      </c>
      <c r="B1970" s="1" t="s">
        <v>29</v>
      </c>
      <c r="C1970" s="1" t="s">
        <v>38</v>
      </c>
      <c r="U1970" s="1"/>
    </row>
    <row r="1971" ht="15.75" customHeight="1">
      <c r="A1971" s="1" t="s">
        <v>9</v>
      </c>
      <c r="B1971" s="1" t="s">
        <v>29</v>
      </c>
      <c r="C1971" s="1" t="s">
        <v>1193</v>
      </c>
      <c r="U1971" s="1"/>
    </row>
    <row r="1972" ht="15.75" customHeight="1">
      <c r="A1972" s="1" t="s">
        <v>9</v>
      </c>
      <c r="B1972" s="1" t="s">
        <v>29</v>
      </c>
      <c r="C1972" s="1" t="s">
        <v>1267</v>
      </c>
      <c r="U1972" s="1"/>
    </row>
    <row r="1973" ht="15.75" customHeight="1">
      <c r="A1973" s="1" t="s">
        <v>9</v>
      </c>
      <c r="B1973" s="1" t="s">
        <v>29</v>
      </c>
      <c r="C1973" s="1" t="s">
        <v>1132</v>
      </c>
      <c r="U1973" s="1"/>
    </row>
    <row r="1974" ht="15.75" customHeight="1">
      <c r="A1974" s="1" t="s">
        <v>9</v>
      </c>
      <c r="B1974" s="1" t="s">
        <v>29</v>
      </c>
      <c r="C1974" s="1" t="s">
        <v>1135</v>
      </c>
      <c r="U1974" s="1"/>
    </row>
    <row r="1975" ht="15.75" customHeight="1">
      <c r="A1975" s="1" t="s">
        <v>9</v>
      </c>
      <c r="B1975" s="1" t="s">
        <v>29</v>
      </c>
      <c r="C1975" s="1" t="s">
        <v>456</v>
      </c>
      <c r="U1975" s="1"/>
    </row>
    <row r="1976" ht="15.75" customHeight="1">
      <c r="A1976" s="1" t="s">
        <v>9</v>
      </c>
      <c r="B1976" s="1" t="s">
        <v>29</v>
      </c>
      <c r="C1976" s="1" t="s">
        <v>924</v>
      </c>
      <c r="U1976" s="1"/>
    </row>
    <row r="1977" ht="15.75" customHeight="1">
      <c r="A1977" s="1" t="s">
        <v>9</v>
      </c>
      <c r="B1977" s="1" t="s">
        <v>29</v>
      </c>
      <c r="C1977" s="1" t="s">
        <v>74</v>
      </c>
      <c r="U1977" s="1"/>
    </row>
    <row r="1978" ht="15.75" customHeight="1">
      <c r="A1978" s="1" t="s">
        <v>9</v>
      </c>
      <c r="B1978" s="1" t="s">
        <v>77</v>
      </c>
      <c r="C1978" s="1" t="s">
        <v>1772</v>
      </c>
      <c r="U1978" s="1"/>
    </row>
    <row r="1979" ht="15.75" customHeight="1">
      <c r="A1979" s="1" t="s">
        <v>9</v>
      </c>
      <c r="B1979" s="1" t="s">
        <v>77</v>
      </c>
      <c r="C1979" s="1" t="s">
        <v>1153</v>
      </c>
      <c r="U1979" s="1"/>
    </row>
    <row r="1980" ht="15.75" customHeight="1">
      <c r="A1980" s="1" t="s">
        <v>9</v>
      </c>
      <c r="B1980" s="1" t="s">
        <v>77</v>
      </c>
      <c r="C1980" s="1" t="s">
        <v>1284</v>
      </c>
      <c r="U1980" s="1"/>
    </row>
    <row r="1981" ht="15.75" customHeight="1">
      <c r="A1981" s="1" t="s">
        <v>9</v>
      </c>
      <c r="B1981" s="1" t="s">
        <v>77</v>
      </c>
      <c r="C1981" s="1" t="s">
        <v>103</v>
      </c>
      <c r="U1981" s="1"/>
    </row>
    <row r="1982" ht="15.75" customHeight="1">
      <c r="A1982" s="1" t="s">
        <v>9</v>
      </c>
      <c r="B1982" s="1" t="s">
        <v>77</v>
      </c>
      <c r="C1982" s="1" t="s">
        <v>1211</v>
      </c>
      <c r="U1982" s="1"/>
    </row>
    <row r="1983" ht="15.75" customHeight="1">
      <c r="A1983" s="1" t="s">
        <v>9</v>
      </c>
      <c r="B1983" s="1" t="s">
        <v>77</v>
      </c>
      <c r="C1983" s="1" t="s">
        <v>929</v>
      </c>
      <c r="U1983" s="1"/>
    </row>
    <row r="1984" ht="15.75" customHeight="1">
      <c r="A1984" s="1" t="s">
        <v>9</v>
      </c>
      <c r="B1984" s="1" t="s">
        <v>77</v>
      </c>
      <c r="C1984" s="1" t="s">
        <v>116</v>
      </c>
      <c r="U1984" s="1"/>
    </row>
    <row r="1985" ht="15.75" customHeight="1">
      <c r="A1985" s="1" t="s">
        <v>9</v>
      </c>
      <c r="B1985" s="1" t="s">
        <v>77</v>
      </c>
      <c r="C1985" s="1" t="s">
        <v>1518</v>
      </c>
      <c r="U1985" s="1"/>
    </row>
    <row r="1986" ht="15.75" customHeight="1">
      <c r="A1986" s="1" t="s">
        <v>9</v>
      </c>
      <c r="B1986" s="1" t="s">
        <v>77</v>
      </c>
      <c r="C1986" s="1" t="s">
        <v>1167</v>
      </c>
      <c r="U1986" s="1"/>
    </row>
    <row r="1987" ht="15.75" customHeight="1">
      <c r="A1987" s="1" t="s">
        <v>9</v>
      </c>
      <c r="B1987" s="1" t="s">
        <v>77</v>
      </c>
      <c r="C1987" s="1" t="s">
        <v>153</v>
      </c>
      <c r="U1987" s="1"/>
    </row>
    <row r="1988" ht="15.75" customHeight="1">
      <c r="A1988" s="1" t="s">
        <v>9</v>
      </c>
      <c r="B1988" s="1" t="s">
        <v>158</v>
      </c>
      <c r="C1988" s="1" t="s">
        <v>1171</v>
      </c>
      <c r="U1988" s="1"/>
    </row>
    <row r="1989" ht="15.75" customHeight="1">
      <c r="A1989" s="1" t="s">
        <v>9</v>
      </c>
      <c r="B1989" s="1" t="s">
        <v>158</v>
      </c>
      <c r="C1989" s="1" t="s">
        <v>841</v>
      </c>
      <c r="U1989" s="1"/>
    </row>
    <row r="1990" ht="15.75" customHeight="1">
      <c r="A1990" s="1" t="s">
        <v>9</v>
      </c>
      <c r="B1990" s="1" t="s">
        <v>158</v>
      </c>
      <c r="C1990" s="1" t="s">
        <v>1176</v>
      </c>
      <c r="U1990" s="1"/>
    </row>
    <row r="1991" ht="15.75" customHeight="1">
      <c r="A1991" s="1" t="s">
        <v>9</v>
      </c>
      <c r="B1991" s="1" t="s">
        <v>158</v>
      </c>
      <c r="C1991" s="1" t="s">
        <v>524</v>
      </c>
      <c r="U1991" s="1"/>
    </row>
    <row r="1992" ht="15.75" customHeight="1">
      <c r="A1992" s="1" t="s">
        <v>9</v>
      </c>
      <c r="B1992" s="1" t="s">
        <v>158</v>
      </c>
      <c r="C1992" s="1" t="s">
        <v>194</v>
      </c>
      <c r="U1992" s="1"/>
    </row>
    <row r="1993" ht="15.75" customHeight="1">
      <c r="A1993" s="1" t="s">
        <v>9</v>
      </c>
      <c r="B1993" s="1" t="s">
        <v>158</v>
      </c>
      <c r="C1993" s="1" t="s">
        <v>1184</v>
      </c>
      <c r="U1993" s="1"/>
    </row>
    <row r="1994" ht="15.75" customHeight="1">
      <c r="A1994" s="1" t="s">
        <v>9</v>
      </c>
      <c r="B1994" s="1" t="s">
        <v>158</v>
      </c>
      <c r="C1994" s="1" t="s">
        <v>199</v>
      </c>
      <c r="U1994" s="1"/>
    </row>
    <row r="1995" ht="15.75" customHeight="1">
      <c r="A1995" s="1" t="s">
        <v>9</v>
      </c>
      <c r="B1995" s="1" t="s">
        <v>158</v>
      </c>
      <c r="C1995" s="1" t="s">
        <v>1312</v>
      </c>
      <c r="U1995" s="1"/>
    </row>
    <row r="1996" ht="15.75" customHeight="1">
      <c r="A1996" s="1" t="s">
        <v>9</v>
      </c>
      <c r="B1996" s="1" t="s">
        <v>158</v>
      </c>
      <c r="C1996" s="1" t="s">
        <v>1613</v>
      </c>
      <c r="U1996" s="1"/>
    </row>
    <row r="1997" ht="15.75" customHeight="1">
      <c r="A1997" s="1" t="s">
        <v>9</v>
      </c>
      <c r="B1997" s="1" t="s">
        <v>158</v>
      </c>
      <c r="C1997" s="1" t="s">
        <v>221</v>
      </c>
      <c r="U1997" s="1"/>
    </row>
    <row r="1998" ht="15.75" customHeight="1">
      <c r="A1998" s="1" t="s">
        <v>9</v>
      </c>
      <c r="B1998" s="1" t="s">
        <v>158</v>
      </c>
      <c r="C1998" s="1" t="s">
        <v>1450</v>
      </c>
      <c r="U1998" s="1"/>
    </row>
    <row r="1999" ht="15.75" customHeight="1">
      <c r="A1999" s="1" t="s">
        <v>9</v>
      </c>
      <c r="B1999" s="1" t="s">
        <v>158</v>
      </c>
      <c r="C1999" s="1" t="s">
        <v>235</v>
      </c>
      <c r="U1999" s="1"/>
    </row>
    <row r="2000" ht="15.75" customHeight="1">
      <c r="A2000" s="1" t="s">
        <v>9</v>
      </c>
      <c r="B2000" s="1" t="s">
        <v>330</v>
      </c>
      <c r="C2000" s="1" t="s">
        <v>1714</v>
      </c>
      <c r="U2000" s="1"/>
    </row>
    <row r="2001" ht="15.75" customHeight="1">
      <c r="A2001" s="1" t="s">
        <v>9</v>
      </c>
      <c r="B2001" s="1" t="s">
        <v>330</v>
      </c>
      <c r="C2001" s="1" t="s">
        <v>540</v>
      </c>
      <c r="U2001" s="1"/>
    </row>
    <row r="2002" ht="15.75" customHeight="1">
      <c r="A2002" s="1" t="s">
        <v>9</v>
      </c>
      <c r="B2002" s="1" t="s">
        <v>330</v>
      </c>
      <c r="C2002" s="1" t="s">
        <v>1453</v>
      </c>
      <c r="U2002" s="1"/>
    </row>
    <row r="2003" ht="15.75" customHeight="1">
      <c r="A2003" s="1" t="s">
        <v>9</v>
      </c>
      <c r="B2003" s="1" t="s">
        <v>330</v>
      </c>
      <c r="C2003" s="1" t="s">
        <v>1031</v>
      </c>
      <c r="U2003" s="1"/>
    </row>
    <row r="2004" ht="15.75" customHeight="1">
      <c r="A2004" s="1" t="s">
        <v>9</v>
      </c>
      <c r="B2004" s="1" t="s">
        <v>330</v>
      </c>
      <c r="C2004" s="1" t="s">
        <v>1545</v>
      </c>
      <c r="U2004" s="1"/>
    </row>
    <row r="2005" ht="15.75" customHeight="1">
      <c r="A2005" s="1" t="s">
        <v>9</v>
      </c>
      <c r="B2005" s="1" t="s">
        <v>330</v>
      </c>
      <c r="C2005" s="1" t="s">
        <v>1457</v>
      </c>
      <c r="U2005" s="1"/>
    </row>
    <row r="2006" ht="15.75" customHeight="1">
      <c r="A2006" s="1" t="s">
        <v>9</v>
      </c>
      <c r="B2006" s="1" t="s">
        <v>330</v>
      </c>
      <c r="C2006" s="1" t="s">
        <v>913</v>
      </c>
      <c r="U2006" s="1"/>
    </row>
    <row r="2007" ht="15.75" customHeight="1">
      <c r="A2007" s="1" t="s">
        <v>9</v>
      </c>
      <c r="B2007" s="1" t="s">
        <v>330</v>
      </c>
      <c r="C2007" s="1" t="s">
        <v>570</v>
      </c>
      <c r="U2007" s="1"/>
    </row>
    <row r="2008" ht="15.75" customHeight="1">
      <c r="A2008" s="1" t="s">
        <v>9</v>
      </c>
      <c r="B2008" s="1" t="s">
        <v>378</v>
      </c>
      <c r="C2008" s="1" t="s">
        <v>1033</v>
      </c>
      <c r="U2008" s="1"/>
    </row>
    <row r="2009" ht="15.75" customHeight="1">
      <c r="A2009" s="1" t="s">
        <v>9</v>
      </c>
      <c r="B2009" s="1" t="s">
        <v>378</v>
      </c>
      <c r="C2009" s="1" t="s">
        <v>1773</v>
      </c>
      <c r="U2009" s="1"/>
    </row>
    <row r="2010" ht="15.75" customHeight="1">
      <c r="A2010" s="1" t="s">
        <v>9</v>
      </c>
      <c r="B2010" s="1" t="s">
        <v>378</v>
      </c>
      <c r="C2010" s="1" t="s">
        <v>1774</v>
      </c>
      <c r="U2010" s="1"/>
    </row>
    <row r="2011" ht="15.75" customHeight="1">
      <c r="A2011" s="1" t="s">
        <v>9</v>
      </c>
      <c r="B2011" s="1" t="s">
        <v>378</v>
      </c>
      <c r="C2011" s="1" t="s">
        <v>1775</v>
      </c>
      <c r="U2011" s="1"/>
    </row>
    <row r="2012" ht="15.75" customHeight="1">
      <c r="A2012" s="1" t="s">
        <v>9</v>
      </c>
      <c r="B2012" s="1" t="s">
        <v>378</v>
      </c>
      <c r="C2012" s="1" t="s">
        <v>1038</v>
      </c>
      <c r="U2012" s="1"/>
    </row>
    <row r="2013" ht="15.75" customHeight="1">
      <c r="A2013" s="1" t="s">
        <v>9</v>
      </c>
      <c r="B2013" s="1" t="s">
        <v>378</v>
      </c>
      <c r="C2013" s="1" t="s">
        <v>605</v>
      </c>
      <c r="U2013" s="1"/>
    </row>
    <row r="2014" ht="15.75" customHeight="1">
      <c r="A2014" s="1" t="s">
        <v>9</v>
      </c>
      <c r="B2014" s="1" t="s">
        <v>403</v>
      </c>
      <c r="C2014" s="1" t="s">
        <v>1776</v>
      </c>
      <c r="U2014" s="1"/>
    </row>
    <row r="2015" ht="15.75" customHeight="1">
      <c r="A2015" s="1" t="s">
        <v>9</v>
      </c>
      <c r="B2015" s="1" t="s">
        <v>403</v>
      </c>
      <c r="C2015" s="1" t="s">
        <v>1777</v>
      </c>
      <c r="U2015" s="1"/>
    </row>
    <row r="2016" ht="15.75" customHeight="1">
      <c r="A2016" s="1" t="s">
        <v>9</v>
      </c>
      <c r="B2016" s="1" t="s">
        <v>403</v>
      </c>
      <c r="C2016" s="1" t="s">
        <v>1635</v>
      </c>
      <c r="U2016" s="1"/>
    </row>
    <row r="2017" ht="15.75" customHeight="1">
      <c r="A2017" s="1" t="s">
        <v>9</v>
      </c>
      <c r="B2017" s="1" t="s">
        <v>403</v>
      </c>
      <c r="C2017" s="1" t="s">
        <v>1778</v>
      </c>
      <c r="U2017" s="1"/>
    </row>
    <row r="2018" ht="15.75" customHeight="1">
      <c r="A2018" s="1" t="s">
        <v>9</v>
      </c>
      <c r="B2018" s="1" t="s">
        <v>403</v>
      </c>
      <c r="C2018" s="1" t="s">
        <v>1779</v>
      </c>
      <c r="U2018" s="1"/>
    </row>
    <row r="2019" ht="15.75" customHeight="1">
      <c r="A2019" s="1" t="s">
        <v>9</v>
      </c>
      <c r="B2019" s="1" t="s">
        <v>403</v>
      </c>
      <c r="C2019" s="1" t="s">
        <v>1474</v>
      </c>
      <c r="U2019" s="1"/>
    </row>
    <row r="2020" ht="15.75" customHeight="1">
      <c r="A2020" s="1" t="s">
        <v>9</v>
      </c>
      <c r="B2020" s="1" t="s">
        <v>403</v>
      </c>
      <c r="C2020" s="1" t="s">
        <v>1780</v>
      </c>
      <c r="U2020" s="1"/>
    </row>
    <row r="2021" ht="15.75" customHeight="1">
      <c r="A2021" s="1" t="s">
        <v>9</v>
      </c>
      <c r="B2021" s="1" t="s">
        <v>997</v>
      </c>
      <c r="C2021" s="1" t="s">
        <v>1781</v>
      </c>
      <c r="U2021" s="1"/>
    </row>
    <row r="2022" ht="15.75" customHeight="1">
      <c r="A2022" s="1" t="s">
        <v>9</v>
      </c>
      <c r="B2022" s="1" t="s">
        <v>997</v>
      </c>
      <c r="C2022" s="1" t="s">
        <v>1782</v>
      </c>
      <c r="U2022" s="1"/>
    </row>
    <row r="2023" ht="15.75" customHeight="1">
      <c r="A2023" s="1" t="s">
        <v>9</v>
      </c>
      <c r="B2023" s="1" t="s">
        <v>997</v>
      </c>
      <c r="C2023" s="1" t="s">
        <v>1061</v>
      </c>
      <c r="U2023" s="1"/>
    </row>
    <row r="2024" ht="15.75" customHeight="1">
      <c r="A2024" s="1" t="s">
        <v>9</v>
      </c>
      <c r="B2024" s="1" t="s">
        <v>997</v>
      </c>
      <c r="C2024" s="1" t="s">
        <v>1783</v>
      </c>
      <c r="U2024" s="1"/>
    </row>
    <row r="2025" ht="15.75" customHeight="1">
      <c r="A2025" s="1" t="s">
        <v>9</v>
      </c>
      <c r="B2025" s="1" t="s">
        <v>997</v>
      </c>
      <c r="C2025" s="1" t="s">
        <v>1784</v>
      </c>
      <c r="U2025" s="1"/>
    </row>
    <row r="2026" ht="15.75" customHeight="1">
      <c r="A2026" s="1" t="s">
        <v>9</v>
      </c>
      <c r="B2026" s="1" t="s">
        <v>1071</v>
      </c>
      <c r="C2026" s="1" t="s">
        <v>1785</v>
      </c>
      <c r="U2026" s="1"/>
    </row>
    <row r="2027" ht="15.75" customHeight="1">
      <c r="A2027" s="1" t="s">
        <v>9</v>
      </c>
      <c r="B2027" s="1" t="s">
        <v>1071</v>
      </c>
      <c r="C2027" s="1" t="s">
        <v>1786</v>
      </c>
      <c r="U2027" s="1"/>
    </row>
    <row r="2028" ht="15.75" customHeight="1">
      <c r="A2028" s="1" t="s">
        <v>9</v>
      </c>
      <c r="B2028" s="1" t="s">
        <v>1071</v>
      </c>
      <c r="C2028" s="1" t="s">
        <v>1091</v>
      </c>
      <c r="U2028" s="1"/>
    </row>
    <row r="2029" ht="15.75" customHeight="1">
      <c r="A2029" s="1" t="s">
        <v>9</v>
      </c>
      <c r="B2029" s="1" t="s">
        <v>1093</v>
      </c>
      <c r="C2029" s="1" t="s">
        <v>1787</v>
      </c>
      <c r="U2029" s="1"/>
    </row>
    <row r="2030" ht="15.75" customHeight="1">
      <c r="A2030" s="1" t="s">
        <v>9</v>
      </c>
      <c r="B2030" s="1" t="s">
        <v>1093</v>
      </c>
      <c r="C2030" s="1" t="s">
        <v>1788</v>
      </c>
      <c r="U2030" s="1"/>
    </row>
    <row r="2031" ht="15.75" customHeight="1">
      <c r="A2031" s="1" t="s">
        <v>9</v>
      </c>
      <c r="B2031" s="1" t="s">
        <v>1093</v>
      </c>
      <c r="C2031" s="1" t="s">
        <v>1789</v>
      </c>
      <c r="U2031" s="1"/>
    </row>
    <row r="2032" ht="15.75" customHeight="1">
      <c r="A2032" s="1" t="s">
        <v>9</v>
      </c>
      <c r="B2032" s="1" t="s">
        <v>1093</v>
      </c>
      <c r="C2032" s="1" t="s">
        <v>1790</v>
      </c>
      <c r="U2032" s="1"/>
    </row>
    <row r="2033" ht="15.75" customHeight="1">
      <c r="A2033" s="1" t="s">
        <v>9</v>
      </c>
      <c r="B2033" s="1" t="s">
        <v>1093</v>
      </c>
      <c r="C2033" s="1" t="s">
        <v>1791</v>
      </c>
      <c r="U2033" s="1"/>
    </row>
    <row r="2034" ht="15.75" customHeight="1">
      <c r="A2034" s="1" t="s">
        <v>9</v>
      </c>
      <c r="B2034" s="1" t="s">
        <v>1093</v>
      </c>
      <c r="C2034" s="1" t="s">
        <v>1386</v>
      </c>
      <c r="U2034" s="1"/>
    </row>
    <row r="2035" ht="15.75" customHeight="1">
      <c r="A2035" s="1" t="s">
        <v>9</v>
      </c>
      <c r="B2035" s="1" t="s">
        <v>1093</v>
      </c>
      <c r="C2035" s="1" t="s">
        <v>1792</v>
      </c>
      <c r="U2035" s="1"/>
    </row>
    <row r="2036" ht="15.75" customHeight="1">
      <c r="A2036" s="1" t="s">
        <v>9</v>
      </c>
      <c r="B2036" s="1" t="s">
        <v>1400</v>
      </c>
      <c r="C2036" s="1" t="s">
        <v>1793</v>
      </c>
      <c r="U2036" s="1"/>
    </row>
    <row r="2037" ht="15.75" customHeight="1">
      <c r="A2037" s="1" t="s">
        <v>9</v>
      </c>
      <c r="B2037" s="1" t="s">
        <v>1400</v>
      </c>
      <c r="C2037" s="1" t="s">
        <v>1794</v>
      </c>
      <c r="U2037" s="1"/>
    </row>
    <row r="2038" ht="15.75" customHeight="1">
      <c r="A2038" s="1" t="s">
        <v>9</v>
      </c>
      <c r="B2038" s="1" t="s">
        <v>1400</v>
      </c>
      <c r="C2038" s="1" t="s">
        <v>1795</v>
      </c>
      <c r="U2038" s="1"/>
    </row>
    <row r="2039" ht="15.75" customHeight="1">
      <c r="A2039" s="1" t="s">
        <v>9</v>
      </c>
      <c r="B2039" s="1" t="s">
        <v>1400</v>
      </c>
      <c r="C2039" s="1" t="s">
        <v>1796</v>
      </c>
      <c r="U2039" s="1"/>
    </row>
    <row r="2040" ht="15.75" customHeight="1">
      <c r="A2040" s="1" t="s">
        <v>9</v>
      </c>
      <c r="B2040" s="1" t="s">
        <v>1400</v>
      </c>
      <c r="C2040" s="1" t="s">
        <v>1797</v>
      </c>
      <c r="U2040" s="1"/>
    </row>
    <row r="2041" ht="15.75" customHeight="1">
      <c r="A2041" s="1" t="s">
        <v>9</v>
      </c>
      <c r="B2041" s="1" t="s">
        <v>1400</v>
      </c>
      <c r="C2041" s="1" t="s">
        <v>1798</v>
      </c>
      <c r="U2041" s="1"/>
    </row>
    <row r="2042" ht="15.75" customHeight="1">
      <c r="A2042" s="1" t="s">
        <v>9</v>
      </c>
      <c r="B2042" s="1" t="s">
        <v>1400</v>
      </c>
      <c r="C2042" s="1" t="s">
        <v>1799</v>
      </c>
      <c r="U2042" s="1"/>
    </row>
    <row r="2043" ht="15.75" customHeight="1">
      <c r="A2043" s="1" t="s">
        <v>9</v>
      </c>
      <c r="B2043" s="1" t="s">
        <v>1400</v>
      </c>
      <c r="C2043" s="1" t="s">
        <v>1800</v>
      </c>
      <c r="U2043" s="1"/>
    </row>
    <row r="2044" ht="15.75" customHeight="1">
      <c r="A2044" s="1" t="s">
        <v>9</v>
      </c>
      <c r="B2044" s="1" t="s">
        <v>1400</v>
      </c>
      <c r="C2044" s="1" t="s">
        <v>1801</v>
      </c>
      <c r="U2044" s="1"/>
    </row>
    <row r="2045" ht="15.75" customHeight="1">
      <c r="A2045" s="1" t="s">
        <v>9</v>
      </c>
      <c r="B2045" s="1" t="s">
        <v>1410</v>
      </c>
      <c r="C2045" s="1" t="s">
        <v>1802</v>
      </c>
      <c r="U2045" s="1"/>
    </row>
    <row r="2046" ht="15.75" customHeight="1">
      <c r="A2046" s="1" t="s">
        <v>9</v>
      </c>
      <c r="B2046" s="1" t="s">
        <v>1410</v>
      </c>
      <c r="C2046" s="1" t="s">
        <v>1803</v>
      </c>
      <c r="U2046" s="1"/>
    </row>
    <row r="2047" ht="15.75" customHeight="1">
      <c r="A2047" s="1" t="s">
        <v>9</v>
      </c>
      <c r="B2047" s="1" t="s">
        <v>1410</v>
      </c>
      <c r="C2047" s="1" t="s">
        <v>1804</v>
      </c>
      <c r="U2047" s="1"/>
    </row>
    <row r="2048" ht="15.75" customHeight="1">
      <c r="A2048" s="1" t="s">
        <v>9</v>
      </c>
      <c r="B2048" s="1" t="s">
        <v>1410</v>
      </c>
      <c r="C2048" s="1" t="s">
        <v>1805</v>
      </c>
      <c r="U2048" s="1"/>
    </row>
    <row r="2049" ht="15.75" customHeight="1">
      <c r="A2049" s="1" t="s">
        <v>9</v>
      </c>
      <c r="B2049" s="1" t="s">
        <v>1410</v>
      </c>
      <c r="C2049" s="1" t="s">
        <v>1806</v>
      </c>
      <c r="U2049" s="1"/>
    </row>
    <row r="2050" ht="15.75" customHeight="1">
      <c r="A2050" s="1" t="s">
        <v>9</v>
      </c>
      <c r="B2050" s="1" t="s">
        <v>1410</v>
      </c>
      <c r="C2050" s="1" t="s">
        <v>1807</v>
      </c>
      <c r="U2050" s="1"/>
    </row>
    <row r="2051" ht="15.75" customHeight="1">
      <c r="A2051" s="1" t="s">
        <v>9</v>
      </c>
      <c r="B2051" s="1" t="s">
        <v>1410</v>
      </c>
      <c r="C2051" s="1" t="s">
        <v>1808</v>
      </c>
      <c r="U2051" s="1"/>
    </row>
    <row r="2052" ht="15.75" customHeight="1">
      <c r="A2052" s="1" t="s">
        <v>9</v>
      </c>
      <c r="B2052" s="1" t="s">
        <v>1410</v>
      </c>
      <c r="C2052" s="1" t="s">
        <v>1809</v>
      </c>
      <c r="U2052" s="1"/>
    </row>
    <row r="2053" ht="15.75" customHeight="1">
      <c r="A2053" s="1" t="s">
        <v>9</v>
      </c>
      <c r="B2053" s="1" t="s">
        <v>1410</v>
      </c>
      <c r="C2053" s="1" t="s">
        <v>1810</v>
      </c>
      <c r="U2053" s="1"/>
    </row>
    <row r="2054" ht="15.75" customHeight="1">
      <c r="A2054" s="1" t="s">
        <v>9</v>
      </c>
      <c r="B2054" s="1" t="s">
        <v>1410</v>
      </c>
      <c r="C2054" s="1" t="s">
        <v>1811</v>
      </c>
      <c r="U2054" s="1"/>
    </row>
    <row r="2055" ht="15.75" customHeight="1">
      <c r="A2055" s="1" t="s">
        <v>9</v>
      </c>
      <c r="B2055" s="1" t="s">
        <v>1425</v>
      </c>
      <c r="C2055" s="1" t="s">
        <v>1812</v>
      </c>
      <c r="U2055" s="1"/>
    </row>
    <row r="2056" ht="15.75" customHeight="1">
      <c r="A2056" s="1" t="s">
        <v>9</v>
      </c>
      <c r="B2056" s="1" t="s">
        <v>1425</v>
      </c>
      <c r="C2056" s="1" t="s">
        <v>1813</v>
      </c>
      <c r="U2056" s="1"/>
    </row>
    <row r="2057" ht="15.75" customHeight="1">
      <c r="A2057" s="1" t="s">
        <v>9</v>
      </c>
      <c r="B2057" s="1" t="s">
        <v>1425</v>
      </c>
      <c r="C2057" s="1" t="s">
        <v>1814</v>
      </c>
      <c r="U2057" s="1"/>
    </row>
    <row r="2058" ht="15.75" customHeight="1">
      <c r="A2058" s="1" t="s">
        <v>9</v>
      </c>
      <c r="B2058" s="1" t="s">
        <v>1425</v>
      </c>
      <c r="C2058" s="1" t="s">
        <v>1741</v>
      </c>
      <c r="U2058" s="1"/>
    </row>
    <row r="2059" ht="15.75" customHeight="1">
      <c r="A2059" s="1" t="s">
        <v>9</v>
      </c>
      <c r="B2059" s="1" t="s">
        <v>1425</v>
      </c>
      <c r="C2059" s="1" t="s">
        <v>1815</v>
      </c>
      <c r="U2059" s="1"/>
    </row>
    <row r="2060" ht="15.75" customHeight="1">
      <c r="A2060" s="1" t="s">
        <v>9</v>
      </c>
      <c r="B2060" s="1" t="s">
        <v>1425</v>
      </c>
      <c r="C2060" s="1" t="s">
        <v>1816</v>
      </c>
      <c r="U2060" s="1"/>
    </row>
    <row r="2061" ht="15.75" customHeight="1">
      <c r="A2061" s="1" t="s">
        <v>9</v>
      </c>
      <c r="B2061" s="1" t="s">
        <v>1425</v>
      </c>
      <c r="C2061" s="1" t="s">
        <v>1817</v>
      </c>
      <c r="U2061" s="1"/>
    </row>
    <row r="2062" ht="15.75" customHeight="1">
      <c r="A2062" s="1" t="s">
        <v>9</v>
      </c>
      <c r="B2062" s="1" t="s">
        <v>1492</v>
      </c>
      <c r="C2062" s="1" t="s">
        <v>1818</v>
      </c>
      <c r="U2062" s="1"/>
    </row>
    <row r="2063" ht="15.75" customHeight="1">
      <c r="A2063" s="1" t="s">
        <v>9</v>
      </c>
      <c r="B2063" s="1" t="s">
        <v>1492</v>
      </c>
      <c r="C2063" s="1" t="s">
        <v>1819</v>
      </c>
      <c r="U2063" s="1"/>
    </row>
    <row r="2064" ht="15.75" customHeight="1">
      <c r="A2064" s="1" t="s">
        <v>9</v>
      </c>
      <c r="B2064" s="1" t="s">
        <v>1492</v>
      </c>
      <c r="C2064" s="1" t="s">
        <v>1820</v>
      </c>
      <c r="U2064" s="1"/>
    </row>
    <row r="2065" ht="15.75" customHeight="1">
      <c r="A2065" s="1" t="s">
        <v>11</v>
      </c>
      <c r="B2065" s="1" t="s">
        <v>6</v>
      </c>
      <c r="C2065" s="1" t="s">
        <v>1111</v>
      </c>
      <c r="U2065" s="1"/>
    </row>
    <row r="2066" ht="15.75" customHeight="1">
      <c r="A2066" s="1" t="s">
        <v>11</v>
      </c>
      <c r="B2066" s="1" t="s">
        <v>6</v>
      </c>
      <c r="C2066" s="1" t="s">
        <v>1582</v>
      </c>
      <c r="U2066" s="1"/>
    </row>
    <row r="2067" ht="15.75" customHeight="1">
      <c r="A2067" s="1" t="s">
        <v>11</v>
      </c>
      <c r="B2067" s="1" t="s">
        <v>6</v>
      </c>
      <c r="C2067" s="1" t="s">
        <v>24</v>
      </c>
      <c r="U2067" s="1"/>
    </row>
    <row r="2068" ht="15.75" customHeight="1">
      <c r="A2068" s="1" t="s">
        <v>11</v>
      </c>
      <c r="B2068" s="1" t="s">
        <v>29</v>
      </c>
      <c r="C2068" s="1" t="s">
        <v>1587</v>
      </c>
      <c r="U2068" s="1"/>
    </row>
    <row r="2069" ht="15.75" customHeight="1">
      <c r="A2069" s="1" t="s">
        <v>11</v>
      </c>
      <c r="B2069" s="1" t="s">
        <v>29</v>
      </c>
      <c r="C2069" s="1" t="s">
        <v>774</v>
      </c>
      <c r="U2069" s="1"/>
    </row>
    <row r="2070" ht="15.75" customHeight="1">
      <c r="A2070" s="1" t="s">
        <v>11</v>
      </c>
      <c r="B2070" s="1" t="s">
        <v>29</v>
      </c>
      <c r="C2070" s="1" t="s">
        <v>1503</v>
      </c>
      <c r="U2070" s="1"/>
    </row>
    <row r="2071" ht="15.75" customHeight="1">
      <c r="A2071" s="1" t="s">
        <v>11</v>
      </c>
      <c r="B2071" s="1" t="s">
        <v>29</v>
      </c>
      <c r="C2071" s="1" t="s">
        <v>923</v>
      </c>
      <c r="U2071" s="1"/>
    </row>
    <row r="2072" ht="15.75" customHeight="1">
      <c r="A2072" s="1" t="s">
        <v>11</v>
      </c>
      <c r="B2072" s="1" t="s">
        <v>29</v>
      </c>
      <c r="C2072" s="1" t="s">
        <v>1506</v>
      </c>
      <c r="U2072" s="1"/>
    </row>
    <row r="2073" ht="15.75" customHeight="1">
      <c r="A2073" s="1" t="s">
        <v>11</v>
      </c>
      <c r="B2073" s="1" t="s">
        <v>29</v>
      </c>
      <c r="C2073" s="1" t="s">
        <v>1507</v>
      </c>
      <c r="U2073" s="1"/>
    </row>
    <row r="2074" ht="15.75" customHeight="1">
      <c r="A2074" s="1" t="s">
        <v>11</v>
      </c>
      <c r="B2074" s="1" t="s">
        <v>29</v>
      </c>
      <c r="C2074" s="1" t="s">
        <v>1270</v>
      </c>
      <c r="U2074" s="1"/>
    </row>
    <row r="2075" ht="15.75" customHeight="1">
      <c r="A2075" s="1" t="s">
        <v>11</v>
      </c>
      <c r="B2075" s="1" t="s">
        <v>29</v>
      </c>
      <c r="C2075" s="1" t="s">
        <v>1509</v>
      </c>
      <c r="U2075" s="1"/>
    </row>
    <row r="2076" ht="15.75" customHeight="1">
      <c r="A2076" s="1" t="s">
        <v>11</v>
      </c>
      <c r="B2076" s="1" t="s">
        <v>77</v>
      </c>
      <c r="C2076" s="1" t="s">
        <v>1441</v>
      </c>
      <c r="U2076" s="1"/>
    </row>
    <row r="2077" ht="15.75" customHeight="1">
      <c r="A2077" s="1" t="s">
        <v>11</v>
      </c>
      <c r="B2077" s="1" t="s">
        <v>77</v>
      </c>
      <c r="C2077" s="1" t="s">
        <v>1289</v>
      </c>
      <c r="U2077" s="1"/>
    </row>
    <row r="2078" ht="15.75" customHeight="1">
      <c r="A2078" s="1" t="s">
        <v>11</v>
      </c>
      <c r="B2078" s="1" t="s">
        <v>77</v>
      </c>
      <c r="C2078" s="1" t="s">
        <v>1290</v>
      </c>
      <c r="U2078" s="1"/>
    </row>
    <row r="2079" ht="15.75" customHeight="1">
      <c r="A2079" s="1" t="s">
        <v>11</v>
      </c>
      <c r="B2079" s="1" t="s">
        <v>77</v>
      </c>
      <c r="C2079" s="1" t="s">
        <v>1696</v>
      </c>
      <c r="U2079" s="1"/>
    </row>
    <row r="2080" ht="15.75" customHeight="1">
      <c r="A2080" s="1" t="s">
        <v>11</v>
      </c>
      <c r="B2080" s="1" t="s">
        <v>77</v>
      </c>
      <c r="C2080" s="1" t="s">
        <v>1444</v>
      </c>
      <c r="U2080" s="1"/>
    </row>
    <row r="2081" ht="15.75" customHeight="1">
      <c r="A2081" s="1" t="s">
        <v>11</v>
      </c>
      <c r="B2081" s="1" t="s">
        <v>77</v>
      </c>
      <c r="C2081" s="1" t="s">
        <v>1821</v>
      </c>
      <c r="U2081" s="1"/>
    </row>
    <row r="2082" ht="15.75" customHeight="1">
      <c r="A2082" s="1" t="s">
        <v>11</v>
      </c>
      <c r="B2082" s="1" t="s">
        <v>158</v>
      </c>
      <c r="C2082" s="1" t="s">
        <v>159</v>
      </c>
      <c r="U2082" s="1"/>
    </row>
    <row r="2083" ht="15.75" customHeight="1">
      <c r="A2083" s="1" t="s">
        <v>11</v>
      </c>
      <c r="B2083" s="1" t="s">
        <v>158</v>
      </c>
      <c r="C2083" s="1" t="s">
        <v>163</v>
      </c>
      <c r="U2083" s="1"/>
    </row>
    <row r="2084" ht="15.75" customHeight="1">
      <c r="A2084" s="1" t="s">
        <v>11</v>
      </c>
      <c r="B2084" s="1" t="s">
        <v>158</v>
      </c>
      <c r="C2084" s="1" t="s">
        <v>1528</v>
      </c>
      <c r="U2084" s="1"/>
    </row>
    <row r="2085" ht="15.75" customHeight="1">
      <c r="A2085" s="1" t="s">
        <v>11</v>
      </c>
      <c r="B2085" s="1" t="s">
        <v>158</v>
      </c>
      <c r="C2085" s="1" t="s">
        <v>1707</v>
      </c>
      <c r="U2085" s="1"/>
    </row>
    <row r="2086" ht="15.75" customHeight="1">
      <c r="A2086" s="1" t="s">
        <v>11</v>
      </c>
      <c r="B2086" s="1" t="s">
        <v>158</v>
      </c>
      <c r="C2086" s="1" t="s">
        <v>1450</v>
      </c>
      <c r="U2086" s="1"/>
    </row>
    <row r="2087" ht="15.75" customHeight="1">
      <c r="A2087" s="1" t="s">
        <v>11</v>
      </c>
      <c r="B2087" s="1" t="s">
        <v>330</v>
      </c>
      <c r="C2087" s="1" t="s">
        <v>1822</v>
      </c>
      <c r="U2087" s="1"/>
    </row>
    <row r="2088" ht="15.75" customHeight="1">
      <c r="A2088" s="1" t="s">
        <v>11</v>
      </c>
      <c r="B2088" s="1" t="s">
        <v>330</v>
      </c>
      <c r="C2088" s="1" t="s">
        <v>893</v>
      </c>
      <c r="U2088" s="1"/>
    </row>
    <row r="2089" ht="15.75" customHeight="1">
      <c r="A2089" s="1" t="s">
        <v>11</v>
      </c>
      <c r="B2089" s="1" t="s">
        <v>330</v>
      </c>
      <c r="C2089" s="1" t="s">
        <v>1030</v>
      </c>
      <c r="U2089" s="1"/>
    </row>
    <row r="2090" ht="15.75" customHeight="1">
      <c r="A2090" s="1" t="s">
        <v>11</v>
      </c>
      <c r="B2090" s="1" t="s">
        <v>330</v>
      </c>
      <c r="C2090" s="1" t="s">
        <v>1619</v>
      </c>
      <c r="U2090" s="1"/>
    </row>
    <row r="2091" ht="15.75" customHeight="1">
      <c r="A2091" s="1" t="s">
        <v>11</v>
      </c>
      <c r="B2091" s="1" t="s">
        <v>330</v>
      </c>
      <c r="C2091" s="1" t="s">
        <v>899</v>
      </c>
      <c r="U2091" s="1"/>
    </row>
    <row r="2092" ht="15.75" customHeight="1">
      <c r="A2092" s="1" t="s">
        <v>11</v>
      </c>
      <c r="B2092" s="1" t="s">
        <v>330</v>
      </c>
      <c r="C2092" s="1" t="s">
        <v>1545</v>
      </c>
      <c r="U2092" s="1"/>
    </row>
    <row r="2093" ht="15.75" customHeight="1">
      <c r="A2093" s="1" t="s">
        <v>11</v>
      </c>
      <c r="B2093" s="1" t="s">
        <v>378</v>
      </c>
      <c r="C2093" s="1" t="s">
        <v>1719</v>
      </c>
      <c r="U2093" s="1"/>
    </row>
    <row r="2094" ht="15.75" customHeight="1">
      <c r="A2094" s="1" t="s">
        <v>11</v>
      </c>
      <c r="B2094" s="1" t="s">
        <v>378</v>
      </c>
      <c r="C2094" s="1" t="s">
        <v>597</v>
      </c>
      <c r="U2094" s="1"/>
    </row>
    <row r="2095" ht="15.75" customHeight="1">
      <c r="A2095" s="1" t="s">
        <v>11</v>
      </c>
      <c r="B2095" s="1" t="s">
        <v>378</v>
      </c>
      <c r="C2095" s="1" t="s">
        <v>1040</v>
      </c>
      <c r="U2095" s="1"/>
    </row>
    <row r="2096" ht="15.75" customHeight="1">
      <c r="A2096" s="1" t="s">
        <v>11</v>
      </c>
      <c r="B2096" s="1" t="s">
        <v>403</v>
      </c>
      <c r="C2096" s="1" t="s">
        <v>1823</v>
      </c>
      <c r="U2096" s="1"/>
    </row>
    <row r="2097" ht="15.75" customHeight="1">
      <c r="A2097" s="1" t="s">
        <v>11</v>
      </c>
      <c r="B2097" s="1" t="s">
        <v>403</v>
      </c>
      <c r="C2097" s="1" t="s">
        <v>1824</v>
      </c>
      <c r="U2097" s="1"/>
    </row>
    <row r="2098" ht="15.75" customHeight="1">
      <c r="A2098" s="1" t="s">
        <v>11</v>
      </c>
      <c r="B2098" s="1" t="s">
        <v>403</v>
      </c>
      <c r="C2098" s="1" t="s">
        <v>1567</v>
      </c>
      <c r="U2098" s="1"/>
    </row>
    <row r="2099" ht="15.75" customHeight="1">
      <c r="A2099" s="1" t="s">
        <v>11</v>
      </c>
      <c r="B2099" s="1" t="s">
        <v>997</v>
      </c>
      <c r="C2099" s="1" t="s">
        <v>1825</v>
      </c>
      <c r="U2099" s="1"/>
    </row>
    <row r="2100" ht="15.75" customHeight="1">
      <c r="A2100" s="1" t="s">
        <v>11</v>
      </c>
      <c r="B2100" s="1" t="s">
        <v>1071</v>
      </c>
      <c r="C2100" s="1" t="s">
        <v>1077</v>
      </c>
      <c r="U2100" s="1"/>
    </row>
    <row r="2101" ht="15.75" customHeight="1">
      <c r="A2101" s="1" t="s">
        <v>11</v>
      </c>
      <c r="B2101" s="1" t="s">
        <v>1071</v>
      </c>
      <c r="C2101" s="1" t="s">
        <v>1557</v>
      </c>
      <c r="U2101" s="1"/>
    </row>
    <row r="2102" ht="15.75" customHeight="1">
      <c r="A2102" s="1" t="s">
        <v>11</v>
      </c>
      <c r="B2102" s="1" t="s">
        <v>1093</v>
      </c>
      <c r="C2102" s="1" t="s">
        <v>1098</v>
      </c>
      <c r="U2102" s="1"/>
    </row>
    <row r="2103" ht="15.75" customHeight="1">
      <c r="A2103" s="1" t="s">
        <v>11</v>
      </c>
      <c r="B2103" s="1" t="s">
        <v>1093</v>
      </c>
      <c r="C2103" s="1" t="s">
        <v>1826</v>
      </c>
      <c r="U2103" s="1"/>
    </row>
    <row r="2104" ht="15.75" customHeight="1">
      <c r="A2104" s="1" t="s">
        <v>11</v>
      </c>
      <c r="B2104" s="1" t="s">
        <v>1093</v>
      </c>
      <c r="C2104" s="1" t="s">
        <v>1827</v>
      </c>
      <c r="U2104" s="1"/>
    </row>
    <row r="2105" ht="15.75" customHeight="1">
      <c r="A2105" s="1" t="s">
        <v>11</v>
      </c>
      <c r="B2105" s="1" t="s">
        <v>1400</v>
      </c>
      <c r="C2105" s="1" t="s">
        <v>1828</v>
      </c>
      <c r="U2105" s="1"/>
    </row>
    <row r="2106" ht="15.75" customHeight="1">
      <c r="A2106" s="1" t="s">
        <v>11</v>
      </c>
      <c r="B2106" s="1" t="s">
        <v>1400</v>
      </c>
      <c r="C2106" s="1" t="s">
        <v>1829</v>
      </c>
      <c r="U2106" s="1"/>
    </row>
    <row r="2107" ht="15.75" customHeight="1">
      <c r="A2107" s="1" t="s">
        <v>11</v>
      </c>
      <c r="B2107" s="1" t="s">
        <v>1400</v>
      </c>
      <c r="C2107" s="1" t="s">
        <v>1795</v>
      </c>
      <c r="U2107" s="1"/>
    </row>
    <row r="2108" ht="15.75" customHeight="1">
      <c r="A2108" s="1" t="s">
        <v>11</v>
      </c>
      <c r="B2108" s="1" t="s">
        <v>1400</v>
      </c>
      <c r="C2108" s="1" t="s">
        <v>1830</v>
      </c>
      <c r="U2108" s="1"/>
    </row>
    <row r="2109" ht="15.75" customHeight="1">
      <c r="A2109" s="1" t="s">
        <v>11</v>
      </c>
      <c r="B2109" s="1" t="s">
        <v>1410</v>
      </c>
      <c r="C2109" s="1" t="s">
        <v>1831</v>
      </c>
      <c r="U2109" s="1"/>
    </row>
    <row r="2110" ht="15.75" customHeight="1">
      <c r="A2110" s="1" t="s">
        <v>11</v>
      </c>
      <c r="B2110" s="1" t="s">
        <v>1410</v>
      </c>
      <c r="C2110" s="1" t="s">
        <v>1832</v>
      </c>
      <c r="U2110" s="1"/>
    </row>
    <row r="2111" ht="15.75" customHeight="1">
      <c r="A2111" s="1" t="s">
        <v>11</v>
      </c>
      <c r="B2111" s="1" t="s">
        <v>1410</v>
      </c>
      <c r="C2111" s="1" t="s">
        <v>1833</v>
      </c>
      <c r="U2111" s="1"/>
    </row>
    <row r="2112" ht="15.75" customHeight="1">
      <c r="A2112" s="1" t="s">
        <v>11</v>
      </c>
      <c r="B2112" s="1" t="s">
        <v>1410</v>
      </c>
      <c r="C2112" s="1" t="s">
        <v>1834</v>
      </c>
      <c r="U2112" s="1"/>
    </row>
    <row r="2113" ht="15.75" customHeight="1">
      <c r="A2113" s="1" t="s">
        <v>11</v>
      </c>
      <c r="B2113" s="1" t="s">
        <v>1410</v>
      </c>
      <c r="C2113" s="1" t="s">
        <v>1835</v>
      </c>
      <c r="U2113" s="1"/>
    </row>
    <row r="2114" ht="15.75" customHeight="1">
      <c r="A2114" s="1" t="s">
        <v>11</v>
      </c>
      <c r="B2114" s="1" t="s">
        <v>1410</v>
      </c>
      <c r="C2114" s="1" t="s">
        <v>1836</v>
      </c>
      <c r="U2114" s="1"/>
    </row>
    <row r="2115" ht="15.75" customHeight="1">
      <c r="A2115" s="1" t="s">
        <v>11</v>
      </c>
      <c r="B2115" s="1" t="s">
        <v>1425</v>
      </c>
      <c r="C2115" s="1" t="s">
        <v>1837</v>
      </c>
      <c r="U2115" s="1"/>
    </row>
    <row r="2116" ht="15.75" customHeight="1">
      <c r="A2116" s="1" t="s">
        <v>11</v>
      </c>
      <c r="B2116" s="1" t="s">
        <v>1425</v>
      </c>
      <c r="C2116" s="1" t="s">
        <v>1838</v>
      </c>
      <c r="U2116" s="1"/>
    </row>
    <row r="2117" ht="15.75" customHeight="1">
      <c r="A2117" s="1" t="s">
        <v>11</v>
      </c>
      <c r="B2117" s="1" t="s">
        <v>1425</v>
      </c>
      <c r="C2117" s="1" t="s">
        <v>1839</v>
      </c>
      <c r="U2117" s="1"/>
    </row>
    <row r="2118" ht="15.75" customHeight="1">
      <c r="A2118" s="1" t="s">
        <v>11</v>
      </c>
      <c r="B2118" s="1" t="s">
        <v>1425</v>
      </c>
      <c r="C2118" s="1" t="s">
        <v>1840</v>
      </c>
      <c r="U2118" s="1"/>
    </row>
    <row r="2119" ht="15.75" customHeight="1">
      <c r="A2119" s="1" t="s">
        <v>11</v>
      </c>
      <c r="B2119" s="1" t="s">
        <v>1425</v>
      </c>
      <c r="C2119" s="1" t="s">
        <v>1841</v>
      </c>
      <c r="U2119" s="1"/>
    </row>
    <row r="2120" ht="15.75" customHeight="1">
      <c r="A2120" s="1" t="s">
        <v>11</v>
      </c>
      <c r="B2120" s="1" t="s">
        <v>1425</v>
      </c>
      <c r="C2120" s="1" t="s">
        <v>1842</v>
      </c>
      <c r="U2120" s="1"/>
    </row>
    <row r="2121" ht="15.75" customHeight="1">
      <c r="A2121" s="1" t="s">
        <v>11</v>
      </c>
      <c r="B2121" s="1" t="s">
        <v>1425</v>
      </c>
      <c r="C2121" s="1" t="s">
        <v>1843</v>
      </c>
      <c r="U2121" s="1"/>
    </row>
    <row r="2122" ht="15.75" customHeight="1">
      <c r="A2122" s="1" t="s">
        <v>11</v>
      </c>
      <c r="B2122" s="1" t="s">
        <v>1425</v>
      </c>
      <c r="C2122" s="1" t="s">
        <v>1844</v>
      </c>
      <c r="U2122" s="1"/>
    </row>
    <row r="2123" ht="15.75" customHeight="1">
      <c r="A2123" s="1" t="s">
        <v>11</v>
      </c>
      <c r="B2123" s="1" t="s">
        <v>1492</v>
      </c>
      <c r="C2123" s="1" t="s">
        <v>1845</v>
      </c>
      <c r="U2123" s="1"/>
    </row>
    <row r="2124" ht="15.75" customHeight="1">
      <c r="A2124" s="1" t="s">
        <v>11</v>
      </c>
      <c r="B2124" s="1" t="s">
        <v>1492</v>
      </c>
      <c r="C2124" s="1" t="s">
        <v>1846</v>
      </c>
      <c r="U2124" s="1"/>
    </row>
    <row r="2125" ht="15.75" customHeight="1">
      <c r="A2125" s="1" t="s">
        <v>11</v>
      </c>
      <c r="B2125" s="1" t="s">
        <v>1492</v>
      </c>
      <c r="C2125" s="1" t="s">
        <v>1847</v>
      </c>
      <c r="U2125" s="1"/>
    </row>
    <row r="2126" ht="15.75" customHeight="1">
      <c r="A2126" s="1" t="s">
        <v>11</v>
      </c>
      <c r="B2126" s="1" t="s">
        <v>1848</v>
      </c>
      <c r="C2126" s="1" t="s">
        <v>1849</v>
      </c>
      <c r="U2126" s="1"/>
    </row>
    <row r="2127" ht="15.75" customHeight="1">
      <c r="A2127" s="1" t="s">
        <v>11</v>
      </c>
      <c r="B2127" s="1" t="s">
        <v>1848</v>
      </c>
      <c r="C2127" s="1" t="s">
        <v>1850</v>
      </c>
      <c r="U2127" s="1"/>
    </row>
    <row r="2128" ht="15.75" customHeight="1">
      <c r="A2128" s="1" t="s">
        <v>11</v>
      </c>
      <c r="B2128" s="1" t="s">
        <v>1848</v>
      </c>
      <c r="C2128" s="1" t="s">
        <v>1851</v>
      </c>
      <c r="U2128" s="1"/>
    </row>
    <row r="2129" ht="15.75" customHeight="1">
      <c r="A2129" s="1" t="s">
        <v>11</v>
      </c>
      <c r="B2129" s="1" t="s">
        <v>1848</v>
      </c>
      <c r="C2129" s="1" t="s">
        <v>1852</v>
      </c>
      <c r="U2129" s="1"/>
    </row>
    <row r="2130" ht="15.75" customHeight="1">
      <c r="A2130" s="1" t="s">
        <v>11</v>
      </c>
      <c r="B2130" s="1" t="s">
        <v>1748</v>
      </c>
      <c r="C2130" s="1" t="s">
        <v>1853</v>
      </c>
      <c r="U2130" s="1"/>
    </row>
    <row r="2131" ht="15.75" customHeight="1">
      <c r="A2131" s="1" t="s">
        <v>11</v>
      </c>
      <c r="B2131" s="1" t="s">
        <v>1691</v>
      </c>
      <c r="C2131" s="1" t="s">
        <v>1854</v>
      </c>
      <c r="U2131" s="1"/>
    </row>
    <row r="2132" ht="15.75" customHeight="1">
      <c r="A2132" s="1" t="s">
        <v>13</v>
      </c>
      <c r="B2132" s="1" t="s">
        <v>6</v>
      </c>
      <c r="C2132" s="1" t="s">
        <v>1116</v>
      </c>
      <c r="U2132" s="1"/>
    </row>
    <row r="2133" ht="15.75" customHeight="1">
      <c r="A2133" s="1" t="s">
        <v>13</v>
      </c>
      <c r="B2133" s="1" t="s">
        <v>29</v>
      </c>
      <c r="C2133" s="1" t="s">
        <v>1499</v>
      </c>
      <c r="U2133" s="1"/>
    </row>
    <row r="2134" ht="15.75" customHeight="1">
      <c r="A2134" s="1" t="s">
        <v>13</v>
      </c>
      <c r="B2134" s="1" t="s">
        <v>29</v>
      </c>
      <c r="C2134" s="1" t="s">
        <v>780</v>
      </c>
      <c r="U2134" s="1"/>
    </row>
    <row r="2135" ht="15.75" customHeight="1">
      <c r="A2135" s="1" t="s">
        <v>13</v>
      </c>
      <c r="B2135" s="1" t="s">
        <v>29</v>
      </c>
      <c r="C2135" s="1" t="s">
        <v>1437</v>
      </c>
      <c r="U2135" s="1"/>
    </row>
    <row r="2136" ht="15.75" customHeight="1">
      <c r="A2136" s="1" t="s">
        <v>13</v>
      </c>
      <c r="B2136" s="1" t="s">
        <v>29</v>
      </c>
      <c r="C2136" s="1" t="s">
        <v>1200</v>
      </c>
      <c r="U2136" s="1"/>
    </row>
    <row r="2137" ht="15.75" customHeight="1">
      <c r="A2137" s="1" t="s">
        <v>13</v>
      </c>
      <c r="B2137" s="1" t="s">
        <v>29</v>
      </c>
      <c r="C2137" s="1" t="s">
        <v>1202</v>
      </c>
      <c r="U2137" s="1"/>
    </row>
    <row r="2138" ht="15.75" customHeight="1">
      <c r="A2138" s="1" t="s">
        <v>13</v>
      </c>
      <c r="B2138" s="1" t="s">
        <v>77</v>
      </c>
      <c r="C2138" s="1" t="s">
        <v>1515</v>
      </c>
      <c r="U2138" s="1"/>
    </row>
    <row r="2139" ht="15.75" customHeight="1">
      <c r="A2139" s="1" t="s">
        <v>13</v>
      </c>
      <c r="B2139" s="1" t="s">
        <v>77</v>
      </c>
      <c r="C2139" s="1" t="s">
        <v>1442</v>
      </c>
      <c r="U2139" s="1"/>
    </row>
    <row r="2140" ht="15.75" customHeight="1">
      <c r="A2140" s="1" t="s">
        <v>13</v>
      </c>
      <c r="B2140" s="1" t="s">
        <v>77</v>
      </c>
      <c r="C2140" s="1" t="s">
        <v>1519</v>
      </c>
      <c r="U2140" s="1"/>
    </row>
    <row r="2141" ht="15.75" customHeight="1">
      <c r="A2141" s="1" t="s">
        <v>13</v>
      </c>
      <c r="B2141" s="1" t="s">
        <v>77</v>
      </c>
      <c r="C2141" s="1" t="s">
        <v>124</v>
      </c>
      <c r="U2141" s="1"/>
    </row>
    <row r="2142" ht="15.75" customHeight="1">
      <c r="A2142" s="1" t="s">
        <v>13</v>
      </c>
      <c r="B2142" s="1" t="s">
        <v>77</v>
      </c>
      <c r="C2142" s="1" t="s">
        <v>130</v>
      </c>
      <c r="U2142" s="1"/>
    </row>
    <row r="2143" ht="15.75" customHeight="1">
      <c r="A2143" s="1" t="s">
        <v>13</v>
      </c>
      <c r="B2143" s="1" t="s">
        <v>158</v>
      </c>
      <c r="C2143" s="1" t="s">
        <v>1018</v>
      </c>
      <c r="U2143" s="1"/>
    </row>
    <row r="2144" ht="15.75" customHeight="1">
      <c r="A2144" s="1" t="s">
        <v>13</v>
      </c>
      <c r="B2144" s="1" t="s">
        <v>158</v>
      </c>
      <c r="C2144" s="1" t="s">
        <v>841</v>
      </c>
      <c r="U2144" s="1"/>
    </row>
    <row r="2145" ht="15.75" customHeight="1">
      <c r="A2145" s="1" t="s">
        <v>13</v>
      </c>
      <c r="B2145" s="1" t="s">
        <v>158</v>
      </c>
      <c r="C2145" s="1" t="s">
        <v>1535</v>
      </c>
      <c r="U2145" s="1"/>
    </row>
    <row r="2146" ht="15.75" customHeight="1">
      <c r="A2146" s="1" t="s">
        <v>13</v>
      </c>
      <c r="B2146" s="1" t="s">
        <v>158</v>
      </c>
      <c r="C2146" s="1" t="s">
        <v>1537</v>
      </c>
      <c r="U2146" s="1"/>
    </row>
    <row r="2147" ht="15.75" customHeight="1">
      <c r="A2147" s="1" t="s">
        <v>13</v>
      </c>
      <c r="B2147" s="1" t="s">
        <v>378</v>
      </c>
      <c r="C2147" s="1" t="s">
        <v>1037</v>
      </c>
      <c r="U2147" s="1"/>
    </row>
    <row r="2148" ht="15.75" customHeight="1">
      <c r="A2148" s="1" t="s">
        <v>13</v>
      </c>
      <c r="B2148" s="1" t="s">
        <v>378</v>
      </c>
      <c r="C2148" s="1" t="s">
        <v>393</v>
      </c>
      <c r="U2148" s="1"/>
    </row>
    <row r="2149" ht="15.75" customHeight="1">
      <c r="A2149" s="1" t="s">
        <v>13</v>
      </c>
      <c r="B2149" s="1" t="s">
        <v>378</v>
      </c>
      <c r="C2149" s="1" t="s">
        <v>976</v>
      </c>
      <c r="U2149" s="1"/>
    </row>
    <row r="2150" ht="15.75" customHeight="1">
      <c r="A2150" s="1" t="s">
        <v>13</v>
      </c>
      <c r="B2150" s="1" t="s">
        <v>403</v>
      </c>
      <c r="C2150" s="1" t="s">
        <v>984</v>
      </c>
      <c r="U2150" s="1"/>
    </row>
    <row r="2151" ht="15.75" customHeight="1">
      <c r="A2151" s="1" t="s">
        <v>13</v>
      </c>
      <c r="B2151" s="1" t="s">
        <v>403</v>
      </c>
      <c r="C2151" s="1" t="s">
        <v>1855</v>
      </c>
      <c r="U2151" s="1"/>
    </row>
    <row r="2152" ht="15.75" customHeight="1">
      <c r="A2152" s="1" t="s">
        <v>13</v>
      </c>
      <c r="B2152" s="1" t="s">
        <v>403</v>
      </c>
      <c r="C2152" s="1" t="s">
        <v>1856</v>
      </c>
      <c r="U2152" s="1"/>
    </row>
    <row r="2153" ht="15.75" customHeight="1">
      <c r="A2153" s="1" t="s">
        <v>13</v>
      </c>
      <c r="B2153" s="1" t="s">
        <v>997</v>
      </c>
      <c r="C2153" s="1" t="s">
        <v>1857</v>
      </c>
      <c r="U2153" s="1"/>
    </row>
    <row r="2154" ht="15.75" customHeight="1">
      <c r="A2154" s="1" t="s">
        <v>13</v>
      </c>
      <c r="B2154" s="1" t="s">
        <v>1071</v>
      </c>
      <c r="C2154" s="1" t="s">
        <v>1858</v>
      </c>
      <c r="U2154" s="1"/>
    </row>
    <row r="2155" ht="15.75" customHeight="1">
      <c r="A2155" s="1" t="s">
        <v>13</v>
      </c>
      <c r="B2155" s="1" t="s">
        <v>1071</v>
      </c>
      <c r="C2155" s="1" t="s">
        <v>1859</v>
      </c>
      <c r="U2155" s="1"/>
    </row>
    <row r="2156" ht="15.75" customHeight="1">
      <c r="A2156" s="1" t="s">
        <v>13</v>
      </c>
      <c r="B2156" s="1" t="s">
        <v>1071</v>
      </c>
      <c r="C2156" s="1" t="s">
        <v>1785</v>
      </c>
      <c r="U2156" s="1"/>
    </row>
    <row r="2157" ht="15.75" customHeight="1">
      <c r="A2157" s="1" t="s">
        <v>13</v>
      </c>
      <c r="B2157" s="1" t="s">
        <v>1071</v>
      </c>
      <c r="C2157" s="1" t="s">
        <v>1860</v>
      </c>
      <c r="U2157" s="1"/>
    </row>
    <row r="2158" ht="15.75" customHeight="1">
      <c r="A2158" s="1" t="s">
        <v>13</v>
      </c>
      <c r="B2158" s="1" t="s">
        <v>1071</v>
      </c>
      <c r="C2158" s="1" t="s">
        <v>1079</v>
      </c>
      <c r="U2158" s="1"/>
    </row>
    <row r="2159" ht="15.75" customHeight="1">
      <c r="A2159" s="1" t="s">
        <v>13</v>
      </c>
      <c r="B2159" s="1" t="s">
        <v>1071</v>
      </c>
      <c r="C2159" s="1" t="s">
        <v>1861</v>
      </c>
      <c r="U2159" s="1"/>
    </row>
    <row r="2160" ht="15.75" customHeight="1">
      <c r="A2160" s="1" t="s">
        <v>13</v>
      </c>
      <c r="B2160" s="1" t="s">
        <v>1071</v>
      </c>
      <c r="C2160" s="1" t="s">
        <v>1862</v>
      </c>
      <c r="U2160" s="1"/>
    </row>
    <row r="2161" ht="15.75" customHeight="1">
      <c r="A2161" s="1" t="s">
        <v>13</v>
      </c>
      <c r="B2161" s="1" t="s">
        <v>1071</v>
      </c>
      <c r="C2161" s="1" t="s">
        <v>1863</v>
      </c>
      <c r="U2161" s="1"/>
    </row>
    <row r="2162" ht="15.75" customHeight="1">
      <c r="A2162" s="1" t="s">
        <v>13</v>
      </c>
      <c r="B2162" s="1" t="s">
        <v>1093</v>
      </c>
      <c r="C2162" s="1" t="s">
        <v>1735</v>
      </c>
      <c r="U2162" s="1"/>
    </row>
    <row r="2163" ht="15.75" customHeight="1">
      <c r="A2163" s="1" t="s">
        <v>13</v>
      </c>
      <c r="B2163" s="1" t="s">
        <v>1400</v>
      </c>
      <c r="C2163" s="1" t="s">
        <v>1829</v>
      </c>
      <c r="U2163" s="1"/>
    </row>
    <row r="2164" ht="15.75" customHeight="1">
      <c r="A2164" s="1" t="s">
        <v>13</v>
      </c>
      <c r="B2164" s="1" t="s">
        <v>1400</v>
      </c>
      <c r="C2164" s="1" t="s">
        <v>1833</v>
      </c>
      <c r="U2164" s="1"/>
    </row>
    <row r="2165" ht="15.75" customHeight="1">
      <c r="A2165" s="1" t="s">
        <v>13</v>
      </c>
      <c r="B2165" s="1" t="s">
        <v>1400</v>
      </c>
      <c r="C2165" s="1" t="s">
        <v>1864</v>
      </c>
      <c r="U2165" s="1"/>
    </row>
    <row r="2166" ht="15.75" customHeight="1">
      <c r="A2166" s="1" t="s">
        <v>13</v>
      </c>
      <c r="B2166" s="1" t="s">
        <v>1400</v>
      </c>
      <c r="C2166" s="1" t="s">
        <v>1865</v>
      </c>
      <c r="U2166" s="1"/>
    </row>
    <row r="2167" ht="15.75" customHeight="1">
      <c r="A2167" s="1" t="s">
        <v>13</v>
      </c>
      <c r="B2167" s="1" t="s">
        <v>1400</v>
      </c>
      <c r="C2167" s="1" t="s">
        <v>1866</v>
      </c>
      <c r="U2167" s="1"/>
    </row>
    <row r="2168" ht="15.75" customHeight="1">
      <c r="A2168" s="1" t="s">
        <v>13</v>
      </c>
      <c r="B2168" s="1" t="s">
        <v>1410</v>
      </c>
      <c r="C2168" s="1" t="s">
        <v>1867</v>
      </c>
      <c r="U2168" s="1"/>
    </row>
    <row r="2169" ht="15.75" customHeight="1">
      <c r="A2169" s="1" t="s">
        <v>13</v>
      </c>
      <c r="B2169" s="1" t="s">
        <v>1410</v>
      </c>
      <c r="C2169" s="1" t="s">
        <v>1833</v>
      </c>
      <c r="U2169" s="1"/>
    </row>
    <row r="2170" ht="15.75" customHeight="1">
      <c r="A2170" s="1" t="s">
        <v>13</v>
      </c>
      <c r="B2170" s="1" t="s">
        <v>1410</v>
      </c>
      <c r="C2170" s="1" t="s">
        <v>1868</v>
      </c>
      <c r="U2170" s="1"/>
    </row>
    <row r="2171" ht="15.75" customHeight="1">
      <c r="A2171" s="1" t="s">
        <v>13</v>
      </c>
      <c r="B2171" s="1" t="s">
        <v>1410</v>
      </c>
      <c r="C2171" s="1" t="s">
        <v>1811</v>
      </c>
      <c r="U2171" s="1"/>
    </row>
    <row r="2172" ht="15.75" customHeight="1">
      <c r="A2172" s="1" t="s">
        <v>13</v>
      </c>
      <c r="B2172" s="1" t="s">
        <v>1425</v>
      </c>
      <c r="C2172" s="1" t="s">
        <v>1869</v>
      </c>
      <c r="U2172" s="1"/>
    </row>
    <row r="2173" ht="15.75" customHeight="1">
      <c r="A2173" s="1" t="s">
        <v>13</v>
      </c>
      <c r="B2173" s="1" t="s">
        <v>1425</v>
      </c>
      <c r="C2173" s="1" t="s">
        <v>1870</v>
      </c>
      <c r="U2173" s="1"/>
    </row>
    <row r="2174" ht="15.75" customHeight="1">
      <c r="A2174" s="1" t="s">
        <v>13</v>
      </c>
      <c r="B2174" s="1" t="s">
        <v>1848</v>
      </c>
      <c r="C2174" s="1" t="s">
        <v>1871</v>
      </c>
      <c r="U2174" s="1"/>
    </row>
    <row r="2175" ht="15.75" customHeight="1">
      <c r="A2175" s="1" t="s">
        <v>13</v>
      </c>
      <c r="B2175" s="1" t="s">
        <v>1848</v>
      </c>
      <c r="C2175" s="1" t="s">
        <v>1741</v>
      </c>
      <c r="U2175" s="1"/>
    </row>
    <row r="2176" ht="15.75" customHeight="1">
      <c r="A2176" s="1" t="s">
        <v>13</v>
      </c>
      <c r="B2176" s="1" t="s">
        <v>1848</v>
      </c>
      <c r="C2176" s="1" t="s">
        <v>1872</v>
      </c>
      <c r="U2176" s="1"/>
    </row>
    <row r="2177" ht="15.75" customHeight="1">
      <c r="A2177" s="1" t="s">
        <v>13</v>
      </c>
      <c r="B2177" s="1" t="s">
        <v>1848</v>
      </c>
      <c r="C2177" s="1" t="s">
        <v>1873</v>
      </c>
      <c r="U2177" s="1"/>
    </row>
    <row r="2178" ht="15.75" customHeight="1">
      <c r="A2178" s="1" t="s">
        <v>13</v>
      </c>
      <c r="B2178" s="1" t="s">
        <v>1748</v>
      </c>
      <c r="C2178" s="1" t="s">
        <v>1874</v>
      </c>
      <c r="U2178" s="1"/>
    </row>
    <row r="2179" ht="15.75" customHeight="1">
      <c r="A2179" s="1" t="s">
        <v>13</v>
      </c>
      <c r="B2179" s="1" t="s">
        <v>1748</v>
      </c>
      <c r="C2179" s="1" t="s">
        <v>1875</v>
      </c>
      <c r="U2179" s="1"/>
    </row>
    <row r="2180" ht="15.75" customHeight="1">
      <c r="A2180" s="1" t="s">
        <v>13</v>
      </c>
      <c r="B2180" s="1" t="s">
        <v>1748</v>
      </c>
      <c r="C2180" s="1" t="s">
        <v>1876</v>
      </c>
      <c r="U2180" s="1"/>
    </row>
    <row r="2181" ht="15.75" customHeight="1">
      <c r="A2181" s="1" t="s">
        <v>13</v>
      </c>
      <c r="B2181" s="1" t="s">
        <v>1748</v>
      </c>
      <c r="C2181" s="1" t="s">
        <v>1877</v>
      </c>
      <c r="U2181" s="1"/>
    </row>
    <row r="2182" ht="15.75" customHeight="1">
      <c r="A2182" s="1" t="s">
        <v>13</v>
      </c>
      <c r="B2182" s="1" t="s">
        <v>1748</v>
      </c>
      <c r="C2182" s="1" t="s">
        <v>1878</v>
      </c>
      <c r="U2182" s="1"/>
    </row>
    <row r="2183" ht="15.75" customHeight="1">
      <c r="A2183" s="1" t="s">
        <v>13</v>
      </c>
      <c r="B2183" s="1" t="s">
        <v>1748</v>
      </c>
      <c r="C2183" s="1" t="s">
        <v>1879</v>
      </c>
      <c r="U2183" s="1"/>
    </row>
    <row r="2184" ht="15.75" customHeight="1">
      <c r="A2184" s="1" t="s">
        <v>13</v>
      </c>
      <c r="B2184" s="1" t="s">
        <v>1748</v>
      </c>
      <c r="C2184" s="1" t="s">
        <v>1880</v>
      </c>
      <c r="U2184" s="1"/>
    </row>
    <row r="2185" ht="15.75" customHeight="1">
      <c r="A2185" s="1" t="s">
        <v>13</v>
      </c>
      <c r="B2185" s="1" t="s">
        <v>1763</v>
      </c>
      <c r="C2185" s="1" t="s">
        <v>1881</v>
      </c>
      <c r="U2185" s="1"/>
    </row>
    <row r="2186" ht="15.75" customHeight="1">
      <c r="A2186" s="1" t="s">
        <v>13</v>
      </c>
      <c r="B2186" s="1" t="s">
        <v>1763</v>
      </c>
      <c r="C2186" s="1" t="s">
        <v>1882</v>
      </c>
      <c r="U2186" s="1"/>
    </row>
    <row r="2187" ht="15.75" customHeight="1">
      <c r="A2187" s="1" t="s">
        <v>13</v>
      </c>
      <c r="B2187" s="1" t="s">
        <v>1883</v>
      </c>
      <c r="C2187" s="1" t="s">
        <v>1884</v>
      </c>
      <c r="U2187" s="1"/>
    </row>
    <row r="2188" ht="15.75" customHeight="1">
      <c r="A2188" s="1" t="s">
        <v>13</v>
      </c>
      <c r="B2188" s="1" t="s">
        <v>1883</v>
      </c>
      <c r="C2188" s="1" t="s">
        <v>1885</v>
      </c>
      <c r="U2188" s="1"/>
    </row>
    <row r="2189" ht="15.75" customHeight="1">
      <c r="A2189" s="1" t="s">
        <v>13</v>
      </c>
      <c r="B2189" s="1" t="s">
        <v>1883</v>
      </c>
      <c r="C2189" s="1" t="s">
        <v>1886</v>
      </c>
      <c r="U2189" s="1"/>
    </row>
    <row r="2190" ht="15.75" customHeight="1">
      <c r="A2190" s="1" t="s">
        <v>13</v>
      </c>
      <c r="B2190" s="1" t="s">
        <v>1883</v>
      </c>
      <c r="C2190" s="1" t="s">
        <v>1887</v>
      </c>
      <c r="U2190" s="1"/>
    </row>
    <row r="2191" ht="15.75" customHeight="1">
      <c r="A2191" s="1" t="s">
        <v>13</v>
      </c>
      <c r="B2191" s="1" t="s">
        <v>1888</v>
      </c>
      <c r="C2191" s="1" t="s">
        <v>1889</v>
      </c>
      <c r="U2191" s="1"/>
    </row>
    <row r="2192" ht="15.75" customHeight="1">
      <c r="A2192" s="1" t="s">
        <v>13</v>
      </c>
      <c r="B2192" s="1" t="s">
        <v>1888</v>
      </c>
      <c r="C2192" s="1" t="s">
        <v>1890</v>
      </c>
      <c r="U2192" s="1"/>
    </row>
    <row r="2193" ht="15.75" customHeight="1">
      <c r="A2193" s="1" t="s">
        <v>13</v>
      </c>
      <c r="B2193" s="1" t="s">
        <v>1691</v>
      </c>
      <c r="C2193" s="1" t="s">
        <v>1891</v>
      </c>
      <c r="U2193" s="1"/>
    </row>
    <row r="2194" ht="15.75" customHeight="1">
      <c r="A2194" s="1" t="s">
        <v>15</v>
      </c>
      <c r="B2194" s="1" t="s">
        <v>6</v>
      </c>
      <c r="C2194" s="1" t="s">
        <v>7</v>
      </c>
      <c r="U2194" s="1"/>
    </row>
    <row r="2195" ht="15.75" customHeight="1">
      <c r="A2195" s="1" t="s">
        <v>15</v>
      </c>
      <c r="B2195" s="1" t="s">
        <v>6</v>
      </c>
      <c r="C2195" s="1" t="s">
        <v>1111</v>
      </c>
      <c r="U2195" s="1"/>
    </row>
    <row r="2196" ht="15.75" customHeight="1">
      <c r="A2196" s="1" t="s">
        <v>15</v>
      </c>
      <c r="B2196" s="1" t="s">
        <v>6</v>
      </c>
      <c r="C2196" s="1" t="s">
        <v>27</v>
      </c>
      <c r="U2196" s="1"/>
    </row>
    <row r="2197" ht="15.75" customHeight="1">
      <c r="A2197" s="1" t="s">
        <v>15</v>
      </c>
      <c r="B2197" s="1" t="s">
        <v>29</v>
      </c>
      <c r="C2197" s="1" t="s">
        <v>1189</v>
      </c>
      <c r="U2197" s="1"/>
    </row>
    <row r="2198" ht="15.75" customHeight="1">
      <c r="A2198" s="1" t="s">
        <v>15</v>
      </c>
      <c r="B2198" s="1" t="s">
        <v>29</v>
      </c>
      <c r="C2198" s="1" t="s">
        <v>1191</v>
      </c>
      <c r="U2198" s="1"/>
    </row>
    <row r="2199" ht="15.75" customHeight="1">
      <c r="A2199" s="1" t="s">
        <v>15</v>
      </c>
      <c r="B2199" s="1" t="s">
        <v>29</v>
      </c>
      <c r="C2199" s="1" t="s">
        <v>442</v>
      </c>
      <c r="U2199" s="1"/>
    </row>
    <row r="2200" ht="15.75" customHeight="1">
      <c r="A2200" s="1" t="s">
        <v>15</v>
      </c>
      <c r="B2200" s="1" t="s">
        <v>29</v>
      </c>
      <c r="C2200" s="1" t="s">
        <v>47</v>
      </c>
      <c r="U2200" s="1"/>
    </row>
    <row r="2201" ht="15.75" customHeight="1">
      <c r="A2201" s="1" t="s">
        <v>15</v>
      </c>
      <c r="B2201" s="1" t="s">
        <v>29</v>
      </c>
      <c r="C2201" s="1" t="s">
        <v>1200</v>
      </c>
      <c r="U2201" s="1"/>
    </row>
    <row r="2202" ht="15.75" customHeight="1">
      <c r="A2202" s="1" t="s">
        <v>15</v>
      </c>
      <c r="B2202" s="1" t="s">
        <v>77</v>
      </c>
      <c r="C2202" s="1" t="s">
        <v>474</v>
      </c>
      <c r="U2202" s="1"/>
    </row>
    <row r="2203" ht="15.75" customHeight="1">
      <c r="A2203" s="1" t="s">
        <v>15</v>
      </c>
      <c r="B2203" s="1" t="s">
        <v>77</v>
      </c>
      <c r="C2203" s="1" t="s">
        <v>478</v>
      </c>
      <c r="U2203" s="1"/>
    </row>
    <row r="2204" ht="15.75" customHeight="1">
      <c r="A2204" s="1" t="s">
        <v>15</v>
      </c>
      <c r="B2204" s="1" t="s">
        <v>77</v>
      </c>
      <c r="C2204" s="1" t="s">
        <v>1213</v>
      </c>
      <c r="U2204" s="1"/>
    </row>
    <row r="2205" ht="15.75" customHeight="1">
      <c r="A2205" s="1" t="s">
        <v>15</v>
      </c>
      <c r="B2205" s="1" t="s">
        <v>77</v>
      </c>
      <c r="C2205" s="1" t="s">
        <v>808</v>
      </c>
      <c r="U2205" s="1"/>
    </row>
    <row r="2206" ht="15.75" customHeight="1">
      <c r="A2206" s="1" t="s">
        <v>15</v>
      </c>
      <c r="B2206" s="1" t="s">
        <v>77</v>
      </c>
      <c r="C2206" s="1" t="s">
        <v>811</v>
      </c>
      <c r="U2206" s="1"/>
    </row>
    <row r="2207" ht="15.75" customHeight="1">
      <c r="A2207" s="1" t="s">
        <v>15</v>
      </c>
      <c r="B2207" s="1" t="s">
        <v>77</v>
      </c>
      <c r="C2207" s="1" t="s">
        <v>497</v>
      </c>
      <c r="U2207" s="1"/>
    </row>
    <row r="2208" ht="15.75" customHeight="1">
      <c r="A2208" s="1" t="s">
        <v>15</v>
      </c>
      <c r="B2208" s="1" t="s">
        <v>77</v>
      </c>
      <c r="C2208" s="1" t="s">
        <v>1225</v>
      </c>
      <c r="U2208" s="1"/>
    </row>
    <row r="2209" ht="15.75" customHeight="1">
      <c r="A2209" s="1" t="s">
        <v>15</v>
      </c>
      <c r="B2209" s="1" t="s">
        <v>77</v>
      </c>
      <c r="C2209" s="1" t="s">
        <v>501</v>
      </c>
      <c r="U2209" s="1"/>
    </row>
    <row r="2210" ht="15.75" customHeight="1">
      <c r="A2210" s="1" t="s">
        <v>15</v>
      </c>
      <c r="B2210" s="1" t="s">
        <v>77</v>
      </c>
      <c r="C2210" s="1" t="s">
        <v>1228</v>
      </c>
      <c r="U2210" s="1"/>
    </row>
    <row r="2211" ht="15.75" customHeight="1">
      <c r="A2211" s="1" t="s">
        <v>15</v>
      </c>
      <c r="B2211" s="1" t="s">
        <v>158</v>
      </c>
      <c r="C2211" s="1" t="s">
        <v>159</v>
      </c>
      <c r="U2211" s="1"/>
    </row>
    <row r="2212" ht="15.75" customHeight="1">
      <c r="A2212" s="1" t="s">
        <v>15</v>
      </c>
      <c r="B2212" s="1" t="s">
        <v>158</v>
      </c>
      <c r="C2212" s="1" t="s">
        <v>1230</v>
      </c>
      <c r="U2212" s="1"/>
    </row>
    <row r="2213" ht="15.75" customHeight="1">
      <c r="A2213" s="1" t="s">
        <v>15</v>
      </c>
      <c r="B2213" s="1" t="s">
        <v>158</v>
      </c>
      <c r="C2213" s="1" t="s">
        <v>163</v>
      </c>
      <c r="U2213" s="1"/>
    </row>
    <row r="2214" ht="15.75" customHeight="1">
      <c r="A2214" s="1" t="s">
        <v>15</v>
      </c>
      <c r="B2214" s="1" t="s">
        <v>158</v>
      </c>
      <c r="C2214" s="1" t="s">
        <v>841</v>
      </c>
      <c r="U2214" s="1"/>
    </row>
    <row r="2215" ht="15.75" customHeight="1">
      <c r="A2215" s="1" t="s">
        <v>15</v>
      </c>
      <c r="B2215" s="1" t="s">
        <v>158</v>
      </c>
      <c r="C2215" s="1" t="s">
        <v>520</v>
      </c>
      <c r="U2215" s="1"/>
    </row>
    <row r="2216" ht="15.75" customHeight="1">
      <c r="A2216" s="1" t="s">
        <v>15</v>
      </c>
      <c r="B2216" s="1" t="s">
        <v>158</v>
      </c>
      <c r="C2216" s="1" t="s">
        <v>1235</v>
      </c>
      <c r="U2216" s="1"/>
    </row>
    <row r="2217" ht="15.75" customHeight="1">
      <c r="A2217" s="1" t="s">
        <v>15</v>
      </c>
      <c r="B2217" s="1" t="s">
        <v>158</v>
      </c>
      <c r="C2217" s="1" t="s">
        <v>1239</v>
      </c>
      <c r="U2217" s="1"/>
    </row>
    <row r="2218" ht="15.75" customHeight="1">
      <c r="A2218" s="1" t="s">
        <v>15</v>
      </c>
      <c r="B2218" s="1" t="s">
        <v>158</v>
      </c>
      <c r="C2218" s="1" t="s">
        <v>1241</v>
      </c>
      <c r="U2218" s="1"/>
    </row>
    <row r="2219" ht="15.75" customHeight="1">
      <c r="A2219" s="1" t="s">
        <v>15</v>
      </c>
      <c r="B2219" s="1" t="s">
        <v>330</v>
      </c>
      <c r="C2219" s="1" t="s">
        <v>1243</v>
      </c>
      <c r="U2219" s="1"/>
    </row>
    <row r="2220" ht="15.75" customHeight="1">
      <c r="A2220" s="1" t="s">
        <v>15</v>
      </c>
      <c r="B2220" s="1" t="s">
        <v>330</v>
      </c>
      <c r="C2220" s="1" t="s">
        <v>1453</v>
      </c>
      <c r="U2220" s="1"/>
    </row>
    <row r="2221" ht="15.75" customHeight="1">
      <c r="A2221" s="1" t="s">
        <v>15</v>
      </c>
      <c r="B2221" s="1" t="s">
        <v>330</v>
      </c>
      <c r="C2221" s="1" t="s">
        <v>893</v>
      </c>
      <c r="U2221" s="1"/>
    </row>
    <row r="2222" ht="15.75" customHeight="1">
      <c r="A2222" s="1" t="s">
        <v>15</v>
      </c>
      <c r="B2222" s="1" t="s">
        <v>330</v>
      </c>
      <c r="C2222" s="1" t="s">
        <v>1030</v>
      </c>
      <c r="U2222" s="1"/>
    </row>
    <row r="2223" ht="15.75" customHeight="1">
      <c r="A2223" s="1" t="s">
        <v>15</v>
      </c>
      <c r="B2223" s="1" t="s">
        <v>330</v>
      </c>
      <c r="C2223" s="1" t="s">
        <v>891</v>
      </c>
      <c r="U2223" s="1"/>
    </row>
    <row r="2224" ht="15.75" customHeight="1">
      <c r="A2224" s="1" t="s">
        <v>15</v>
      </c>
      <c r="B2224" s="1" t="s">
        <v>330</v>
      </c>
      <c r="C2224" s="1" t="s">
        <v>1892</v>
      </c>
      <c r="U2224" s="1"/>
    </row>
    <row r="2225" ht="15.75" customHeight="1">
      <c r="A2225" s="1" t="s">
        <v>15</v>
      </c>
      <c r="B2225" s="1" t="s">
        <v>330</v>
      </c>
      <c r="C2225" s="1" t="s">
        <v>1545</v>
      </c>
      <c r="U2225" s="1"/>
    </row>
    <row r="2226" ht="15.75" customHeight="1">
      <c r="A2226" s="1" t="s">
        <v>15</v>
      </c>
      <c r="B2226" s="1" t="s">
        <v>330</v>
      </c>
      <c r="C2226" s="1" t="s">
        <v>1457</v>
      </c>
      <c r="U2226" s="1"/>
    </row>
    <row r="2227" ht="15.75" customHeight="1">
      <c r="A2227" s="1" t="s">
        <v>15</v>
      </c>
      <c r="B2227" s="1" t="s">
        <v>330</v>
      </c>
      <c r="C2227" s="1" t="s">
        <v>1458</v>
      </c>
      <c r="U2227" s="1"/>
    </row>
    <row r="2228" ht="15.75" customHeight="1">
      <c r="A2228" s="1" t="s">
        <v>15</v>
      </c>
      <c r="B2228" s="1" t="s">
        <v>378</v>
      </c>
      <c r="C2228" s="1" t="s">
        <v>597</v>
      </c>
      <c r="U2228" s="1"/>
    </row>
    <row r="2229" ht="15.75" customHeight="1">
      <c r="A2229" s="1" t="s">
        <v>15</v>
      </c>
      <c r="B2229" s="1" t="s">
        <v>378</v>
      </c>
      <c r="C2229" s="1" t="s">
        <v>599</v>
      </c>
      <c r="U2229" s="1"/>
    </row>
    <row r="2230" ht="15.75" customHeight="1">
      <c r="A2230" s="1" t="s">
        <v>15</v>
      </c>
      <c r="B2230" s="1" t="s">
        <v>378</v>
      </c>
      <c r="C2230" s="1" t="s">
        <v>1893</v>
      </c>
      <c r="U2230" s="1"/>
    </row>
    <row r="2231" ht="15.75" customHeight="1">
      <c r="A2231" s="1" t="s">
        <v>15</v>
      </c>
      <c r="B2231" s="1" t="s">
        <v>378</v>
      </c>
      <c r="C2231" s="1" t="s">
        <v>1894</v>
      </c>
      <c r="U2231" s="1"/>
    </row>
    <row r="2232" ht="15.75" customHeight="1">
      <c r="A2232" s="1" t="s">
        <v>15</v>
      </c>
      <c r="B2232" s="1" t="s">
        <v>378</v>
      </c>
      <c r="C2232" s="1" t="s">
        <v>1895</v>
      </c>
      <c r="U2232" s="1"/>
    </row>
    <row r="2233" ht="15.75" customHeight="1">
      <c r="A2233" s="1" t="s">
        <v>15</v>
      </c>
      <c r="B2233" s="1" t="s">
        <v>378</v>
      </c>
      <c r="C2233" s="1" t="s">
        <v>1040</v>
      </c>
      <c r="U2233" s="1"/>
    </row>
    <row r="2234" ht="15.75" customHeight="1">
      <c r="A2234" s="1" t="s">
        <v>15</v>
      </c>
      <c r="B2234" s="1" t="s">
        <v>378</v>
      </c>
      <c r="C2234" s="1" t="s">
        <v>609</v>
      </c>
      <c r="U2234" s="1"/>
    </row>
    <row r="2235" ht="15.75" customHeight="1">
      <c r="A2235" s="1" t="s">
        <v>15</v>
      </c>
      <c r="B2235" s="1" t="s">
        <v>403</v>
      </c>
      <c r="C2235" s="1" t="s">
        <v>1896</v>
      </c>
      <c r="U2235" s="1"/>
    </row>
    <row r="2236" ht="15.75" customHeight="1">
      <c r="A2236" s="1" t="s">
        <v>15</v>
      </c>
      <c r="B2236" s="1" t="s">
        <v>997</v>
      </c>
      <c r="C2236" s="1" t="s">
        <v>1825</v>
      </c>
      <c r="U2236" s="1"/>
    </row>
    <row r="2237" ht="15.75" customHeight="1">
      <c r="A2237" s="1" t="s">
        <v>15</v>
      </c>
      <c r="B2237" s="1" t="s">
        <v>997</v>
      </c>
      <c r="C2237" s="1" t="s">
        <v>1063</v>
      </c>
      <c r="U2237" s="1"/>
    </row>
    <row r="2238" ht="15.75" customHeight="1">
      <c r="A2238" s="1" t="s">
        <v>15</v>
      </c>
      <c r="B2238" s="1" t="s">
        <v>997</v>
      </c>
      <c r="C2238" s="1" t="s">
        <v>1897</v>
      </c>
      <c r="U2238" s="1"/>
    </row>
    <row r="2239" ht="15.75" customHeight="1">
      <c r="A2239" s="1" t="s">
        <v>15</v>
      </c>
      <c r="B2239" s="1" t="s">
        <v>1071</v>
      </c>
      <c r="C2239" s="1" t="s">
        <v>1080</v>
      </c>
      <c r="U2239" s="1"/>
    </row>
    <row r="2240" ht="15.75" customHeight="1">
      <c r="A2240" s="1" t="s">
        <v>15</v>
      </c>
      <c r="B2240" s="1" t="s">
        <v>1093</v>
      </c>
      <c r="C2240" s="1" t="s">
        <v>1826</v>
      </c>
      <c r="U2240" s="1"/>
    </row>
    <row r="2241" ht="15.75" customHeight="1">
      <c r="A2241" s="1" t="s">
        <v>15</v>
      </c>
      <c r="B2241" s="1" t="s">
        <v>1093</v>
      </c>
      <c r="C2241" s="1" t="s">
        <v>1827</v>
      </c>
      <c r="U2241" s="1"/>
    </row>
    <row r="2242" ht="15.75" customHeight="1">
      <c r="A2242" s="1" t="s">
        <v>15</v>
      </c>
      <c r="B2242" s="1" t="s">
        <v>1400</v>
      </c>
      <c r="C2242" s="1" t="s">
        <v>1898</v>
      </c>
      <c r="U2242" s="1"/>
    </row>
    <row r="2243" ht="15.75" customHeight="1">
      <c r="A2243" s="1" t="s">
        <v>15</v>
      </c>
      <c r="B2243" s="1" t="s">
        <v>1400</v>
      </c>
      <c r="C2243" s="1" t="s">
        <v>1800</v>
      </c>
      <c r="U2243" s="1"/>
    </row>
    <row r="2244" ht="15.75" customHeight="1">
      <c r="A2244" s="1" t="s">
        <v>15</v>
      </c>
      <c r="B2244" s="1" t="s">
        <v>1400</v>
      </c>
      <c r="C2244" s="1" t="s">
        <v>1899</v>
      </c>
      <c r="U2244" s="1"/>
    </row>
    <row r="2245" ht="15.75" customHeight="1">
      <c r="A2245" s="1" t="s">
        <v>15</v>
      </c>
      <c r="B2245" s="1" t="s">
        <v>1410</v>
      </c>
      <c r="C2245" s="1" t="s">
        <v>1831</v>
      </c>
      <c r="U2245" s="1"/>
    </row>
    <row r="2246" ht="15.75" customHeight="1">
      <c r="A2246" s="1" t="s">
        <v>15</v>
      </c>
      <c r="B2246" s="1" t="s">
        <v>1425</v>
      </c>
      <c r="C2246" s="1" t="s">
        <v>1741</v>
      </c>
      <c r="U2246" s="1"/>
    </row>
    <row r="2247" ht="15.75" customHeight="1">
      <c r="A2247" s="1" t="s">
        <v>15</v>
      </c>
      <c r="B2247" s="1" t="s">
        <v>1848</v>
      </c>
      <c r="C2247" s="1" t="s">
        <v>1741</v>
      </c>
      <c r="U2247" s="1"/>
    </row>
    <row r="2248" ht="15.75" customHeight="1">
      <c r="A2248" s="1" t="s">
        <v>15</v>
      </c>
      <c r="B2248" s="1" t="s">
        <v>1848</v>
      </c>
      <c r="C2248" s="1" t="s">
        <v>1873</v>
      </c>
      <c r="U2248" s="1"/>
    </row>
    <row r="2249" ht="15.75" customHeight="1">
      <c r="A2249" s="1" t="s">
        <v>15</v>
      </c>
      <c r="B2249" s="1" t="s">
        <v>1848</v>
      </c>
      <c r="C2249" s="1" t="s">
        <v>1900</v>
      </c>
      <c r="U2249" s="1"/>
    </row>
    <row r="2250" ht="15.75" customHeight="1">
      <c r="A2250" s="1" t="s">
        <v>15</v>
      </c>
      <c r="B2250" s="1" t="s">
        <v>1748</v>
      </c>
      <c r="C2250" s="1" t="s">
        <v>1901</v>
      </c>
      <c r="U2250" s="1"/>
    </row>
    <row r="2251" ht="15.75" customHeight="1">
      <c r="A2251" s="1" t="s">
        <v>15</v>
      </c>
      <c r="B2251" s="1" t="s">
        <v>1748</v>
      </c>
      <c r="C2251" s="1" t="s">
        <v>1902</v>
      </c>
      <c r="U2251" s="1"/>
    </row>
    <row r="2252" ht="15.75" customHeight="1">
      <c r="A2252" s="1" t="s">
        <v>15</v>
      </c>
      <c r="B2252" s="1" t="s">
        <v>1763</v>
      </c>
      <c r="C2252" s="1" t="s">
        <v>1903</v>
      </c>
      <c r="U2252" s="1"/>
    </row>
    <row r="2253" ht="15.75" customHeight="1">
      <c r="A2253" s="1" t="s">
        <v>17</v>
      </c>
      <c r="B2253" s="1" t="s">
        <v>6</v>
      </c>
      <c r="C2253" s="1" t="s">
        <v>14</v>
      </c>
      <c r="U2253" s="1"/>
    </row>
    <row r="2254" ht="15.75" customHeight="1">
      <c r="A2254" s="1" t="s">
        <v>17</v>
      </c>
      <c r="B2254" s="1" t="s">
        <v>29</v>
      </c>
      <c r="C2254" s="1" t="s">
        <v>1204</v>
      </c>
      <c r="U2254" s="1"/>
    </row>
    <row r="2255" ht="15.75" customHeight="1">
      <c r="A2255" s="1" t="s">
        <v>17</v>
      </c>
      <c r="B2255" s="1" t="s">
        <v>77</v>
      </c>
      <c r="C2255" s="1" t="s">
        <v>78</v>
      </c>
      <c r="U2255" s="1"/>
    </row>
    <row r="2256" ht="15.75" customHeight="1">
      <c r="A2256" s="1" t="s">
        <v>17</v>
      </c>
      <c r="B2256" s="1" t="s">
        <v>77</v>
      </c>
      <c r="C2256" s="1" t="s">
        <v>91</v>
      </c>
      <c r="U2256" s="1"/>
    </row>
    <row r="2257" ht="15.75" customHeight="1">
      <c r="A2257" s="1" t="s">
        <v>17</v>
      </c>
      <c r="B2257" s="1" t="s">
        <v>77</v>
      </c>
      <c r="C2257" s="1" t="s">
        <v>126</v>
      </c>
      <c r="U2257" s="1"/>
    </row>
    <row r="2258" ht="15.75" customHeight="1">
      <c r="A2258" s="1" t="s">
        <v>17</v>
      </c>
      <c r="B2258" s="1" t="s">
        <v>77</v>
      </c>
      <c r="C2258" s="1" t="s">
        <v>493</v>
      </c>
      <c r="U2258" s="1"/>
    </row>
    <row r="2259" ht="15.75" customHeight="1">
      <c r="A2259" s="1" t="s">
        <v>17</v>
      </c>
      <c r="B2259" s="1" t="s">
        <v>77</v>
      </c>
      <c r="C2259" s="1" t="s">
        <v>935</v>
      </c>
      <c r="U2259" s="1"/>
    </row>
    <row r="2260" ht="15.75" customHeight="1">
      <c r="A2260" s="1" t="s">
        <v>17</v>
      </c>
      <c r="B2260" s="1" t="s">
        <v>158</v>
      </c>
      <c r="C2260" s="1" t="s">
        <v>939</v>
      </c>
      <c r="U2260" s="1"/>
    </row>
    <row r="2261" ht="15.75" customHeight="1">
      <c r="A2261" s="1" t="s">
        <v>17</v>
      </c>
      <c r="B2261" s="1" t="s">
        <v>158</v>
      </c>
      <c r="C2261" s="1" t="s">
        <v>536</v>
      </c>
      <c r="U2261" s="1"/>
    </row>
    <row r="2262" ht="15.75" customHeight="1">
      <c r="A2262" s="1" t="s">
        <v>17</v>
      </c>
      <c r="B2262" s="1" t="s">
        <v>378</v>
      </c>
      <c r="C2262" s="1" t="s">
        <v>599</v>
      </c>
      <c r="U2262" s="1"/>
    </row>
    <row r="2263" ht="15.75" customHeight="1">
      <c r="A2263" s="1" t="s">
        <v>17</v>
      </c>
      <c r="B2263" s="1" t="s">
        <v>403</v>
      </c>
      <c r="C2263" s="1" t="s">
        <v>1044</v>
      </c>
      <c r="U2263" s="1"/>
    </row>
    <row r="2264" ht="15.75" customHeight="1">
      <c r="A2264" s="1" t="s">
        <v>17</v>
      </c>
      <c r="B2264" s="1" t="s">
        <v>403</v>
      </c>
      <c r="C2264" s="1" t="s">
        <v>1049</v>
      </c>
      <c r="U2264" s="1"/>
    </row>
    <row r="2265" ht="15.75" customHeight="1">
      <c r="A2265" s="1" t="s">
        <v>17</v>
      </c>
      <c r="B2265" s="1" t="s">
        <v>997</v>
      </c>
      <c r="C2265" s="1" t="s">
        <v>1001</v>
      </c>
      <c r="U2265" s="1"/>
    </row>
    <row r="2266" ht="15.75" customHeight="1">
      <c r="A2266" s="1" t="s">
        <v>17</v>
      </c>
      <c r="B2266" s="1" t="s">
        <v>997</v>
      </c>
      <c r="C2266" s="1" t="s">
        <v>1055</v>
      </c>
      <c r="U2266" s="1"/>
    </row>
    <row r="2267" ht="15.75" customHeight="1">
      <c r="A2267" s="1" t="s">
        <v>17</v>
      </c>
      <c r="B2267" s="1" t="s">
        <v>1071</v>
      </c>
      <c r="C2267" s="1" t="s">
        <v>1904</v>
      </c>
      <c r="U2267" s="1"/>
    </row>
    <row r="2268" ht="15.75" customHeight="1">
      <c r="A2268" s="1" t="s">
        <v>17</v>
      </c>
      <c r="B2268" s="1" t="s">
        <v>1071</v>
      </c>
      <c r="C2268" s="1" t="s">
        <v>1073</v>
      </c>
      <c r="U2268" s="1"/>
    </row>
    <row r="2269" ht="15.75" customHeight="1">
      <c r="A2269" s="1" t="s">
        <v>17</v>
      </c>
      <c r="B2269" s="1" t="s">
        <v>1071</v>
      </c>
      <c r="C2269" s="1" t="s">
        <v>1905</v>
      </c>
      <c r="U2269" s="1"/>
    </row>
    <row r="2270" ht="15.75" customHeight="1">
      <c r="A2270" s="1" t="s">
        <v>17</v>
      </c>
      <c r="B2270" s="1" t="s">
        <v>1093</v>
      </c>
      <c r="C2270" s="1" t="s">
        <v>1906</v>
      </c>
      <c r="U2270" s="1"/>
    </row>
    <row r="2271" ht="15.75" customHeight="1">
      <c r="A2271" s="1" t="s">
        <v>17</v>
      </c>
      <c r="B2271" s="1" t="s">
        <v>1093</v>
      </c>
      <c r="C2271" s="1" t="s">
        <v>1907</v>
      </c>
      <c r="U2271" s="1"/>
    </row>
    <row r="2272" ht="15.75" customHeight="1">
      <c r="A2272" s="1" t="s">
        <v>17</v>
      </c>
      <c r="B2272" s="1" t="s">
        <v>1400</v>
      </c>
      <c r="C2272" s="1" t="s">
        <v>1908</v>
      </c>
      <c r="U2272" s="1"/>
    </row>
    <row r="2273" ht="15.75" customHeight="1">
      <c r="A2273" s="1" t="s">
        <v>17</v>
      </c>
      <c r="B2273" s="1" t="s">
        <v>1400</v>
      </c>
      <c r="C2273" s="1" t="s">
        <v>1865</v>
      </c>
      <c r="U2273" s="1"/>
    </row>
    <row r="2274" ht="15.75" customHeight="1">
      <c r="A2274" s="1" t="s">
        <v>17</v>
      </c>
      <c r="B2274" s="1" t="s">
        <v>1400</v>
      </c>
      <c r="C2274" s="1" t="s">
        <v>1909</v>
      </c>
      <c r="U2274" s="1"/>
    </row>
    <row r="2275" ht="15.75" customHeight="1">
      <c r="A2275" s="1" t="s">
        <v>17</v>
      </c>
      <c r="B2275" s="1" t="s">
        <v>1410</v>
      </c>
      <c r="C2275" s="1" t="s">
        <v>1910</v>
      </c>
      <c r="U2275" s="1"/>
    </row>
    <row r="2276" ht="15.75" customHeight="1">
      <c r="A2276" s="1" t="s">
        <v>17</v>
      </c>
      <c r="B2276" s="1" t="s">
        <v>1410</v>
      </c>
      <c r="C2276" s="1" t="s">
        <v>1811</v>
      </c>
      <c r="U2276" s="1"/>
    </row>
    <row r="2277" ht="15.75" customHeight="1">
      <c r="A2277" s="1" t="s">
        <v>17</v>
      </c>
      <c r="B2277" s="1" t="s">
        <v>1425</v>
      </c>
      <c r="C2277" s="1" t="s">
        <v>1911</v>
      </c>
      <c r="U2277" s="1"/>
    </row>
    <row r="2278" ht="15.75" customHeight="1">
      <c r="A2278" s="1" t="s">
        <v>17</v>
      </c>
      <c r="B2278" s="1" t="s">
        <v>1425</v>
      </c>
      <c r="C2278" s="1" t="s">
        <v>1912</v>
      </c>
      <c r="U2278" s="1"/>
    </row>
    <row r="2279" ht="15.75" customHeight="1">
      <c r="A2279" s="1" t="s">
        <v>17</v>
      </c>
      <c r="B2279" s="1" t="s">
        <v>1425</v>
      </c>
      <c r="C2279" s="1" t="s">
        <v>1913</v>
      </c>
      <c r="U2279" s="1"/>
    </row>
    <row r="2280" ht="15.75" customHeight="1">
      <c r="A2280" s="1" t="s">
        <v>17</v>
      </c>
      <c r="B2280" s="1" t="s">
        <v>1425</v>
      </c>
      <c r="C2280" s="1" t="s">
        <v>1914</v>
      </c>
      <c r="U2280" s="1"/>
    </row>
    <row r="2281" ht="15.75" customHeight="1">
      <c r="A2281" s="1" t="s">
        <v>17</v>
      </c>
      <c r="B2281" s="1" t="s">
        <v>1492</v>
      </c>
      <c r="C2281" s="1" t="s">
        <v>1819</v>
      </c>
      <c r="U2281" s="1"/>
    </row>
    <row r="2282" ht="15.75" customHeight="1">
      <c r="A2282" s="1" t="s">
        <v>17</v>
      </c>
      <c r="B2282" s="1" t="s">
        <v>1492</v>
      </c>
      <c r="C2282" s="1" t="s">
        <v>1915</v>
      </c>
      <c r="U2282" s="1"/>
    </row>
    <row r="2283" ht="15.75" customHeight="1">
      <c r="A2283" s="1" t="s">
        <v>17</v>
      </c>
      <c r="B2283" s="1" t="s">
        <v>1492</v>
      </c>
      <c r="C2283" s="1" t="s">
        <v>1916</v>
      </c>
      <c r="U2283" s="1"/>
    </row>
    <row r="2284" ht="15.75" customHeight="1">
      <c r="A2284" s="1" t="s">
        <v>17</v>
      </c>
      <c r="B2284" s="1" t="s">
        <v>1492</v>
      </c>
      <c r="C2284" s="1" t="s">
        <v>1917</v>
      </c>
      <c r="U2284" s="1"/>
    </row>
    <row r="2285" ht="15.75" customHeight="1">
      <c r="A2285" s="1" t="s">
        <v>17</v>
      </c>
      <c r="B2285" s="1" t="s">
        <v>1492</v>
      </c>
      <c r="C2285" s="1" t="s">
        <v>1918</v>
      </c>
      <c r="U2285" s="1"/>
    </row>
    <row r="2286" ht="15.75" customHeight="1">
      <c r="A2286" s="1" t="s">
        <v>17</v>
      </c>
      <c r="B2286" s="1" t="s">
        <v>1492</v>
      </c>
      <c r="C2286" s="1" t="s">
        <v>1919</v>
      </c>
      <c r="U2286" s="1"/>
    </row>
    <row r="2287" ht="15.75" customHeight="1">
      <c r="A2287" s="1" t="s">
        <v>17</v>
      </c>
      <c r="B2287" s="1" t="s">
        <v>1848</v>
      </c>
      <c r="C2287" s="1" t="s">
        <v>1871</v>
      </c>
      <c r="U2287" s="1"/>
    </row>
    <row r="2288" ht="15.75" customHeight="1">
      <c r="A2288" s="1" t="s">
        <v>17</v>
      </c>
      <c r="B2288" s="1" t="s">
        <v>1848</v>
      </c>
      <c r="C2288" s="1" t="s">
        <v>1872</v>
      </c>
      <c r="U2288" s="1"/>
    </row>
    <row r="2289" ht="15.75" customHeight="1">
      <c r="A2289" s="1" t="s">
        <v>17</v>
      </c>
      <c r="B2289" s="1" t="s">
        <v>1848</v>
      </c>
      <c r="C2289" s="1" t="s">
        <v>1920</v>
      </c>
      <c r="U2289" s="1"/>
    </row>
    <row r="2290" ht="15.75" customHeight="1">
      <c r="A2290" s="1" t="s">
        <v>17</v>
      </c>
      <c r="B2290" s="1" t="s">
        <v>1848</v>
      </c>
      <c r="C2290" s="1" t="s">
        <v>1921</v>
      </c>
      <c r="U2290" s="1"/>
    </row>
    <row r="2291" ht="15.75" customHeight="1">
      <c r="A2291" s="1" t="s">
        <v>17</v>
      </c>
      <c r="B2291" s="1" t="s">
        <v>1748</v>
      </c>
      <c r="C2291" s="1" t="s">
        <v>1875</v>
      </c>
      <c r="U2291" s="1"/>
    </row>
    <row r="2292" ht="15.75" customHeight="1">
      <c r="A2292" s="1" t="s">
        <v>17</v>
      </c>
      <c r="B2292" s="1" t="s">
        <v>1748</v>
      </c>
      <c r="C2292" s="1" t="s">
        <v>1922</v>
      </c>
      <c r="U2292" s="1"/>
    </row>
    <row r="2293" ht="15.75" customHeight="1">
      <c r="A2293" s="1" t="s">
        <v>17</v>
      </c>
      <c r="B2293" s="1" t="s">
        <v>1748</v>
      </c>
      <c r="C2293" s="1" t="s">
        <v>1923</v>
      </c>
      <c r="U2293" s="1"/>
    </row>
    <row r="2294" ht="15.75" customHeight="1">
      <c r="A2294" s="1" t="s">
        <v>17</v>
      </c>
      <c r="B2294" s="1" t="s">
        <v>1748</v>
      </c>
      <c r="C2294" s="1" t="s">
        <v>1877</v>
      </c>
      <c r="U2294" s="1"/>
    </row>
    <row r="2295" ht="15.75" customHeight="1">
      <c r="A2295" s="1" t="s">
        <v>17</v>
      </c>
      <c r="B2295" s="1" t="s">
        <v>1748</v>
      </c>
      <c r="C2295" s="1" t="s">
        <v>1924</v>
      </c>
      <c r="U2295" s="1"/>
    </row>
    <row r="2296" ht="15.75" customHeight="1">
      <c r="A2296" s="1" t="s">
        <v>17</v>
      </c>
      <c r="B2296" s="1" t="s">
        <v>1748</v>
      </c>
      <c r="C2296" s="1" t="s">
        <v>1878</v>
      </c>
      <c r="U2296" s="1"/>
    </row>
    <row r="2297" ht="15.75" customHeight="1">
      <c r="A2297" s="1" t="s">
        <v>17</v>
      </c>
      <c r="B2297" s="1" t="s">
        <v>1748</v>
      </c>
      <c r="C2297" s="1" t="s">
        <v>1925</v>
      </c>
      <c r="U2297" s="1"/>
    </row>
    <row r="2298" ht="15.75" customHeight="1">
      <c r="A2298" s="1" t="s">
        <v>17</v>
      </c>
      <c r="B2298" s="1" t="s">
        <v>1748</v>
      </c>
      <c r="C2298" s="1" t="s">
        <v>1880</v>
      </c>
      <c r="U2298" s="1"/>
    </row>
    <row r="2299" ht="15.75" customHeight="1">
      <c r="A2299" s="1" t="s">
        <v>17</v>
      </c>
      <c r="B2299" s="1" t="s">
        <v>1763</v>
      </c>
      <c r="C2299" s="1" t="s">
        <v>1881</v>
      </c>
      <c r="U2299" s="1"/>
    </row>
    <row r="2300" ht="15.75" customHeight="1">
      <c r="A2300" s="1" t="s">
        <v>17</v>
      </c>
      <c r="B2300" s="1" t="s">
        <v>1763</v>
      </c>
      <c r="C2300" s="1" t="s">
        <v>1926</v>
      </c>
      <c r="U2300" s="1"/>
    </row>
    <row r="2301" ht="15.75" customHeight="1">
      <c r="A2301" s="1" t="s">
        <v>17</v>
      </c>
      <c r="B2301" s="1" t="s">
        <v>1763</v>
      </c>
      <c r="C2301" s="1" t="s">
        <v>1882</v>
      </c>
      <c r="U2301" s="1"/>
    </row>
    <row r="2302" ht="15.75" customHeight="1">
      <c r="A2302" s="1" t="s">
        <v>17</v>
      </c>
      <c r="B2302" s="1" t="s">
        <v>1883</v>
      </c>
      <c r="C2302" s="1" t="s">
        <v>1885</v>
      </c>
      <c r="U2302" s="1"/>
    </row>
    <row r="2303" ht="15.75" customHeight="1">
      <c r="A2303" s="1" t="s">
        <v>17</v>
      </c>
      <c r="B2303" s="1" t="s">
        <v>1883</v>
      </c>
      <c r="C2303" s="1" t="s">
        <v>1886</v>
      </c>
      <c r="U2303" s="1"/>
    </row>
    <row r="2304" ht="15.75" customHeight="1">
      <c r="A2304" s="1" t="s">
        <v>17</v>
      </c>
      <c r="B2304" s="1" t="s">
        <v>1883</v>
      </c>
      <c r="C2304" s="1" t="s">
        <v>1887</v>
      </c>
      <c r="U2304" s="1"/>
    </row>
    <row r="2305" ht="15.75" customHeight="1">
      <c r="A2305" s="1" t="s">
        <v>17</v>
      </c>
      <c r="B2305" s="1" t="s">
        <v>1888</v>
      </c>
      <c r="C2305" s="1" t="s">
        <v>1927</v>
      </c>
      <c r="U2305" s="1"/>
    </row>
    <row r="2306" ht="15.75" customHeight="1">
      <c r="A2306" s="1" t="s">
        <v>17</v>
      </c>
      <c r="B2306" s="1" t="s">
        <v>1888</v>
      </c>
      <c r="C2306" s="1" t="s">
        <v>1889</v>
      </c>
      <c r="U2306" s="1"/>
    </row>
    <row r="2307" ht="15.75" customHeight="1">
      <c r="A2307" s="1" t="s">
        <v>17</v>
      </c>
      <c r="B2307" s="1" t="s">
        <v>1888</v>
      </c>
      <c r="C2307" s="1" t="s">
        <v>1890</v>
      </c>
      <c r="U2307" s="1"/>
    </row>
    <row r="2308" ht="15.75" customHeight="1">
      <c r="A2308" s="1" t="s">
        <v>17</v>
      </c>
      <c r="B2308" s="1" t="s">
        <v>1928</v>
      </c>
      <c r="C2308" s="1" t="s">
        <v>1929</v>
      </c>
      <c r="U2308" s="1"/>
    </row>
    <row r="2309" ht="15.75" customHeight="1">
      <c r="A2309" s="1" t="s">
        <v>17</v>
      </c>
      <c r="B2309" s="1" t="s">
        <v>1928</v>
      </c>
      <c r="C2309" s="1" t="s">
        <v>1930</v>
      </c>
      <c r="U2309" s="1"/>
    </row>
    <row r="2310" ht="15.75" customHeight="1">
      <c r="A2310" s="1" t="s">
        <v>20</v>
      </c>
      <c r="B2310" s="1" t="s">
        <v>29</v>
      </c>
      <c r="C2310" s="1" t="s">
        <v>1259</v>
      </c>
      <c r="U2310" s="1"/>
    </row>
    <row r="2311" ht="15.75" customHeight="1">
      <c r="A2311" s="1" t="s">
        <v>20</v>
      </c>
      <c r="B2311" s="1" t="s">
        <v>29</v>
      </c>
      <c r="C2311" s="1" t="s">
        <v>1276</v>
      </c>
      <c r="U2311" s="1"/>
    </row>
    <row r="2312" ht="15.75" customHeight="1">
      <c r="A2312" s="1" t="s">
        <v>20</v>
      </c>
      <c r="B2312" s="1" t="s">
        <v>77</v>
      </c>
      <c r="C2312" s="1" t="s">
        <v>1281</v>
      </c>
      <c r="U2312" s="1"/>
    </row>
    <row r="2313" ht="15.75" customHeight="1">
      <c r="A2313" s="1" t="s">
        <v>20</v>
      </c>
      <c r="B2313" s="1" t="s">
        <v>158</v>
      </c>
      <c r="C2313" s="1" t="s">
        <v>1613</v>
      </c>
      <c r="U2313" s="1"/>
    </row>
    <row r="2314" ht="15.75" customHeight="1">
      <c r="A2314" s="1" t="s">
        <v>20</v>
      </c>
      <c r="B2314" s="1" t="s">
        <v>158</v>
      </c>
      <c r="C2314" s="1" t="s">
        <v>1931</v>
      </c>
      <c r="U2314" s="1"/>
    </row>
    <row r="2315" ht="15.75" customHeight="1">
      <c r="A2315" s="1" t="s">
        <v>20</v>
      </c>
      <c r="B2315" s="1" t="s">
        <v>330</v>
      </c>
      <c r="C2315" s="1" t="s">
        <v>1616</v>
      </c>
      <c r="U2315" s="1"/>
    </row>
    <row r="2316" ht="15.75" customHeight="1">
      <c r="A2316" s="1" t="s">
        <v>20</v>
      </c>
      <c r="B2316" s="1" t="s">
        <v>330</v>
      </c>
      <c r="C2316" s="1" t="s">
        <v>1031</v>
      </c>
      <c r="U2316" s="1"/>
    </row>
    <row r="2317" ht="15.75" customHeight="1">
      <c r="A2317" s="1" t="s">
        <v>20</v>
      </c>
      <c r="B2317" s="1" t="s">
        <v>378</v>
      </c>
      <c r="C2317" s="1" t="s">
        <v>1337</v>
      </c>
      <c r="U2317" s="1"/>
    </row>
    <row r="2318" ht="15.75" customHeight="1">
      <c r="A2318" s="1" t="s">
        <v>20</v>
      </c>
      <c r="B2318" s="1" t="s">
        <v>403</v>
      </c>
      <c r="C2318" s="1" t="s">
        <v>1932</v>
      </c>
      <c r="U2318" s="1"/>
    </row>
    <row r="2319" ht="15.75" customHeight="1">
      <c r="A2319" s="1" t="s">
        <v>20</v>
      </c>
      <c r="B2319" s="1" t="s">
        <v>403</v>
      </c>
      <c r="C2319" s="1" t="s">
        <v>1933</v>
      </c>
      <c r="U2319" s="1"/>
    </row>
    <row r="2320" ht="15.75" customHeight="1">
      <c r="A2320" s="1" t="s">
        <v>20</v>
      </c>
      <c r="B2320" s="1" t="s">
        <v>403</v>
      </c>
      <c r="C2320" s="1" t="s">
        <v>1635</v>
      </c>
      <c r="U2320" s="1"/>
    </row>
    <row r="2321" ht="15.75" customHeight="1">
      <c r="A2321" s="1" t="s">
        <v>20</v>
      </c>
      <c r="B2321" s="1" t="s">
        <v>997</v>
      </c>
      <c r="C2321" s="1" t="s">
        <v>1934</v>
      </c>
      <c r="U2321" s="1"/>
    </row>
    <row r="2322" ht="15.75" customHeight="1">
      <c r="A2322" s="1" t="s">
        <v>20</v>
      </c>
      <c r="B2322" s="1" t="s">
        <v>1071</v>
      </c>
      <c r="C2322" s="1" t="s">
        <v>1075</v>
      </c>
      <c r="U2322" s="1"/>
    </row>
    <row r="2323" ht="15.75" customHeight="1">
      <c r="A2323" s="1" t="s">
        <v>20</v>
      </c>
      <c r="B2323" s="1" t="s">
        <v>1093</v>
      </c>
      <c r="C2323" s="1" t="s">
        <v>1094</v>
      </c>
      <c r="U2323" s="1"/>
    </row>
    <row r="2324" ht="15.75" customHeight="1">
      <c r="A2324" s="1" t="s">
        <v>20</v>
      </c>
      <c r="B2324" s="1" t="s">
        <v>1093</v>
      </c>
      <c r="C2324" s="1" t="s">
        <v>1935</v>
      </c>
      <c r="U2324" s="1"/>
    </row>
    <row r="2325" ht="15.75" customHeight="1">
      <c r="A2325" s="1" t="s">
        <v>20</v>
      </c>
      <c r="B2325" s="1" t="s">
        <v>1400</v>
      </c>
      <c r="C2325" s="1" t="s">
        <v>1828</v>
      </c>
      <c r="U2325" s="1"/>
    </row>
    <row r="2326" ht="15.75" customHeight="1">
      <c r="A2326" s="1" t="s">
        <v>20</v>
      </c>
      <c r="B2326" s="1" t="s">
        <v>1400</v>
      </c>
      <c r="C2326" s="1" t="s">
        <v>1936</v>
      </c>
      <c r="U2326" s="1"/>
    </row>
    <row r="2327" ht="15.75" customHeight="1">
      <c r="A2327" s="1" t="s">
        <v>20</v>
      </c>
      <c r="B2327" s="1" t="s">
        <v>1400</v>
      </c>
      <c r="C2327" s="1" t="s">
        <v>1829</v>
      </c>
      <c r="U2327" s="1"/>
    </row>
    <row r="2328" ht="15.75" customHeight="1">
      <c r="A2328" s="1" t="s">
        <v>20</v>
      </c>
      <c r="B2328" s="1" t="s">
        <v>1400</v>
      </c>
      <c r="C2328" s="1" t="s">
        <v>1937</v>
      </c>
      <c r="U2328" s="1"/>
    </row>
    <row r="2329" ht="15.75" customHeight="1">
      <c r="A2329" s="1" t="s">
        <v>20</v>
      </c>
      <c r="B2329" s="1" t="s">
        <v>1400</v>
      </c>
      <c r="C2329" s="1" t="s">
        <v>1938</v>
      </c>
      <c r="U2329" s="1"/>
    </row>
    <row r="2330" ht="15.75" customHeight="1">
      <c r="A2330" s="1" t="s">
        <v>20</v>
      </c>
      <c r="B2330" s="1" t="s">
        <v>1400</v>
      </c>
      <c r="C2330" s="1" t="s">
        <v>1833</v>
      </c>
      <c r="U2330" s="1"/>
    </row>
    <row r="2331" ht="15.75" customHeight="1">
      <c r="A2331" s="1" t="s">
        <v>20</v>
      </c>
      <c r="B2331" s="1" t="s">
        <v>1400</v>
      </c>
      <c r="C2331" s="1" t="s">
        <v>1939</v>
      </c>
      <c r="U2331" s="1"/>
    </row>
    <row r="2332" ht="15.75" customHeight="1">
      <c r="A2332" s="1" t="s">
        <v>20</v>
      </c>
      <c r="B2332" s="1" t="s">
        <v>1400</v>
      </c>
      <c r="C2332" s="1" t="s">
        <v>1830</v>
      </c>
      <c r="U2332" s="1"/>
    </row>
    <row r="2333" ht="15.75" customHeight="1">
      <c r="A2333" s="1" t="s">
        <v>20</v>
      </c>
      <c r="B2333" s="1" t="s">
        <v>1400</v>
      </c>
      <c r="C2333" s="1" t="s">
        <v>1940</v>
      </c>
      <c r="U2333" s="1"/>
    </row>
    <row r="2334" ht="15.75" customHeight="1">
      <c r="A2334" s="1" t="s">
        <v>20</v>
      </c>
      <c r="B2334" s="1" t="s">
        <v>1410</v>
      </c>
      <c r="C2334" s="1" t="s">
        <v>1832</v>
      </c>
      <c r="U2334" s="1"/>
    </row>
    <row r="2335" ht="15.75" customHeight="1">
      <c r="A2335" s="1" t="s">
        <v>20</v>
      </c>
      <c r="B2335" s="1" t="s">
        <v>1410</v>
      </c>
      <c r="C2335" s="1" t="s">
        <v>1941</v>
      </c>
      <c r="U2335" s="1"/>
    </row>
    <row r="2336" ht="15.75" customHeight="1">
      <c r="A2336" s="1" t="s">
        <v>20</v>
      </c>
      <c r="B2336" s="1" t="s">
        <v>1410</v>
      </c>
      <c r="C2336" s="1" t="s">
        <v>1942</v>
      </c>
      <c r="U2336" s="1"/>
    </row>
    <row r="2337" ht="15.75" customHeight="1">
      <c r="A2337" s="1" t="s">
        <v>20</v>
      </c>
      <c r="B2337" s="1" t="s">
        <v>1410</v>
      </c>
      <c r="C2337" s="1" t="s">
        <v>1834</v>
      </c>
      <c r="U2337" s="1"/>
    </row>
    <row r="2338" ht="15.75" customHeight="1">
      <c r="A2338" s="1" t="s">
        <v>20</v>
      </c>
      <c r="B2338" s="1" t="s">
        <v>1410</v>
      </c>
      <c r="C2338" s="1" t="s">
        <v>1943</v>
      </c>
      <c r="U2338" s="1"/>
    </row>
    <row r="2339" ht="15.75" customHeight="1">
      <c r="A2339" s="1" t="s">
        <v>20</v>
      </c>
      <c r="B2339" s="1" t="s">
        <v>1425</v>
      </c>
      <c r="C2339" s="1" t="s">
        <v>1837</v>
      </c>
      <c r="U2339" s="1"/>
    </row>
    <row r="2340" ht="15.75" customHeight="1">
      <c r="A2340" s="1" t="s">
        <v>20</v>
      </c>
      <c r="B2340" s="1" t="s">
        <v>1425</v>
      </c>
      <c r="C2340" s="1" t="s">
        <v>1838</v>
      </c>
      <c r="U2340" s="1"/>
    </row>
    <row r="2341" ht="15.75" customHeight="1">
      <c r="A2341" s="1" t="s">
        <v>20</v>
      </c>
      <c r="B2341" s="1" t="s">
        <v>1492</v>
      </c>
      <c r="C2341" s="1" t="s">
        <v>1944</v>
      </c>
      <c r="U2341" s="1"/>
    </row>
    <row r="2342" ht="15.75" customHeight="1">
      <c r="A2342" s="1" t="s">
        <v>20</v>
      </c>
      <c r="B2342" s="1" t="s">
        <v>1492</v>
      </c>
      <c r="C2342" s="1" t="s">
        <v>1945</v>
      </c>
      <c r="U2342" s="1"/>
    </row>
    <row r="2343" ht="15.75" customHeight="1">
      <c r="A2343" s="1" t="s">
        <v>20</v>
      </c>
      <c r="B2343" s="1" t="s">
        <v>1492</v>
      </c>
      <c r="C2343" s="1" t="s">
        <v>1946</v>
      </c>
      <c r="U2343" s="1"/>
    </row>
    <row r="2344" ht="15.75" customHeight="1">
      <c r="A2344" s="1" t="s">
        <v>20</v>
      </c>
      <c r="B2344" s="1" t="s">
        <v>1492</v>
      </c>
      <c r="C2344" s="1" t="s">
        <v>1845</v>
      </c>
      <c r="U2344" s="1"/>
    </row>
    <row r="2345" ht="15.75" customHeight="1">
      <c r="A2345" s="1" t="s">
        <v>20</v>
      </c>
      <c r="B2345" s="1" t="s">
        <v>1492</v>
      </c>
      <c r="C2345" s="1" t="s">
        <v>1846</v>
      </c>
      <c r="U2345" s="1"/>
    </row>
    <row r="2346" ht="15.75" customHeight="1">
      <c r="A2346" s="1" t="s">
        <v>20</v>
      </c>
      <c r="B2346" s="1" t="s">
        <v>1492</v>
      </c>
      <c r="C2346" s="1" t="s">
        <v>1947</v>
      </c>
      <c r="U2346" s="1"/>
    </row>
    <row r="2347" ht="15.75" customHeight="1">
      <c r="A2347" s="1" t="s">
        <v>20</v>
      </c>
      <c r="B2347" s="1" t="s">
        <v>1848</v>
      </c>
      <c r="C2347" s="1" t="s">
        <v>1849</v>
      </c>
      <c r="U2347" s="1"/>
    </row>
    <row r="2348" ht="15.75" customHeight="1">
      <c r="A2348" s="1" t="s">
        <v>20</v>
      </c>
      <c r="B2348" s="1" t="s">
        <v>1848</v>
      </c>
      <c r="C2348" s="1" t="s">
        <v>1850</v>
      </c>
      <c r="U2348" s="1"/>
    </row>
    <row r="2349" ht="15.75" customHeight="1">
      <c r="A2349" s="1" t="s">
        <v>20</v>
      </c>
      <c r="B2349" s="1" t="s">
        <v>1848</v>
      </c>
      <c r="C2349" s="1" t="s">
        <v>1948</v>
      </c>
      <c r="U2349" s="1"/>
    </row>
    <row r="2350" ht="15.75" customHeight="1">
      <c r="A2350" s="1" t="s">
        <v>20</v>
      </c>
      <c r="B2350" s="1" t="s">
        <v>1848</v>
      </c>
      <c r="C2350" s="1" t="s">
        <v>1949</v>
      </c>
      <c r="U2350" s="1"/>
    </row>
    <row r="2351" ht="15.75" customHeight="1">
      <c r="A2351" s="1" t="s">
        <v>20</v>
      </c>
      <c r="B2351" s="1" t="s">
        <v>1848</v>
      </c>
      <c r="C2351" s="1" t="s">
        <v>1851</v>
      </c>
      <c r="U2351" s="1"/>
    </row>
    <row r="2352" ht="15.75" customHeight="1">
      <c r="A2352" s="1" t="s">
        <v>20</v>
      </c>
      <c r="B2352" s="1" t="s">
        <v>1848</v>
      </c>
      <c r="C2352" s="1" t="s">
        <v>1852</v>
      </c>
      <c r="U2352" s="1"/>
    </row>
    <row r="2353" ht="15.75" customHeight="1">
      <c r="A2353" s="1" t="s">
        <v>20</v>
      </c>
      <c r="B2353" s="1" t="s">
        <v>1748</v>
      </c>
      <c r="C2353" s="1" t="s">
        <v>1950</v>
      </c>
      <c r="U2353" s="1"/>
    </row>
    <row r="2354" ht="15.75" customHeight="1">
      <c r="A2354" s="1" t="s">
        <v>23</v>
      </c>
      <c r="B2354" s="1" t="s">
        <v>29</v>
      </c>
      <c r="C2354" s="1" t="s">
        <v>1259</v>
      </c>
      <c r="U2354" s="1"/>
    </row>
    <row r="2355" ht="15.75" customHeight="1">
      <c r="A2355" s="1" t="s">
        <v>23</v>
      </c>
      <c r="B2355" s="1" t="s">
        <v>378</v>
      </c>
      <c r="C2355" s="1" t="s">
        <v>1632</v>
      </c>
      <c r="U2355" s="1"/>
    </row>
    <row r="2356" ht="15.75" customHeight="1">
      <c r="A2356" s="1" t="s">
        <v>23</v>
      </c>
      <c r="B2356" s="1" t="s">
        <v>997</v>
      </c>
      <c r="C2356" s="1" t="s">
        <v>1641</v>
      </c>
      <c r="U2356" s="1"/>
    </row>
    <row r="2357" ht="15.75" customHeight="1">
      <c r="A2357" s="1" t="s">
        <v>23</v>
      </c>
      <c r="B2357" s="1" t="s">
        <v>1093</v>
      </c>
      <c r="C2357" s="1" t="s">
        <v>1951</v>
      </c>
      <c r="U2357" s="1"/>
    </row>
    <row r="2358" ht="15.75" customHeight="1">
      <c r="A2358" s="1" t="s">
        <v>23</v>
      </c>
      <c r="B2358" s="1" t="s">
        <v>1093</v>
      </c>
      <c r="C2358" s="1" t="s">
        <v>1952</v>
      </c>
      <c r="U2358" s="1"/>
    </row>
    <row r="2359" ht="15.75" customHeight="1">
      <c r="A2359" s="1" t="s">
        <v>23</v>
      </c>
      <c r="B2359" s="1" t="s">
        <v>1400</v>
      </c>
      <c r="C2359" s="1" t="s">
        <v>1953</v>
      </c>
      <c r="U2359" s="1"/>
    </row>
    <row r="2360" ht="15.75" customHeight="1">
      <c r="A2360" s="1" t="s">
        <v>23</v>
      </c>
      <c r="B2360" s="1" t="s">
        <v>1400</v>
      </c>
      <c r="C2360" s="1" t="s">
        <v>1954</v>
      </c>
      <c r="U2360" s="1"/>
    </row>
    <row r="2361" ht="15.75" customHeight="1">
      <c r="A2361" s="1" t="s">
        <v>23</v>
      </c>
      <c r="B2361" s="1" t="s">
        <v>1400</v>
      </c>
      <c r="C2361" s="1" t="s">
        <v>1955</v>
      </c>
      <c r="U2361" s="1"/>
    </row>
    <row r="2362" ht="15.75" customHeight="1">
      <c r="A2362" s="1" t="s">
        <v>23</v>
      </c>
      <c r="B2362" s="1" t="s">
        <v>1400</v>
      </c>
      <c r="C2362" s="1" t="s">
        <v>1956</v>
      </c>
      <c r="U2362" s="1"/>
    </row>
    <row r="2363" ht="15.75" customHeight="1">
      <c r="A2363" s="1" t="s">
        <v>23</v>
      </c>
      <c r="B2363" s="1" t="s">
        <v>1410</v>
      </c>
      <c r="C2363" s="1" t="s">
        <v>1957</v>
      </c>
      <c r="U2363" s="1"/>
    </row>
    <row r="2364" ht="15.75" customHeight="1">
      <c r="A2364" s="1" t="s">
        <v>23</v>
      </c>
      <c r="B2364" s="1" t="s">
        <v>1410</v>
      </c>
      <c r="C2364" s="1" t="s">
        <v>1958</v>
      </c>
      <c r="U2364" s="1"/>
    </row>
    <row r="2365" ht="15.75" customHeight="1">
      <c r="A2365" s="1" t="s">
        <v>23</v>
      </c>
      <c r="B2365" s="1" t="s">
        <v>1410</v>
      </c>
      <c r="C2365" s="1" t="s">
        <v>1959</v>
      </c>
      <c r="U2365" s="1"/>
    </row>
    <row r="2366" ht="15.75" customHeight="1">
      <c r="A2366" s="1" t="s">
        <v>23</v>
      </c>
      <c r="B2366" s="1" t="s">
        <v>1410</v>
      </c>
      <c r="C2366" s="1" t="s">
        <v>1960</v>
      </c>
      <c r="U2366" s="1"/>
    </row>
    <row r="2367" ht="15.75" customHeight="1">
      <c r="A2367" s="1" t="s">
        <v>23</v>
      </c>
      <c r="B2367" s="1" t="s">
        <v>1410</v>
      </c>
      <c r="C2367" s="1" t="s">
        <v>1961</v>
      </c>
      <c r="U2367" s="1"/>
    </row>
    <row r="2368" ht="15.75" customHeight="1">
      <c r="A2368" s="1" t="s">
        <v>23</v>
      </c>
      <c r="B2368" s="1" t="s">
        <v>1410</v>
      </c>
      <c r="C2368" s="1" t="s">
        <v>1962</v>
      </c>
      <c r="U2368" s="1"/>
    </row>
    <row r="2369" ht="15.75" customHeight="1">
      <c r="A2369" s="1" t="s">
        <v>23</v>
      </c>
      <c r="B2369" s="1" t="s">
        <v>1410</v>
      </c>
      <c r="C2369" s="1" t="s">
        <v>1963</v>
      </c>
      <c r="U2369" s="1"/>
    </row>
    <row r="2370" ht="15.75" customHeight="1">
      <c r="A2370" s="1" t="s">
        <v>23</v>
      </c>
      <c r="B2370" s="1" t="s">
        <v>1410</v>
      </c>
      <c r="C2370" s="1" t="s">
        <v>1964</v>
      </c>
      <c r="U2370" s="1"/>
    </row>
    <row r="2371" ht="15.75" customHeight="1">
      <c r="A2371" s="1" t="s">
        <v>23</v>
      </c>
      <c r="B2371" s="1" t="s">
        <v>1425</v>
      </c>
      <c r="C2371" s="1" t="s">
        <v>1965</v>
      </c>
      <c r="U2371" s="1"/>
    </row>
    <row r="2372" ht="15.75" customHeight="1">
      <c r="A2372" s="1" t="s">
        <v>23</v>
      </c>
      <c r="B2372" s="1" t="s">
        <v>1425</v>
      </c>
      <c r="C2372" s="1" t="s">
        <v>1966</v>
      </c>
      <c r="U2372" s="1"/>
    </row>
    <row r="2373" ht="15.75" customHeight="1">
      <c r="A2373" s="1" t="s">
        <v>23</v>
      </c>
      <c r="B2373" s="1" t="s">
        <v>1425</v>
      </c>
      <c r="C2373" s="1" t="s">
        <v>1954</v>
      </c>
      <c r="U2373" s="1"/>
    </row>
    <row r="2374" ht="15.75" customHeight="1">
      <c r="A2374" s="1" t="s">
        <v>23</v>
      </c>
      <c r="B2374" s="1" t="s">
        <v>1425</v>
      </c>
      <c r="C2374" s="1" t="s">
        <v>1967</v>
      </c>
      <c r="U2374" s="1"/>
    </row>
    <row r="2375" ht="15.75" customHeight="1">
      <c r="A2375" s="1" t="s">
        <v>23</v>
      </c>
      <c r="B2375" s="1" t="s">
        <v>1425</v>
      </c>
      <c r="C2375" s="1" t="s">
        <v>1962</v>
      </c>
      <c r="U2375" s="1"/>
    </row>
    <row r="2376" ht="15.75" customHeight="1">
      <c r="A2376" s="1" t="s">
        <v>23</v>
      </c>
      <c r="B2376" s="1" t="s">
        <v>1492</v>
      </c>
      <c r="C2376" s="1" t="s">
        <v>1944</v>
      </c>
      <c r="U2376" s="1"/>
    </row>
    <row r="2377" ht="15.75" customHeight="1">
      <c r="A2377" s="1" t="s">
        <v>23</v>
      </c>
      <c r="B2377" s="1" t="s">
        <v>1492</v>
      </c>
      <c r="C2377" s="1" t="s">
        <v>1968</v>
      </c>
      <c r="U2377" s="1"/>
    </row>
    <row r="2378" ht="15.75" customHeight="1">
      <c r="A2378" s="1" t="s">
        <v>23</v>
      </c>
      <c r="B2378" s="1" t="s">
        <v>1848</v>
      </c>
      <c r="C2378" s="1" t="s">
        <v>1969</v>
      </c>
      <c r="U2378" s="1"/>
    </row>
    <row r="2379" ht="15.75" customHeight="1">
      <c r="A2379" s="1" t="s">
        <v>23</v>
      </c>
      <c r="B2379" s="1" t="s">
        <v>1848</v>
      </c>
      <c r="C2379" s="1" t="s">
        <v>1970</v>
      </c>
      <c r="U2379" s="1"/>
    </row>
    <row r="2380" ht="15.75" customHeight="1">
      <c r="A2380" s="1" t="s">
        <v>23</v>
      </c>
      <c r="B2380" s="1" t="s">
        <v>1848</v>
      </c>
      <c r="C2380" s="1" t="s">
        <v>1971</v>
      </c>
      <c r="U2380" s="1"/>
    </row>
    <row r="2381" ht="15.75" customHeight="1">
      <c r="A2381" s="1" t="s">
        <v>23</v>
      </c>
      <c r="B2381" s="1" t="s">
        <v>1848</v>
      </c>
      <c r="C2381" s="1" t="s">
        <v>1972</v>
      </c>
      <c r="U2381" s="1"/>
    </row>
    <row r="2382" ht="15.75" customHeight="1">
      <c r="A2382" s="1" t="s">
        <v>23</v>
      </c>
      <c r="B2382" s="1" t="s">
        <v>1748</v>
      </c>
      <c r="C2382" s="1" t="s">
        <v>1973</v>
      </c>
      <c r="U2382" s="1"/>
    </row>
    <row r="2383" ht="15.75" customHeight="1">
      <c r="A2383" s="1" t="s">
        <v>23</v>
      </c>
      <c r="B2383" s="1" t="s">
        <v>1763</v>
      </c>
      <c r="C2383" s="1" t="s">
        <v>1974</v>
      </c>
      <c r="U2383" s="1"/>
    </row>
    <row r="2384" ht="15.75" customHeight="1">
      <c r="A2384" s="1" t="s">
        <v>23</v>
      </c>
      <c r="B2384" s="1" t="s">
        <v>1763</v>
      </c>
      <c r="C2384" s="1" t="s">
        <v>1975</v>
      </c>
      <c r="U2384" s="1"/>
    </row>
    <row r="2385" ht="15.75" customHeight="1">
      <c r="A2385" s="1" t="s">
        <v>26</v>
      </c>
      <c r="B2385" s="1" t="s">
        <v>29</v>
      </c>
      <c r="C2385" s="1" t="s">
        <v>57</v>
      </c>
      <c r="U2385" s="1"/>
    </row>
    <row r="2386" ht="15.75" customHeight="1">
      <c r="A2386" s="1" t="s">
        <v>26</v>
      </c>
      <c r="B2386" s="1" t="s">
        <v>29</v>
      </c>
      <c r="C2386" s="1" t="s">
        <v>1144</v>
      </c>
      <c r="U2386" s="1"/>
    </row>
    <row r="2387" ht="15.75" customHeight="1">
      <c r="A2387" s="1" t="s">
        <v>26</v>
      </c>
      <c r="B2387" s="1" t="s">
        <v>77</v>
      </c>
      <c r="C2387" s="1" t="s">
        <v>84</v>
      </c>
      <c r="U2387" s="1"/>
    </row>
    <row r="2388" ht="15.75" customHeight="1">
      <c r="A2388" s="1" t="s">
        <v>26</v>
      </c>
      <c r="B2388" s="1" t="s">
        <v>77</v>
      </c>
      <c r="C2388" s="1" t="s">
        <v>1159</v>
      </c>
      <c r="U2388" s="1"/>
    </row>
    <row r="2389" ht="15.75" customHeight="1">
      <c r="A2389" s="1" t="s">
        <v>26</v>
      </c>
      <c r="B2389" s="1" t="s">
        <v>77</v>
      </c>
      <c r="C2389" s="1" t="s">
        <v>118</v>
      </c>
      <c r="U2389" s="1"/>
    </row>
    <row r="2390" ht="15.75" customHeight="1">
      <c r="A2390" s="1" t="s">
        <v>26</v>
      </c>
      <c r="B2390" s="1" t="s">
        <v>77</v>
      </c>
      <c r="C2390" s="1" t="s">
        <v>128</v>
      </c>
      <c r="U2390" s="1"/>
    </row>
    <row r="2391" ht="15.75" customHeight="1">
      <c r="A2391" s="1" t="s">
        <v>26</v>
      </c>
      <c r="B2391" s="1" t="s">
        <v>77</v>
      </c>
      <c r="C2391" s="1" t="s">
        <v>136</v>
      </c>
      <c r="U2391" s="1"/>
    </row>
    <row r="2392" ht="15.75" customHeight="1">
      <c r="A2392" s="1" t="s">
        <v>26</v>
      </c>
      <c r="B2392" s="1" t="s">
        <v>77</v>
      </c>
      <c r="C2392" s="1" t="s">
        <v>146</v>
      </c>
      <c r="U2392" s="1"/>
    </row>
    <row r="2393" ht="15.75" customHeight="1">
      <c r="A2393" s="1" t="s">
        <v>26</v>
      </c>
      <c r="B2393" s="1" t="s">
        <v>158</v>
      </c>
      <c r="C2393" s="1" t="s">
        <v>159</v>
      </c>
      <c r="U2393" s="1"/>
    </row>
    <row r="2394" ht="15.75" customHeight="1">
      <c r="A2394" s="1" t="s">
        <v>26</v>
      </c>
      <c r="B2394" s="1" t="s">
        <v>158</v>
      </c>
      <c r="C2394" s="1" t="s">
        <v>163</v>
      </c>
      <c r="U2394" s="1"/>
    </row>
    <row r="2395" ht="15.75" customHeight="1">
      <c r="A2395" s="1" t="s">
        <v>26</v>
      </c>
      <c r="B2395" s="1" t="s">
        <v>158</v>
      </c>
      <c r="C2395" s="1" t="s">
        <v>1178</v>
      </c>
      <c r="U2395" s="1"/>
    </row>
    <row r="2396" ht="15.75" customHeight="1">
      <c r="A2396" s="1" t="s">
        <v>26</v>
      </c>
      <c r="B2396" s="1" t="s">
        <v>158</v>
      </c>
      <c r="C2396" s="1" t="s">
        <v>173</v>
      </c>
      <c r="U2396" s="1"/>
    </row>
    <row r="2397" ht="15.75" customHeight="1">
      <c r="A2397" s="1" t="s">
        <v>26</v>
      </c>
      <c r="B2397" s="1" t="s">
        <v>158</v>
      </c>
      <c r="C2397" s="1" t="s">
        <v>219</v>
      </c>
      <c r="U2397" s="1"/>
    </row>
    <row r="2398" ht="15.75" customHeight="1">
      <c r="A2398" s="1" t="s">
        <v>26</v>
      </c>
      <c r="B2398" s="1" t="s">
        <v>330</v>
      </c>
      <c r="C2398" s="1" t="s">
        <v>692</v>
      </c>
      <c r="U2398" s="1"/>
    </row>
    <row r="2399" ht="15.75" customHeight="1">
      <c r="A2399" s="1" t="s">
        <v>26</v>
      </c>
      <c r="B2399" s="1" t="s">
        <v>330</v>
      </c>
      <c r="C2399" s="1" t="s">
        <v>694</v>
      </c>
      <c r="U2399" s="1"/>
    </row>
    <row r="2400" ht="15.75" customHeight="1">
      <c r="A2400" s="1" t="s">
        <v>26</v>
      </c>
      <c r="B2400" s="1" t="s">
        <v>330</v>
      </c>
      <c r="C2400" s="1" t="s">
        <v>696</v>
      </c>
      <c r="U2400" s="1"/>
    </row>
    <row r="2401" ht="15.75" customHeight="1">
      <c r="A2401" s="1" t="s">
        <v>26</v>
      </c>
      <c r="B2401" s="1" t="s">
        <v>330</v>
      </c>
      <c r="C2401" s="1" t="s">
        <v>708</v>
      </c>
      <c r="U2401" s="1"/>
    </row>
    <row r="2402" ht="15.75" customHeight="1">
      <c r="A2402" s="1" t="s">
        <v>26</v>
      </c>
      <c r="B2402" s="1" t="s">
        <v>330</v>
      </c>
      <c r="C2402" s="1" t="s">
        <v>704</v>
      </c>
      <c r="U2402" s="1"/>
    </row>
    <row r="2403" ht="15.75" customHeight="1">
      <c r="A2403" s="1" t="s">
        <v>26</v>
      </c>
      <c r="B2403" s="1" t="s">
        <v>330</v>
      </c>
      <c r="C2403" s="1" t="s">
        <v>1545</v>
      </c>
      <c r="U2403" s="1"/>
    </row>
    <row r="2404" ht="15.75" customHeight="1">
      <c r="A2404" s="1" t="s">
        <v>26</v>
      </c>
      <c r="B2404" s="1" t="s">
        <v>330</v>
      </c>
      <c r="C2404" s="1" t="s">
        <v>721</v>
      </c>
      <c r="U2404" s="1"/>
    </row>
    <row r="2405" ht="15.75" customHeight="1">
      <c r="A2405" s="1" t="s">
        <v>26</v>
      </c>
      <c r="B2405" s="1" t="s">
        <v>330</v>
      </c>
      <c r="C2405" s="1" t="s">
        <v>725</v>
      </c>
      <c r="U2405" s="1"/>
    </row>
    <row r="2406" ht="15.75" customHeight="1">
      <c r="A2406" s="1" t="s">
        <v>26</v>
      </c>
      <c r="B2406" s="1" t="s">
        <v>378</v>
      </c>
      <c r="C2406" s="1" t="s">
        <v>734</v>
      </c>
      <c r="U2406" s="1"/>
    </row>
    <row r="2407" ht="15.75" customHeight="1">
      <c r="A2407" s="1" t="s">
        <v>26</v>
      </c>
      <c r="B2407" s="1" t="s">
        <v>378</v>
      </c>
      <c r="C2407" s="1" t="s">
        <v>1469</v>
      </c>
      <c r="U2407" s="1"/>
    </row>
    <row r="2408" ht="15.75" customHeight="1">
      <c r="A2408" s="1" t="s">
        <v>26</v>
      </c>
      <c r="B2408" s="1" t="s">
        <v>403</v>
      </c>
      <c r="C2408" s="1" t="s">
        <v>1976</v>
      </c>
      <c r="U2408" s="1"/>
    </row>
    <row r="2409" ht="15.75" customHeight="1">
      <c r="A2409" s="1" t="s">
        <v>26</v>
      </c>
      <c r="B2409" s="1" t="s">
        <v>403</v>
      </c>
      <c r="C2409" s="1" t="s">
        <v>750</v>
      </c>
      <c r="U2409" s="1"/>
    </row>
    <row r="2410" ht="15.75" customHeight="1">
      <c r="A2410" s="1" t="s">
        <v>26</v>
      </c>
      <c r="B2410" s="1" t="s">
        <v>1071</v>
      </c>
      <c r="C2410" s="1" t="s">
        <v>1088</v>
      </c>
      <c r="U2410" s="1"/>
    </row>
    <row r="2411" ht="15.75" customHeight="1">
      <c r="A2411" s="1" t="s">
        <v>28</v>
      </c>
      <c r="B2411" s="1" t="s">
        <v>29</v>
      </c>
      <c r="C2411" s="1" t="s">
        <v>1199</v>
      </c>
      <c r="U2411" s="1"/>
    </row>
    <row r="2412" ht="15.75" customHeight="1">
      <c r="A2412" s="1" t="s">
        <v>28</v>
      </c>
      <c r="B2412" s="1" t="s">
        <v>158</v>
      </c>
      <c r="C2412" s="1" t="s">
        <v>1537</v>
      </c>
      <c r="U2412" s="1"/>
    </row>
    <row r="2413" ht="15.75" customHeight="1">
      <c r="A2413" s="1" t="s">
        <v>28</v>
      </c>
      <c r="B2413" s="1" t="s">
        <v>378</v>
      </c>
      <c r="C2413" s="1" t="s">
        <v>572</v>
      </c>
      <c r="U2413" s="1"/>
    </row>
    <row r="2414" ht="15.75" customHeight="1">
      <c r="A2414" s="1" t="s">
        <v>28</v>
      </c>
      <c r="B2414" s="1" t="s">
        <v>403</v>
      </c>
      <c r="C2414" s="1" t="s">
        <v>979</v>
      </c>
      <c r="U2414" s="1"/>
    </row>
    <row r="2415" ht="15.75" customHeight="1">
      <c r="A2415" s="1" t="s">
        <v>28</v>
      </c>
      <c r="B2415" s="1" t="s">
        <v>403</v>
      </c>
      <c r="C2415" s="1" t="s">
        <v>622</v>
      </c>
      <c r="U2415" s="1"/>
    </row>
    <row r="2416" ht="15.75" customHeight="1">
      <c r="A2416" s="1" t="s">
        <v>28</v>
      </c>
      <c r="B2416" s="1" t="s">
        <v>403</v>
      </c>
      <c r="C2416" s="1" t="s">
        <v>1977</v>
      </c>
      <c r="U2416" s="1"/>
    </row>
    <row r="2417" ht="15.75" customHeight="1">
      <c r="A2417" s="1" t="s">
        <v>28</v>
      </c>
      <c r="B2417" s="1" t="s">
        <v>997</v>
      </c>
      <c r="C2417" s="1" t="s">
        <v>999</v>
      </c>
      <c r="U2417" s="1"/>
    </row>
    <row r="2418" ht="15.75" customHeight="1">
      <c r="A2418" s="1" t="s">
        <v>28</v>
      </c>
      <c r="B2418" s="1" t="s">
        <v>1071</v>
      </c>
      <c r="C2418" s="1" t="s">
        <v>1978</v>
      </c>
      <c r="U2418" s="1"/>
    </row>
    <row r="2419" ht="15.75" customHeight="1">
      <c r="A2419" s="1" t="s">
        <v>28</v>
      </c>
      <c r="B2419" s="1" t="s">
        <v>1093</v>
      </c>
      <c r="C2419" s="1" t="s">
        <v>1979</v>
      </c>
      <c r="U2419" s="1"/>
    </row>
    <row r="2420" ht="15.75" customHeight="1">
      <c r="A2420" s="1" t="s">
        <v>28</v>
      </c>
      <c r="B2420" s="1" t="s">
        <v>1093</v>
      </c>
      <c r="C2420" s="1" t="s">
        <v>1980</v>
      </c>
      <c r="U2420" s="1"/>
    </row>
    <row r="2421" ht="15.75" customHeight="1">
      <c r="A2421" s="1" t="s">
        <v>28</v>
      </c>
      <c r="B2421" s="1" t="s">
        <v>1400</v>
      </c>
      <c r="C2421" s="1" t="s">
        <v>1981</v>
      </c>
      <c r="U2421" s="1"/>
    </row>
    <row r="2422" ht="15.75" customHeight="1">
      <c r="A2422" s="1" t="s">
        <v>28</v>
      </c>
      <c r="B2422" s="1" t="s">
        <v>1400</v>
      </c>
      <c r="C2422" s="1" t="s">
        <v>1982</v>
      </c>
      <c r="U2422" s="1"/>
    </row>
    <row r="2423" ht="15.75" customHeight="1">
      <c r="A2423" s="1" t="s">
        <v>28</v>
      </c>
      <c r="B2423" s="1" t="s">
        <v>1400</v>
      </c>
      <c r="C2423" s="1" t="s">
        <v>1983</v>
      </c>
      <c r="U2423" s="1"/>
    </row>
    <row r="2424" ht="15.75" customHeight="1">
      <c r="A2424" s="1" t="s">
        <v>28</v>
      </c>
      <c r="B2424" s="1" t="s">
        <v>1400</v>
      </c>
      <c r="C2424" s="1" t="s">
        <v>1984</v>
      </c>
      <c r="U2424" s="1"/>
    </row>
    <row r="2425" ht="15.75" customHeight="1">
      <c r="A2425" s="1" t="s">
        <v>28</v>
      </c>
      <c r="B2425" s="1" t="s">
        <v>1410</v>
      </c>
      <c r="C2425" s="1" t="s">
        <v>1985</v>
      </c>
      <c r="U2425" s="1"/>
    </row>
    <row r="2426" ht="15.75" customHeight="1">
      <c r="A2426" s="1" t="s">
        <v>28</v>
      </c>
      <c r="B2426" s="1" t="s">
        <v>1492</v>
      </c>
      <c r="C2426" s="1" t="s">
        <v>1986</v>
      </c>
      <c r="U2426" s="1"/>
    </row>
    <row r="2427" ht="15.75" customHeight="1">
      <c r="A2427" s="1" t="s">
        <v>28</v>
      </c>
      <c r="B2427" s="1" t="s">
        <v>1848</v>
      </c>
      <c r="C2427" s="1" t="s">
        <v>1986</v>
      </c>
      <c r="U2427" s="1"/>
    </row>
    <row r="2428" ht="15.75" customHeight="1">
      <c r="A2428" s="1" t="s">
        <v>28</v>
      </c>
      <c r="B2428" s="1" t="s">
        <v>1848</v>
      </c>
      <c r="C2428" s="1" t="s">
        <v>1987</v>
      </c>
      <c r="U2428" s="1"/>
    </row>
    <row r="2429" ht="15.75" customHeight="1">
      <c r="A2429" s="1" t="s">
        <v>28</v>
      </c>
      <c r="B2429" s="1" t="s">
        <v>1848</v>
      </c>
      <c r="C2429" s="1" t="s">
        <v>1988</v>
      </c>
      <c r="U2429" s="1"/>
    </row>
    <row r="2430" ht="15.75" customHeight="1">
      <c r="A2430" s="1" t="s">
        <v>28</v>
      </c>
      <c r="B2430" s="1" t="s">
        <v>1848</v>
      </c>
      <c r="C2430" s="1" t="s">
        <v>1989</v>
      </c>
      <c r="U2430" s="1"/>
    </row>
    <row r="2431" ht="15.75" customHeight="1">
      <c r="A2431" s="1" t="s">
        <v>28</v>
      </c>
      <c r="B2431" s="1" t="s">
        <v>1748</v>
      </c>
      <c r="C2431" s="1" t="s">
        <v>1990</v>
      </c>
      <c r="U2431" s="1"/>
    </row>
    <row r="2432" ht="15.75" customHeight="1">
      <c r="A2432" s="1" t="s">
        <v>28</v>
      </c>
      <c r="B2432" s="1" t="s">
        <v>1748</v>
      </c>
      <c r="C2432" s="1" t="s">
        <v>1991</v>
      </c>
      <c r="U2432" s="1"/>
    </row>
    <row r="2433" ht="15.75" customHeight="1">
      <c r="A2433" s="1" t="s">
        <v>28</v>
      </c>
      <c r="B2433" s="1" t="s">
        <v>1763</v>
      </c>
      <c r="C2433" s="1" t="s">
        <v>1992</v>
      </c>
      <c r="U2433" s="1"/>
    </row>
    <row r="2434" ht="15.75" customHeight="1">
      <c r="A2434" s="1" t="s">
        <v>28</v>
      </c>
      <c r="B2434" s="1" t="s">
        <v>1763</v>
      </c>
      <c r="C2434" s="1" t="s">
        <v>1993</v>
      </c>
      <c r="U2434" s="1"/>
    </row>
    <row r="2435" ht="15.75" customHeight="1">
      <c r="A2435" s="1" t="s">
        <v>28</v>
      </c>
      <c r="B2435" s="1" t="s">
        <v>1763</v>
      </c>
      <c r="C2435" s="1" t="s">
        <v>1994</v>
      </c>
      <c r="U2435" s="1"/>
    </row>
    <row r="2436" ht="15.75" customHeight="1">
      <c r="A2436" s="1" t="s">
        <v>28</v>
      </c>
      <c r="B2436" s="1" t="s">
        <v>1763</v>
      </c>
      <c r="C2436" s="1" t="s">
        <v>1995</v>
      </c>
      <c r="U2436" s="1"/>
    </row>
    <row r="2437" ht="15.75" customHeight="1">
      <c r="A2437" s="1" t="s">
        <v>32</v>
      </c>
      <c r="B2437" s="1" t="s">
        <v>6</v>
      </c>
      <c r="C2437" s="1" t="s">
        <v>1117</v>
      </c>
      <c r="U2437" s="1"/>
    </row>
    <row r="2438" ht="15.75" customHeight="1">
      <c r="A2438" s="1" t="s">
        <v>32</v>
      </c>
      <c r="B2438" s="1" t="s">
        <v>77</v>
      </c>
      <c r="C2438" s="1" t="s">
        <v>932</v>
      </c>
      <c r="U2438" s="1"/>
    </row>
    <row r="2439" ht="15.75" customHeight="1">
      <c r="A2439" s="1" t="s">
        <v>32</v>
      </c>
      <c r="B2439" s="1" t="s">
        <v>77</v>
      </c>
      <c r="C2439" s="1" t="s">
        <v>503</v>
      </c>
      <c r="U2439" s="1"/>
    </row>
    <row r="2440" ht="15.75" customHeight="1">
      <c r="A2440" s="1" t="s">
        <v>32</v>
      </c>
      <c r="B2440" s="1" t="s">
        <v>77</v>
      </c>
      <c r="C2440" s="1" t="s">
        <v>1605</v>
      </c>
      <c r="U2440" s="1"/>
    </row>
    <row r="2441" ht="15.75" customHeight="1">
      <c r="A2441" s="1" t="s">
        <v>32</v>
      </c>
      <c r="B2441" s="1" t="s">
        <v>330</v>
      </c>
      <c r="C2441" s="1" t="s">
        <v>568</v>
      </c>
      <c r="U2441" s="1"/>
    </row>
    <row r="2442" ht="15.75" customHeight="1">
      <c r="A2442" s="1" t="s">
        <v>32</v>
      </c>
      <c r="B2442" s="1" t="s">
        <v>330</v>
      </c>
      <c r="C2442" s="1" t="s">
        <v>570</v>
      </c>
      <c r="U2442" s="1"/>
    </row>
    <row r="2443" ht="15.75" customHeight="1">
      <c r="A2443" s="1" t="s">
        <v>32</v>
      </c>
      <c r="B2443" s="1" t="s">
        <v>378</v>
      </c>
      <c r="C2443" s="1" t="s">
        <v>1627</v>
      </c>
      <c r="U2443" s="1"/>
    </row>
    <row r="2444" ht="15.75" customHeight="1">
      <c r="A2444" s="1" t="s">
        <v>32</v>
      </c>
      <c r="B2444" s="1" t="s">
        <v>378</v>
      </c>
      <c r="C2444" s="1" t="s">
        <v>970</v>
      </c>
      <c r="U2444" s="1"/>
    </row>
    <row r="2445" ht="15.75" customHeight="1">
      <c r="A2445" s="1" t="s">
        <v>32</v>
      </c>
      <c r="B2445" s="1" t="s">
        <v>403</v>
      </c>
      <c r="C2445" s="1" t="s">
        <v>1637</v>
      </c>
      <c r="U2445" s="1"/>
    </row>
    <row r="2446" ht="15.75" customHeight="1">
      <c r="A2446" s="1" t="s">
        <v>32</v>
      </c>
      <c r="B2446" s="1" t="s">
        <v>1093</v>
      </c>
      <c r="C2446" s="1" t="s">
        <v>1996</v>
      </c>
      <c r="U2446" s="1"/>
    </row>
    <row r="2447" ht="15.75" customHeight="1">
      <c r="A2447" s="1" t="s">
        <v>32</v>
      </c>
      <c r="B2447" s="1" t="s">
        <v>1400</v>
      </c>
      <c r="C2447" s="1" t="s">
        <v>1737</v>
      </c>
      <c r="U2447" s="1"/>
    </row>
    <row r="2448" ht="15.75" customHeight="1">
      <c r="A2448" s="1" t="s">
        <v>32</v>
      </c>
      <c r="B2448" s="1" t="s">
        <v>1410</v>
      </c>
      <c r="C2448" s="1" t="s">
        <v>1997</v>
      </c>
      <c r="U2448" s="1"/>
    </row>
    <row r="2449" ht="15.75" customHeight="1">
      <c r="A2449" s="1" t="s">
        <v>32</v>
      </c>
      <c r="B2449" s="1" t="s">
        <v>1410</v>
      </c>
      <c r="C2449" s="1" t="s">
        <v>1960</v>
      </c>
      <c r="U2449" s="1"/>
    </row>
    <row r="2450" ht="15.75" customHeight="1">
      <c r="A2450" s="1" t="s">
        <v>32</v>
      </c>
      <c r="B2450" s="1" t="s">
        <v>1425</v>
      </c>
      <c r="C2450" s="1" t="s">
        <v>1998</v>
      </c>
      <c r="U2450" s="1"/>
    </row>
    <row r="2451" ht="15.75" customHeight="1">
      <c r="A2451" s="1" t="s">
        <v>32</v>
      </c>
      <c r="B2451" s="1" t="s">
        <v>1425</v>
      </c>
      <c r="C2451" s="1" t="s">
        <v>1999</v>
      </c>
      <c r="U2451" s="1"/>
    </row>
    <row r="2452" ht="15.75" customHeight="1">
      <c r="A2452" s="1" t="s">
        <v>32</v>
      </c>
      <c r="B2452" s="1" t="s">
        <v>1425</v>
      </c>
      <c r="C2452" s="1" t="s">
        <v>2000</v>
      </c>
      <c r="U2452" s="1"/>
    </row>
    <row r="2453" ht="15.75" customHeight="1">
      <c r="A2453" s="1" t="s">
        <v>32</v>
      </c>
      <c r="B2453" s="1" t="s">
        <v>1492</v>
      </c>
      <c r="C2453" s="1" t="s">
        <v>2001</v>
      </c>
      <c r="U2453" s="1"/>
    </row>
    <row r="2454" ht="15.75" customHeight="1">
      <c r="A2454" s="1" t="s">
        <v>32</v>
      </c>
      <c r="B2454" s="1" t="s">
        <v>1763</v>
      </c>
      <c r="C2454" s="1" t="s">
        <v>2002</v>
      </c>
      <c r="U2454" s="1"/>
    </row>
    <row r="2455" ht="15.75" customHeight="1">
      <c r="A2455" s="1" t="s">
        <v>32</v>
      </c>
      <c r="B2455" s="1" t="s">
        <v>1691</v>
      </c>
      <c r="C2455" s="1" t="s">
        <v>2003</v>
      </c>
      <c r="U2455" s="1"/>
    </row>
    <row r="2456" ht="15.75" customHeight="1">
      <c r="A2456" s="1" t="s">
        <v>32</v>
      </c>
      <c r="B2456" s="1" t="s">
        <v>1691</v>
      </c>
      <c r="C2456" s="1" t="s">
        <v>2004</v>
      </c>
      <c r="U2456" s="1"/>
    </row>
    <row r="2457" ht="15.75" customHeight="1">
      <c r="A2457" s="1" t="s">
        <v>32</v>
      </c>
      <c r="B2457" s="1" t="s">
        <v>2005</v>
      </c>
      <c r="C2457" s="1" t="s">
        <v>2006</v>
      </c>
      <c r="U2457" s="1"/>
    </row>
    <row r="2458" ht="15.75" customHeight="1">
      <c r="A2458" s="1" t="s">
        <v>32</v>
      </c>
      <c r="B2458" s="1" t="s">
        <v>2007</v>
      </c>
      <c r="C2458" s="1" t="s">
        <v>2008</v>
      </c>
      <c r="U2458" s="1"/>
    </row>
    <row r="2459" ht="15.75" customHeight="1">
      <c r="A2459" s="1" t="s">
        <v>32</v>
      </c>
      <c r="B2459" s="1" t="s">
        <v>2007</v>
      </c>
      <c r="C2459" s="1" t="s">
        <v>2009</v>
      </c>
      <c r="U2459" s="1"/>
    </row>
    <row r="2460" ht="15.75" customHeight="1">
      <c r="A2460" s="1" t="s">
        <v>32</v>
      </c>
      <c r="B2460" s="1" t="s">
        <v>2007</v>
      </c>
      <c r="C2460" s="1" t="s">
        <v>2010</v>
      </c>
      <c r="U2460" s="1"/>
    </row>
    <row r="2461" ht="15.75" customHeight="1">
      <c r="A2461" s="1" t="s">
        <v>34</v>
      </c>
      <c r="B2461" s="1" t="s">
        <v>29</v>
      </c>
      <c r="C2461" s="1" t="s">
        <v>436</v>
      </c>
      <c r="U2461" s="1"/>
    </row>
    <row r="2462" ht="15.75" customHeight="1">
      <c r="A2462" s="1" t="s">
        <v>34</v>
      </c>
      <c r="B2462" s="1" t="s">
        <v>29</v>
      </c>
      <c r="C2462" s="1" t="s">
        <v>1435</v>
      </c>
      <c r="U2462" s="1"/>
    </row>
    <row r="2463" ht="15.75" customHeight="1">
      <c r="A2463" s="1" t="s">
        <v>34</v>
      </c>
      <c r="B2463" s="1" t="s">
        <v>29</v>
      </c>
      <c r="C2463" s="1" t="s">
        <v>1259</v>
      </c>
      <c r="U2463" s="1"/>
    </row>
    <row r="2464" ht="15.75" customHeight="1">
      <c r="A2464" s="1" t="s">
        <v>34</v>
      </c>
      <c r="B2464" s="1" t="s">
        <v>29</v>
      </c>
      <c r="C2464" s="1" t="s">
        <v>1270</v>
      </c>
      <c r="U2464" s="1"/>
    </row>
    <row r="2465" ht="15.75" customHeight="1">
      <c r="A2465" s="1" t="s">
        <v>34</v>
      </c>
      <c r="B2465" s="1" t="s">
        <v>29</v>
      </c>
      <c r="C2465" s="1" t="s">
        <v>1013</v>
      </c>
      <c r="U2465" s="1"/>
    </row>
    <row r="2466" ht="15.75" customHeight="1">
      <c r="A2466" s="1" t="s">
        <v>34</v>
      </c>
      <c r="B2466" s="1" t="s">
        <v>29</v>
      </c>
      <c r="C2466" s="1" t="s">
        <v>460</v>
      </c>
      <c r="U2466" s="1"/>
    </row>
    <row r="2467" ht="15.75" customHeight="1">
      <c r="A2467" s="1" t="s">
        <v>34</v>
      </c>
      <c r="B2467" s="1" t="s">
        <v>77</v>
      </c>
      <c r="C2467" s="1" t="s">
        <v>466</v>
      </c>
      <c r="U2467" s="1"/>
    </row>
    <row r="2468" ht="15.75" customHeight="1">
      <c r="A2468" s="1" t="s">
        <v>34</v>
      </c>
      <c r="B2468" s="1" t="s">
        <v>77</v>
      </c>
      <c r="C2468" s="1" t="s">
        <v>1281</v>
      </c>
      <c r="U2468" s="1"/>
    </row>
    <row r="2469" ht="15.75" customHeight="1">
      <c r="A2469" s="1" t="s">
        <v>34</v>
      </c>
      <c r="B2469" s="1" t="s">
        <v>158</v>
      </c>
      <c r="C2469" s="1" t="s">
        <v>1231</v>
      </c>
      <c r="U2469" s="1"/>
    </row>
    <row r="2470" ht="15.75" customHeight="1">
      <c r="A2470" s="1" t="s">
        <v>34</v>
      </c>
      <c r="B2470" s="1" t="s">
        <v>158</v>
      </c>
      <c r="C2470" s="1" t="s">
        <v>534</v>
      </c>
      <c r="U2470" s="1"/>
    </row>
    <row r="2471" ht="15.75" customHeight="1">
      <c r="A2471" s="1" t="s">
        <v>34</v>
      </c>
      <c r="B2471" s="1" t="s">
        <v>378</v>
      </c>
      <c r="C2471" s="1" t="s">
        <v>1340</v>
      </c>
      <c r="U2471" s="1"/>
    </row>
    <row r="2472" ht="15.75" customHeight="1">
      <c r="A2472" s="1" t="s">
        <v>34</v>
      </c>
      <c r="B2472" s="1" t="s">
        <v>403</v>
      </c>
      <c r="C2472" s="1" t="s">
        <v>2011</v>
      </c>
      <c r="U2472" s="1"/>
    </row>
    <row r="2473" ht="15.75" customHeight="1">
      <c r="A2473" s="1" t="s">
        <v>34</v>
      </c>
      <c r="B2473" s="1" t="s">
        <v>403</v>
      </c>
      <c r="C2473" s="1" t="s">
        <v>2012</v>
      </c>
      <c r="U2473" s="1"/>
    </row>
    <row r="2474" ht="15.75" customHeight="1">
      <c r="A2474" s="1" t="s">
        <v>34</v>
      </c>
      <c r="B2474" s="1" t="s">
        <v>403</v>
      </c>
      <c r="C2474" s="1" t="s">
        <v>1562</v>
      </c>
      <c r="U2474" s="1"/>
    </row>
    <row r="2475" ht="15.75" customHeight="1">
      <c r="A2475" s="1" t="s">
        <v>34</v>
      </c>
      <c r="B2475" s="1" t="s">
        <v>403</v>
      </c>
      <c r="C2475" s="1" t="s">
        <v>2013</v>
      </c>
      <c r="U2475" s="1"/>
    </row>
    <row r="2476" ht="15.75" customHeight="1">
      <c r="A2476" s="1" t="s">
        <v>34</v>
      </c>
      <c r="B2476" s="1" t="s">
        <v>997</v>
      </c>
      <c r="C2476" s="1" t="s">
        <v>1572</v>
      </c>
      <c r="U2476" s="1"/>
    </row>
    <row r="2477" ht="15.75" customHeight="1">
      <c r="A2477" s="1" t="s">
        <v>34</v>
      </c>
      <c r="B2477" s="1" t="s">
        <v>997</v>
      </c>
      <c r="C2477" s="1" t="s">
        <v>2014</v>
      </c>
      <c r="U2477" s="1"/>
    </row>
    <row r="2478" ht="15.75" customHeight="1">
      <c r="A2478" s="1" t="s">
        <v>34</v>
      </c>
      <c r="B2478" s="1" t="s">
        <v>1071</v>
      </c>
      <c r="C2478" s="1" t="s">
        <v>1078</v>
      </c>
      <c r="U2478" s="1"/>
    </row>
    <row r="2479" ht="15.75" customHeight="1">
      <c r="A2479" s="1" t="s">
        <v>34</v>
      </c>
      <c r="B2479" s="1" t="s">
        <v>1071</v>
      </c>
      <c r="C2479" s="1" t="s">
        <v>2015</v>
      </c>
      <c r="U2479" s="1"/>
    </row>
    <row r="2480" ht="15.75" customHeight="1">
      <c r="A2480" s="1" t="s">
        <v>34</v>
      </c>
      <c r="B2480" s="1" t="s">
        <v>1093</v>
      </c>
      <c r="C2480" s="1" t="s">
        <v>2016</v>
      </c>
      <c r="U2480" s="1"/>
    </row>
    <row r="2481" ht="15.75" customHeight="1">
      <c r="A2481" s="1" t="s">
        <v>34</v>
      </c>
      <c r="B2481" s="1" t="s">
        <v>1400</v>
      </c>
      <c r="C2481" s="1" t="s">
        <v>1482</v>
      </c>
      <c r="U2481" s="1"/>
    </row>
    <row r="2482" ht="15.75" customHeight="1">
      <c r="A2482" s="1" t="s">
        <v>34</v>
      </c>
      <c r="B2482" s="1" t="s">
        <v>1400</v>
      </c>
      <c r="C2482" s="1" t="s">
        <v>2017</v>
      </c>
      <c r="U2482" s="1"/>
    </row>
    <row r="2483" ht="15.75" customHeight="1">
      <c r="A2483" s="1" t="s">
        <v>37</v>
      </c>
      <c r="B2483" s="1" t="s">
        <v>158</v>
      </c>
      <c r="C2483" s="1" t="s">
        <v>1174</v>
      </c>
      <c r="U2483" s="1"/>
    </row>
    <row r="2484" ht="15.75" customHeight="1">
      <c r="A2484" s="1" t="s">
        <v>37</v>
      </c>
      <c r="B2484" s="1" t="s">
        <v>158</v>
      </c>
      <c r="C2484" s="1" t="s">
        <v>1175</v>
      </c>
      <c r="U2484" s="1"/>
    </row>
    <row r="2485" ht="15.75" customHeight="1">
      <c r="A2485" s="1" t="s">
        <v>37</v>
      </c>
      <c r="B2485" s="1" t="s">
        <v>158</v>
      </c>
      <c r="C2485" s="1" t="s">
        <v>1186</v>
      </c>
      <c r="U2485" s="1"/>
    </row>
    <row r="2486" ht="15.75" customHeight="1">
      <c r="A2486" s="1" t="s">
        <v>37</v>
      </c>
      <c r="B2486" s="1" t="s">
        <v>158</v>
      </c>
      <c r="C2486" s="1" t="s">
        <v>2018</v>
      </c>
      <c r="U2486" s="1"/>
    </row>
    <row r="2487" ht="15.75" customHeight="1">
      <c r="A2487" s="1" t="s">
        <v>37</v>
      </c>
      <c r="B2487" s="1" t="s">
        <v>158</v>
      </c>
      <c r="C2487" s="1" t="s">
        <v>2019</v>
      </c>
      <c r="U2487" s="1"/>
    </row>
    <row r="2488" ht="15.75" customHeight="1">
      <c r="A2488" s="1" t="s">
        <v>37</v>
      </c>
      <c r="B2488" s="1" t="s">
        <v>158</v>
      </c>
      <c r="C2488" s="1" t="s">
        <v>1931</v>
      </c>
      <c r="U2488" s="1"/>
    </row>
    <row r="2489" ht="15.75" customHeight="1">
      <c r="A2489" s="1" t="s">
        <v>37</v>
      </c>
      <c r="B2489" s="1" t="s">
        <v>330</v>
      </c>
      <c r="C2489" s="1" t="s">
        <v>952</v>
      </c>
      <c r="U2489" s="1"/>
    </row>
    <row r="2490" ht="15.75" customHeight="1">
      <c r="A2490" s="1" t="s">
        <v>37</v>
      </c>
      <c r="B2490" s="1" t="s">
        <v>330</v>
      </c>
      <c r="C2490" s="1" t="s">
        <v>2020</v>
      </c>
      <c r="U2490" s="1"/>
    </row>
    <row r="2491" ht="15.75" customHeight="1">
      <c r="A2491" s="1" t="s">
        <v>37</v>
      </c>
      <c r="B2491" s="1" t="s">
        <v>330</v>
      </c>
      <c r="C2491" s="1" t="s">
        <v>2021</v>
      </c>
      <c r="U2491" s="1"/>
    </row>
    <row r="2492" ht="15.75" customHeight="1">
      <c r="A2492" s="1" t="s">
        <v>37</v>
      </c>
      <c r="B2492" s="1" t="s">
        <v>330</v>
      </c>
      <c r="C2492" s="1" t="s">
        <v>2022</v>
      </c>
      <c r="U2492" s="1"/>
    </row>
    <row r="2493" ht="15.75" customHeight="1">
      <c r="A2493" s="1" t="s">
        <v>37</v>
      </c>
      <c r="B2493" s="1" t="s">
        <v>330</v>
      </c>
      <c r="C2493" s="1" t="s">
        <v>2023</v>
      </c>
      <c r="U2493" s="1"/>
    </row>
    <row r="2494" ht="15.75" customHeight="1">
      <c r="A2494" s="1" t="s">
        <v>37</v>
      </c>
      <c r="B2494" s="1" t="s">
        <v>378</v>
      </c>
      <c r="C2494" s="1" t="s">
        <v>2024</v>
      </c>
      <c r="U2494" s="1"/>
    </row>
    <row r="2495" ht="15.75" customHeight="1">
      <c r="A2495" s="1" t="s">
        <v>37</v>
      </c>
      <c r="B2495" s="1" t="s">
        <v>403</v>
      </c>
      <c r="C2495" s="1" t="s">
        <v>2025</v>
      </c>
      <c r="U2495" s="1"/>
    </row>
    <row r="2496" ht="15.75" customHeight="1">
      <c r="A2496" s="1" t="s">
        <v>37</v>
      </c>
      <c r="B2496" s="1" t="s">
        <v>403</v>
      </c>
      <c r="C2496" s="1" t="s">
        <v>2026</v>
      </c>
      <c r="U2496" s="1"/>
    </row>
    <row r="2497" ht="15.75" customHeight="1">
      <c r="A2497" s="1" t="s">
        <v>37</v>
      </c>
      <c r="B2497" s="1" t="s">
        <v>403</v>
      </c>
      <c r="C2497" s="1" t="s">
        <v>2027</v>
      </c>
      <c r="U2497" s="1"/>
    </row>
    <row r="2498" ht="15.75" customHeight="1">
      <c r="A2498" s="1" t="s">
        <v>37</v>
      </c>
      <c r="B2498" s="1" t="s">
        <v>997</v>
      </c>
      <c r="C2498" s="1" t="s">
        <v>1781</v>
      </c>
      <c r="U2498" s="1"/>
    </row>
    <row r="2499" ht="15.75" customHeight="1">
      <c r="A2499" s="1" t="s">
        <v>37</v>
      </c>
      <c r="B2499" s="1" t="s">
        <v>997</v>
      </c>
      <c r="C2499" s="1" t="s">
        <v>1784</v>
      </c>
      <c r="U2499" s="1"/>
    </row>
    <row r="2500" ht="15.75" customHeight="1">
      <c r="A2500" s="1" t="s">
        <v>37</v>
      </c>
      <c r="B2500" s="1" t="s">
        <v>1492</v>
      </c>
      <c r="C2500" s="1" t="s">
        <v>2028</v>
      </c>
      <c r="U2500" s="1"/>
    </row>
    <row r="2501" ht="15.75" customHeight="1">
      <c r="A2501" s="1" t="s">
        <v>37</v>
      </c>
      <c r="B2501" s="1" t="s">
        <v>1492</v>
      </c>
      <c r="C2501" s="1" t="s">
        <v>2029</v>
      </c>
      <c r="U2501" s="1"/>
    </row>
    <row r="2502" ht="15.75" customHeight="1">
      <c r="A2502" s="1" t="s">
        <v>37</v>
      </c>
      <c r="B2502" s="1" t="s">
        <v>1848</v>
      </c>
      <c r="C2502" s="1" t="s">
        <v>2030</v>
      </c>
      <c r="U2502" s="1"/>
    </row>
    <row r="2503" ht="15.75" customHeight="1">
      <c r="A2503" s="1" t="s">
        <v>37</v>
      </c>
      <c r="B2503" s="1" t="s">
        <v>1848</v>
      </c>
      <c r="C2503" s="1" t="s">
        <v>2031</v>
      </c>
      <c r="U2503" s="1"/>
    </row>
    <row r="2504" ht="15.75" customHeight="1">
      <c r="A2504" s="1" t="s">
        <v>40</v>
      </c>
      <c r="B2504" s="1" t="s">
        <v>29</v>
      </c>
      <c r="C2504" s="1" t="s">
        <v>1200</v>
      </c>
      <c r="U2504" s="1"/>
    </row>
    <row r="2505" ht="15.75" customHeight="1">
      <c r="A2505" s="1" t="s">
        <v>40</v>
      </c>
      <c r="B2505" s="1" t="s">
        <v>29</v>
      </c>
      <c r="C2505" s="1" t="s">
        <v>1269</v>
      </c>
      <c r="U2505" s="1"/>
    </row>
    <row r="2506" ht="15.75" customHeight="1">
      <c r="A2506" s="1" t="s">
        <v>40</v>
      </c>
      <c r="B2506" s="1" t="s">
        <v>29</v>
      </c>
      <c r="C2506" s="1" t="s">
        <v>1140</v>
      </c>
      <c r="U2506" s="1"/>
    </row>
    <row r="2507" ht="15.75" customHeight="1">
      <c r="A2507" s="1" t="s">
        <v>40</v>
      </c>
      <c r="B2507" s="1" t="s">
        <v>29</v>
      </c>
      <c r="C2507" s="1" t="s">
        <v>1150</v>
      </c>
      <c r="U2507" s="1"/>
    </row>
    <row r="2508" ht="15.75" customHeight="1">
      <c r="A2508" s="1" t="s">
        <v>40</v>
      </c>
      <c r="B2508" s="1" t="s">
        <v>77</v>
      </c>
      <c r="C2508" s="1" t="s">
        <v>1216</v>
      </c>
      <c r="U2508" s="1"/>
    </row>
    <row r="2509" ht="15.75" customHeight="1">
      <c r="A2509" s="1" t="s">
        <v>40</v>
      </c>
      <c r="B2509" s="1" t="s">
        <v>158</v>
      </c>
      <c r="C2509" s="1" t="s">
        <v>1172</v>
      </c>
      <c r="U2509" s="1"/>
    </row>
    <row r="2510" ht="15.75" customHeight="1">
      <c r="A2510" s="1" t="s">
        <v>40</v>
      </c>
      <c r="B2510" s="1" t="s">
        <v>158</v>
      </c>
      <c r="C2510" s="1" t="s">
        <v>1185</v>
      </c>
      <c r="U2510" s="1"/>
    </row>
    <row r="2511" ht="15.75" customHeight="1">
      <c r="A2511" s="1" t="s">
        <v>40</v>
      </c>
      <c r="B2511" s="1" t="s">
        <v>158</v>
      </c>
      <c r="C2511" s="1" t="s">
        <v>2032</v>
      </c>
      <c r="U2511" s="1"/>
    </row>
    <row r="2512" ht="15.75" customHeight="1">
      <c r="A2512" s="1" t="s">
        <v>40</v>
      </c>
      <c r="B2512" s="1" t="s">
        <v>158</v>
      </c>
      <c r="C2512" s="1" t="s">
        <v>1312</v>
      </c>
      <c r="U2512" s="1"/>
    </row>
    <row r="2513" ht="15.75" customHeight="1">
      <c r="A2513" s="1" t="s">
        <v>40</v>
      </c>
      <c r="B2513" s="1" t="s">
        <v>158</v>
      </c>
      <c r="C2513" s="1" t="s">
        <v>2033</v>
      </c>
      <c r="U2513" s="1"/>
    </row>
    <row r="2514" ht="15.75" customHeight="1">
      <c r="A2514" s="1" t="s">
        <v>40</v>
      </c>
      <c r="B2514" s="1" t="s">
        <v>158</v>
      </c>
      <c r="C2514" s="1" t="s">
        <v>2034</v>
      </c>
      <c r="U2514" s="1"/>
    </row>
    <row r="2515" ht="15.75" customHeight="1">
      <c r="A2515" s="1" t="s">
        <v>40</v>
      </c>
      <c r="B2515" s="1" t="s">
        <v>403</v>
      </c>
      <c r="C2515" s="1" t="s">
        <v>1634</v>
      </c>
      <c r="U2515" s="1"/>
    </row>
    <row r="2516" ht="15.75" customHeight="1">
      <c r="A2516" s="1" t="s">
        <v>40</v>
      </c>
      <c r="B2516" s="1" t="s">
        <v>1071</v>
      </c>
      <c r="C2516" s="1" t="s">
        <v>1073</v>
      </c>
      <c r="U2516" s="1"/>
    </row>
    <row r="2517" ht="15.75" customHeight="1">
      <c r="A2517" s="1" t="s">
        <v>40</v>
      </c>
      <c r="B2517" s="1" t="s">
        <v>1400</v>
      </c>
      <c r="C2517" s="1" t="s">
        <v>1898</v>
      </c>
      <c r="U2517" s="1"/>
    </row>
    <row r="2518" ht="15.75" customHeight="1">
      <c r="A2518" s="1" t="s">
        <v>40</v>
      </c>
      <c r="B2518" s="1" t="s">
        <v>1400</v>
      </c>
      <c r="C2518" s="1" t="s">
        <v>2035</v>
      </c>
      <c r="U2518" s="1"/>
    </row>
    <row r="2519" ht="15.75" customHeight="1">
      <c r="A2519" s="1" t="s">
        <v>40</v>
      </c>
      <c r="B2519" s="1" t="s">
        <v>1425</v>
      </c>
      <c r="C2519" s="1" t="s">
        <v>2036</v>
      </c>
      <c r="U2519" s="1"/>
    </row>
    <row r="2520" ht="15.75" customHeight="1">
      <c r="A2520" s="1" t="s">
        <v>40</v>
      </c>
      <c r="B2520" s="1" t="s">
        <v>1848</v>
      </c>
      <c r="C2520" s="1" t="s">
        <v>2037</v>
      </c>
      <c r="U2520" s="1"/>
    </row>
    <row r="2521" ht="15.75" customHeight="1">
      <c r="A2521" s="1" t="s">
        <v>40</v>
      </c>
      <c r="B2521" s="1" t="s">
        <v>1763</v>
      </c>
      <c r="C2521" s="1" t="s">
        <v>2038</v>
      </c>
      <c r="U2521" s="1"/>
    </row>
    <row r="2522" ht="15.75" customHeight="1">
      <c r="A2522" s="1" t="s">
        <v>40</v>
      </c>
      <c r="B2522" s="1" t="s">
        <v>1883</v>
      </c>
      <c r="C2522" s="1" t="s">
        <v>2039</v>
      </c>
      <c r="U2522" s="1"/>
    </row>
    <row r="2523" ht="15.75" customHeight="1">
      <c r="A2523" s="1" t="s">
        <v>40</v>
      </c>
      <c r="B2523" s="1" t="s">
        <v>1883</v>
      </c>
      <c r="C2523" s="1" t="s">
        <v>2040</v>
      </c>
      <c r="U2523" s="1"/>
    </row>
    <row r="2524" ht="15.75" customHeight="1">
      <c r="A2524" s="1" t="s">
        <v>40</v>
      </c>
      <c r="B2524" s="1" t="s">
        <v>1888</v>
      </c>
      <c r="C2524" s="1" t="s">
        <v>2041</v>
      </c>
      <c r="U2524" s="1"/>
    </row>
    <row r="2525" ht="15.75" customHeight="1">
      <c r="A2525" s="1" t="s">
        <v>42</v>
      </c>
      <c r="B2525" s="1" t="s">
        <v>6</v>
      </c>
      <c r="C2525" s="1" t="s">
        <v>1119</v>
      </c>
      <c r="U2525" s="1"/>
    </row>
    <row r="2526" ht="15.75" customHeight="1">
      <c r="A2526" s="1" t="s">
        <v>42</v>
      </c>
      <c r="B2526" s="1" t="s">
        <v>29</v>
      </c>
      <c r="C2526" s="1" t="s">
        <v>1127</v>
      </c>
      <c r="U2526" s="1"/>
    </row>
    <row r="2527" ht="15.75" customHeight="1">
      <c r="A2527" s="1" t="s">
        <v>42</v>
      </c>
      <c r="B2527" s="1" t="s">
        <v>29</v>
      </c>
      <c r="C2527" s="1" t="s">
        <v>1259</v>
      </c>
      <c r="U2527" s="1"/>
    </row>
    <row r="2528" ht="15.75" customHeight="1">
      <c r="A2528" s="1" t="s">
        <v>42</v>
      </c>
      <c r="B2528" s="1" t="s">
        <v>29</v>
      </c>
      <c r="C2528" s="1" t="s">
        <v>1132</v>
      </c>
      <c r="U2528" s="1"/>
    </row>
    <row r="2529" ht="15.75" customHeight="1">
      <c r="A2529" s="1" t="s">
        <v>42</v>
      </c>
      <c r="B2529" s="1" t="s">
        <v>77</v>
      </c>
      <c r="C2529" s="1" t="s">
        <v>1281</v>
      </c>
      <c r="U2529" s="1"/>
    </row>
    <row r="2530" ht="15.75" customHeight="1">
      <c r="A2530" s="1" t="s">
        <v>42</v>
      </c>
      <c r="B2530" s="1" t="s">
        <v>77</v>
      </c>
      <c r="C2530" s="1" t="s">
        <v>493</v>
      </c>
      <c r="U2530" s="1"/>
    </row>
    <row r="2531" ht="15.75" customHeight="1">
      <c r="A2531" s="1" t="s">
        <v>42</v>
      </c>
      <c r="B2531" s="1" t="s">
        <v>158</v>
      </c>
      <c r="C2531" s="1" t="s">
        <v>536</v>
      </c>
      <c r="U2531" s="1"/>
    </row>
    <row r="2532" ht="15.75" customHeight="1">
      <c r="A2532" s="1" t="s">
        <v>42</v>
      </c>
      <c r="B2532" s="1" t="s">
        <v>330</v>
      </c>
      <c r="C2532" s="1" t="s">
        <v>702</v>
      </c>
      <c r="U2532" s="1"/>
    </row>
    <row r="2533" ht="15.75" customHeight="1">
      <c r="A2533" s="1" t="s">
        <v>42</v>
      </c>
      <c r="B2533" s="1" t="s">
        <v>403</v>
      </c>
      <c r="C2533" s="1" t="s">
        <v>1776</v>
      </c>
      <c r="U2533" s="1"/>
    </row>
    <row r="2534" ht="15.75" customHeight="1">
      <c r="A2534" s="1" t="s">
        <v>42</v>
      </c>
      <c r="B2534" s="1" t="s">
        <v>997</v>
      </c>
      <c r="C2534" s="1" t="s">
        <v>1354</v>
      </c>
      <c r="U2534" s="1"/>
    </row>
    <row r="2535" ht="15.75" customHeight="1">
      <c r="A2535" s="1" t="s">
        <v>42</v>
      </c>
      <c r="B2535" s="1" t="s">
        <v>997</v>
      </c>
      <c r="C2535" s="1" t="s">
        <v>2042</v>
      </c>
      <c r="U2535" s="1"/>
    </row>
    <row r="2536" ht="15.75" customHeight="1">
      <c r="A2536" s="1" t="s">
        <v>42</v>
      </c>
      <c r="B2536" s="1" t="s">
        <v>1425</v>
      </c>
      <c r="C2536" s="1" t="s">
        <v>2043</v>
      </c>
      <c r="U2536" s="1"/>
    </row>
    <row r="2537" ht="15.75" customHeight="1">
      <c r="A2537" s="1" t="s">
        <v>42</v>
      </c>
      <c r="B2537" s="1" t="s">
        <v>1492</v>
      </c>
      <c r="C2537" s="1" t="s">
        <v>2044</v>
      </c>
      <c r="U2537" s="1"/>
    </row>
    <row r="2538" ht="15.75" customHeight="1">
      <c r="A2538" s="1" t="s">
        <v>42</v>
      </c>
      <c r="B2538" s="1" t="s">
        <v>1748</v>
      </c>
      <c r="C2538" s="1" t="s">
        <v>2045</v>
      </c>
      <c r="U2538" s="1"/>
    </row>
    <row r="2539" ht="15.75" customHeight="1">
      <c r="A2539" s="1" t="s">
        <v>42</v>
      </c>
      <c r="B2539" s="1" t="s">
        <v>1748</v>
      </c>
      <c r="C2539" s="1" t="s">
        <v>2046</v>
      </c>
      <c r="U2539" s="1"/>
    </row>
    <row r="2540" ht="15.75" customHeight="1">
      <c r="A2540" s="1" t="s">
        <v>42</v>
      </c>
      <c r="B2540" s="1" t="s">
        <v>1748</v>
      </c>
      <c r="C2540" s="1" t="s">
        <v>2047</v>
      </c>
      <c r="U2540" s="1"/>
    </row>
    <row r="2541" ht="15.75" customHeight="1">
      <c r="A2541" s="1" t="s">
        <v>42</v>
      </c>
      <c r="B2541" s="1" t="s">
        <v>1748</v>
      </c>
      <c r="C2541" s="1" t="s">
        <v>2048</v>
      </c>
      <c r="U2541" s="1"/>
    </row>
    <row r="2542" ht="15.75" customHeight="1">
      <c r="A2542" s="1" t="s">
        <v>42</v>
      </c>
      <c r="B2542" s="1" t="s">
        <v>1748</v>
      </c>
      <c r="C2542" s="1" t="s">
        <v>2049</v>
      </c>
      <c r="U2542" s="1"/>
    </row>
    <row r="2543" ht="15.75" customHeight="1">
      <c r="A2543" s="1" t="s">
        <v>42</v>
      </c>
      <c r="B2543" s="1" t="s">
        <v>1748</v>
      </c>
      <c r="C2543" s="1" t="s">
        <v>2050</v>
      </c>
      <c r="U2543" s="1"/>
    </row>
    <row r="2544" ht="15.75" customHeight="1">
      <c r="A2544" s="1" t="s">
        <v>42</v>
      </c>
      <c r="B2544" s="1" t="s">
        <v>1748</v>
      </c>
      <c r="C2544" s="1" t="s">
        <v>2051</v>
      </c>
      <c r="U2544" s="1"/>
    </row>
    <row r="2545" ht="15.75" customHeight="1">
      <c r="A2545" s="1" t="s">
        <v>44</v>
      </c>
      <c r="B2545" s="1" t="s">
        <v>6</v>
      </c>
      <c r="C2545" s="1" t="s">
        <v>10</v>
      </c>
      <c r="U2545" s="1"/>
    </row>
    <row r="2546" ht="15.75" customHeight="1">
      <c r="A2546" s="1" t="s">
        <v>44</v>
      </c>
      <c r="B2546" s="1" t="s">
        <v>29</v>
      </c>
      <c r="C2546" s="1" t="s">
        <v>1012</v>
      </c>
      <c r="U2546" s="1"/>
    </row>
    <row r="2547" ht="15.75" customHeight="1">
      <c r="A2547" s="1" t="s">
        <v>44</v>
      </c>
      <c r="B2547" s="1" t="s">
        <v>77</v>
      </c>
      <c r="C2547" s="1" t="s">
        <v>84</v>
      </c>
      <c r="U2547" s="1"/>
    </row>
    <row r="2548" ht="15.75" customHeight="1">
      <c r="A2548" s="1" t="s">
        <v>44</v>
      </c>
      <c r="B2548" s="1" t="s">
        <v>77</v>
      </c>
      <c r="C2548" s="1" t="s">
        <v>1017</v>
      </c>
      <c r="U2548" s="1"/>
    </row>
    <row r="2549" ht="15.75" customHeight="1">
      <c r="A2549" s="1" t="s">
        <v>44</v>
      </c>
      <c r="B2549" s="1" t="s">
        <v>77</v>
      </c>
      <c r="C2549" s="1" t="s">
        <v>146</v>
      </c>
      <c r="U2549" s="1"/>
    </row>
    <row r="2550" ht="15.75" customHeight="1">
      <c r="A2550" s="1" t="s">
        <v>44</v>
      </c>
      <c r="B2550" s="1" t="s">
        <v>158</v>
      </c>
      <c r="C2550" s="1" t="s">
        <v>167</v>
      </c>
      <c r="U2550" s="1"/>
    </row>
    <row r="2551" ht="15.75" customHeight="1">
      <c r="A2551" s="1" t="s">
        <v>44</v>
      </c>
      <c r="B2551" s="1" t="s">
        <v>158</v>
      </c>
      <c r="C2551" s="1" t="s">
        <v>219</v>
      </c>
      <c r="U2551" s="1"/>
    </row>
    <row r="2552" ht="15.75" customHeight="1">
      <c r="A2552" s="1" t="s">
        <v>44</v>
      </c>
      <c r="B2552" s="1" t="s">
        <v>330</v>
      </c>
      <c r="C2552" s="1" t="s">
        <v>690</v>
      </c>
      <c r="U2552" s="1"/>
    </row>
    <row r="2553" ht="15.75" customHeight="1">
      <c r="A2553" s="1" t="s">
        <v>44</v>
      </c>
      <c r="B2553" s="1" t="s">
        <v>330</v>
      </c>
      <c r="C2553" s="1" t="s">
        <v>692</v>
      </c>
      <c r="U2553" s="1"/>
    </row>
    <row r="2554" ht="15.75" customHeight="1">
      <c r="A2554" s="1" t="s">
        <v>44</v>
      </c>
      <c r="B2554" s="1" t="s">
        <v>330</v>
      </c>
      <c r="C2554" s="1" t="s">
        <v>694</v>
      </c>
      <c r="U2554" s="1"/>
    </row>
    <row r="2555" ht="15.75" customHeight="1">
      <c r="A2555" s="1" t="s">
        <v>44</v>
      </c>
      <c r="B2555" s="1" t="s">
        <v>330</v>
      </c>
      <c r="C2555" s="1" t="s">
        <v>719</v>
      </c>
      <c r="U2555" s="1"/>
    </row>
    <row r="2556" ht="15.75" customHeight="1">
      <c r="A2556" s="1" t="s">
        <v>44</v>
      </c>
      <c r="B2556" s="1" t="s">
        <v>330</v>
      </c>
      <c r="C2556" s="1" t="s">
        <v>721</v>
      </c>
      <c r="U2556" s="1"/>
    </row>
    <row r="2557" ht="15.75" customHeight="1">
      <c r="A2557" s="1" t="s">
        <v>44</v>
      </c>
      <c r="B2557" s="1" t="s">
        <v>330</v>
      </c>
      <c r="C2557" s="1" t="s">
        <v>1032</v>
      </c>
      <c r="U2557" s="1"/>
    </row>
    <row r="2558" ht="15.75" customHeight="1">
      <c r="A2558" s="1" t="s">
        <v>44</v>
      </c>
      <c r="B2558" s="1" t="s">
        <v>330</v>
      </c>
      <c r="C2558" s="1" t="s">
        <v>725</v>
      </c>
      <c r="U2558" s="1"/>
    </row>
    <row r="2559" ht="15.75" customHeight="1">
      <c r="A2559" s="1" t="s">
        <v>44</v>
      </c>
      <c r="B2559" s="1" t="s">
        <v>378</v>
      </c>
      <c r="C2559" s="1" t="s">
        <v>731</v>
      </c>
      <c r="U2559" s="1"/>
    </row>
    <row r="2560" ht="15.75" customHeight="1">
      <c r="A2560" s="1" t="s">
        <v>44</v>
      </c>
      <c r="B2560" s="1" t="s">
        <v>378</v>
      </c>
      <c r="C2560" s="1" t="s">
        <v>734</v>
      </c>
      <c r="U2560" s="1"/>
    </row>
    <row r="2561" ht="15.75" customHeight="1">
      <c r="A2561" s="1" t="s">
        <v>44</v>
      </c>
      <c r="B2561" s="1" t="s">
        <v>403</v>
      </c>
      <c r="C2561" s="1" t="s">
        <v>750</v>
      </c>
      <c r="U2561" s="1"/>
    </row>
    <row r="2562" ht="15.75" customHeight="1">
      <c r="A2562" s="1" t="s">
        <v>44</v>
      </c>
      <c r="B2562" s="1" t="s">
        <v>403</v>
      </c>
      <c r="C2562" s="1" t="s">
        <v>754</v>
      </c>
      <c r="U2562" s="1"/>
    </row>
    <row r="2563" ht="15.75" customHeight="1">
      <c r="A2563" s="1" t="s">
        <v>44</v>
      </c>
      <c r="B2563" s="1" t="s">
        <v>403</v>
      </c>
      <c r="C2563" s="1" t="s">
        <v>1562</v>
      </c>
      <c r="U2563" s="1"/>
    </row>
    <row r="2564" ht="15.75" customHeight="1">
      <c r="A2564" s="1" t="s">
        <v>44</v>
      </c>
      <c r="B2564" s="1" t="s">
        <v>1071</v>
      </c>
      <c r="C2564" s="1" t="s">
        <v>1084</v>
      </c>
      <c r="U2564" s="1"/>
    </row>
    <row r="2565" ht="15.75" customHeight="1">
      <c r="A2565" s="1" t="s">
        <v>46</v>
      </c>
      <c r="B2565" s="1" t="s">
        <v>6</v>
      </c>
      <c r="C2565" s="1" t="s">
        <v>1123</v>
      </c>
      <c r="U2565" s="1"/>
    </row>
    <row r="2566" ht="15.75" customHeight="1">
      <c r="A2566" s="1" t="s">
        <v>46</v>
      </c>
      <c r="B2566" s="1" t="s">
        <v>29</v>
      </c>
      <c r="C2566" s="1" t="s">
        <v>1125</v>
      </c>
      <c r="U2566" s="1"/>
    </row>
    <row r="2567" ht="15.75" customHeight="1">
      <c r="A2567" s="1" t="s">
        <v>46</v>
      </c>
      <c r="B2567" s="1" t="s">
        <v>29</v>
      </c>
      <c r="C2567" s="1" t="s">
        <v>1140</v>
      </c>
      <c r="U2567" s="1"/>
    </row>
    <row r="2568" ht="15.75" customHeight="1">
      <c r="A2568" s="1" t="s">
        <v>46</v>
      </c>
      <c r="B2568" s="1" t="s">
        <v>29</v>
      </c>
      <c r="C2568" s="1" t="s">
        <v>1150</v>
      </c>
      <c r="U2568" s="1"/>
    </row>
    <row r="2569" ht="15.75" customHeight="1">
      <c r="A2569" s="1" t="s">
        <v>46</v>
      </c>
      <c r="B2569" s="1" t="s">
        <v>77</v>
      </c>
      <c r="C2569" s="1" t="s">
        <v>1299</v>
      </c>
      <c r="U2569" s="1"/>
    </row>
    <row r="2570" ht="15.75" customHeight="1">
      <c r="A2570" s="1" t="s">
        <v>46</v>
      </c>
      <c r="B2570" s="1" t="s">
        <v>158</v>
      </c>
      <c r="C2570" s="1" t="s">
        <v>1307</v>
      </c>
      <c r="U2570" s="1"/>
    </row>
    <row r="2571" ht="15.75" customHeight="1">
      <c r="A2571" s="1" t="s">
        <v>46</v>
      </c>
      <c r="B2571" s="1" t="s">
        <v>158</v>
      </c>
      <c r="C2571" s="1" t="s">
        <v>1314</v>
      </c>
      <c r="U2571" s="1"/>
    </row>
    <row r="2572" ht="15.75" customHeight="1">
      <c r="A2572" s="1" t="s">
        <v>46</v>
      </c>
      <c r="B2572" s="1" t="s">
        <v>158</v>
      </c>
      <c r="C2572" s="1" t="s">
        <v>1025</v>
      </c>
      <c r="U2572" s="1"/>
    </row>
    <row r="2573" ht="15.75" customHeight="1">
      <c r="A2573" s="1" t="s">
        <v>46</v>
      </c>
      <c r="B2573" s="1" t="s">
        <v>158</v>
      </c>
      <c r="C2573" s="1" t="s">
        <v>1319</v>
      </c>
      <c r="U2573" s="1"/>
    </row>
    <row r="2574" ht="15.75" customHeight="1">
      <c r="A2574" s="1" t="s">
        <v>46</v>
      </c>
      <c r="B2574" s="1" t="s">
        <v>330</v>
      </c>
      <c r="C2574" s="1" t="s">
        <v>1329</v>
      </c>
      <c r="U2574" s="1"/>
    </row>
    <row r="2575" ht="15.75" customHeight="1">
      <c r="A2575" s="1" t="s">
        <v>46</v>
      </c>
      <c r="B2575" s="1" t="s">
        <v>330</v>
      </c>
      <c r="C2575" s="1" t="s">
        <v>1330</v>
      </c>
      <c r="U2575" s="1"/>
    </row>
    <row r="2576" ht="15.75" customHeight="1">
      <c r="A2576" s="1" t="s">
        <v>46</v>
      </c>
      <c r="B2576" s="1" t="s">
        <v>330</v>
      </c>
      <c r="C2576" s="1" t="s">
        <v>1331</v>
      </c>
      <c r="U2576" s="1"/>
    </row>
    <row r="2577" ht="15.75" customHeight="1">
      <c r="A2577" s="1" t="s">
        <v>46</v>
      </c>
      <c r="B2577" s="1" t="s">
        <v>378</v>
      </c>
      <c r="C2577" s="1" t="s">
        <v>1334</v>
      </c>
      <c r="U2577" s="1"/>
    </row>
    <row r="2578" ht="15.75" customHeight="1">
      <c r="A2578" s="1" t="s">
        <v>46</v>
      </c>
      <c r="B2578" s="1" t="s">
        <v>378</v>
      </c>
      <c r="C2578" s="1" t="s">
        <v>2052</v>
      </c>
      <c r="U2578" s="1"/>
    </row>
    <row r="2579" ht="15.75" customHeight="1">
      <c r="A2579" s="1" t="s">
        <v>46</v>
      </c>
      <c r="B2579" s="1" t="s">
        <v>378</v>
      </c>
      <c r="C2579" s="1" t="s">
        <v>1338</v>
      </c>
      <c r="U2579" s="1"/>
    </row>
    <row r="2580" ht="15.75" customHeight="1">
      <c r="A2580" s="1" t="s">
        <v>46</v>
      </c>
      <c r="B2580" s="1" t="s">
        <v>378</v>
      </c>
      <c r="C2580" s="1" t="s">
        <v>2053</v>
      </c>
      <c r="U2580" s="1"/>
    </row>
    <row r="2581" ht="15.75" customHeight="1">
      <c r="A2581" s="1" t="s">
        <v>46</v>
      </c>
      <c r="B2581" s="1" t="s">
        <v>378</v>
      </c>
      <c r="C2581" s="1" t="s">
        <v>2054</v>
      </c>
      <c r="U2581" s="1"/>
    </row>
    <row r="2582" ht="15.75" customHeight="1">
      <c r="A2582" s="1" t="s">
        <v>46</v>
      </c>
      <c r="B2582" s="1" t="s">
        <v>403</v>
      </c>
      <c r="C2582" s="1" t="s">
        <v>2055</v>
      </c>
      <c r="U2582" s="1"/>
    </row>
    <row r="2583" ht="15.75" customHeight="1">
      <c r="A2583" s="1" t="s">
        <v>46</v>
      </c>
      <c r="B2583" s="1" t="s">
        <v>1071</v>
      </c>
      <c r="C2583" s="1" t="s">
        <v>1557</v>
      </c>
      <c r="U2583" s="1"/>
    </row>
    <row r="2584" ht="15.75" customHeight="1">
      <c r="A2584" s="1" t="s">
        <v>46</v>
      </c>
      <c r="B2584" s="1" t="s">
        <v>1492</v>
      </c>
      <c r="C2584" s="1" t="s">
        <v>2056</v>
      </c>
      <c r="U2584" s="1"/>
    </row>
    <row r="2585" ht="15.75" customHeight="1">
      <c r="A2585" s="1" t="s">
        <v>48</v>
      </c>
      <c r="B2585" s="1" t="s">
        <v>29</v>
      </c>
      <c r="C2585" s="1" t="s">
        <v>1199</v>
      </c>
      <c r="U2585" s="1"/>
    </row>
    <row r="2586" ht="15.75" customHeight="1">
      <c r="A2586" s="1" t="s">
        <v>48</v>
      </c>
      <c r="B2586" s="1" t="s">
        <v>29</v>
      </c>
      <c r="C2586" s="1" t="s">
        <v>1589</v>
      </c>
      <c r="U2586" s="1"/>
    </row>
    <row r="2587" ht="15.75" customHeight="1">
      <c r="A2587" s="1" t="s">
        <v>48</v>
      </c>
      <c r="B2587" s="1" t="s">
        <v>77</v>
      </c>
      <c r="C2587" s="1" t="s">
        <v>1284</v>
      </c>
      <c r="U2587" s="1"/>
    </row>
    <row r="2588" ht="15.75" customHeight="1">
      <c r="A2588" s="1" t="s">
        <v>48</v>
      </c>
      <c r="B2588" s="1" t="s">
        <v>77</v>
      </c>
      <c r="C2588" s="1" t="s">
        <v>936</v>
      </c>
      <c r="U2588" s="1"/>
    </row>
    <row r="2589" ht="15.75" customHeight="1">
      <c r="A2589" s="1" t="s">
        <v>48</v>
      </c>
      <c r="B2589" s="1" t="s">
        <v>158</v>
      </c>
      <c r="C2589" s="1" t="s">
        <v>939</v>
      </c>
      <c r="U2589" s="1"/>
    </row>
    <row r="2590" ht="15.75" customHeight="1">
      <c r="A2590" s="1" t="s">
        <v>48</v>
      </c>
      <c r="B2590" s="1" t="s">
        <v>330</v>
      </c>
      <c r="C2590" s="1" t="s">
        <v>957</v>
      </c>
      <c r="U2590" s="1"/>
    </row>
    <row r="2591" ht="15.75" customHeight="1">
      <c r="A2591" s="1" t="s">
        <v>48</v>
      </c>
      <c r="B2591" s="1" t="s">
        <v>330</v>
      </c>
      <c r="C2591" s="1" t="s">
        <v>1620</v>
      </c>
      <c r="U2591" s="1"/>
    </row>
    <row r="2592" ht="15.75" customHeight="1">
      <c r="A2592" s="1" t="s">
        <v>48</v>
      </c>
      <c r="B2592" s="1" t="s">
        <v>330</v>
      </c>
      <c r="C2592" s="1" t="s">
        <v>1621</v>
      </c>
      <c r="U2592" s="1"/>
    </row>
    <row r="2593" ht="15.75" customHeight="1">
      <c r="A2593" s="1" t="s">
        <v>48</v>
      </c>
      <c r="B2593" s="1" t="s">
        <v>378</v>
      </c>
      <c r="C2593" s="1" t="s">
        <v>965</v>
      </c>
      <c r="U2593" s="1"/>
    </row>
    <row r="2594" ht="15.75" customHeight="1">
      <c r="A2594" s="1" t="s">
        <v>48</v>
      </c>
      <c r="B2594" s="1" t="s">
        <v>378</v>
      </c>
      <c r="C2594" s="1" t="s">
        <v>572</v>
      </c>
      <c r="U2594" s="1"/>
    </row>
    <row r="2595" ht="15.75" customHeight="1">
      <c r="A2595" s="1" t="s">
        <v>48</v>
      </c>
      <c r="B2595" s="1" t="s">
        <v>378</v>
      </c>
      <c r="C2595" s="1" t="s">
        <v>1624</v>
      </c>
      <c r="U2595" s="1"/>
    </row>
    <row r="2596" ht="15.75" customHeight="1">
      <c r="A2596" s="1" t="s">
        <v>48</v>
      </c>
      <c r="B2596" s="1" t="s">
        <v>378</v>
      </c>
      <c r="C2596" s="1" t="s">
        <v>1631</v>
      </c>
      <c r="U2596" s="1"/>
    </row>
    <row r="2597" ht="15.75" customHeight="1">
      <c r="A2597" s="1" t="s">
        <v>48</v>
      </c>
      <c r="B2597" s="1" t="s">
        <v>378</v>
      </c>
      <c r="C2597" s="1" t="s">
        <v>2057</v>
      </c>
      <c r="U2597" s="1"/>
    </row>
    <row r="2598" ht="15.75" customHeight="1">
      <c r="A2598" s="1" t="s">
        <v>48</v>
      </c>
      <c r="B2598" s="1" t="s">
        <v>378</v>
      </c>
      <c r="C2598" s="1" t="s">
        <v>977</v>
      </c>
      <c r="U2598" s="1"/>
    </row>
    <row r="2599" ht="15.75" customHeight="1">
      <c r="A2599" s="1" t="s">
        <v>48</v>
      </c>
      <c r="B2599" s="1" t="s">
        <v>403</v>
      </c>
      <c r="C2599" s="1" t="s">
        <v>2058</v>
      </c>
      <c r="U2599" s="1"/>
    </row>
    <row r="2600" ht="15.75" customHeight="1">
      <c r="A2600" s="1" t="s">
        <v>48</v>
      </c>
      <c r="B2600" s="1" t="s">
        <v>403</v>
      </c>
      <c r="C2600" s="1" t="s">
        <v>1636</v>
      </c>
      <c r="U2600" s="1"/>
    </row>
    <row r="2601" ht="15.75" customHeight="1">
      <c r="A2601" s="1" t="s">
        <v>48</v>
      </c>
      <c r="B2601" s="1" t="s">
        <v>997</v>
      </c>
      <c r="C2601" s="1" t="s">
        <v>1057</v>
      </c>
      <c r="U2601" s="1"/>
    </row>
    <row r="2602" ht="15.75" customHeight="1">
      <c r="A2602" s="1" t="s">
        <v>48</v>
      </c>
      <c r="B2602" s="1" t="s">
        <v>1071</v>
      </c>
      <c r="C2602" s="1" t="s">
        <v>2059</v>
      </c>
      <c r="U2602" s="1"/>
    </row>
    <row r="2603" ht="15.75" customHeight="1">
      <c r="A2603" s="1" t="s">
        <v>48</v>
      </c>
      <c r="B2603" s="1" t="s">
        <v>1410</v>
      </c>
      <c r="C2603" s="1" t="s">
        <v>2060</v>
      </c>
      <c r="U2603" s="1"/>
    </row>
    <row r="2604" ht="15.75" customHeight="1">
      <c r="A2604" s="1" t="s">
        <v>51</v>
      </c>
      <c r="B2604" s="1" t="s">
        <v>158</v>
      </c>
      <c r="C2604" s="1" t="s">
        <v>939</v>
      </c>
      <c r="U2604" s="1"/>
    </row>
    <row r="2605" ht="15.75" customHeight="1">
      <c r="A2605" s="1" t="s">
        <v>51</v>
      </c>
      <c r="B2605" s="1" t="s">
        <v>1400</v>
      </c>
      <c r="C2605" s="1" t="s">
        <v>1482</v>
      </c>
      <c r="U2605" s="1"/>
    </row>
    <row r="2606" ht="15.75" customHeight="1">
      <c r="A2606" s="1" t="s">
        <v>51</v>
      </c>
      <c r="B2606" s="1" t="s">
        <v>1848</v>
      </c>
      <c r="C2606" s="1" t="s">
        <v>2061</v>
      </c>
      <c r="U2606" s="1"/>
    </row>
    <row r="2607" ht="15.75" customHeight="1">
      <c r="A2607" s="1" t="s">
        <v>51</v>
      </c>
      <c r="B2607" s="1" t="s">
        <v>1848</v>
      </c>
      <c r="C2607" s="1" t="s">
        <v>2062</v>
      </c>
      <c r="U2607" s="1"/>
    </row>
    <row r="2608" ht="15.75" customHeight="1">
      <c r="A2608" s="1" t="s">
        <v>54</v>
      </c>
      <c r="B2608" s="1" t="s">
        <v>29</v>
      </c>
      <c r="C2608" s="1" t="s">
        <v>1270</v>
      </c>
      <c r="U2608" s="1"/>
    </row>
    <row r="2609" ht="15.75" customHeight="1">
      <c r="A2609" s="1" t="s">
        <v>54</v>
      </c>
      <c r="B2609" s="1" t="s">
        <v>29</v>
      </c>
      <c r="C2609" s="1" t="s">
        <v>1203</v>
      </c>
      <c r="U2609" s="1"/>
    </row>
    <row r="2610" ht="15.75" customHeight="1">
      <c r="A2610" s="1" t="s">
        <v>54</v>
      </c>
      <c r="B2610" s="1" t="s">
        <v>29</v>
      </c>
      <c r="C2610" s="1" t="s">
        <v>1150</v>
      </c>
      <c r="U2610" s="1"/>
    </row>
    <row r="2611" ht="15.75" customHeight="1">
      <c r="A2611" s="1" t="s">
        <v>54</v>
      </c>
      <c r="B2611" s="1" t="s">
        <v>77</v>
      </c>
      <c r="C2611" s="1" t="s">
        <v>88</v>
      </c>
      <c r="U2611" s="1"/>
    </row>
    <row r="2612" ht="15.75" customHeight="1">
      <c r="A2612" s="1" t="s">
        <v>54</v>
      </c>
      <c r="B2612" s="1" t="s">
        <v>77</v>
      </c>
      <c r="C2612" s="1" t="s">
        <v>1283</v>
      </c>
      <c r="U2612" s="1"/>
    </row>
    <row r="2613" ht="15.75" customHeight="1">
      <c r="A2613" s="1" t="s">
        <v>54</v>
      </c>
      <c r="B2613" s="1" t="s">
        <v>77</v>
      </c>
      <c r="C2613" s="1" t="s">
        <v>1288</v>
      </c>
      <c r="U2613" s="1"/>
    </row>
    <row r="2614" ht="15.75" customHeight="1">
      <c r="A2614" s="1" t="s">
        <v>54</v>
      </c>
      <c r="B2614" s="1" t="s">
        <v>158</v>
      </c>
      <c r="C2614" s="1" t="s">
        <v>1184</v>
      </c>
      <c r="U2614" s="1"/>
    </row>
    <row r="2615" ht="15.75" customHeight="1">
      <c r="A2615" s="1" t="s">
        <v>54</v>
      </c>
      <c r="B2615" s="1" t="s">
        <v>330</v>
      </c>
      <c r="C2615" s="1" t="s">
        <v>2063</v>
      </c>
      <c r="U2615" s="1"/>
    </row>
    <row r="2616" ht="15.75" customHeight="1">
      <c r="A2616" s="1" t="s">
        <v>54</v>
      </c>
      <c r="B2616" s="1" t="s">
        <v>330</v>
      </c>
      <c r="C2616" s="1" t="s">
        <v>957</v>
      </c>
      <c r="U2616" s="1"/>
    </row>
    <row r="2617" ht="15.75" customHeight="1">
      <c r="A2617" s="1" t="s">
        <v>54</v>
      </c>
      <c r="B2617" s="1" t="s">
        <v>330</v>
      </c>
      <c r="C2617" s="1" t="s">
        <v>1622</v>
      </c>
      <c r="U2617" s="1"/>
    </row>
    <row r="2618" ht="15.75" customHeight="1">
      <c r="A2618" s="1" t="s">
        <v>54</v>
      </c>
      <c r="B2618" s="1" t="s">
        <v>378</v>
      </c>
      <c r="C2618" s="1" t="s">
        <v>1628</v>
      </c>
      <c r="U2618" s="1"/>
    </row>
    <row r="2619" ht="15.75" customHeight="1">
      <c r="A2619" s="1" t="s">
        <v>54</v>
      </c>
      <c r="B2619" s="1" t="s">
        <v>378</v>
      </c>
      <c r="C2619" s="1" t="s">
        <v>2064</v>
      </c>
      <c r="U2619" s="1"/>
    </row>
    <row r="2620" ht="15.75" customHeight="1">
      <c r="A2620" s="1" t="s">
        <v>54</v>
      </c>
      <c r="B2620" s="1" t="s">
        <v>378</v>
      </c>
      <c r="C2620" s="1" t="s">
        <v>1630</v>
      </c>
      <c r="U2620" s="1"/>
    </row>
    <row r="2621" ht="15.75" customHeight="1">
      <c r="A2621" s="1" t="s">
        <v>54</v>
      </c>
      <c r="B2621" s="1" t="s">
        <v>1071</v>
      </c>
      <c r="C2621" s="1" t="s">
        <v>2065</v>
      </c>
      <c r="U2621" s="1"/>
    </row>
    <row r="2622" ht="15.75" customHeight="1">
      <c r="A2622" s="1" t="s">
        <v>54</v>
      </c>
      <c r="B2622" s="1" t="s">
        <v>1071</v>
      </c>
      <c r="C2622" s="1" t="s">
        <v>1089</v>
      </c>
      <c r="U2622" s="1"/>
    </row>
    <row r="2623" ht="15.75" customHeight="1">
      <c r="A2623" s="1" t="s">
        <v>54</v>
      </c>
      <c r="B2623" s="1" t="s">
        <v>1071</v>
      </c>
      <c r="C2623" s="1" t="s">
        <v>2066</v>
      </c>
      <c r="U2623" s="1"/>
    </row>
    <row r="2624" ht="15.75" customHeight="1">
      <c r="A2624" s="1" t="s">
        <v>54</v>
      </c>
      <c r="B2624" s="1" t="s">
        <v>1748</v>
      </c>
      <c r="C2624" s="1" t="s">
        <v>1762</v>
      </c>
      <c r="U2624" s="1"/>
    </row>
    <row r="2625" ht="15.75" customHeight="1">
      <c r="A2625" s="1" t="s">
        <v>56</v>
      </c>
      <c r="B2625" s="1" t="s">
        <v>77</v>
      </c>
      <c r="C2625" s="1" t="s">
        <v>1598</v>
      </c>
      <c r="U2625" s="1"/>
    </row>
    <row r="2626" ht="15.75" customHeight="1">
      <c r="A2626" s="1" t="s">
        <v>56</v>
      </c>
      <c r="B2626" s="1" t="s">
        <v>158</v>
      </c>
      <c r="C2626" s="1" t="s">
        <v>1019</v>
      </c>
      <c r="U2626" s="1"/>
    </row>
    <row r="2627" ht="15.75" customHeight="1">
      <c r="A2627" s="1" t="s">
        <v>56</v>
      </c>
      <c r="B2627" s="1" t="s">
        <v>330</v>
      </c>
      <c r="C2627" s="1" t="s">
        <v>957</v>
      </c>
      <c r="U2627" s="1"/>
    </row>
    <row r="2628" ht="15.75" customHeight="1">
      <c r="A2628" s="1" t="s">
        <v>56</v>
      </c>
      <c r="B2628" s="1" t="s">
        <v>330</v>
      </c>
      <c r="C2628" s="1" t="s">
        <v>2067</v>
      </c>
      <c r="U2628" s="1"/>
    </row>
    <row r="2629" ht="15.75" customHeight="1">
      <c r="A2629" s="1" t="s">
        <v>56</v>
      </c>
      <c r="B2629" s="1" t="s">
        <v>378</v>
      </c>
      <c r="C2629" s="1" t="s">
        <v>1039</v>
      </c>
      <c r="U2629" s="1"/>
    </row>
    <row r="2630" ht="15.75" customHeight="1">
      <c r="A2630" s="1" t="s">
        <v>56</v>
      </c>
      <c r="B2630" s="1" t="s">
        <v>997</v>
      </c>
      <c r="C2630" s="1" t="s">
        <v>1055</v>
      </c>
      <c r="U2630" s="1"/>
    </row>
    <row r="2631" ht="15.75" customHeight="1">
      <c r="A2631" s="1" t="s">
        <v>56</v>
      </c>
      <c r="B2631" s="1" t="s">
        <v>1071</v>
      </c>
      <c r="C2631" s="1" t="s">
        <v>1082</v>
      </c>
      <c r="U2631" s="1"/>
    </row>
    <row r="2632" ht="15.75" customHeight="1">
      <c r="A2632" s="1" t="s">
        <v>56</v>
      </c>
      <c r="B2632" s="1" t="s">
        <v>1071</v>
      </c>
      <c r="C2632" s="1" t="s">
        <v>1087</v>
      </c>
      <c r="U2632" s="1"/>
    </row>
    <row r="2633" ht="15.75" customHeight="1">
      <c r="A2633" s="1" t="s">
        <v>56</v>
      </c>
      <c r="B2633" s="1" t="s">
        <v>1093</v>
      </c>
      <c r="C2633" s="1" t="s">
        <v>1907</v>
      </c>
      <c r="U2633" s="1"/>
    </row>
    <row r="2634" ht="15.75" customHeight="1">
      <c r="A2634" s="1" t="s">
        <v>56</v>
      </c>
      <c r="B2634" s="1" t="s">
        <v>1400</v>
      </c>
      <c r="C2634" s="1" t="s">
        <v>2068</v>
      </c>
      <c r="U2634" s="1"/>
    </row>
    <row r="2635" ht="15.75" customHeight="1">
      <c r="A2635" s="1" t="s">
        <v>56</v>
      </c>
      <c r="B2635" s="1" t="s">
        <v>1410</v>
      </c>
      <c r="C2635" s="1" t="s">
        <v>1810</v>
      </c>
      <c r="U2635" s="1"/>
    </row>
    <row r="2636" ht="15.75" customHeight="1">
      <c r="A2636" s="1" t="s">
        <v>56</v>
      </c>
      <c r="B2636" s="1" t="s">
        <v>1410</v>
      </c>
      <c r="C2636" s="1" t="s">
        <v>2069</v>
      </c>
      <c r="U2636" s="1"/>
    </row>
    <row r="2637" ht="15.75" customHeight="1">
      <c r="A2637" s="1" t="s">
        <v>56</v>
      </c>
      <c r="B2637" s="1" t="s">
        <v>1425</v>
      </c>
      <c r="C2637" s="1" t="s">
        <v>2070</v>
      </c>
      <c r="U2637" s="1"/>
    </row>
    <row r="2638" ht="15.75" customHeight="1">
      <c r="A2638" s="1" t="s">
        <v>56</v>
      </c>
      <c r="B2638" s="1" t="s">
        <v>1848</v>
      </c>
      <c r="C2638" s="1" t="s">
        <v>2071</v>
      </c>
      <c r="U2638" s="1"/>
    </row>
    <row r="2639" ht="15.75" customHeight="1">
      <c r="A2639" s="1" t="s">
        <v>56</v>
      </c>
      <c r="B2639" s="1" t="s">
        <v>1748</v>
      </c>
      <c r="C2639" s="1" t="s">
        <v>2072</v>
      </c>
      <c r="U2639" s="1"/>
    </row>
    <row r="2640" ht="15.75" customHeight="1">
      <c r="A2640" s="1" t="s">
        <v>56</v>
      </c>
      <c r="B2640" s="1" t="s">
        <v>1748</v>
      </c>
      <c r="C2640" s="1" t="s">
        <v>1853</v>
      </c>
      <c r="U2640" s="1"/>
    </row>
    <row r="2641" ht="15.75" customHeight="1">
      <c r="A2641" s="1" t="s">
        <v>56</v>
      </c>
      <c r="B2641" s="1" t="s">
        <v>1763</v>
      </c>
      <c r="C2641" s="1" t="s">
        <v>2073</v>
      </c>
      <c r="U2641" s="1"/>
    </row>
    <row r="2642" ht="15.75" customHeight="1">
      <c r="A2642" s="1" t="s">
        <v>58</v>
      </c>
      <c r="B2642" s="1" t="s">
        <v>29</v>
      </c>
      <c r="C2642" s="1" t="s">
        <v>1127</v>
      </c>
      <c r="U2642" s="1"/>
    </row>
    <row r="2643" ht="15.75" customHeight="1">
      <c r="A2643" s="1" t="s">
        <v>58</v>
      </c>
      <c r="B2643" s="1" t="s">
        <v>29</v>
      </c>
      <c r="C2643" s="1" t="s">
        <v>1259</v>
      </c>
      <c r="U2643" s="1"/>
    </row>
    <row r="2644" ht="15.75" customHeight="1">
      <c r="A2644" s="1" t="s">
        <v>58</v>
      </c>
      <c r="B2644" s="1" t="s">
        <v>77</v>
      </c>
      <c r="C2644" s="1" t="s">
        <v>1281</v>
      </c>
      <c r="U2644" s="1"/>
    </row>
    <row r="2645" ht="15.75" customHeight="1">
      <c r="A2645" s="1" t="s">
        <v>58</v>
      </c>
      <c r="B2645" s="1" t="s">
        <v>77</v>
      </c>
      <c r="C2645" s="1" t="s">
        <v>1298</v>
      </c>
      <c r="U2645" s="1"/>
    </row>
    <row r="2646" ht="15.75" customHeight="1">
      <c r="A2646" s="1" t="s">
        <v>58</v>
      </c>
      <c r="B2646" s="1" t="s">
        <v>158</v>
      </c>
      <c r="C2646" s="1" t="s">
        <v>1173</v>
      </c>
      <c r="U2646" s="1"/>
    </row>
    <row r="2647" ht="15.75" customHeight="1">
      <c r="A2647" s="1" t="s">
        <v>58</v>
      </c>
      <c r="B2647" s="1" t="s">
        <v>158</v>
      </c>
      <c r="C2647" s="1" t="s">
        <v>1181</v>
      </c>
      <c r="U2647" s="1"/>
    </row>
    <row r="2648" ht="15.75" customHeight="1">
      <c r="A2648" s="1" t="s">
        <v>58</v>
      </c>
      <c r="B2648" s="1" t="s">
        <v>158</v>
      </c>
      <c r="C2648" s="1" t="s">
        <v>2074</v>
      </c>
      <c r="U2648" s="1"/>
    </row>
    <row r="2649" ht="15.75" customHeight="1">
      <c r="A2649" s="1" t="s">
        <v>58</v>
      </c>
      <c r="B2649" s="1" t="s">
        <v>158</v>
      </c>
      <c r="C2649" s="1" t="s">
        <v>2034</v>
      </c>
      <c r="U2649" s="1"/>
    </row>
    <row r="2650" ht="15.75" customHeight="1">
      <c r="A2650" s="1" t="s">
        <v>58</v>
      </c>
      <c r="B2650" s="1" t="s">
        <v>330</v>
      </c>
      <c r="C2650" s="1" t="s">
        <v>554</v>
      </c>
      <c r="U2650" s="1"/>
    </row>
    <row r="2651" ht="15.75" customHeight="1">
      <c r="A2651" s="1" t="s">
        <v>58</v>
      </c>
      <c r="B2651" s="1" t="s">
        <v>330</v>
      </c>
      <c r="C2651" s="1" t="s">
        <v>560</v>
      </c>
      <c r="U2651" s="1"/>
    </row>
    <row r="2652" ht="15.75" customHeight="1">
      <c r="A2652" s="1" t="s">
        <v>58</v>
      </c>
      <c r="B2652" s="1" t="s">
        <v>330</v>
      </c>
      <c r="C2652" s="1" t="s">
        <v>564</v>
      </c>
      <c r="U2652" s="1"/>
    </row>
    <row r="2653" ht="15.75" customHeight="1">
      <c r="A2653" s="1" t="s">
        <v>58</v>
      </c>
      <c r="B2653" s="1" t="s">
        <v>330</v>
      </c>
      <c r="C2653" s="1" t="s">
        <v>566</v>
      </c>
      <c r="U2653" s="1"/>
    </row>
    <row r="2654" ht="15.75" customHeight="1">
      <c r="A2654" s="1" t="s">
        <v>58</v>
      </c>
      <c r="B2654" s="1" t="s">
        <v>330</v>
      </c>
      <c r="C2654" s="1" t="s">
        <v>568</v>
      </c>
      <c r="U2654" s="1"/>
    </row>
    <row r="2655" ht="15.75" customHeight="1">
      <c r="A2655" s="1" t="s">
        <v>58</v>
      </c>
      <c r="B2655" s="1" t="s">
        <v>330</v>
      </c>
      <c r="C2655" s="1" t="s">
        <v>570</v>
      </c>
      <c r="U2655" s="1"/>
    </row>
    <row r="2656" ht="15.75" customHeight="1">
      <c r="A2656" s="1" t="s">
        <v>60</v>
      </c>
      <c r="B2656" s="1" t="s">
        <v>158</v>
      </c>
      <c r="C2656" s="1" t="s">
        <v>2075</v>
      </c>
      <c r="U2656" s="1"/>
    </row>
    <row r="2657" ht="15.75" customHeight="1">
      <c r="A2657" s="1" t="s">
        <v>60</v>
      </c>
      <c r="B2657" s="1" t="s">
        <v>158</v>
      </c>
      <c r="C2657" s="1" t="s">
        <v>187</v>
      </c>
      <c r="U2657" s="1"/>
    </row>
    <row r="2658" ht="15.75" customHeight="1">
      <c r="A2658" s="1" t="s">
        <v>60</v>
      </c>
      <c r="B2658" s="1" t="s">
        <v>158</v>
      </c>
      <c r="C2658" s="1" t="s">
        <v>2076</v>
      </c>
      <c r="U2658" s="1"/>
    </row>
    <row r="2659" ht="15.75" customHeight="1">
      <c r="A2659" s="1" t="s">
        <v>60</v>
      </c>
      <c r="B2659" s="1" t="s">
        <v>158</v>
      </c>
      <c r="C2659" s="1" t="s">
        <v>2077</v>
      </c>
      <c r="U2659" s="1"/>
    </row>
    <row r="2660" ht="15.75" customHeight="1">
      <c r="A2660" s="1" t="s">
        <v>60</v>
      </c>
      <c r="B2660" s="1" t="s">
        <v>158</v>
      </c>
      <c r="C2660" s="1" t="s">
        <v>1931</v>
      </c>
      <c r="U2660" s="1"/>
    </row>
    <row r="2661" ht="15.75" customHeight="1">
      <c r="A2661" s="1" t="s">
        <v>60</v>
      </c>
      <c r="B2661" s="1" t="s">
        <v>330</v>
      </c>
      <c r="C2661" s="1" t="s">
        <v>2078</v>
      </c>
      <c r="U2661" s="1"/>
    </row>
    <row r="2662" ht="15.75" customHeight="1">
      <c r="A2662" s="1" t="s">
        <v>60</v>
      </c>
      <c r="B2662" s="1" t="s">
        <v>378</v>
      </c>
      <c r="C2662" s="1" t="s">
        <v>2079</v>
      </c>
      <c r="U2662" s="1"/>
    </row>
    <row r="2663" ht="15.75" customHeight="1">
      <c r="A2663" s="1" t="s">
        <v>60</v>
      </c>
      <c r="B2663" s="1" t="s">
        <v>403</v>
      </c>
      <c r="C2663" s="1" t="s">
        <v>1566</v>
      </c>
      <c r="U2663" s="1"/>
    </row>
    <row r="2664" ht="15.75" customHeight="1">
      <c r="A2664" s="1" t="s">
        <v>60</v>
      </c>
      <c r="B2664" s="1" t="s">
        <v>1071</v>
      </c>
      <c r="C2664" s="1" t="s">
        <v>2080</v>
      </c>
      <c r="U2664" s="1"/>
    </row>
    <row r="2665" ht="15.75" customHeight="1">
      <c r="A2665" s="1" t="s">
        <v>60</v>
      </c>
      <c r="B2665" s="1" t="s">
        <v>1071</v>
      </c>
      <c r="C2665" s="1" t="s">
        <v>1087</v>
      </c>
      <c r="U2665" s="1"/>
    </row>
    <row r="2666" ht="15.75" customHeight="1">
      <c r="A2666" s="1" t="s">
        <v>60</v>
      </c>
      <c r="B2666" s="1" t="s">
        <v>1093</v>
      </c>
      <c r="C2666" s="1" t="s">
        <v>1935</v>
      </c>
      <c r="U2666" s="1"/>
    </row>
    <row r="2667" ht="15.75" customHeight="1">
      <c r="A2667" s="1" t="s">
        <v>60</v>
      </c>
      <c r="B2667" s="1" t="s">
        <v>1400</v>
      </c>
      <c r="C2667" s="1" t="s">
        <v>1829</v>
      </c>
      <c r="U2667" s="1"/>
    </row>
    <row r="2668" ht="15.75" customHeight="1">
      <c r="A2668" s="1" t="s">
        <v>60</v>
      </c>
      <c r="B2668" s="1" t="s">
        <v>1410</v>
      </c>
      <c r="C2668" s="1" t="s">
        <v>1942</v>
      </c>
      <c r="U2668" s="1"/>
    </row>
    <row r="2669" ht="15.75" customHeight="1">
      <c r="A2669" s="1" t="s">
        <v>60</v>
      </c>
      <c r="B2669" s="1" t="s">
        <v>1425</v>
      </c>
      <c r="C2669" s="1" t="s">
        <v>2070</v>
      </c>
      <c r="U2669" s="1"/>
    </row>
    <row r="2670" ht="15.75" customHeight="1">
      <c r="A2670" s="1" t="s">
        <v>60</v>
      </c>
      <c r="B2670" s="1" t="s">
        <v>1748</v>
      </c>
      <c r="C2670" s="1" t="s">
        <v>2072</v>
      </c>
      <c r="U2670" s="1"/>
    </row>
    <row r="2671" ht="15.75" customHeight="1">
      <c r="A2671" s="1" t="s">
        <v>60</v>
      </c>
      <c r="B2671" s="1" t="s">
        <v>1763</v>
      </c>
      <c r="C2671" s="1" t="s">
        <v>2081</v>
      </c>
      <c r="U2671" s="1"/>
    </row>
    <row r="2672" ht="15.75" customHeight="1">
      <c r="A2672" s="1" t="s">
        <v>62</v>
      </c>
      <c r="B2672" s="1" t="s">
        <v>29</v>
      </c>
      <c r="C2672" s="1" t="s">
        <v>1500</v>
      </c>
      <c r="U2672" s="1"/>
    </row>
    <row r="2673" ht="15.75" customHeight="1">
      <c r="A2673" s="1" t="s">
        <v>62</v>
      </c>
      <c r="B2673" s="1" t="s">
        <v>77</v>
      </c>
      <c r="C2673" s="1" t="s">
        <v>802</v>
      </c>
      <c r="U2673" s="1"/>
    </row>
    <row r="2674" ht="15.75" customHeight="1">
      <c r="A2674" s="1" t="s">
        <v>62</v>
      </c>
      <c r="B2674" s="1" t="s">
        <v>77</v>
      </c>
      <c r="C2674" s="1" t="s">
        <v>1667</v>
      </c>
      <c r="U2674" s="1"/>
    </row>
    <row r="2675" ht="15.75" customHeight="1">
      <c r="A2675" s="1" t="s">
        <v>62</v>
      </c>
      <c r="B2675" s="1" t="s">
        <v>77</v>
      </c>
      <c r="C2675" s="1" t="s">
        <v>1672</v>
      </c>
      <c r="U2675" s="1"/>
    </row>
    <row r="2676" ht="15.75" customHeight="1">
      <c r="A2676" s="1" t="s">
        <v>62</v>
      </c>
      <c r="B2676" s="1" t="s">
        <v>158</v>
      </c>
      <c r="C2676" s="1" t="s">
        <v>1676</v>
      </c>
      <c r="U2676" s="1"/>
    </row>
    <row r="2677" ht="15.75" customHeight="1">
      <c r="A2677" s="1" t="s">
        <v>62</v>
      </c>
      <c r="B2677" s="1" t="s">
        <v>158</v>
      </c>
      <c r="C2677" s="1" t="s">
        <v>2032</v>
      </c>
      <c r="U2677" s="1"/>
    </row>
    <row r="2678" ht="15.75" customHeight="1">
      <c r="A2678" s="1" t="s">
        <v>62</v>
      </c>
      <c r="B2678" s="1" t="s">
        <v>378</v>
      </c>
      <c r="C2678" s="1" t="s">
        <v>583</v>
      </c>
      <c r="U2678" s="1"/>
    </row>
    <row r="2679" ht="15.75" customHeight="1">
      <c r="A2679" s="1" t="s">
        <v>62</v>
      </c>
      <c r="B2679" s="1" t="s">
        <v>403</v>
      </c>
      <c r="C2679" s="1" t="s">
        <v>2082</v>
      </c>
      <c r="U2679" s="1"/>
    </row>
    <row r="2680" ht="15.75" customHeight="1">
      <c r="A2680" s="1" t="s">
        <v>62</v>
      </c>
      <c r="B2680" s="1" t="s">
        <v>403</v>
      </c>
      <c r="C2680" s="1" t="s">
        <v>2083</v>
      </c>
      <c r="U2680" s="1"/>
    </row>
    <row r="2681" ht="15.75" customHeight="1">
      <c r="A2681" s="1" t="s">
        <v>62</v>
      </c>
      <c r="B2681" s="1" t="s">
        <v>997</v>
      </c>
      <c r="C2681" s="1" t="s">
        <v>999</v>
      </c>
      <c r="U2681" s="1"/>
    </row>
    <row r="2682" ht="15.75" customHeight="1">
      <c r="A2682" s="1" t="s">
        <v>62</v>
      </c>
      <c r="B2682" s="1" t="s">
        <v>1093</v>
      </c>
      <c r="C2682" s="1" t="s">
        <v>2084</v>
      </c>
      <c r="U2682" s="1"/>
    </row>
    <row r="2683" ht="15.75" customHeight="1">
      <c r="A2683" s="1" t="s">
        <v>62</v>
      </c>
      <c r="B2683" s="1" t="s">
        <v>1400</v>
      </c>
      <c r="C2683" s="1" t="s">
        <v>1908</v>
      </c>
      <c r="U2683" s="1"/>
    </row>
    <row r="2684" ht="15.75" customHeight="1">
      <c r="A2684" s="1" t="s">
        <v>62</v>
      </c>
      <c r="B2684" s="1" t="s">
        <v>1400</v>
      </c>
      <c r="C2684" s="1" t="s">
        <v>2085</v>
      </c>
      <c r="U2684" s="1"/>
    </row>
    <row r="2685" ht="15.75" customHeight="1">
      <c r="A2685" s="1" t="s">
        <v>62</v>
      </c>
      <c r="B2685" s="1" t="s">
        <v>1400</v>
      </c>
      <c r="C2685" s="1" t="s">
        <v>2086</v>
      </c>
      <c r="U2685" s="1"/>
    </row>
    <row r="2686" ht="15.75" customHeight="1">
      <c r="A2686" s="1" t="s">
        <v>62</v>
      </c>
      <c r="B2686" s="1" t="s">
        <v>1400</v>
      </c>
      <c r="C2686" s="1" t="s">
        <v>2087</v>
      </c>
      <c r="U2686" s="1"/>
    </row>
    <row r="2687" ht="15.75" customHeight="1">
      <c r="A2687" s="1" t="s">
        <v>65</v>
      </c>
      <c r="B2687" s="1" t="s">
        <v>6</v>
      </c>
      <c r="C2687" s="1" t="s">
        <v>1250</v>
      </c>
      <c r="U2687" s="1"/>
    </row>
    <row r="2688" ht="15.75" customHeight="1">
      <c r="A2688" s="1" t="s">
        <v>65</v>
      </c>
      <c r="B2688" s="1" t="s">
        <v>6</v>
      </c>
      <c r="C2688" s="1" t="s">
        <v>1252</v>
      </c>
      <c r="U2688" s="1"/>
    </row>
    <row r="2689" ht="15.75" customHeight="1">
      <c r="A2689" s="1" t="s">
        <v>65</v>
      </c>
      <c r="B2689" s="1" t="s">
        <v>29</v>
      </c>
      <c r="C2689" s="1" t="s">
        <v>1258</v>
      </c>
      <c r="U2689" s="1"/>
    </row>
    <row r="2690" ht="15.75" customHeight="1">
      <c r="A2690" s="1" t="s">
        <v>65</v>
      </c>
      <c r="B2690" s="1" t="s">
        <v>29</v>
      </c>
      <c r="C2690" s="1" t="s">
        <v>1260</v>
      </c>
      <c r="U2690" s="1"/>
    </row>
    <row r="2691" ht="15.75" customHeight="1">
      <c r="A2691" s="1" t="s">
        <v>65</v>
      </c>
      <c r="B2691" s="1" t="s">
        <v>29</v>
      </c>
      <c r="C2691" s="1" t="s">
        <v>1261</v>
      </c>
      <c r="U2691" s="1"/>
    </row>
    <row r="2692" ht="15.75" customHeight="1">
      <c r="A2692" s="1" t="s">
        <v>65</v>
      </c>
      <c r="B2692" s="1" t="s">
        <v>29</v>
      </c>
      <c r="C2692" s="1" t="s">
        <v>1263</v>
      </c>
      <c r="U2692" s="1"/>
    </row>
    <row r="2693" ht="15.75" customHeight="1">
      <c r="A2693" s="1" t="s">
        <v>65</v>
      </c>
      <c r="B2693" s="1" t="s">
        <v>29</v>
      </c>
      <c r="C2693" s="1" t="s">
        <v>1268</v>
      </c>
      <c r="U2693" s="1"/>
    </row>
    <row r="2694" ht="15.75" customHeight="1">
      <c r="A2694" s="1" t="s">
        <v>65</v>
      </c>
      <c r="B2694" s="1" t="s">
        <v>29</v>
      </c>
      <c r="C2694" s="1" t="s">
        <v>1277</v>
      </c>
      <c r="U2694" s="1"/>
    </row>
    <row r="2695" ht="15.75" customHeight="1">
      <c r="A2695" s="1" t="s">
        <v>65</v>
      </c>
      <c r="B2695" s="1" t="s">
        <v>29</v>
      </c>
      <c r="C2695" s="1" t="s">
        <v>1278</v>
      </c>
      <c r="U2695" s="1"/>
    </row>
    <row r="2696" ht="15.75" customHeight="1">
      <c r="A2696" s="1" t="s">
        <v>65</v>
      </c>
      <c r="B2696" s="1" t="s">
        <v>77</v>
      </c>
      <c r="C2696" s="1" t="s">
        <v>1285</v>
      </c>
      <c r="U2696" s="1"/>
    </row>
    <row r="2697" ht="15.75" customHeight="1">
      <c r="A2697" s="1" t="s">
        <v>65</v>
      </c>
      <c r="B2697" s="1" t="s">
        <v>77</v>
      </c>
      <c r="C2697" s="1" t="s">
        <v>1294</v>
      </c>
      <c r="U2697" s="1"/>
    </row>
    <row r="2698" ht="15.75" customHeight="1">
      <c r="A2698" s="1" t="s">
        <v>65</v>
      </c>
      <c r="B2698" s="1" t="s">
        <v>77</v>
      </c>
      <c r="C2698" s="1" t="s">
        <v>1296</v>
      </c>
      <c r="U2698" s="1"/>
    </row>
    <row r="2699" ht="15.75" customHeight="1">
      <c r="A2699" s="1" t="s">
        <v>65</v>
      </c>
      <c r="B2699" s="1" t="s">
        <v>403</v>
      </c>
      <c r="C2699" s="1" t="s">
        <v>1823</v>
      </c>
      <c r="U2699" s="1"/>
    </row>
    <row r="2700" ht="15.75" customHeight="1">
      <c r="A2700" s="1" t="s">
        <v>65</v>
      </c>
      <c r="B2700" s="1" t="s">
        <v>403</v>
      </c>
      <c r="C2700" s="1" t="s">
        <v>1855</v>
      </c>
      <c r="U2700" s="1"/>
    </row>
    <row r="2701" ht="15.75" customHeight="1">
      <c r="A2701" s="1" t="s">
        <v>65</v>
      </c>
      <c r="B2701" s="1" t="s">
        <v>1093</v>
      </c>
      <c r="C2701" s="1" t="s">
        <v>2088</v>
      </c>
      <c r="U2701" s="1"/>
    </row>
    <row r="2702" ht="15.75" customHeight="1">
      <c r="A2702" s="1" t="s">
        <v>67</v>
      </c>
      <c r="B2702" s="1" t="s">
        <v>158</v>
      </c>
      <c r="C2702" s="1" t="s">
        <v>939</v>
      </c>
      <c r="U2702" s="1"/>
    </row>
    <row r="2703" ht="15.75" customHeight="1">
      <c r="A2703" s="1" t="s">
        <v>67</v>
      </c>
      <c r="B2703" s="1" t="s">
        <v>378</v>
      </c>
      <c r="C2703" s="1" t="s">
        <v>974</v>
      </c>
      <c r="U2703" s="1"/>
    </row>
    <row r="2704" ht="15.75" customHeight="1">
      <c r="A2704" s="1" t="s">
        <v>67</v>
      </c>
      <c r="B2704" s="1" t="s">
        <v>1400</v>
      </c>
      <c r="C2704" s="1" t="s">
        <v>2089</v>
      </c>
      <c r="U2704" s="1"/>
    </row>
    <row r="2705" ht="15.75" customHeight="1">
      <c r="A2705" s="1" t="s">
        <v>67</v>
      </c>
      <c r="B2705" s="1" t="s">
        <v>1400</v>
      </c>
      <c r="C2705" s="1" t="s">
        <v>2090</v>
      </c>
      <c r="U2705" s="1"/>
    </row>
    <row r="2706" ht="15.75" customHeight="1">
      <c r="A2706" s="1" t="s">
        <v>67</v>
      </c>
      <c r="B2706" s="1" t="s">
        <v>1410</v>
      </c>
      <c r="C2706" s="1" t="s">
        <v>2091</v>
      </c>
      <c r="U2706" s="1"/>
    </row>
    <row r="2707" ht="15.75" customHeight="1">
      <c r="A2707" s="1" t="s">
        <v>67</v>
      </c>
      <c r="B2707" s="1" t="s">
        <v>1425</v>
      </c>
      <c r="C2707" s="1" t="s">
        <v>2092</v>
      </c>
      <c r="U2707" s="1"/>
    </row>
    <row r="2708" ht="15.75" customHeight="1">
      <c r="A2708" s="1" t="s">
        <v>67</v>
      </c>
      <c r="B2708" s="1" t="s">
        <v>1492</v>
      </c>
      <c r="C2708" s="1" t="s">
        <v>2028</v>
      </c>
      <c r="U2708" s="1"/>
    </row>
    <row r="2709" ht="15.75" customHeight="1">
      <c r="A2709" s="1" t="s">
        <v>67</v>
      </c>
      <c r="B2709" s="1" t="s">
        <v>1492</v>
      </c>
      <c r="C2709" s="1" t="s">
        <v>2029</v>
      </c>
      <c r="U2709" s="1"/>
    </row>
    <row r="2710" ht="15.75" customHeight="1">
      <c r="A2710" s="1" t="s">
        <v>67</v>
      </c>
      <c r="B2710" s="1" t="s">
        <v>1492</v>
      </c>
      <c r="C2710" s="1" t="s">
        <v>2093</v>
      </c>
      <c r="U2710" s="1"/>
    </row>
    <row r="2711" ht="15.75" customHeight="1">
      <c r="A2711" s="1" t="s">
        <v>67</v>
      </c>
      <c r="B2711" s="1" t="s">
        <v>1848</v>
      </c>
      <c r="C2711" s="1" t="s">
        <v>2094</v>
      </c>
      <c r="U2711" s="1"/>
    </row>
    <row r="2712" ht="15.75" customHeight="1">
      <c r="A2712" s="1" t="s">
        <v>67</v>
      </c>
      <c r="B2712" s="1" t="s">
        <v>1848</v>
      </c>
      <c r="C2712" s="1" t="s">
        <v>2030</v>
      </c>
      <c r="U2712" s="1"/>
    </row>
    <row r="2713" ht="15.75" customHeight="1">
      <c r="A2713" s="1" t="s">
        <v>67</v>
      </c>
      <c r="B2713" s="1" t="s">
        <v>1848</v>
      </c>
      <c r="C2713" s="1" t="s">
        <v>2095</v>
      </c>
      <c r="U2713" s="1"/>
    </row>
    <row r="2714" ht="15.75" customHeight="1">
      <c r="A2714" s="1" t="s">
        <v>67</v>
      </c>
      <c r="B2714" s="1" t="s">
        <v>1848</v>
      </c>
      <c r="C2714" s="1" t="s">
        <v>2096</v>
      </c>
      <c r="U2714" s="1"/>
    </row>
    <row r="2715" ht="15.75" customHeight="1">
      <c r="A2715" s="1" t="s">
        <v>67</v>
      </c>
      <c r="B2715" s="1" t="s">
        <v>1848</v>
      </c>
      <c r="C2715" s="1" t="s">
        <v>2097</v>
      </c>
      <c r="U2715" s="1"/>
    </row>
    <row r="2716" ht="15.75" customHeight="1">
      <c r="A2716" s="1" t="s">
        <v>67</v>
      </c>
      <c r="B2716" s="1" t="s">
        <v>1763</v>
      </c>
      <c r="C2716" s="1" t="s">
        <v>2098</v>
      </c>
      <c r="U2716" s="1"/>
    </row>
    <row r="2717" ht="15.75" customHeight="1">
      <c r="A2717" s="1" t="s">
        <v>69</v>
      </c>
      <c r="B2717" s="1" t="s">
        <v>378</v>
      </c>
      <c r="C2717" s="1" t="s">
        <v>1340</v>
      </c>
      <c r="U2717" s="1"/>
    </row>
    <row r="2718" ht="15.75" customHeight="1">
      <c r="A2718" s="1" t="s">
        <v>69</v>
      </c>
      <c r="B2718" s="1" t="s">
        <v>403</v>
      </c>
      <c r="C2718" s="1" t="s">
        <v>1855</v>
      </c>
      <c r="U2718" s="1"/>
    </row>
    <row r="2719" ht="15.75" customHeight="1">
      <c r="A2719" s="1" t="s">
        <v>71</v>
      </c>
      <c r="B2719" s="1" t="s">
        <v>29</v>
      </c>
      <c r="C2719" s="1" t="s">
        <v>1197</v>
      </c>
      <c r="U2719" s="1"/>
    </row>
    <row r="2720" ht="15.75" customHeight="1">
      <c r="A2720" s="1" t="s">
        <v>71</v>
      </c>
      <c r="B2720" s="1" t="s">
        <v>29</v>
      </c>
      <c r="C2720" s="1" t="s">
        <v>1204</v>
      </c>
      <c r="U2720" s="1"/>
    </row>
    <row r="2721" ht="15.75" customHeight="1">
      <c r="A2721" s="1" t="s">
        <v>71</v>
      </c>
      <c r="B2721" s="1" t="s">
        <v>77</v>
      </c>
      <c r="C2721" s="1" t="s">
        <v>1209</v>
      </c>
      <c r="U2721" s="1"/>
    </row>
    <row r="2722" ht="15.75" customHeight="1">
      <c r="A2722" s="1" t="s">
        <v>71</v>
      </c>
      <c r="B2722" s="1" t="s">
        <v>77</v>
      </c>
      <c r="C2722" s="1" t="s">
        <v>1212</v>
      </c>
      <c r="U2722" s="1"/>
    </row>
    <row r="2723" ht="15.75" customHeight="1">
      <c r="A2723" s="1" t="s">
        <v>71</v>
      </c>
      <c r="B2723" s="1" t="s">
        <v>77</v>
      </c>
      <c r="C2723" s="1" t="s">
        <v>1220</v>
      </c>
      <c r="U2723" s="1"/>
    </row>
    <row r="2724" ht="15.75" customHeight="1">
      <c r="A2724" s="1" t="s">
        <v>71</v>
      </c>
      <c r="B2724" s="1" t="s">
        <v>77</v>
      </c>
      <c r="C2724" s="1" t="s">
        <v>1221</v>
      </c>
      <c r="U2724" s="1"/>
    </row>
    <row r="2725" ht="15.75" customHeight="1">
      <c r="A2725" s="1" t="s">
        <v>71</v>
      </c>
      <c r="B2725" s="1" t="s">
        <v>77</v>
      </c>
      <c r="C2725" s="1" t="s">
        <v>1227</v>
      </c>
      <c r="U2725" s="1"/>
    </row>
    <row r="2726" ht="15.75" customHeight="1">
      <c r="A2726" s="1" t="s">
        <v>71</v>
      </c>
      <c r="B2726" s="1" t="s">
        <v>158</v>
      </c>
      <c r="C2726" s="1" t="s">
        <v>1232</v>
      </c>
      <c r="U2726" s="1"/>
    </row>
    <row r="2727" ht="15.75" customHeight="1">
      <c r="A2727" s="1" t="s">
        <v>71</v>
      </c>
      <c r="B2727" s="1" t="s">
        <v>158</v>
      </c>
      <c r="C2727" s="1" t="s">
        <v>1236</v>
      </c>
      <c r="U2727" s="1"/>
    </row>
    <row r="2728" ht="15.75" customHeight="1">
      <c r="A2728" s="1" t="s">
        <v>71</v>
      </c>
      <c r="B2728" s="1" t="s">
        <v>330</v>
      </c>
      <c r="C2728" s="1" t="s">
        <v>1245</v>
      </c>
      <c r="U2728" s="1"/>
    </row>
    <row r="2729" ht="15.75" customHeight="1">
      <c r="A2729" s="1" t="s">
        <v>71</v>
      </c>
      <c r="B2729" s="1" t="s">
        <v>330</v>
      </c>
      <c r="C2729" s="1" t="s">
        <v>2099</v>
      </c>
      <c r="U2729" s="1"/>
    </row>
    <row r="2730" ht="15.75" customHeight="1">
      <c r="A2730" s="1" t="s">
        <v>71</v>
      </c>
      <c r="B2730" s="1" t="s">
        <v>330</v>
      </c>
      <c r="C2730" s="1" t="s">
        <v>2100</v>
      </c>
      <c r="U2730" s="1"/>
    </row>
    <row r="2731" ht="15.75" customHeight="1">
      <c r="A2731" s="1" t="s">
        <v>71</v>
      </c>
      <c r="B2731" s="1" t="s">
        <v>330</v>
      </c>
      <c r="C2731" s="1" t="s">
        <v>368</v>
      </c>
      <c r="U2731" s="1"/>
    </row>
    <row r="2732" ht="15.75" customHeight="1">
      <c r="A2732" s="1" t="s">
        <v>71</v>
      </c>
      <c r="B2732" s="1" t="s">
        <v>378</v>
      </c>
      <c r="C2732" s="1" t="s">
        <v>2101</v>
      </c>
      <c r="U2732" s="1"/>
    </row>
    <row r="2733" ht="15.75" customHeight="1">
      <c r="A2733" s="1" t="s">
        <v>73</v>
      </c>
      <c r="B2733" s="1" t="s">
        <v>29</v>
      </c>
      <c r="C2733" s="1" t="s">
        <v>1197</v>
      </c>
      <c r="U2733" s="1"/>
    </row>
    <row r="2734" ht="15.75" customHeight="1">
      <c r="A2734" s="1" t="s">
        <v>73</v>
      </c>
      <c r="B2734" s="1" t="s">
        <v>29</v>
      </c>
      <c r="C2734" s="1" t="s">
        <v>1590</v>
      </c>
      <c r="U2734" s="1"/>
    </row>
    <row r="2735" ht="15.75" customHeight="1">
      <c r="A2735" s="1" t="s">
        <v>73</v>
      </c>
      <c r="B2735" s="1" t="s">
        <v>77</v>
      </c>
      <c r="C2735" s="1" t="s">
        <v>1209</v>
      </c>
      <c r="U2735" s="1"/>
    </row>
    <row r="2736" ht="15.75" customHeight="1">
      <c r="A2736" s="1" t="s">
        <v>73</v>
      </c>
      <c r="B2736" s="1" t="s">
        <v>77</v>
      </c>
      <c r="C2736" s="1" t="s">
        <v>88</v>
      </c>
      <c r="U2736" s="1"/>
    </row>
    <row r="2737" ht="15.75" customHeight="1">
      <c r="A2737" s="1" t="s">
        <v>73</v>
      </c>
      <c r="B2737" s="1" t="s">
        <v>77</v>
      </c>
      <c r="C2737" s="1" t="s">
        <v>1221</v>
      </c>
      <c r="U2737" s="1"/>
    </row>
    <row r="2738" ht="15.75" customHeight="1">
      <c r="A2738" s="1" t="s">
        <v>73</v>
      </c>
      <c r="B2738" s="1" t="s">
        <v>77</v>
      </c>
      <c r="C2738" s="1" t="s">
        <v>1599</v>
      </c>
      <c r="U2738" s="1"/>
    </row>
    <row r="2739" ht="15.75" customHeight="1">
      <c r="A2739" s="1" t="s">
        <v>73</v>
      </c>
      <c r="B2739" s="1" t="s">
        <v>77</v>
      </c>
      <c r="C2739" s="1" t="s">
        <v>1227</v>
      </c>
      <c r="U2739" s="1"/>
    </row>
    <row r="2740" ht="15.75" customHeight="1">
      <c r="A2740" s="1" t="s">
        <v>73</v>
      </c>
      <c r="B2740" s="1" t="s">
        <v>158</v>
      </c>
      <c r="C2740" s="1" t="s">
        <v>1236</v>
      </c>
      <c r="U2740" s="1"/>
    </row>
    <row r="2741" ht="15.75" customHeight="1">
      <c r="A2741" s="1" t="s">
        <v>73</v>
      </c>
      <c r="B2741" s="1" t="s">
        <v>330</v>
      </c>
      <c r="C2741" s="1" t="s">
        <v>2099</v>
      </c>
      <c r="U2741" s="1"/>
    </row>
    <row r="2742" ht="15.75" customHeight="1">
      <c r="A2742" s="1" t="s">
        <v>73</v>
      </c>
      <c r="B2742" s="1" t="s">
        <v>330</v>
      </c>
      <c r="C2742" s="1" t="s">
        <v>2100</v>
      </c>
      <c r="U2742" s="1"/>
    </row>
    <row r="2743" ht="15.75" customHeight="1">
      <c r="A2743" s="1" t="s">
        <v>73</v>
      </c>
      <c r="B2743" s="1" t="s">
        <v>330</v>
      </c>
      <c r="C2743" s="1" t="s">
        <v>2102</v>
      </c>
      <c r="U2743" s="1"/>
    </row>
    <row r="2744" ht="15.75" customHeight="1">
      <c r="A2744" s="1" t="s">
        <v>73</v>
      </c>
      <c r="B2744" s="1" t="s">
        <v>330</v>
      </c>
      <c r="C2744" s="1" t="s">
        <v>368</v>
      </c>
      <c r="U2744" s="1"/>
    </row>
    <row r="2745" ht="15.75" customHeight="1">
      <c r="A2745" s="1" t="s">
        <v>73</v>
      </c>
      <c r="B2745" s="1" t="s">
        <v>997</v>
      </c>
      <c r="C2745" s="1" t="s">
        <v>2103</v>
      </c>
      <c r="U2745" s="1"/>
    </row>
    <row r="2746" ht="15.75" customHeight="1">
      <c r="A2746" s="1" t="s">
        <v>73</v>
      </c>
      <c r="B2746" s="1" t="s">
        <v>997</v>
      </c>
      <c r="C2746" s="1" t="s">
        <v>2104</v>
      </c>
      <c r="U2746" s="1"/>
    </row>
    <row r="2747" ht="15.75" customHeight="1">
      <c r="A2747" s="1" t="s">
        <v>76</v>
      </c>
      <c r="B2747" s="1" t="s">
        <v>6</v>
      </c>
      <c r="C2747" s="1" t="s">
        <v>1656</v>
      </c>
      <c r="U2747" s="1"/>
    </row>
    <row r="2748" ht="15.75" customHeight="1">
      <c r="A2748" s="1" t="s">
        <v>76</v>
      </c>
      <c r="B2748" s="1" t="s">
        <v>6</v>
      </c>
      <c r="C2748" s="1" t="s">
        <v>1123</v>
      </c>
      <c r="U2748" s="1"/>
    </row>
    <row r="2749" ht="15.75" customHeight="1">
      <c r="A2749" s="1" t="s">
        <v>76</v>
      </c>
      <c r="B2749" s="1" t="s">
        <v>29</v>
      </c>
      <c r="C2749" s="1" t="s">
        <v>1129</v>
      </c>
      <c r="U2749" s="1"/>
    </row>
    <row r="2750" ht="15.75" customHeight="1">
      <c r="A2750" s="1" t="s">
        <v>76</v>
      </c>
      <c r="B2750" s="1" t="s">
        <v>378</v>
      </c>
      <c r="C2750" s="1" t="s">
        <v>975</v>
      </c>
      <c r="U2750" s="1"/>
    </row>
    <row r="2751" ht="15.75" customHeight="1">
      <c r="A2751" s="1" t="s">
        <v>76</v>
      </c>
      <c r="B2751" s="1" t="s">
        <v>403</v>
      </c>
      <c r="C2751" s="1" t="s">
        <v>622</v>
      </c>
      <c r="U2751" s="1"/>
    </row>
    <row r="2752" ht="15.75" customHeight="1">
      <c r="A2752" s="1" t="s">
        <v>76</v>
      </c>
      <c r="B2752" s="1" t="s">
        <v>403</v>
      </c>
      <c r="C2752" s="1" t="s">
        <v>1562</v>
      </c>
      <c r="U2752" s="1"/>
    </row>
    <row r="2753" ht="15.75" customHeight="1">
      <c r="A2753" s="1" t="s">
        <v>76</v>
      </c>
      <c r="B2753" s="1" t="s">
        <v>1848</v>
      </c>
      <c r="C2753" s="1" t="s">
        <v>1987</v>
      </c>
      <c r="U2753" s="1"/>
    </row>
    <row r="2754" ht="15.75" customHeight="1">
      <c r="A2754" s="1" t="s">
        <v>76</v>
      </c>
      <c r="B2754" s="1" t="s">
        <v>1848</v>
      </c>
      <c r="C2754" s="1" t="s">
        <v>1986</v>
      </c>
      <c r="U2754" s="1"/>
    </row>
    <row r="2755" ht="15.75" customHeight="1">
      <c r="A2755" s="1" t="s">
        <v>76</v>
      </c>
      <c r="B2755" s="1" t="s">
        <v>1848</v>
      </c>
      <c r="C2755" s="1" t="s">
        <v>1988</v>
      </c>
      <c r="U2755" s="1"/>
    </row>
    <row r="2756" ht="15.75" customHeight="1">
      <c r="A2756" s="1" t="s">
        <v>76</v>
      </c>
      <c r="B2756" s="1" t="s">
        <v>1848</v>
      </c>
      <c r="C2756" s="1" t="s">
        <v>2105</v>
      </c>
      <c r="U2756" s="1"/>
    </row>
    <row r="2757" ht="15.75" customHeight="1">
      <c r="A2757" s="1" t="s">
        <v>76</v>
      </c>
      <c r="B2757" s="1" t="s">
        <v>1748</v>
      </c>
      <c r="C2757" s="1" t="s">
        <v>1990</v>
      </c>
      <c r="U2757" s="1"/>
    </row>
    <row r="2758" ht="15.75" customHeight="1">
      <c r="A2758" s="1" t="s">
        <v>76</v>
      </c>
      <c r="B2758" s="1" t="s">
        <v>1748</v>
      </c>
      <c r="C2758" s="1" t="s">
        <v>1991</v>
      </c>
      <c r="U2758" s="1"/>
    </row>
    <row r="2759" ht="15.75" customHeight="1">
      <c r="A2759" s="1" t="s">
        <v>76</v>
      </c>
      <c r="B2759" s="1" t="s">
        <v>1763</v>
      </c>
      <c r="C2759" s="1" t="s">
        <v>1992</v>
      </c>
      <c r="U2759" s="1"/>
    </row>
    <row r="2760" ht="15.75" customHeight="1">
      <c r="A2760" s="1" t="s">
        <v>76</v>
      </c>
      <c r="B2760" s="1" t="s">
        <v>1763</v>
      </c>
      <c r="C2760" s="1" t="s">
        <v>1993</v>
      </c>
      <c r="U2760" s="1"/>
    </row>
    <row r="2761" ht="15.75" customHeight="1">
      <c r="A2761" s="1" t="s">
        <v>80</v>
      </c>
      <c r="B2761" s="1" t="s">
        <v>29</v>
      </c>
      <c r="C2761" s="1" t="s">
        <v>1585</v>
      </c>
      <c r="U2761" s="1"/>
    </row>
    <row r="2762" ht="15.75" customHeight="1">
      <c r="A2762" s="1" t="s">
        <v>80</v>
      </c>
      <c r="B2762" s="1" t="s">
        <v>29</v>
      </c>
      <c r="C2762" s="1" t="s">
        <v>1586</v>
      </c>
      <c r="U2762" s="1"/>
    </row>
    <row r="2763" ht="15.75" customHeight="1">
      <c r="A2763" s="1" t="s">
        <v>80</v>
      </c>
      <c r="B2763" s="1" t="s">
        <v>29</v>
      </c>
      <c r="C2763" s="1" t="s">
        <v>2106</v>
      </c>
      <c r="U2763" s="1"/>
    </row>
    <row r="2764" ht="15.75" customHeight="1">
      <c r="A2764" s="1" t="s">
        <v>80</v>
      </c>
      <c r="B2764" s="1" t="s">
        <v>29</v>
      </c>
      <c r="C2764" s="1" t="s">
        <v>1589</v>
      </c>
      <c r="U2764" s="1"/>
    </row>
    <row r="2765" ht="15.75" customHeight="1">
      <c r="A2765" s="1" t="s">
        <v>80</v>
      </c>
      <c r="B2765" s="1" t="s">
        <v>29</v>
      </c>
      <c r="C2765" s="1" t="s">
        <v>1593</v>
      </c>
      <c r="U2765" s="1"/>
    </row>
    <row r="2766" ht="15.75" customHeight="1">
      <c r="A2766" s="1" t="s">
        <v>80</v>
      </c>
      <c r="B2766" s="1" t="s">
        <v>77</v>
      </c>
      <c r="C2766" s="1" t="s">
        <v>1599</v>
      </c>
      <c r="U2766" s="1"/>
    </row>
    <row r="2767" ht="15.75" customHeight="1">
      <c r="A2767" s="1" t="s">
        <v>80</v>
      </c>
      <c r="B2767" s="1" t="s">
        <v>158</v>
      </c>
      <c r="C2767" s="1" t="s">
        <v>1677</v>
      </c>
      <c r="U2767" s="1"/>
    </row>
    <row r="2768" ht="15.75" customHeight="1">
      <c r="A2768" s="1" t="s">
        <v>80</v>
      </c>
      <c r="B2768" s="1" t="s">
        <v>330</v>
      </c>
      <c r="C2768" s="1" t="s">
        <v>2107</v>
      </c>
      <c r="U2768" s="1"/>
    </row>
    <row r="2769" ht="15.75" customHeight="1">
      <c r="A2769" s="1" t="s">
        <v>80</v>
      </c>
      <c r="B2769" s="1" t="s">
        <v>403</v>
      </c>
      <c r="C2769" s="1" t="s">
        <v>747</v>
      </c>
      <c r="U2769" s="1"/>
    </row>
    <row r="2770" ht="15.75" customHeight="1">
      <c r="A2770" s="1" t="s">
        <v>80</v>
      </c>
      <c r="B2770" s="1" t="s">
        <v>997</v>
      </c>
      <c r="C2770" s="1" t="s">
        <v>1350</v>
      </c>
      <c r="U2770" s="1"/>
    </row>
    <row r="2771" ht="15.75" customHeight="1">
      <c r="A2771" s="1" t="s">
        <v>80</v>
      </c>
      <c r="B2771" s="1" t="s">
        <v>1093</v>
      </c>
      <c r="C2771" s="1" t="s">
        <v>2108</v>
      </c>
      <c r="U2771" s="1"/>
    </row>
    <row r="2772" ht="15.75" customHeight="1">
      <c r="A2772" s="1" t="s">
        <v>80</v>
      </c>
      <c r="B2772" s="1" t="s">
        <v>1400</v>
      </c>
      <c r="C2772" s="1" t="s">
        <v>2109</v>
      </c>
      <c r="U2772" s="1"/>
    </row>
    <row r="2773" ht="15.75" customHeight="1">
      <c r="A2773" s="1" t="s">
        <v>80</v>
      </c>
      <c r="B2773" s="1" t="s">
        <v>1492</v>
      </c>
      <c r="C2773" s="1" t="s">
        <v>1944</v>
      </c>
      <c r="U2773" s="1"/>
    </row>
    <row r="2774" ht="15.75" customHeight="1">
      <c r="A2774" s="1" t="s">
        <v>83</v>
      </c>
      <c r="B2774" s="1" t="s">
        <v>29</v>
      </c>
      <c r="C2774" s="1" t="s">
        <v>242</v>
      </c>
      <c r="U2774" s="1"/>
    </row>
    <row r="2775" ht="15.75" customHeight="1">
      <c r="A2775" s="1" t="s">
        <v>83</v>
      </c>
      <c r="B2775" s="1" t="s">
        <v>29</v>
      </c>
      <c r="C2775" s="1" t="s">
        <v>247</v>
      </c>
      <c r="U2775" s="1"/>
    </row>
    <row r="2776" ht="15.75" customHeight="1">
      <c r="A2776" s="1" t="s">
        <v>83</v>
      </c>
      <c r="B2776" s="1" t="s">
        <v>77</v>
      </c>
      <c r="C2776" s="1" t="s">
        <v>257</v>
      </c>
      <c r="U2776" s="1"/>
    </row>
    <row r="2777" ht="15.75" customHeight="1">
      <c r="A2777" s="1" t="s">
        <v>83</v>
      </c>
      <c r="B2777" s="1" t="s">
        <v>77</v>
      </c>
      <c r="C2777" s="1" t="s">
        <v>271</v>
      </c>
      <c r="U2777" s="1"/>
    </row>
    <row r="2778" ht="15.75" customHeight="1">
      <c r="A2778" s="1" t="s">
        <v>83</v>
      </c>
      <c r="B2778" s="1" t="s">
        <v>77</v>
      </c>
      <c r="C2778" s="1" t="s">
        <v>277</v>
      </c>
      <c r="U2778" s="1"/>
    </row>
    <row r="2779" ht="15.75" customHeight="1">
      <c r="A2779" s="1" t="s">
        <v>83</v>
      </c>
      <c r="B2779" s="1" t="s">
        <v>158</v>
      </c>
      <c r="C2779" s="1" t="s">
        <v>302</v>
      </c>
      <c r="U2779" s="1"/>
    </row>
    <row r="2780" ht="15.75" customHeight="1">
      <c r="A2780" s="1" t="s">
        <v>83</v>
      </c>
      <c r="B2780" s="1" t="s">
        <v>158</v>
      </c>
      <c r="C2780" s="1" t="s">
        <v>324</v>
      </c>
      <c r="U2780" s="1"/>
    </row>
    <row r="2781" ht="15.75" customHeight="1">
      <c r="A2781" s="1" t="s">
        <v>83</v>
      </c>
      <c r="B2781" s="1" t="s">
        <v>330</v>
      </c>
      <c r="C2781" s="1" t="s">
        <v>364</v>
      </c>
      <c r="U2781" s="1"/>
    </row>
    <row r="2782" ht="15.75" customHeight="1">
      <c r="A2782" s="1" t="s">
        <v>83</v>
      </c>
      <c r="B2782" s="1" t="s">
        <v>330</v>
      </c>
      <c r="C2782" s="1" t="s">
        <v>370</v>
      </c>
      <c r="U2782" s="1"/>
    </row>
    <row r="2783" ht="15.75" customHeight="1">
      <c r="A2783" s="1" t="s">
        <v>83</v>
      </c>
      <c r="B2783" s="1" t="s">
        <v>1093</v>
      </c>
      <c r="C2783" s="1" t="s">
        <v>2110</v>
      </c>
      <c r="U2783" s="1"/>
    </row>
    <row r="2784" ht="15.75" customHeight="1">
      <c r="A2784" s="1" t="s">
        <v>83</v>
      </c>
      <c r="B2784" s="1" t="s">
        <v>1093</v>
      </c>
      <c r="C2784" s="1" t="s">
        <v>2111</v>
      </c>
      <c r="U2784" s="1"/>
    </row>
    <row r="2785" ht="15.75" customHeight="1">
      <c r="A2785" s="1" t="s">
        <v>83</v>
      </c>
      <c r="B2785" s="1" t="s">
        <v>1093</v>
      </c>
      <c r="C2785" s="1" t="s">
        <v>2112</v>
      </c>
      <c r="U2785" s="1"/>
    </row>
    <row r="2786" ht="15.75" customHeight="1">
      <c r="A2786" s="1" t="s">
        <v>83</v>
      </c>
      <c r="B2786" s="1" t="s">
        <v>1400</v>
      </c>
      <c r="C2786" s="1" t="s">
        <v>2113</v>
      </c>
      <c r="U2786" s="1"/>
    </row>
    <row r="2787" ht="15.75" customHeight="1">
      <c r="A2787" s="1" t="s">
        <v>85</v>
      </c>
      <c r="B2787" s="1" t="s">
        <v>77</v>
      </c>
      <c r="C2787" s="1" t="s">
        <v>1600</v>
      </c>
      <c r="U2787" s="1"/>
    </row>
    <row r="2788" ht="15.75" customHeight="1">
      <c r="A2788" s="1" t="s">
        <v>85</v>
      </c>
      <c r="B2788" s="1" t="s">
        <v>77</v>
      </c>
      <c r="C2788" s="1" t="s">
        <v>1601</v>
      </c>
      <c r="U2788" s="1"/>
    </row>
    <row r="2789" ht="15.75" customHeight="1">
      <c r="A2789" s="1" t="s">
        <v>85</v>
      </c>
      <c r="B2789" s="1" t="s">
        <v>158</v>
      </c>
      <c r="C2789" s="1" t="s">
        <v>2114</v>
      </c>
      <c r="U2789" s="1"/>
    </row>
    <row r="2790" ht="15.75" customHeight="1">
      <c r="A2790" s="1" t="s">
        <v>85</v>
      </c>
      <c r="B2790" s="1" t="s">
        <v>158</v>
      </c>
      <c r="C2790" s="1" t="s">
        <v>2115</v>
      </c>
      <c r="U2790" s="1"/>
    </row>
    <row r="2791" ht="15.75" customHeight="1">
      <c r="A2791" s="1" t="s">
        <v>85</v>
      </c>
      <c r="B2791" s="1" t="s">
        <v>330</v>
      </c>
      <c r="C2791" s="1" t="s">
        <v>2107</v>
      </c>
      <c r="U2791" s="1"/>
    </row>
    <row r="2792" ht="15.75" customHeight="1">
      <c r="A2792" s="1" t="s">
        <v>85</v>
      </c>
      <c r="B2792" s="1" t="s">
        <v>330</v>
      </c>
      <c r="C2792" s="1" t="s">
        <v>2116</v>
      </c>
      <c r="U2792" s="1"/>
    </row>
    <row r="2793" ht="15.75" customHeight="1">
      <c r="A2793" s="1" t="s">
        <v>85</v>
      </c>
      <c r="B2793" s="1" t="s">
        <v>330</v>
      </c>
      <c r="C2793" s="1" t="s">
        <v>2102</v>
      </c>
      <c r="U2793" s="1"/>
    </row>
    <row r="2794" ht="15.75" customHeight="1">
      <c r="A2794" s="1" t="s">
        <v>85</v>
      </c>
      <c r="B2794" s="1" t="s">
        <v>378</v>
      </c>
      <c r="C2794" s="1" t="s">
        <v>1631</v>
      </c>
      <c r="U2794" s="1"/>
    </row>
    <row r="2795" ht="15.75" customHeight="1">
      <c r="A2795" s="1" t="s">
        <v>85</v>
      </c>
      <c r="B2795" s="1" t="s">
        <v>403</v>
      </c>
      <c r="C2795" s="1" t="s">
        <v>1636</v>
      </c>
      <c r="U2795" s="1"/>
    </row>
    <row r="2796" ht="15.75" customHeight="1">
      <c r="A2796" s="1" t="s">
        <v>85</v>
      </c>
      <c r="B2796" s="1" t="s">
        <v>1071</v>
      </c>
      <c r="C2796" s="1" t="s">
        <v>2117</v>
      </c>
      <c r="U2796" s="1"/>
    </row>
    <row r="2797" ht="15.75" customHeight="1">
      <c r="A2797" s="1" t="s">
        <v>85</v>
      </c>
      <c r="B2797" s="1" t="s">
        <v>1093</v>
      </c>
      <c r="C2797" s="1" t="s">
        <v>2118</v>
      </c>
      <c r="U2797" s="1"/>
    </row>
    <row r="2798" ht="15.75" customHeight="1">
      <c r="A2798" s="1" t="s">
        <v>85</v>
      </c>
      <c r="B2798" s="1" t="s">
        <v>1400</v>
      </c>
      <c r="C2798" s="1" t="s">
        <v>2119</v>
      </c>
      <c r="U2798" s="1"/>
    </row>
    <row r="2799" ht="15.75" customHeight="1">
      <c r="A2799" s="1" t="s">
        <v>85</v>
      </c>
      <c r="B2799" s="1" t="s">
        <v>1410</v>
      </c>
      <c r="C2799" s="1" t="s">
        <v>2120</v>
      </c>
      <c r="U2799" s="1"/>
    </row>
    <row r="2800" ht="15.75" customHeight="1">
      <c r="A2800" s="1" t="s">
        <v>87</v>
      </c>
      <c r="B2800" s="1" t="s">
        <v>29</v>
      </c>
      <c r="C2800" s="1" t="s">
        <v>1134</v>
      </c>
      <c r="U2800" s="1"/>
    </row>
    <row r="2801" ht="15.75" customHeight="1">
      <c r="A2801" s="1" t="s">
        <v>87</v>
      </c>
      <c r="B2801" s="1" t="s">
        <v>77</v>
      </c>
      <c r="C2801" s="1" t="s">
        <v>936</v>
      </c>
      <c r="U2801" s="1"/>
    </row>
    <row r="2802" ht="15.75" customHeight="1">
      <c r="A2802" s="1" t="s">
        <v>87</v>
      </c>
      <c r="B2802" s="1" t="s">
        <v>158</v>
      </c>
      <c r="C2802" s="1" t="s">
        <v>1185</v>
      </c>
      <c r="U2802" s="1"/>
    </row>
    <row r="2803" ht="15.75" customHeight="1">
      <c r="A2803" s="1" t="s">
        <v>87</v>
      </c>
      <c r="B2803" s="1" t="s">
        <v>158</v>
      </c>
      <c r="C2803" s="1" t="s">
        <v>2033</v>
      </c>
      <c r="U2803" s="1"/>
    </row>
    <row r="2804" ht="15.75" customHeight="1">
      <c r="A2804" s="1" t="s">
        <v>87</v>
      </c>
      <c r="B2804" s="1" t="s">
        <v>330</v>
      </c>
      <c r="C2804" s="1" t="s">
        <v>950</v>
      </c>
      <c r="U2804" s="1"/>
    </row>
    <row r="2805" ht="15.75" customHeight="1">
      <c r="A2805" s="1" t="s">
        <v>87</v>
      </c>
      <c r="B2805" s="1" t="s">
        <v>330</v>
      </c>
      <c r="C2805" s="1" t="s">
        <v>957</v>
      </c>
      <c r="U2805" s="1"/>
    </row>
    <row r="2806" ht="15.75" customHeight="1">
      <c r="A2806" s="1" t="s">
        <v>87</v>
      </c>
      <c r="B2806" s="1" t="s">
        <v>378</v>
      </c>
      <c r="C2806" s="1" t="s">
        <v>572</v>
      </c>
      <c r="U2806" s="1"/>
    </row>
    <row r="2807" ht="15.75" customHeight="1">
      <c r="A2807" s="1" t="s">
        <v>87</v>
      </c>
      <c r="B2807" s="1" t="s">
        <v>378</v>
      </c>
      <c r="C2807" s="1" t="s">
        <v>1631</v>
      </c>
      <c r="U2807" s="1"/>
    </row>
    <row r="2808" ht="15.75" customHeight="1">
      <c r="A2808" s="1" t="s">
        <v>87</v>
      </c>
      <c r="B2808" s="1" t="s">
        <v>378</v>
      </c>
      <c r="C2808" s="1" t="s">
        <v>974</v>
      </c>
      <c r="U2808" s="1"/>
    </row>
    <row r="2809" ht="15.75" customHeight="1">
      <c r="A2809" s="1" t="s">
        <v>87</v>
      </c>
      <c r="B2809" s="1" t="s">
        <v>403</v>
      </c>
      <c r="C2809" s="1" t="s">
        <v>1636</v>
      </c>
      <c r="U2809" s="1"/>
    </row>
    <row r="2810" ht="15.75" customHeight="1">
      <c r="A2810" s="1" t="s">
        <v>87</v>
      </c>
      <c r="B2810" s="1" t="s">
        <v>997</v>
      </c>
      <c r="C2810" s="1" t="s">
        <v>1065</v>
      </c>
      <c r="U2810" s="1"/>
    </row>
    <row r="2811" ht="15.75" customHeight="1">
      <c r="A2811" s="1" t="s">
        <v>87</v>
      </c>
      <c r="B2811" s="1" t="s">
        <v>997</v>
      </c>
      <c r="C2811" s="1" t="s">
        <v>1068</v>
      </c>
      <c r="U2811" s="1"/>
    </row>
    <row r="2812" ht="15.75" customHeight="1">
      <c r="A2812" s="1" t="s">
        <v>87</v>
      </c>
      <c r="B2812" s="1" t="s">
        <v>1410</v>
      </c>
      <c r="C2812" s="1" t="s">
        <v>2060</v>
      </c>
      <c r="U2812" s="1"/>
    </row>
    <row r="2813" ht="15.75" customHeight="1">
      <c r="A2813" s="1" t="s">
        <v>90</v>
      </c>
      <c r="B2813" s="1" t="s">
        <v>77</v>
      </c>
      <c r="C2813" s="1" t="s">
        <v>932</v>
      </c>
      <c r="U2813" s="1"/>
    </row>
    <row r="2814" ht="15.75" customHeight="1">
      <c r="A2814" s="1" t="s">
        <v>90</v>
      </c>
      <c r="B2814" s="1" t="s">
        <v>158</v>
      </c>
      <c r="C2814" s="1" t="s">
        <v>1174</v>
      </c>
      <c r="U2814" s="1"/>
    </row>
    <row r="2815" ht="15.75" customHeight="1">
      <c r="A2815" s="1" t="s">
        <v>90</v>
      </c>
      <c r="B2815" s="1" t="s">
        <v>158</v>
      </c>
      <c r="C2815" s="1" t="s">
        <v>2018</v>
      </c>
      <c r="U2815" s="1"/>
    </row>
    <row r="2816" ht="15.75" customHeight="1">
      <c r="A2816" s="1" t="s">
        <v>90</v>
      </c>
      <c r="B2816" s="1" t="s">
        <v>330</v>
      </c>
      <c r="C2816" s="1" t="s">
        <v>2020</v>
      </c>
      <c r="U2816" s="1"/>
    </row>
    <row r="2817" ht="15.75" customHeight="1">
      <c r="A2817" s="1" t="s">
        <v>90</v>
      </c>
      <c r="B2817" s="1" t="s">
        <v>330</v>
      </c>
      <c r="C2817" s="1" t="s">
        <v>2121</v>
      </c>
      <c r="U2817" s="1"/>
    </row>
    <row r="2818" ht="15.75" customHeight="1">
      <c r="A2818" s="1" t="s">
        <v>90</v>
      </c>
      <c r="B2818" s="1" t="s">
        <v>330</v>
      </c>
      <c r="C2818" s="1" t="s">
        <v>2122</v>
      </c>
      <c r="U2818" s="1"/>
    </row>
    <row r="2819" ht="15.75" customHeight="1">
      <c r="A2819" s="1" t="s">
        <v>90</v>
      </c>
      <c r="B2819" s="1" t="s">
        <v>378</v>
      </c>
      <c r="C2819" s="1" t="s">
        <v>2052</v>
      </c>
      <c r="U2819" s="1"/>
    </row>
    <row r="2820" ht="15.75" customHeight="1">
      <c r="A2820" s="1" t="s">
        <v>90</v>
      </c>
      <c r="B2820" s="1" t="s">
        <v>378</v>
      </c>
      <c r="C2820" s="1" t="s">
        <v>2053</v>
      </c>
      <c r="U2820" s="1"/>
    </row>
    <row r="2821" ht="15.75" customHeight="1">
      <c r="A2821" s="1" t="s">
        <v>90</v>
      </c>
      <c r="B2821" s="1" t="s">
        <v>378</v>
      </c>
      <c r="C2821" s="1" t="s">
        <v>2054</v>
      </c>
      <c r="U2821" s="1"/>
    </row>
    <row r="2822" ht="15.75" customHeight="1">
      <c r="A2822" s="1" t="s">
        <v>90</v>
      </c>
      <c r="B2822" s="1" t="s">
        <v>403</v>
      </c>
      <c r="C2822" s="1" t="s">
        <v>987</v>
      </c>
      <c r="U2822" s="1"/>
    </row>
    <row r="2823" ht="15.75" customHeight="1">
      <c r="A2823" s="1" t="s">
        <v>90</v>
      </c>
      <c r="B2823" s="1" t="s">
        <v>1071</v>
      </c>
      <c r="C2823" s="1" t="s">
        <v>2123</v>
      </c>
      <c r="U2823" s="1"/>
    </row>
    <row r="2824" ht="15.75" customHeight="1">
      <c r="A2824" s="1" t="s">
        <v>90</v>
      </c>
      <c r="B2824" s="1" t="s">
        <v>1093</v>
      </c>
      <c r="C2824" s="1" t="s">
        <v>1906</v>
      </c>
      <c r="U2824" s="1"/>
    </row>
    <row r="2825" ht="15.75" customHeight="1">
      <c r="A2825" s="1" t="s">
        <v>93</v>
      </c>
      <c r="B2825" s="1" t="s">
        <v>330</v>
      </c>
      <c r="C2825" s="1" t="s">
        <v>957</v>
      </c>
      <c r="U2825" s="1"/>
    </row>
    <row r="2826" ht="15.75" customHeight="1">
      <c r="A2826" s="1" t="s">
        <v>93</v>
      </c>
      <c r="B2826" s="1" t="s">
        <v>403</v>
      </c>
      <c r="C2826" s="1" t="s">
        <v>983</v>
      </c>
      <c r="U2826" s="1"/>
    </row>
    <row r="2827" ht="15.75" customHeight="1">
      <c r="A2827" s="1" t="s">
        <v>93</v>
      </c>
      <c r="B2827" s="1" t="s">
        <v>403</v>
      </c>
      <c r="C2827" s="1" t="s">
        <v>986</v>
      </c>
      <c r="U2827" s="1"/>
    </row>
    <row r="2828" ht="15.75" customHeight="1">
      <c r="A2828" s="1" t="s">
        <v>93</v>
      </c>
      <c r="B2828" s="1" t="s">
        <v>403</v>
      </c>
      <c r="C2828" s="1" t="s">
        <v>991</v>
      </c>
      <c r="U2828" s="1"/>
    </row>
    <row r="2829" ht="15.75" customHeight="1">
      <c r="A2829" s="1" t="s">
        <v>93</v>
      </c>
      <c r="B2829" s="1" t="s">
        <v>997</v>
      </c>
      <c r="C2829" s="1" t="s">
        <v>1003</v>
      </c>
      <c r="U2829" s="1"/>
    </row>
    <row r="2830" ht="15.75" customHeight="1">
      <c r="A2830" s="1" t="s">
        <v>93</v>
      </c>
      <c r="B2830" s="1" t="s">
        <v>997</v>
      </c>
      <c r="C2830" s="1" t="s">
        <v>2124</v>
      </c>
      <c r="U2830" s="1"/>
    </row>
    <row r="2831" ht="15.75" customHeight="1">
      <c r="A2831" s="1" t="s">
        <v>93</v>
      </c>
      <c r="B2831" s="1" t="s">
        <v>997</v>
      </c>
      <c r="C2831" s="1" t="s">
        <v>2125</v>
      </c>
      <c r="U2831" s="1"/>
    </row>
    <row r="2832" ht="15.75" customHeight="1">
      <c r="A2832" s="1" t="s">
        <v>93</v>
      </c>
      <c r="B2832" s="1" t="s">
        <v>1071</v>
      </c>
      <c r="C2832" s="1" t="s">
        <v>2126</v>
      </c>
      <c r="U2832" s="1"/>
    </row>
    <row r="2833" ht="15.75" customHeight="1">
      <c r="A2833" s="1" t="s">
        <v>93</v>
      </c>
      <c r="B2833" s="1" t="s">
        <v>1071</v>
      </c>
      <c r="C2833" s="1" t="s">
        <v>2127</v>
      </c>
      <c r="U2833" s="1"/>
    </row>
    <row r="2834" ht="15.75" customHeight="1">
      <c r="A2834" s="1" t="s">
        <v>93</v>
      </c>
      <c r="B2834" s="1" t="s">
        <v>1093</v>
      </c>
      <c r="C2834" s="1" t="s">
        <v>2128</v>
      </c>
      <c r="U2834" s="1"/>
    </row>
    <row r="2835" ht="15.75" customHeight="1">
      <c r="A2835" s="1" t="s">
        <v>93</v>
      </c>
      <c r="B2835" s="1" t="s">
        <v>1400</v>
      </c>
      <c r="C2835" s="1" t="s">
        <v>2129</v>
      </c>
      <c r="U2835" s="1"/>
    </row>
    <row r="2836" ht="15.75" customHeight="1">
      <c r="A2836" s="1" t="s">
        <v>93</v>
      </c>
      <c r="B2836" s="1" t="s">
        <v>1400</v>
      </c>
      <c r="C2836" s="1" t="s">
        <v>2130</v>
      </c>
      <c r="U2836" s="1"/>
    </row>
    <row r="2837" ht="15.75" customHeight="1">
      <c r="A2837" s="1" t="s">
        <v>95</v>
      </c>
      <c r="B2837" s="1" t="s">
        <v>6</v>
      </c>
      <c r="C2837" s="1" t="s">
        <v>1655</v>
      </c>
      <c r="U2837" s="1"/>
    </row>
    <row r="2838" ht="15.75" customHeight="1">
      <c r="A2838" s="1" t="s">
        <v>95</v>
      </c>
      <c r="B2838" s="1" t="s">
        <v>6</v>
      </c>
      <c r="C2838" s="1" t="s">
        <v>1657</v>
      </c>
      <c r="U2838" s="1"/>
    </row>
    <row r="2839" ht="15.75" customHeight="1">
      <c r="A2839" s="1" t="s">
        <v>95</v>
      </c>
      <c r="B2839" s="1" t="s">
        <v>77</v>
      </c>
      <c r="C2839" s="1" t="s">
        <v>1665</v>
      </c>
      <c r="U2839" s="1"/>
    </row>
    <row r="2840" ht="15.75" customHeight="1">
      <c r="A2840" s="1" t="s">
        <v>95</v>
      </c>
      <c r="B2840" s="1" t="s">
        <v>77</v>
      </c>
      <c r="C2840" s="1" t="s">
        <v>1668</v>
      </c>
      <c r="U2840" s="1"/>
    </row>
    <row r="2841" ht="15.75" customHeight="1">
      <c r="A2841" s="1" t="s">
        <v>95</v>
      </c>
      <c r="B2841" s="1" t="s">
        <v>77</v>
      </c>
      <c r="C2841" s="1" t="s">
        <v>1673</v>
      </c>
      <c r="U2841" s="1"/>
    </row>
    <row r="2842" ht="15.75" customHeight="1">
      <c r="A2842" s="1" t="s">
        <v>95</v>
      </c>
      <c r="B2842" s="1" t="s">
        <v>158</v>
      </c>
      <c r="C2842" s="1" t="s">
        <v>1677</v>
      </c>
      <c r="U2842" s="1"/>
    </row>
    <row r="2843" ht="15.75" customHeight="1">
      <c r="A2843" s="1" t="s">
        <v>95</v>
      </c>
      <c r="B2843" s="1" t="s">
        <v>158</v>
      </c>
      <c r="C2843" s="1" t="s">
        <v>1680</v>
      </c>
      <c r="U2843" s="1"/>
    </row>
    <row r="2844" ht="15.75" customHeight="1">
      <c r="A2844" s="1" t="s">
        <v>95</v>
      </c>
      <c r="B2844" s="1" t="s">
        <v>158</v>
      </c>
      <c r="C2844" s="1" t="s">
        <v>1682</v>
      </c>
      <c r="U2844" s="1"/>
    </row>
    <row r="2845" ht="15.75" customHeight="1">
      <c r="A2845" s="1" t="s">
        <v>95</v>
      </c>
      <c r="B2845" s="1" t="s">
        <v>330</v>
      </c>
      <c r="C2845" s="1" t="s">
        <v>1684</v>
      </c>
      <c r="U2845" s="1"/>
    </row>
    <row r="2846" ht="15.75" customHeight="1">
      <c r="A2846" s="1" t="s">
        <v>95</v>
      </c>
      <c r="B2846" s="1" t="s">
        <v>378</v>
      </c>
      <c r="C2846" s="1" t="s">
        <v>1688</v>
      </c>
      <c r="U2846" s="1"/>
    </row>
    <row r="2847" ht="15.75" customHeight="1">
      <c r="A2847" s="1" t="s">
        <v>95</v>
      </c>
      <c r="B2847" s="1" t="s">
        <v>378</v>
      </c>
      <c r="C2847" s="1" t="s">
        <v>1690</v>
      </c>
      <c r="U2847" s="1"/>
    </row>
    <row r="2848" ht="15.75" customHeight="1">
      <c r="A2848" s="1" t="s">
        <v>95</v>
      </c>
      <c r="B2848" s="1" t="s">
        <v>403</v>
      </c>
      <c r="C2848" s="1" t="s">
        <v>1472</v>
      </c>
      <c r="U2848" s="1"/>
    </row>
    <row r="2849" ht="15.75" customHeight="1">
      <c r="A2849" s="1" t="s">
        <v>97</v>
      </c>
      <c r="B2849" s="1" t="s">
        <v>29</v>
      </c>
      <c r="C2849" s="1" t="s">
        <v>436</v>
      </c>
      <c r="U2849" s="1"/>
    </row>
    <row r="2850" ht="15.75" customHeight="1">
      <c r="A2850" s="1" t="s">
        <v>97</v>
      </c>
      <c r="B2850" s="1" t="s">
        <v>29</v>
      </c>
      <c r="C2850" s="1" t="s">
        <v>440</v>
      </c>
      <c r="U2850" s="1"/>
    </row>
    <row r="2851" ht="15.75" customHeight="1">
      <c r="A2851" s="1" t="s">
        <v>97</v>
      </c>
      <c r="B2851" s="1" t="s">
        <v>29</v>
      </c>
      <c r="C2851" s="1" t="s">
        <v>446</v>
      </c>
      <c r="U2851" s="1"/>
    </row>
    <row r="2852" ht="15.75" customHeight="1">
      <c r="A2852" s="1" t="s">
        <v>97</v>
      </c>
      <c r="B2852" s="1" t="s">
        <v>29</v>
      </c>
      <c r="C2852" s="1" t="s">
        <v>450</v>
      </c>
      <c r="U2852" s="1"/>
    </row>
    <row r="2853" ht="15.75" customHeight="1">
      <c r="A2853" s="1" t="s">
        <v>97</v>
      </c>
      <c r="B2853" s="1" t="s">
        <v>29</v>
      </c>
      <c r="C2853" s="1" t="s">
        <v>458</v>
      </c>
      <c r="U2853" s="1"/>
    </row>
    <row r="2854" ht="15.75" customHeight="1">
      <c r="A2854" s="1" t="s">
        <v>97</v>
      </c>
      <c r="B2854" s="1" t="s">
        <v>77</v>
      </c>
      <c r="C2854" s="1" t="s">
        <v>464</v>
      </c>
      <c r="U2854" s="1"/>
    </row>
    <row r="2855" ht="15.75" customHeight="1">
      <c r="A2855" s="1" t="s">
        <v>97</v>
      </c>
      <c r="B2855" s="1" t="s">
        <v>77</v>
      </c>
      <c r="C2855" s="1" t="s">
        <v>466</v>
      </c>
      <c r="U2855" s="1"/>
    </row>
    <row r="2856" ht="15.75" customHeight="1">
      <c r="A2856" s="1" t="s">
        <v>97</v>
      </c>
      <c r="B2856" s="1" t="s">
        <v>77</v>
      </c>
      <c r="C2856" s="1" t="s">
        <v>485</v>
      </c>
      <c r="U2856" s="1"/>
    </row>
    <row r="2857" ht="15.75" customHeight="1">
      <c r="A2857" s="1" t="s">
        <v>97</v>
      </c>
      <c r="B2857" s="1" t="s">
        <v>77</v>
      </c>
      <c r="C2857" s="1" t="s">
        <v>491</v>
      </c>
      <c r="U2857" s="1"/>
    </row>
    <row r="2858" ht="15.75" customHeight="1">
      <c r="A2858" s="1" t="s">
        <v>97</v>
      </c>
      <c r="B2858" s="1" t="s">
        <v>77</v>
      </c>
      <c r="C2858" s="1" t="s">
        <v>505</v>
      </c>
      <c r="U2858" s="1"/>
    </row>
    <row r="2859" ht="15.75" customHeight="1">
      <c r="A2859" s="1" t="s">
        <v>97</v>
      </c>
      <c r="B2859" s="1" t="s">
        <v>77</v>
      </c>
      <c r="C2859" s="1" t="s">
        <v>499</v>
      </c>
      <c r="U2859" s="1"/>
    </row>
    <row r="2860" ht="15.75" customHeight="1">
      <c r="A2860" s="1" t="s">
        <v>97</v>
      </c>
      <c r="B2860" s="1" t="s">
        <v>378</v>
      </c>
      <c r="C2860" s="1" t="s">
        <v>583</v>
      </c>
      <c r="U2860" s="1"/>
    </row>
    <row r="2861" ht="15.75" customHeight="1">
      <c r="A2861" s="1" t="s">
        <v>99</v>
      </c>
      <c r="B2861" s="1" t="s">
        <v>29</v>
      </c>
      <c r="C2861" s="1" t="s">
        <v>444</v>
      </c>
      <c r="U2861" s="1"/>
    </row>
    <row r="2862" ht="15.75" customHeight="1">
      <c r="A2862" s="1" t="s">
        <v>99</v>
      </c>
      <c r="B2862" s="1" t="s">
        <v>29</v>
      </c>
      <c r="C2862" s="1" t="s">
        <v>448</v>
      </c>
      <c r="U2862" s="1"/>
    </row>
    <row r="2863" ht="15.75" customHeight="1">
      <c r="A2863" s="1" t="s">
        <v>99</v>
      </c>
      <c r="B2863" s="1" t="s">
        <v>77</v>
      </c>
      <c r="C2863" s="1" t="s">
        <v>507</v>
      </c>
      <c r="U2863" s="1"/>
    </row>
    <row r="2864" ht="15.75" customHeight="1">
      <c r="A2864" s="1" t="s">
        <v>99</v>
      </c>
      <c r="B2864" s="1" t="s">
        <v>158</v>
      </c>
      <c r="C2864" s="1" t="s">
        <v>516</v>
      </c>
      <c r="U2864" s="1"/>
    </row>
    <row r="2865" ht="15.75" customHeight="1">
      <c r="A2865" s="1" t="s">
        <v>99</v>
      </c>
      <c r="B2865" s="1" t="s">
        <v>330</v>
      </c>
      <c r="C2865" s="1" t="s">
        <v>542</v>
      </c>
      <c r="U2865" s="1"/>
    </row>
    <row r="2866" ht="15.75" customHeight="1">
      <c r="A2866" s="1" t="s">
        <v>99</v>
      </c>
      <c r="B2866" s="1" t="s">
        <v>378</v>
      </c>
      <c r="C2866" s="1" t="s">
        <v>2131</v>
      </c>
      <c r="U2866" s="1"/>
    </row>
    <row r="2867" ht="15.75" customHeight="1">
      <c r="A2867" s="1" t="s">
        <v>99</v>
      </c>
      <c r="B2867" s="1" t="s">
        <v>403</v>
      </c>
      <c r="C2867" s="1" t="s">
        <v>2132</v>
      </c>
      <c r="U2867" s="1"/>
    </row>
    <row r="2868" ht="15.75" customHeight="1">
      <c r="A2868" s="1" t="s">
        <v>99</v>
      </c>
      <c r="B2868" s="1" t="s">
        <v>1071</v>
      </c>
      <c r="C2868" s="1" t="s">
        <v>2133</v>
      </c>
      <c r="U2868" s="1"/>
    </row>
    <row r="2869" ht="15.75" customHeight="1">
      <c r="A2869" s="1" t="s">
        <v>99</v>
      </c>
      <c r="B2869" s="1" t="s">
        <v>1093</v>
      </c>
      <c r="C2869" s="1" t="s">
        <v>2134</v>
      </c>
      <c r="U2869" s="1"/>
    </row>
    <row r="2870" ht="15.75" customHeight="1">
      <c r="A2870" s="1" t="s">
        <v>99</v>
      </c>
      <c r="B2870" s="1" t="s">
        <v>1093</v>
      </c>
      <c r="C2870" s="1" t="s">
        <v>2135</v>
      </c>
      <c r="U2870" s="1"/>
    </row>
    <row r="2871" ht="15.75" customHeight="1">
      <c r="A2871" s="1" t="s">
        <v>99</v>
      </c>
      <c r="B2871" s="1" t="s">
        <v>1400</v>
      </c>
      <c r="C2871" s="1" t="s">
        <v>2136</v>
      </c>
      <c r="U2871" s="1"/>
    </row>
    <row r="2872" ht="15.75" customHeight="1">
      <c r="A2872" s="1" t="s">
        <v>99</v>
      </c>
      <c r="B2872" s="1" t="s">
        <v>1400</v>
      </c>
      <c r="C2872" s="1" t="s">
        <v>2137</v>
      </c>
      <c r="U2872" s="1"/>
    </row>
    <row r="2873" ht="15.75" customHeight="1">
      <c r="A2873" s="1" t="s">
        <v>102</v>
      </c>
      <c r="B2873" s="1" t="s">
        <v>330</v>
      </c>
      <c r="C2873" s="1" t="s">
        <v>1331</v>
      </c>
      <c r="U2873" s="1"/>
    </row>
    <row r="2874" ht="15.75" customHeight="1">
      <c r="A2874" s="1" t="s">
        <v>102</v>
      </c>
      <c r="B2874" s="1" t="s">
        <v>378</v>
      </c>
      <c r="C2874" s="1" t="s">
        <v>1338</v>
      </c>
      <c r="U2874" s="1"/>
    </row>
    <row r="2875" ht="15.75" customHeight="1">
      <c r="A2875" s="1" t="s">
        <v>102</v>
      </c>
      <c r="B2875" s="1" t="s">
        <v>378</v>
      </c>
      <c r="C2875" s="1" t="s">
        <v>1342</v>
      </c>
      <c r="U2875" s="1"/>
    </row>
    <row r="2876" ht="15.75" customHeight="1">
      <c r="A2876" s="1" t="s">
        <v>102</v>
      </c>
      <c r="B2876" s="1" t="s">
        <v>403</v>
      </c>
      <c r="C2876" s="1" t="s">
        <v>1976</v>
      </c>
      <c r="U2876" s="1"/>
    </row>
    <row r="2877" ht="15.75" customHeight="1">
      <c r="A2877" s="1" t="s">
        <v>102</v>
      </c>
      <c r="B2877" s="1" t="s">
        <v>403</v>
      </c>
      <c r="C2877" s="1" t="s">
        <v>2138</v>
      </c>
      <c r="U2877" s="1"/>
    </row>
    <row r="2878" ht="15.75" customHeight="1">
      <c r="A2878" s="1" t="s">
        <v>102</v>
      </c>
      <c r="B2878" s="1" t="s">
        <v>403</v>
      </c>
      <c r="C2878" s="1" t="s">
        <v>2139</v>
      </c>
      <c r="U2878" s="1"/>
    </row>
    <row r="2879" ht="15.75" customHeight="1">
      <c r="A2879" s="1" t="s">
        <v>102</v>
      </c>
      <c r="B2879" s="1" t="s">
        <v>403</v>
      </c>
      <c r="C2879" s="1" t="s">
        <v>2140</v>
      </c>
      <c r="U2879" s="1"/>
    </row>
    <row r="2880" ht="15.75" customHeight="1">
      <c r="A2880" s="1" t="s">
        <v>102</v>
      </c>
      <c r="B2880" s="1" t="s">
        <v>997</v>
      </c>
      <c r="C2880" s="1" t="s">
        <v>2141</v>
      </c>
      <c r="U2880" s="1"/>
    </row>
    <row r="2881" ht="15.75" customHeight="1">
      <c r="A2881" s="1" t="s">
        <v>102</v>
      </c>
      <c r="B2881" s="1" t="s">
        <v>997</v>
      </c>
      <c r="C2881" s="1" t="s">
        <v>2142</v>
      </c>
      <c r="U2881" s="1"/>
    </row>
    <row r="2882" ht="15.75" customHeight="1">
      <c r="A2882" s="1" t="s">
        <v>102</v>
      </c>
      <c r="B2882" s="1" t="s">
        <v>1848</v>
      </c>
      <c r="C2882" s="1" t="s">
        <v>1949</v>
      </c>
      <c r="U2882" s="1"/>
    </row>
    <row r="2883" ht="15.75" customHeight="1">
      <c r="A2883" s="1" t="s">
        <v>102</v>
      </c>
      <c r="B2883" s="1" t="s">
        <v>1848</v>
      </c>
      <c r="C2883" s="1" t="s">
        <v>1948</v>
      </c>
      <c r="U2883" s="1"/>
    </row>
    <row r="2884" ht="15.75" customHeight="1">
      <c r="A2884" s="1" t="s">
        <v>102</v>
      </c>
      <c r="B2884" s="1" t="s">
        <v>1748</v>
      </c>
      <c r="C2884" s="1" t="s">
        <v>1950</v>
      </c>
      <c r="U2884" s="1"/>
    </row>
    <row r="2885" ht="15.75" customHeight="1">
      <c r="A2885" s="1" t="s">
        <v>104</v>
      </c>
      <c r="B2885" s="1" t="s">
        <v>6</v>
      </c>
      <c r="C2885" s="1" t="s">
        <v>1657</v>
      </c>
      <c r="U2885" s="1"/>
    </row>
    <row r="2886" ht="15.75" customHeight="1">
      <c r="A2886" s="1" t="s">
        <v>104</v>
      </c>
      <c r="B2886" s="1" t="s">
        <v>77</v>
      </c>
      <c r="C2886" s="1" t="s">
        <v>1668</v>
      </c>
      <c r="U2886" s="1"/>
    </row>
    <row r="2887" ht="15.75" customHeight="1">
      <c r="A2887" s="1" t="s">
        <v>104</v>
      </c>
      <c r="B2887" s="1" t="s">
        <v>77</v>
      </c>
      <c r="C2887" s="1" t="s">
        <v>1673</v>
      </c>
      <c r="U2887" s="1"/>
    </row>
    <row r="2888" ht="15.75" customHeight="1">
      <c r="A2888" s="1" t="s">
        <v>104</v>
      </c>
      <c r="B2888" s="1" t="s">
        <v>158</v>
      </c>
      <c r="C2888" s="1" t="s">
        <v>1677</v>
      </c>
      <c r="U2888" s="1"/>
    </row>
    <row r="2889" ht="15.75" customHeight="1">
      <c r="A2889" s="1" t="s">
        <v>104</v>
      </c>
      <c r="B2889" s="1" t="s">
        <v>158</v>
      </c>
      <c r="C2889" s="1" t="s">
        <v>1682</v>
      </c>
      <c r="U2889" s="1"/>
    </row>
    <row r="2890" ht="15.75" customHeight="1">
      <c r="A2890" s="1" t="s">
        <v>104</v>
      </c>
      <c r="B2890" s="1" t="s">
        <v>330</v>
      </c>
      <c r="C2890" s="1" t="s">
        <v>1683</v>
      </c>
      <c r="U2890" s="1"/>
    </row>
    <row r="2891" ht="15.75" customHeight="1">
      <c r="A2891" s="1" t="s">
        <v>104</v>
      </c>
      <c r="B2891" s="1" t="s">
        <v>330</v>
      </c>
      <c r="C2891" s="1" t="s">
        <v>1685</v>
      </c>
      <c r="U2891" s="1"/>
    </row>
    <row r="2892" ht="15.75" customHeight="1">
      <c r="A2892" s="1" t="s">
        <v>104</v>
      </c>
      <c r="B2892" s="1" t="s">
        <v>330</v>
      </c>
      <c r="C2892" s="1" t="s">
        <v>1686</v>
      </c>
      <c r="U2892" s="1"/>
    </row>
    <row r="2893" ht="15.75" customHeight="1">
      <c r="A2893" s="1" t="s">
        <v>104</v>
      </c>
      <c r="B2893" s="1" t="s">
        <v>378</v>
      </c>
      <c r="C2893" s="1" t="s">
        <v>1687</v>
      </c>
      <c r="U2893" s="1"/>
    </row>
    <row r="2894" ht="15.75" customHeight="1">
      <c r="A2894" s="1" t="s">
        <v>104</v>
      </c>
      <c r="B2894" s="1" t="s">
        <v>378</v>
      </c>
      <c r="C2894" s="1" t="s">
        <v>1688</v>
      </c>
      <c r="U2894" s="1"/>
    </row>
    <row r="2895" ht="15.75" customHeight="1">
      <c r="A2895" s="1" t="s">
        <v>104</v>
      </c>
      <c r="B2895" s="1" t="s">
        <v>378</v>
      </c>
      <c r="C2895" s="1" t="s">
        <v>1689</v>
      </c>
      <c r="U2895" s="1"/>
    </row>
    <row r="2896" ht="15.75" customHeight="1">
      <c r="A2896" s="1" t="s">
        <v>106</v>
      </c>
      <c r="B2896" s="1" t="s">
        <v>29</v>
      </c>
      <c r="C2896" s="1" t="s">
        <v>35</v>
      </c>
      <c r="U2896" s="1"/>
    </row>
    <row r="2897" ht="15.75" customHeight="1">
      <c r="A2897" s="1" t="s">
        <v>106</v>
      </c>
      <c r="B2897" s="1" t="s">
        <v>29</v>
      </c>
      <c r="C2897" s="1" t="s">
        <v>923</v>
      </c>
      <c r="U2897" s="1"/>
    </row>
    <row r="2898" ht="15.75" customHeight="1">
      <c r="A2898" s="1" t="s">
        <v>106</v>
      </c>
      <c r="B2898" s="1" t="s">
        <v>330</v>
      </c>
      <c r="C2898" s="1" t="s">
        <v>951</v>
      </c>
      <c r="U2898" s="1"/>
    </row>
    <row r="2899" ht="15.75" customHeight="1">
      <c r="A2899" s="1" t="s">
        <v>106</v>
      </c>
      <c r="B2899" s="1" t="s">
        <v>330</v>
      </c>
      <c r="C2899" s="1" t="s">
        <v>957</v>
      </c>
      <c r="U2899" s="1"/>
    </row>
    <row r="2900" ht="15.75" customHeight="1">
      <c r="A2900" s="1" t="s">
        <v>106</v>
      </c>
      <c r="B2900" s="1" t="s">
        <v>378</v>
      </c>
      <c r="C2900" s="1" t="s">
        <v>975</v>
      </c>
      <c r="U2900" s="1"/>
    </row>
    <row r="2901" ht="15.75" customHeight="1">
      <c r="A2901" s="1" t="s">
        <v>106</v>
      </c>
      <c r="B2901" s="1" t="s">
        <v>1400</v>
      </c>
      <c r="C2901" s="1" t="s">
        <v>2143</v>
      </c>
      <c r="U2901" s="1"/>
    </row>
    <row r="2902" ht="15.75" customHeight="1">
      <c r="A2902" s="1" t="s">
        <v>106</v>
      </c>
      <c r="B2902" s="1" t="s">
        <v>1425</v>
      </c>
      <c r="C2902" s="1" t="s">
        <v>2144</v>
      </c>
      <c r="U2902" s="1"/>
    </row>
    <row r="2903" ht="15.75" customHeight="1">
      <c r="A2903" s="1" t="s">
        <v>106</v>
      </c>
      <c r="B2903" s="1" t="s">
        <v>1848</v>
      </c>
      <c r="C2903" s="1" t="s">
        <v>2145</v>
      </c>
      <c r="U2903" s="1"/>
    </row>
    <row r="2904" ht="15.75" customHeight="1">
      <c r="A2904" s="1" t="s">
        <v>106</v>
      </c>
      <c r="B2904" s="1" t="s">
        <v>1748</v>
      </c>
      <c r="C2904" s="1" t="s">
        <v>2146</v>
      </c>
      <c r="U2904" s="1"/>
    </row>
    <row r="2905" ht="15.75" customHeight="1">
      <c r="A2905" s="1" t="s">
        <v>106</v>
      </c>
      <c r="B2905" s="1" t="s">
        <v>1748</v>
      </c>
      <c r="C2905" s="1" t="s">
        <v>2147</v>
      </c>
      <c r="U2905" s="1"/>
    </row>
    <row r="2906" ht="15.75" customHeight="1">
      <c r="A2906" s="1" t="s">
        <v>106</v>
      </c>
      <c r="B2906" s="1" t="s">
        <v>1763</v>
      </c>
      <c r="C2906" s="1" t="s">
        <v>2148</v>
      </c>
      <c r="U2906" s="1"/>
    </row>
    <row r="2907" ht="15.75" customHeight="1">
      <c r="A2907" s="1" t="s">
        <v>108</v>
      </c>
      <c r="B2907" s="1" t="s">
        <v>6</v>
      </c>
      <c r="C2907" s="1" t="s">
        <v>1251</v>
      </c>
      <c r="U2907" s="1"/>
    </row>
    <row r="2908" ht="15.75" customHeight="1">
      <c r="A2908" s="1" t="s">
        <v>108</v>
      </c>
      <c r="B2908" s="1" t="s">
        <v>29</v>
      </c>
      <c r="C2908" s="1" t="s">
        <v>1257</v>
      </c>
      <c r="U2908" s="1"/>
    </row>
    <row r="2909" ht="15.75" customHeight="1">
      <c r="A2909" s="1" t="s">
        <v>108</v>
      </c>
      <c r="B2909" s="1" t="s">
        <v>29</v>
      </c>
      <c r="C2909" s="1" t="s">
        <v>1143</v>
      </c>
      <c r="U2909" s="1"/>
    </row>
    <row r="2910" ht="15.75" customHeight="1">
      <c r="A2910" s="1" t="s">
        <v>108</v>
      </c>
      <c r="B2910" s="1" t="s">
        <v>29</v>
      </c>
      <c r="C2910" s="1" t="s">
        <v>1278</v>
      </c>
      <c r="U2910" s="1"/>
    </row>
    <row r="2911" ht="15.75" customHeight="1">
      <c r="A2911" s="1" t="s">
        <v>108</v>
      </c>
      <c r="B2911" s="1" t="s">
        <v>77</v>
      </c>
      <c r="C2911" s="1" t="s">
        <v>1288</v>
      </c>
      <c r="U2911" s="1"/>
    </row>
    <row r="2912" ht="15.75" customHeight="1">
      <c r="A2912" s="1" t="s">
        <v>108</v>
      </c>
      <c r="B2912" s="1" t="s">
        <v>158</v>
      </c>
      <c r="C2912" s="1" t="s">
        <v>939</v>
      </c>
      <c r="U2912" s="1"/>
    </row>
    <row r="2913" ht="15.75" customHeight="1">
      <c r="A2913" s="1" t="s">
        <v>108</v>
      </c>
      <c r="B2913" s="1" t="s">
        <v>158</v>
      </c>
      <c r="C2913" s="1" t="s">
        <v>1526</v>
      </c>
      <c r="U2913" s="1"/>
    </row>
    <row r="2914" ht="15.75" customHeight="1">
      <c r="A2914" s="1" t="s">
        <v>108</v>
      </c>
      <c r="B2914" s="1" t="s">
        <v>158</v>
      </c>
      <c r="C2914" s="1" t="s">
        <v>1534</v>
      </c>
      <c r="U2914" s="1"/>
    </row>
    <row r="2915" ht="15.75" customHeight="1">
      <c r="A2915" s="1" t="s">
        <v>108</v>
      </c>
      <c r="B2915" s="1" t="s">
        <v>378</v>
      </c>
      <c r="C2915" s="1" t="s">
        <v>974</v>
      </c>
      <c r="U2915" s="1"/>
    </row>
    <row r="2916" ht="15.75" customHeight="1">
      <c r="A2916" s="1" t="s">
        <v>108</v>
      </c>
      <c r="B2916" s="1" t="s">
        <v>1400</v>
      </c>
      <c r="C2916" s="1" t="s">
        <v>2085</v>
      </c>
      <c r="U2916" s="1"/>
    </row>
    <row r="2917" ht="15.75" customHeight="1">
      <c r="A2917" s="1" t="s">
        <v>108</v>
      </c>
      <c r="B2917" s="1" t="s">
        <v>1400</v>
      </c>
      <c r="C2917" s="1" t="s">
        <v>2087</v>
      </c>
      <c r="U2917" s="1"/>
    </row>
    <row r="2918" ht="15.75" customHeight="1">
      <c r="A2918" s="1" t="s">
        <v>111</v>
      </c>
      <c r="B2918" s="1" t="s">
        <v>29</v>
      </c>
      <c r="C2918" s="1" t="s">
        <v>438</v>
      </c>
      <c r="U2918" s="1"/>
    </row>
    <row r="2919" ht="15.75" customHeight="1">
      <c r="A2919" s="1" t="s">
        <v>111</v>
      </c>
      <c r="B2919" s="1" t="s">
        <v>77</v>
      </c>
      <c r="C2919" s="1" t="s">
        <v>1299</v>
      </c>
      <c r="U2919" s="1"/>
    </row>
    <row r="2920" ht="15.75" customHeight="1">
      <c r="A2920" s="1" t="s">
        <v>111</v>
      </c>
      <c r="B2920" s="1" t="s">
        <v>158</v>
      </c>
      <c r="C2920" s="1" t="s">
        <v>1307</v>
      </c>
      <c r="U2920" s="1"/>
    </row>
    <row r="2921" ht="15.75" customHeight="1">
      <c r="A2921" s="1" t="s">
        <v>111</v>
      </c>
      <c r="B2921" s="1" t="s">
        <v>158</v>
      </c>
      <c r="C2921" s="1" t="s">
        <v>1314</v>
      </c>
      <c r="U2921" s="1"/>
    </row>
    <row r="2922" ht="15.75" customHeight="1">
      <c r="A2922" s="1" t="s">
        <v>111</v>
      </c>
      <c r="B2922" s="1" t="s">
        <v>158</v>
      </c>
      <c r="C2922" s="1" t="s">
        <v>1319</v>
      </c>
      <c r="U2922" s="1"/>
    </row>
    <row r="2923" ht="15.75" customHeight="1">
      <c r="A2923" s="1" t="s">
        <v>111</v>
      </c>
      <c r="B2923" s="1" t="s">
        <v>158</v>
      </c>
      <c r="C2923" s="1" t="s">
        <v>1320</v>
      </c>
      <c r="U2923" s="1"/>
    </row>
    <row r="2924" ht="15.75" customHeight="1">
      <c r="A2924" s="1" t="s">
        <v>111</v>
      </c>
      <c r="B2924" s="1" t="s">
        <v>330</v>
      </c>
      <c r="C2924" s="1" t="s">
        <v>1329</v>
      </c>
      <c r="U2924" s="1"/>
    </row>
    <row r="2925" ht="15.75" customHeight="1">
      <c r="A2925" s="1" t="s">
        <v>111</v>
      </c>
      <c r="B2925" s="1" t="s">
        <v>330</v>
      </c>
      <c r="C2925" s="1" t="s">
        <v>1330</v>
      </c>
      <c r="U2925" s="1"/>
    </row>
    <row r="2926" ht="15.75" customHeight="1">
      <c r="A2926" s="1" t="s">
        <v>111</v>
      </c>
      <c r="B2926" s="1" t="s">
        <v>378</v>
      </c>
      <c r="C2926" s="1" t="s">
        <v>1334</v>
      </c>
      <c r="U2926" s="1"/>
    </row>
    <row r="2927" ht="15.75" customHeight="1">
      <c r="A2927" s="1" t="s">
        <v>111</v>
      </c>
      <c r="B2927" s="1" t="s">
        <v>378</v>
      </c>
      <c r="C2927" s="1" t="s">
        <v>1338</v>
      </c>
      <c r="U2927" s="1"/>
    </row>
    <row r="2928" ht="15.75" customHeight="1">
      <c r="A2928" s="1" t="s">
        <v>111</v>
      </c>
      <c r="B2928" s="1" t="s">
        <v>997</v>
      </c>
      <c r="C2928" s="1" t="s">
        <v>1825</v>
      </c>
      <c r="U2928" s="1"/>
    </row>
    <row r="2929" ht="15.75" customHeight="1">
      <c r="A2929" s="1" t="s">
        <v>113</v>
      </c>
      <c r="B2929" s="1" t="s">
        <v>77</v>
      </c>
      <c r="C2929" s="1" t="s">
        <v>1598</v>
      </c>
      <c r="U2929" s="1"/>
    </row>
    <row r="2930" ht="15.75" customHeight="1">
      <c r="A2930" s="1" t="s">
        <v>113</v>
      </c>
      <c r="B2930" s="1" t="s">
        <v>158</v>
      </c>
      <c r="C2930" s="1" t="s">
        <v>949</v>
      </c>
      <c r="U2930" s="1"/>
    </row>
    <row r="2931" ht="15.75" customHeight="1">
      <c r="A2931" s="1" t="s">
        <v>113</v>
      </c>
      <c r="B2931" s="1" t="s">
        <v>1093</v>
      </c>
      <c r="C2931" s="1" t="s">
        <v>1951</v>
      </c>
      <c r="U2931" s="1"/>
    </row>
    <row r="2932" ht="15.75" customHeight="1">
      <c r="A2932" s="1" t="s">
        <v>113</v>
      </c>
      <c r="B2932" s="1" t="s">
        <v>1400</v>
      </c>
      <c r="C2932" s="1" t="s">
        <v>2149</v>
      </c>
      <c r="U2932" s="1"/>
    </row>
    <row r="2933" ht="15.75" customHeight="1">
      <c r="A2933" s="1" t="s">
        <v>113</v>
      </c>
      <c r="B2933" s="1" t="s">
        <v>1400</v>
      </c>
      <c r="C2933" s="1" t="s">
        <v>1938</v>
      </c>
      <c r="U2933" s="1"/>
    </row>
    <row r="2934" ht="15.75" customHeight="1">
      <c r="A2934" s="1" t="s">
        <v>113</v>
      </c>
      <c r="B2934" s="1" t="s">
        <v>1410</v>
      </c>
      <c r="C2934" s="1" t="s">
        <v>1958</v>
      </c>
      <c r="U2934" s="1"/>
    </row>
    <row r="2935" ht="15.75" customHeight="1">
      <c r="A2935" s="1" t="s">
        <v>113</v>
      </c>
      <c r="B2935" s="1" t="s">
        <v>1410</v>
      </c>
      <c r="C2935" s="1" t="s">
        <v>1807</v>
      </c>
      <c r="U2935" s="1"/>
    </row>
    <row r="2936" ht="15.75" customHeight="1">
      <c r="A2936" s="1" t="s">
        <v>113</v>
      </c>
      <c r="B2936" s="1" t="s">
        <v>1410</v>
      </c>
      <c r="C2936" s="1" t="s">
        <v>2150</v>
      </c>
      <c r="U2936" s="1"/>
    </row>
    <row r="2937" ht="15.75" customHeight="1">
      <c r="A2937" s="1" t="s">
        <v>113</v>
      </c>
      <c r="B2937" s="1" t="s">
        <v>1425</v>
      </c>
      <c r="C2937" s="1" t="s">
        <v>1807</v>
      </c>
      <c r="U2937" s="1"/>
    </row>
    <row r="2938" ht="15.75" customHeight="1">
      <c r="A2938" s="1" t="s">
        <v>113</v>
      </c>
      <c r="B2938" s="1" t="s">
        <v>1425</v>
      </c>
      <c r="C2938" s="1" t="s">
        <v>1815</v>
      </c>
      <c r="U2938" s="1"/>
    </row>
    <row r="2939" ht="15.75" customHeight="1">
      <c r="A2939" s="1" t="s">
        <v>113</v>
      </c>
      <c r="B2939" s="1" t="s">
        <v>1492</v>
      </c>
      <c r="C2939" s="1" t="s">
        <v>2151</v>
      </c>
      <c r="U2939" s="1"/>
    </row>
    <row r="2940" ht="15.75" customHeight="1">
      <c r="A2940" s="1" t="s">
        <v>115</v>
      </c>
      <c r="B2940" s="1" t="s">
        <v>403</v>
      </c>
      <c r="C2940" s="1" t="s">
        <v>1041</v>
      </c>
      <c r="U2940" s="1"/>
    </row>
    <row r="2941" ht="15.75" customHeight="1">
      <c r="A2941" s="1" t="s">
        <v>115</v>
      </c>
      <c r="B2941" s="1" t="s">
        <v>1071</v>
      </c>
      <c r="C2941" s="1" t="s">
        <v>1082</v>
      </c>
      <c r="U2941" s="1"/>
    </row>
    <row r="2942" ht="15.75" customHeight="1">
      <c r="A2942" s="1" t="s">
        <v>115</v>
      </c>
      <c r="B2942" s="1" t="s">
        <v>1071</v>
      </c>
      <c r="C2942" s="1" t="s">
        <v>1089</v>
      </c>
      <c r="U2942" s="1"/>
    </row>
    <row r="2943" ht="15.75" customHeight="1">
      <c r="A2943" s="1" t="s">
        <v>115</v>
      </c>
      <c r="B2943" s="1" t="s">
        <v>1400</v>
      </c>
      <c r="C2943" s="1" t="s">
        <v>2152</v>
      </c>
      <c r="U2943" s="1"/>
    </row>
    <row r="2944" ht="15.75" customHeight="1">
      <c r="A2944" s="1" t="s">
        <v>115</v>
      </c>
      <c r="B2944" s="1" t="s">
        <v>1410</v>
      </c>
      <c r="C2944" s="1" t="s">
        <v>2153</v>
      </c>
      <c r="U2944" s="1"/>
    </row>
    <row r="2945" ht="15.75" customHeight="1">
      <c r="A2945" s="1" t="s">
        <v>115</v>
      </c>
      <c r="B2945" s="1" t="s">
        <v>1410</v>
      </c>
      <c r="C2945" s="1" t="s">
        <v>2154</v>
      </c>
      <c r="U2945" s="1"/>
    </row>
    <row r="2946" ht="15.75" customHeight="1">
      <c r="A2946" s="1" t="s">
        <v>115</v>
      </c>
      <c r="B2946" s="1" t="s">
        <v>1410</v>
      </c>
      <c r="C2946" s="1" t="s">
        <v>2155</v>
      </c>
      <c r="U2946" s="1"/>
    </row>
    <row r="2947" ht="15.75" customHeight="1">
      <c r="A2947" s="1" t="s">
        <v>115</v>
      </c>
      <c r="B2947" s="1" t="s">
        <v>1425</v>
      </c>
      <c r="C2947" s="1" t="s">
        <v>2156</v>
      </c>
      <c r="U2947" s="1"/>
    </row>
    <row r="2948" ht="15.75" customHeight="1">
      <c r="A2948" s="1" t="s">
        <v>115</v>
      </c>
      <c r="B2948" s="1" t="s">
        <v>1425</v>
      </c>
      <c r="C2948" s="1" t="s">
        <v>2157</v>
      </c>
      <c r="U2948" s="1"/>
    </row>
    <row r="2949" ht="15.75" customHeight="1">
      <c r="A2949" s="1" t="s">
        <v>115</v>
      </c>
      <c r="B2949" s="1" t="s">
        <v>1492</v>
      </c>
      <c r="C2949" s="1" t="s">
        <v>2158</v>
      </c>
      <c r="U2949" s="1"/>
    </row>
    <row r="2950" ht="15.75" customHeight="1">
      <c r="A2950" s="1" t="s">
        <v>115</v>
      </c>
      <c r="B2950" s="1" t="s">
        <v>1492</v>
      </c>
      <c r="C2950" s="1" t="s">
        <v>2159</v>
      </c>
      <c r="U2950" s="1"/>
    </row>
    <row r="2951" ht="15.75" customHeight="1">
      <c r="A2951" s="1" t="s">
        <v>117</v>
      </c>
      <c r="B2951" s="1" t="s">
        <v>29</v>
      </c>
      <c r="C2951" s="1" t="s">
        <v>1504</v>
      </c>
      <c r="U2951" s="1"/>
    </row>
    <row r="2952" ht="15.75" customHeight="1">
      <c r="A2952" s="1" t="s">
        <v>117</v>
      </c>
      <c r="B2952" s="1" t="s">
        <v>77</v>
      </c>
      <c r="C2952" s="1" t="s">
        <v>1516</v>
      </c>
      <c r="U2952" s="1"/>
    </row>
    <row r="2953" ht="15.75" customHeight="1">
      <c r="A2953" s="1" t="s">
        <v>117</v>
      </c>
      <c r="B2953" s="1" t="s">
        <v>77</v>
      </c>
      <c r="C2953" s="1" t="s">
        <v>1521</v>
      </c>
      <c r="U2953" s="1"/>
    </row>
    <row r="2954" ht="15.75" customHeight="1">
      <c r="A2954" s="1" t="s">
        <v>117</v>
      </c>
      <c r="B2954" s="1" t="s">
        <v>158</v>
      </c>
      <c r="C2954" s="1" t="s">
        <v>1526</v>
      </c>
      <c r="U2954" s="1"/>
    </row>
    <row r="2955" ht="15.75" customHeight="1">
      <c r="A2955" s="1" t="s">
        <v>117</v>
      </c>
      <c r="B2955" s="1" t="s">
        <v>158</v>
      </c>
      <c r="C2955" s="1" t="s">
        <v>1527</v>
      </c>
      <c r="U2955" s="1"/>
    </row>
    <row r="2956" ht="15.75" customHeight="1">
      <c r="A2956" s="1" t="s">
        <v>117</v>
      </c>
      <c r="B2956" s="1" t="s">
        <v>158</v>
      </c>
      <c r="C2956" s="1" t="s">
        <v>1529</v>
      </c>
      <c r="U2956" s="1"/>
    </row>
    <row r="2957" ht="15.75" customHeight="1">
      <c r="A2957" s="1" t="s">
        <v>117</v>
      </c>
      <c r="B2957" s="1" t="s">
        <v>158</v>
      </c>
      <c r="C2957" s="1" t="s">
        <v>1530</v>
      </c>
      <c r="U2957" s="1"/>
    </row>
    <row r="2958" ht="15.75" customHeight="1">
      <c r="A2958" s="1" t="s">
        <v>117</v>
      </c>
      <c r="B2958" s="1" t="s">
        <v>158</v>
      </c>
      <c r="C2958" s="1" t="s">
        <v>1532</v>
      </c>
      <c r="U2958" s="1"/>
    </row>
    <row r="2959" ht="15.75" customHeight="1">
      <c r="A2959" s="1" t="s">
        <v>117</v>
      </c>
      <c r="B2959" s="1" t="s">
        <v>158</v>
      </c>
      <c r="C2959" s="1" t="s">
        <v>1533</v>
      </c>
      <c r="U2959" s="1"/>
    </row>
    <row r="2960" ht="15.75" customHeight="1">
      <c r="A2960" s="1" t="s">
        <v>117</v>
      </c>
      <c r="B2960" s="1" t="s">
        <v>158</v>
      </c>
      <c r="C2960" s="1" t="s">
        <v>1534</v>
      </c>
      <c r="U2960" s="1"/>
    </row>
    <row r="2961" ht="15.75" customHeight="1">
      <c r="A2961" s="1" t="s">
        <v>119</v>
      </c>
      <c r="B2961" s="1" t="s">
        <v>29</v>
      </c>
      <c r="C2961" s="1" t="s">
        <v>1503</v>
      </c>
      <c r="U2961" s="1"/>
    </row>
    <row r="2962" ht="15.75" customHeight="1">
      <c r="A2962" s="1" t="s">
        <v>119</v>
      </c>
      <c r="B2962" s="1" t="s">
        <v>29</v>
      </c>
      <c r="C2962" s="1" t="s">
        <v>1506</v>
      </c>
      <c r="U2962" s="1"/>
    </row>
    <row r="2963" ht="15.75" customHeight="1">
      <c r="A2963" s="1" t="s">
        <v>119</v>
      </c>
      <c r="B2963" s="1" t="s">
        <v>1071</v>
      </c>
      <c r="C2963" s="1" t="s">
        <v>2160</v>
      </c>
      <c r="U2963" s="1"/>
    </row>
    <row r="2964" ht="15.75" customHeight="1">
      <c r="A2964" s="1" t="s">
        <v>119</v>
      </c>
      <c r="B2964" s="1" t="s">
        <v>1093</v>
      </c>
      <c r="C2964" s="1" t="s">
        <v>2161</v>
      </c>
      <c r="U2964" s="1"/>
    </row>
    <row r="2965" ht="15.75" customHeight="1">
      <c r="A2965" s="1" t="s">
        <v>119</v>
      </c>
      <c r="B2965" s="1" t="s">
        <v>1425</v>
      </c>
      <c r="C2965" s="1" t="s">
        <v>2162</v>
      </c>
      <c r="U2965" s="1"/>
    </row>
    <row r="2966" ht="15.75" customHeight="1">
      <c r="A2966" s="1" t="s">
        <v>119</v>
      </c>
      <c r="B2966" s="1" t="s">
        <v>1848</v>
      </c>
      <c r="C2966" s="1" t="s">
        <v>2163</v>
      </c>
      <c r="U2966" s="1"/>
    </row>
    <row r="2967" ht="15.75" customHeight="1">
      <c r="A2967" s="1" t="s">
        <v>119</v>
      </c>
      <c r="B2967" s="1" t="s">
        <v>1848</v>
      </c>
      <c r="C2967" s="1" t="s">
        <v>2164</v>
      </c>
      <c r="U2967" s="1"/>
    </row>
    <row r="2968" ht="15.75" customHeight="1">
      <c r="A2968" s="1" t="s">
        <v>119</v>
      </c>
      <c r="B2968" s="1" t="s">
        <v>1848</v>
      </c>
      <c r="C2968" s="1" t="s">
        <v>2165</v>
      </c>
      <c r="U2968" s="1"/>
    </row>
    <row r="2969" ht="15.75" customHeight="1">
      <c r="A2969" s="1" t="s">
        <v>119</v>
      </c>
      <c r="B2969" s="1" t="s">
        <v>1848</v>
      </c>
      <c r="C2969" s="1" t="s">
        <v>2166</v>
      </c>
      <c r="U2969" s="1"/>
    </row>
    <row r="2970" ht="15.75" customHeight="1">
      <c r="A2970" s="1" t="s">
        <v>119</v>
      </c>
      <c r="B2970" s="1" t="s">
        <v>1748</v>
      </c>
      <c r="C2970" s="1" t="s">
        <v>2167</v>
      </c>
      <c r="U2970" s="1"/>
    </row>
    <row r="2971" ht="15.75" customHeight="1">
      <c r="A2971" s="1" t="s">
        <v>121</v>
      </c>
      <c r="B2971" s="1" t="s">
        <v>29</v>
      </c>
      <c r="C2971" s="1" t="s">
        <v>1204</v>
      </c>
      <c r="U2971" s="1"/>
    </row>
    <row r="2972" ht="15.75" customHeight="1">
      <c r="A2972" s="1" t="s">
        <v>121</v>
      </c>
      <c r="B2972" s="1" t="s">
        <v>158</v>
      </c>
      <c r="C2972" s="1" t="s">
        <v>939</v>
      </c>
      <c r="U2972" s="1"/>
    </row>
    <row r="2973" ht="15.75" customHeight="1">
      <c r="A2973" s="1" t="s">
        <v>121</v>
      </c>
      <c r="B2973" s="1" t="s">
        <v>158</v>
      </c>
      <c r="C2973" s="1" t="s">
        <v>941</v>
      </c>
      <c r="U2973" s="1"/>
    </row>
    <row r="2974" ht="15.75" customHeight="1">
      <c r="A2974" s="1" t="s">
        <v>121</v>
      </c>
      <c r="B2974" s="1" t="s">
        <v>330</v>
      </c>
      <c r="C2974" s="1" t="s">
        <v>950</v>
      </c>
      <c r="U2974" s="1"/>
    </row>
    <row r="2975" ht="15.75" customHeight="1">
      <c r="A2975" s="1" t="s">
        <v>121</v>
      </c>
      <c r="B2975" s="1" t="s">
        <v>378</v>
      </c>
      <c r="C2975" s="1" t="s">
        <v>977</v>
      </c>
      <c r="U2975" s="1"/>
    </row>
    <row r="2976" ht="15.75" customHeight="1">
      <c r="A2976" s="1" t="s">
        <v>121</v>
      </c>
      <c r="B2976" s="1" t="s">
        <v>403</v>
      </c>
      <c r="C2976" s="1" t="s">
        <v>1637</v>
      </c>
      <c r="U2976" s="1"/>
    </row>
    <row r="2977" ht="15.75" customHeight="1">
      <c r="A2977" s="1" t="s">
        <v>121</v>
      </c>
      <c r="B2977" s="1" t="s">
        <v>997</v>
      </c>
      <c r="C2977" s="1" t="s">
        <v>1641</v>
      </c>
      <c r="U2977" s="1"/>
    </row>
    <row r="2978" ht="15.75" customHeight="1">
      <c r="A2978" s="1" t="s">
        <v>121</v>
      </c>
      <c r="B2978" s="1" t="s">
        <v>1093</v>
      </c>
      <c r="C2978" s="1" t="s">
        <v>1951</v>
      </c>
      <c r="U2978" s="1"/>
    </row>
    <row r="2979" ht="15.75" customHeight="1">
      <c r="A2979" s="1" t="s">
        <v>121</v>
      </c>
      <c r="B2979" s="1" t="s">
        <v>1410</v>
      </c>
      <c r="C2979" s="1" t="s">
        <v>1957</v>
      </c>
      <c r="U2979" s="1"/>
    </row>
    <row r="2980" ht="15.75" customHeight="1">
      <c r="A2980" s="1" t="s">
        <v>121</v>
      </c>
      <c r="B2980" s="1" t="s">
        <v>1410</v>
      </c>
      <c r="C2980" s="1" t="s">
        <v>1960</v>
      </c>
      <c r="U2980" s="1"/>
    </row>
    <row r="2981" ht="15.75" customHeight="1">
      <c r="A2981" s="1" t="s">
        <v>123</v>
      </c>
      <c r="B2981" s="1" t="s">
        <v>6</v>
      </c>
      <c r="C2981" s="1" t="s">
        <v>1117</v>
      </c>
      <c r="U2981" s="1"/>
    </row>
    <row r="2982" ht="15.75" customHeight="1">
      <c r="A2982" s="1" t="s">
        <v>123</v>
      </c>
      <c r="B2982" s="1" t="s">
        <v>29</v>
      </c>
      <c r="C2982" s="1" t="s">
        <v>1190</v>
      </c>
      <c r="U2982" s="1"/>
    </row>
    <row r="2983" ht="15.75" customHeight="1">
      <c r="A2983" s="1" t="s">
        <v>123</v>
      </c>
      <c r="B2983" s="1" t="s">
        <v>29</v>
      </c>
      <c r="C2983" s="1" t="s">
        <v>1264</v>
      </c>
      <c r="U2983" s="1"/>
    </row>
    <row r="2984" ht="15.75" customHeight="1">
      <c r="A2984" s="1" t="s">
        <v>123</v>
      </c>
      <c r="B2984" s="1" t="s">
        <v>29</v>
      </c>
      <c r="C2984" s="1" t="s">
        <v>782</v>
      </c>
      <c r="U2984" s="1"/>
    </row>
    <row r="2985" ht="15.75" customHeight="1">
      <c r="A2985" s="1" t="s">
        <v>123</v>
      </c>
      <c r="B2985" s="1" t="s">
        <v>29</v>
      </c>
      <c r="C2985" s="1" t="s">
        <v>792</v>
      </c>
      <c r="U2985" s="1"/>
    </row>
    <row r="2986" ht="15.75" customHeight="1">
      <c r="A2986" s="1" t="s">
        <v>123</v>
      </c>
      <c r="B2986" s="1" t="s">
        <v>29</v>
      </c>
      <c r="C2986" s="1" t="s">
        <v>1150</v>
      </c>
      <c r="U2986" s="1"/>
    </row>
    <row r="2987" ht="15.75" customHeight="1">
      <c r="A2987" s="1" t="s">
        <v>123</v>
      </c>
      <c r="B2987" s="1" t="s">
        <v>77</v>
      </c>
      <c r="C2987" s="1" t="s">
        <v>1151</v>
      </c>
      <c r="U2987" s="1"/>
    </row>
    <row r="2988" ht="15.75" customHeight="1">
      <c r="A2988" s="1" t="s">
        <v>123</v>
      </c>
      <c r="B2988" s="1" t="s">
        <v>330</v>
      </c>
      <c r="C2988" s="1" t="s">
        <v>960</v>
      </c>
      <c r="U2988" s="1"/>
    </row>
    <row r="2989" ht="15.75" customHeight="1">
      <c r="A2989" s="1" t="s">
        <v>123</v>
      </c>
      <c r="B2989" s="1" t="s">
        <v>378</v>
      </c>
      <c r="C2989" s="1" t="s">
        <v>975</v>
      </c>
      <c r="U2989" s="1"/>
    </row>
    <row r="2990" ht="15.75" customHeight="1">
      <c r="A2990" s="1" t="s">
        <v>123</v>
      </c>
      <c r="B2990" s="1" t="s">
        <v>403</v>
      </c>
      <c r="C2990" s="1" t="s">
        <v>2168</v>
      </c>
      <c r="U2990" s="1"/>
    </row>
    <row r="2991" ht="15.75" customHeight="1">
      <c r="A2991" s="1" t="s">
        <v>125</v>
      </c>
      <c r="B2991" s="1" t="s">
        <v>6</v>
      </c>
      <c r="C2991" s="1" t="s">
        <v>1251</v>
      </c>
      <c r="U2991" s="1"/>
    </row>
    <row r="2992" ht="15.75" customHeight="1">
      <c r="A2992" s="1" t="s">
        <v>125</v>
      </c>
      <c r="B2992" s="1" t="s">
        <v>6</v>
      </c>
      <c r="C2992" s="1" t="s">
        <v>1117</v>
      </c>
      <c r="U2992" s="1"/>
    </row>
    <row r="2993" ht="15.75" customHeight="1">
      <c r="A2993" s="1" t="s">
        <v>125</v>
      </c>
      <c r="B2993" s="1" t="s">
        <v>6</v>
      </c>
      <c r="C2993" s="1" t="s">
        <v>1009</v>
      </c>
      <c r="U2993" s="1"/>
    </row>
    <row r="2994" ht="15.75" customHeight="1">
      <c r="A2994" s="1" t="s">
        <v>125</v>
      </c>
      <c r="B2994" s="1" t="s">
        <v>29</v>
      </c>
      <c r="C2994" s="1" t="s">
        <v>1265</v>
      </c>
      <c r="U2994" s="1"/>
    </row>
    <row r="2995" ht="15.75" customHeight="1">
      <c r="A2995" s="1" t="s">
        <v>125</v>
      </c>
      <c r="B2995" s="1" t="s">
        <v>29</v>
      </c>
      <c r="C2995" s="1" t="s">
        <v>1266</v>
      </c>
      <c r="U2995" s="1"/>
    </row>
    <row r="2996" ht="15.75" customHeight="1">
      <c r="A2996" s="1" t="s">
        <v>125</v>
      </c>
      <c r="B2996" s="1" t="s">
        <v>330</v>
      </c>
      <c r="C2996" s="1" t="s">
        <v>2099</v>
      </c>
      <c r="U2996" s="1"/>
    </row>
    <row r="2997" ht="15.75" customHeight="1">
      <c r="A2997" s="1" t="s">
        <v>125</v>
      </c>
      <c r="B2997" s="1" t="s">
        <v>330</v>
      </c>
      <c r="C2997" s="1" t="s">
        <v>2100</v>
      </c>
      <c r="U2997" s="1"/>
    </row>
    <row r="2998" ht="15.75" customHeight="1">
      <c r="A2998" s="1" t="s">
        <v>125</v>
      </c>
      <c r="B2998" s="1" t="s">
        <v>378</v>
      </c>
      <c r="C2998" s="1" t="s">
        <v>2101</v>
      </c>
      <c r="U2998" s="1"/>
    </row>
    <row r="2999" ht="15.75" customHeight="1">
      <c r="A2999" s="1" t="s">
        <v>125</v>
      </c>
      <c r="B2999" s="1" t="s">
        <v>1093</v>
      </c>
      <c r="C2999" s="1" t="s">
        <v>2169</v>
      </c>
      <c r="U2999" s="1"/>
    </row>
    <row r="3000" ht="15.75" customHeight="1">
      <c r="A3000" s="1" t="s">
        <v>125</v>
      </c>
      <c r="B3000" s="1" t="s">
        <v>1410</v>
      </c>
      <c r="C3000" s="1" t="s">
        <v>2150</v>
      </c>
      <c r="U3000" s="1"/>
    </row>
    <row r="3001" ht="15.75" customHeight="1">
      <c r="A3001" s="1" t="s">
        <v>127</v>
      </c>
      <c r="B3001" s="1" t="s">
        <v>158</v>
      </c>
      <c r="C3001" s="1" t="s">
        <v>939</v>
      </c>
      <c r="U3001" s="1"/>
    </row>
    <row r="3002" ht="15.75" customHeight="1">
      <c r="A3002" s="1" t="s">
        <v>127</v>
      </c>
      <c r="B3002" s="1" t="s">
        <v>158</v>
      </c>
      <c r="C3002" s="1" t="s">
        <v>940</v>
      </c>
      <c r="U3002" s="1"/>
    </row>
    <row r="3003" ht="15.75" customHeight="1">
      <c r="A3003" s="1" t="s">
        <v>127</v>
      </c>
      <c r="B3003" s="1" t="s">
        <v>378</v>
      </c>
      <c r="C3003" s="1" t="s">
        <v>966</v>
      </c>
      <c r="U3003" s="1"/>
    </row>
    <row r="3004" ht="15.75" customHeight="1">
      <c r="A3004" s="1" t="s">
        <v>127</v>
      </c>
      <c r="B3004" s="1" t="s">
        <v>997</v>
      </c>
      <c r="C3004" s="1" t="s">
        <v>1004</v>
      </c>
      <c r="U3004" s="1"/>
    </row>
    <row r="3005" ht="15.75" customHeight="1">
      <c r="A3005" s="1" t="s">
        <v>127</v>
      </c>
      <c r="B3005" s="1" t="s">
        <v>997</v>
      </c>
      <c r="C3005" s="1" t="s">
        <v>2170</v>
      </c>
      <c r="U3005" s="1"/>
    </row>
    <row r="3006" ht="15.75" customHeight="1">
      <c r="A3006" s="1" t="s">
        <v>127</v>
      </c>
      <c r="B3006" s="1" t="s">
        <v>997</v>
      </c>
      <c r="C3006" s="1" t="s">
        <v>2171</v>
      </c>
      <c r="U3006" s="1"/>
    </row>
    <row r="3007" ht="15.75" customHeight="1">
      <c r="A3007" s="1" t="s">
        <v>127</v>
      </c>
      <c r="B3007" s="1" t="s">
        <v>997</v>
      </c>
      <c r="C3007" s="1" t="s">
        <v>2172</v>
      </c>
      <c r="U3007" s="1"/>
    </row>
    <row r="3008" ht="15.75" customHeight="1">
      <c r="A3008" s="1" t="s">
        <v>127</v>
      </c>
      <c r="B3008" s="1" t="s">
        <v>1071</v>
      </c>
      <c r="C3008" s="1" t="s">
        <v>2173</v>
      </c>
      <c r="U3008" s="1"/>
    </row>
    <row r="3009" ht="15.75" customHeight="1">
      <c r="A3009" s="1" t="s">
        <v>127</v>
      </c>
      <c r="B3009" s="1" t="s">
        <v>1400</v>
      </c>
      <c r="C3009" s="1" t="s">
        <v>2174</v>
      </c>
      <c r="U3009" s="1"/>
    </row>
    <row r="3010" ht="15.75" customHeight="1">
      <c r="A3010" s="1" t="s">
        <v>127</v>
      </c>
      <c r="B3010" s="1" t="s">
        <v>1492</v>
      </c>
      <c r="C3010" s="1" t="s">
        <v>2175</v>
      </c>
      <c r="U3010" s="1"/>
    </row>
    <row r="3011" ht="15.75" customHeight="1">
      <c r="A3011" s="1" t="s">
        <v>129</v>
      </c>
      <c r="B3011" s="1" t="s">
        <v>330</v>
      </c>
      <c r="C3011" s="1" t="s">
        <v>1331</v>
      </c>
      <c r="U3011" s="1"/>
    </row>
    <row r="3012" ht="15.75" customHeight="1">
      <c r="A3012" s="1" t="s">
        <v>129</v>
      </c>
      <c r="B3012" s="1" t="s">
        <v>378</v>
      </c>
      <c r="C3012" s="1" t="s">
        <v>1335</v>
      </c>
      <c r="U3012" s="1"/>
    </row>
    <row r="3013" ht="15.75" customHeight="1">
      <c r="A3013" s="1" t="s">
        <v>129</v>
      </c>
      <c r="B3013" s="1" t="s">
        <v>378</v>
      </c>
      <c r="C3013" s="1" t="s">
        <v>1338</v>
      </c>
      <c r="U3013" s="1"/>
    </row>
    <row r="3014" ht="15.75" customHeight="1">
      <c r="A3014" s="1" t="s">
        <v>129</v>
      </c>
      <c r="B3014" s="1" t="s">
        <v>378</v>
      </c>
      <c r="C3014" s="1" t="s">
        <v>1342</v>
      </c>
      <c r="U3014" s="1"/>
    </row>
    <row r="3015" ht="15.75" customHeight="1">
      <c r="A3015" s="1" t="s">
        <v>129</v>
      </c>
      <c r="B3015" s="1" t="s">
        <v>403</v>
      </c>
      <c r="C3015" s="1" t="s">
        <v>2176</v>
      </c>
      <c r="U3015" s="1"/>
    </row>
    <row r="3016" ht="15.75" customHeight="1">
      <c r="A3016" s="1" t="s">
        <v>129</v>
      </c>
      <c r="B3016" s="1" t="s">
        <v>403</v>
      </c>
      <c r="C3016" s="1" t="s">
        <v>2177</v>
      </c>
      <c r="U3016" s="1"/>
    </row>
    <row r="3017" ht="15.75" customHeight="1">
      <c r="A3017" s="1" t="s">
        <v>129</v>
      </c>
      <c r="B3017" s="1" t="s">
        <v>403</v>
      </c>
      <c r="C3017" s="1" t="s">
        <v>2139</v>
      </c>
      <c r="U3017" s="1"/>
    </row>
    <row r="3018" ht="15.75" customHeight="1">
      <c r="A3018" s="1" t="s">
        <v>129</v>
      </c>
      <c r="B3018" s="1" t="s">
        <v>403</v>
      </c>
      <c r="C3018" s="1" t="s">
        <v>2178</v>
      </c>
      <c r="U3018" s="1"/>
    </row>
    <row r="3019" ht="15.75" customHeight="1">
      <c r="A3019" s="1" t="s">
        <v>129</v>
      </c>
      <c r="B3019" s="1" t="s">
        <v>403</v>
      </c>
      <c r="C3019" s="1" t="s">
        <v>2179</v>
      </c>
      <c r="U3019" s="1"/>
    </row>
    <row r="3020" ht="15.75" customHeight="1">
      <c r="A3020" s="1" t="s">
        <v>129</v>
      </c>
      <c r="B3020" s="1" t="s">
        <v>997</v>
      </c>
      <c r="C3020" s="1" t="s">
        <v>2141</v>
      </c>
      <c r="U3020" s="1"/>
    </row>
    <row r="3021" ht="15.75" customHeight="1">
      <c r="A3021" s="1" t="s">
        <v>131</v>
      </c>
      <c r="B3021" s="1" t="s">
        <v>77</v>
      </c>
      <c r="C3021" s="1" t="s">
        <v>935</v>
      </c>
      <c r="U3021" s="1"/>
    </row>
    <row r="3022" ht="15.75" customHeight="1">
      <c r="A3022" s="1" t="s">
        <v>131</v>
      </c>
      <c r="B3022" s="1" t="s">
        <v>158</v>
      </c>
      <c r="C3022" s="1" t="s">
        <v>1019</v>
      </c>
      <c r="U3022" s="1"/>
    </row>
    <row r="3023" ht="15.75" customHeight="1">
      <c r="A3023" s="1" t="s">
        <v>131</v>
      </c>
      <c r="B3023" s="1" t="s">
        <v>378</v>
      </c>
      <c r="C3023" s="1" t="s">
        <v>1550</v>
      </c>
      <c r="U3023" s="1"/>
    </row>
    <row r="3024" ht="15.75" customHeight="1">
      <c r="A3024" s="1" t="s">
        <v>131</v>
      </c>
      <c r="B3024" s="1" t="s">
        <v>378</v>
      </c>
      <c r="C3024" s="1" t="s">
        <v>1039</v>
      </c>
      <c r="U3024" s="1"/>
    </row>
    <row r="3025" ht="15.75" customHeight="1">
      <c r="A3025" s="1" t="s">
        <v>131</v>
      </c>
      <c r="B3025" s="1" t="s">
        <v>403</v>
      </c>
      <c r="C3025" s="1" t="s">
        <v>1043</v>
      </c>
      <c r="U3025" s="1"/>
    </row>
    <row r="3026" ht="15.75" customHeight="1">
      <c r="A3026" s="1" t="s">
        <v>131</v>
      </c>
      <c r="B3026" s="1" t="s">
        <v>997</v>
      </c>
      <c r="C3026" s="1" t="s">
        <v>1067</v>
      </c>
      <c r="U3026" s="1"/>
    </row>
    <row r="3027" ht="15.75" customHeight="1">
      <c r="A3027" s="1" t="s">
        <v>131</v>
      </c>
      <c r="B3027" s="1" t="s">
        <v>1071</v>
      </c>
      <c r="C3027" s="1" t="s">
        <v>1077</v>
      </c>
      <c r="U3027" s="1"/>
    </row>
    <row r="3028" ht="15.75" customHeight="1">
      <c r="A3028" s="1" t="s">
        <v>131</v>
      </c>
      <c r="B3028" s="1" t="s">
        <v>1400</v>
      </c>
      <c r="C3028" s="1" t="s">
        <v>2136</v>
      </c>
      <c r="U3028" s="1"/>
    </row>
    <row r="3029" ht="15.75" customHeight="1">
      <c r="A3029" s="1" t="s">
        <v>131</v>
      </c>
      <c r="B3029" s="1" t="s">
        <v>1425</v>
      </c>
      <c r="C3029" s="1" t="s">
        <v>2180</v>
      </c>
      <c r="U3029" s="1"/>
    </row>
    <row r="3030" ht="15.75" customHeight="1">
      <c r="A3030" s="1" t="s">
        <v>131</v>
      </c>
      <c r="B3030" s="1" t="s">
        <v>1763</v>
      </c>
      <c r="C3030" s="1" t="s">
        <v>2181</v>
      </c>
      <c r="U3030" s="1"/>
    </row>
    <row r="3031" ht="15.75" customHeight="1">
      <c r="A3031" s="1" t="s">
        <v>133</v>
      </c>
      <c r="B3031" s="1" t="s">
        <v>29</v>
      </c>
      <c r="C3031" s="1" t="s">
        <v>242</v>
      </c>
      <c r="U3031" s="1"/>
    </row>
    <row r="3032" ht="15.75" customHeight="1">
      <c r="A3032" s="1" t="s">
        <v>133</v>
      </c>
      <c r="B3032" s="1" t="s">
        <v>29</v>
      </c>
      <c r="C3032" s="1" t="s">
        <v>247</v>
      </c>
      <c r="U3032" s="1"/>
    </row>
    <row r="3033" ht="15.75" customHeight="1">
      <c r="A3033" s="1" t="s">
        <v>133</v>
      </c>
      <c r="B3033" s="1" t="s">
        <v>77</v>
      </c>
      <c r="C3033" s="1" t="s">
        <v>257</v>
      </c>
      <c r="U3033" s="1"/>
    </row>
    <row r="3034" ht="15.75" customHeight="1">
      <c r="A3034" s="1" t="s">
        <v>133</v>
      </c>
      <c r="B3034" s="1" t="s">
        <v>77</v>
      </c>
      <c r="C3034" s="1" t="s">
        <v>277</v>
      </c>
      <c r="U3034" s="1"/>
    </row>
    <row r="3035" ht="15.75" customHeight="1">
      <c r="A3035" s="1" t="s">
        <v>133</v>
      </c>
      <c r="B3035" s="1" t="s">
        <v>77</v>
      </c>
      <c r="C3035" s="1" t="s">
        <v>271</v>
      </c>
      <c r="U3035" s="1"/>
    </row>
    <row r="3036" ht="15.75" customHeight="1">
      <c r="A3036" s="1" t="s">
        <v>133</v>
      </c>
      <c r="B3036" s="1" t="s">
        <v>158</v>
      </c>
      <c r="C3036" s="1" t="s">
        <v>302</v>
      </c>
      <c r="U3036" s="1"/>
    </row>
    <row r="3037" ht="15.75" customHeight="1">
      <c r="A3037" s="1" t="s">
        <v>133</v>
      </c>
      <c r="B3037" s="1" t="s">
        <v>158</v>
      </c>
      <c r="C3037" s="1" t="s">
        <v>324</v>
      </c>
      <c r="U3037" s="1"/>
    </row>
    <row r="3038" ht="15.75" customHeight="1">
      <c r="A3038" s="1" t="s">
        <v>133</v>
      </c>
      <c r="B3038" s="1" t="s">
        <v>330</v>
      </c>
      <c r="C3038" s="1" t="s">
        <v>370</v>
      </c>
      <c r="U3038" s="1"/>
    </row>
    <row r="3039" ht="15.75" customHeight="1">
      <c r="A3039" s="1" t="s">
        <v>133</v>
      </c>
      <c r="B3039" s="1" t="s">
        <v>330</v>
      </c>
      <c r="C3039" s="1" t="s">
        <v>364</v>
      </c>
      <c r="U3039" s="1"/>
    </row>
    <row r="3040" ht="15.75" customHeight="1">
      <c r="A3040" s="1" t="s">
        <v>133</v>
      </c>
      <c r="B3040" s="1" t="s">
        <v>997</v>
      </c>
      <c r="C3040" s="1" t="s">
        <v>2182</v>
      </c>
      <c r="U3040" s="1"/>
    </row>
    <row r="3041" ht="15.75" customHeight="1">
      <c r="A3041" s="1" t="s">
        <v>135</v>
      </c>
      <c r="B3041" s="1" t="s">
        <v>29</v>
      </c>
      <c r="C3041" s="1" t="s">
        <v>1150</v>
      </c>
      <c r="U3041" s="1"/>
    </row>
    <row r="3042" ht="15.75" customHeight="1">
      <c r="A3042" s="1" t="s">
        <v>135</v>
      </c>
      <c r="B3042" s="1" t="s">
        <v>77</v>
      </c>
      <c r="C3042" s="1" t="s">
        <v>1516</v>
      </c>
      <c r="U3042" s="1"/>
    </row>
    <row r="3043" ht="15.75" customHeight="1">
      <c r="A3043" s="1" t="s">
        <v>135</v>
      </c>
      <c r="B3043" s="1" t="s">
        <v>330</v>
      </c>
      <c r="C3043" s="1" t="s">
        <v>1541</v>
      </c>
      <c r="U3043" s="1"/>
    </row>
    <row r="3044" ht="15.75" customHeight="1">
      <c r="A3044" s="1" t="s">
        <v>135</v>
      </c>
      <c r="B3044" s="1" t="s">
        <v>330</v>
      </c>
      <c r="C3044" s="1" t="s">
        <v>1546</v>
      </c>
      <c r="U3044" s="1"/>
    </row>
    <row r="3045" ht="15.75" customHeight="1">
      <c r="A3045" s="1" t="s">
        <v>135</v>
      </c>
      <c r="B3045" s="1" t="s">
        <v>403</v>
      </c>
      <c r="C3045" s="1" t="s">
        <v>2168</v>
      </c>
      <c r="U3045" s="1"/>
    </row>
    <row r="3046" ht="15.75" customHeight="1">
      <c r="A3046" s="1" t="s">
        <v>135</v>
      </c>
      <c r="B3046" s="1" t="s">
        <v>997</v>
      </c>
      <c r="C3046" s="1" t="s">
        <v>2183</v>
      </c>
      <c r="U3046" s="1"/>
    </row>
    <row r="3047" ht="15.75" customHeight="1">
      <c r="A3047" s="1" t="s">
        <v>135</v>
      </c>
      <c r="B3047" s="1" t="s">
        <v>997</v>
      </c>
      <c r="C3047" s="1" t="s">
        <v>2184</v>
      </c>
      <c r="U3047" s="1"/>
    </row>
    <row r="3048" ht="15.75" customHeight="1">
      <c r="A3048" s="1" t="s">
        <v>135</v>
      </c>
      <c r="B3048" s="1" t="s">
        <v>1400</v>
      </c>
      <c r="C3048" s="1" t="s">
        <v>2185</v>
      </c>
      <c r="U3048" s="1"/>
    </row>
    <row r="3049" ht="15.75" customHeight="1">
      <c r="A3049" s="1" t="s">
        <v>135</v>
      </c>
      <c r="B3049" s="1" t="s">
        <v>1848</v>
      </c>
      <c r="C3049" s="1" t="s">
        <v>2186</v>
      </c>
      <c r="U3049" s="1"/>
    </row>
    <row r="3050" ht="15.75" customHeight="1">
      <c r="A3050" s="1" t="s">
        <v>137</v>
      </c>
      <c r="B3050" s="1" t="s">
        <v>29</v>
      </c>
      <c r="C3050" s="1" t="s">
        <v>1150</v>
      </c>
      <c r="U3050" s="1"/>
    </row>
    <row r="3051" ht="15.75" customHeight="1">
      <c r="A3051" s="1" t="s">
        <v>137</v>
      </c>
      <c r="B3051" s="1" t="s">
        <v>158</v>
      </c>
      <c r="C3051" s="1" t="s">
        <v>2032</v>
      </c>
      <c r="U3051" s="1"/>
    </row>
    <row r="3052" ht="15.75" customHeight="1">
      <c r="A3052" s="1" t="s">
        <v>137</v>
      </c>
      <c r="B3052" s="1" t="s">
        <v>330</v>
      </c>
      <c r="C3052" s="1" t="s">
        <v>913</v>
      </c>
      <c r="U3052" s="1"/>
    </row>
    <row r="3053" ht="15.75" customHeight="1">
      <c r="A3053" s="1" t="s">
        <v>137</v>
      </c>
      <c r="B3053" s="1" t="s">
        <v>378</v>
      </c>
      <c r="C3053" s="1" t="s">
        <v>1040</v>
      </c>
      <c r="U3053" s="1"/>
    </row>
    <row r="3054" ht="15.75" customHeight="1">
      <c r="A3054" s="1" t="s">
        <v>137</v>
      </c>
      <c r="B3054" s="1" t="s">
        <v>997</v>
      </c>
      <c r="C3054" s="1" t="s">
        <v>2187</v>
      </c>
      <c r="U3054" s="1"/>
    </row>
    <row r="3055" ht="15.75" customHeight="1">
      <c r="A3055" s="1" t="s">
        <v>137</v>
      </c>
      <c r="B3055" s="1" t="s">
        <v>997</v>
      </c>
      <c r="C3055" s="1" t="s">
        <v>2188</v>
      </c>
      <c r="U3055" s="1"/>
    </row>
    <row r="3056" ht="15.75" customHeight="1">
      <c r="A3056" s="1" t="s">
        <v>137</v>
      </c>
      <c r="B3056" s="1" t="s">
        <v>1071</v>
      </c>
      <c r="C3056" s="1" t="s">
        <v>1479</v>
      </c>
      <c r="U3056" s="1"/>
    </row>
    <row r="3057" ht="15.75" customHeight="1">
      <c r="A3057" s="1" t="s">
        <v>137</v>
      </c>
      <c r="B3057" s="1" t="s">
        <v>1400</v>
      </c>
      <c r="C3057" s="1" t="s">
        <v>2189</v>
      </c>
      <c r="U3057" s="1"/>
    </row>
    <row r="3058" ht="15.75" customHeight="1">
      <c r="A3058" s="1" t="s">
        <v>137</v>
      </c>
      <c r="B3058" s="1" t="s">
        <v>1492</v>
      </c>
      <c r="C3058" s="1" t="s">
        <v>2190</v>
      </c>
      <c r="U3058" s="1"/>
    </row>
    <row r="3059" ht="15.75" customHeight="1">
      <c r="A3059" s="1" t="s">
        <v>140</v>
      </c>
      <c r="B3059" s="1" t="s">
        <v>6</v>
      </c>
      <c r="C3059" s="1" t="s">
        <v>2191</v>
      </c>
      <c r="U3059" s="1"/>
    </row>
    <row r="3060" ht="15.75" customHeight="1">
      <c r="A3060" s="1" t="s">
        <v>140</v>
      </c>
      <c r="B3060" s="1" t="s">
        <v>77</v>
      </c>
      <c r="C3060" s="1" t="s">
        <v>1281</v>
      </c>
      <c r="U3060" s="1"/>
    </row>
    <row r="3061" ht="15.75" customHeight="1">
      <c r="A3061" s="1" t="s">
        <v>140</v>
      </c>
      <c r="B3061" s="1" t="s">
        <v>158</v>
      </c>
      <c r="C3061" s="1" t="s">
        <v>1527</v>
      </c>
      <c r="U3061" s="1"/>
    </row>
    <row r="3062" ht="15.75" customHeight="1">
      <c r="A3062" s="1" t="s">
        <v>140</v>
      </c>
      <c r="B3062" s="1" t="s">
        <v>330</v>
      </c>
      <c r="C3062" s="1" t="s">
        <v>1543</v>
      </c>
      <c r="U3062" s="1"/>
    </row>
    <row r="3063" ht="15.75" customHeight="1">
      <c r="A3063" s="1" t="s">
        <v>140</v>
      </c>
      <c r="B3063" s="1" t="s">
        <v>330</v>
      </c>
      <c r="C3063" s="1" t="s">
        <v>2022</v>
      </c>
      <c r="U3063" s="1"/>
    </row>
    <row r="3064" ht="15.75" customHeight="1">
      <c r="A3064" s="1" t="s">
        <v>140</v>
      </c>
      <c r="B3064" s="1" t="s">
        <v>330</v>
      </c>
      <c r="C3064" s="1" t="s">
        <v>2023</v>
      </c>
      <c r="U3064" s="1"/>
    </row>
    <row r="3065" ht="15.75" customHeight="1">
      <c r="A3065" s="1" t="s">
        <v>140</v>
      </c>
      <c r="B3065" s="1" t="s">
        <v>403</v>
      </c>
      <c r="C3065" s="1" t="s">
        <v>2026</v>
      </c>
      <c r="U3065" s="1"/>
    </row>
    <row r="3066" ht="15.75" customHeight="1">
      <c r="A3066" s="1" t="s">
        <v>140</v>
      </c>
      <c r="B3066" s="1" t="s">
        <v>1071</v>
      </c>
      <c r="C3066" s="1" t="s">
        <v>1077</v>
      </c>
      <c r="U3066" s="1"/>
    </row>
    <row r="3067" ht="15.75" customHeight="1">
      <c r="A3067" s="1" t="s">
        <v>142</v>
      </c>
      <c r="B3067" s="1" t="s">
        <v>29</v>
      </c>
      <c r="C3067" s="1" t="s">
        <v>1013</v>
      </c>
      <c r="U3067" s="1"/>
    </row>
    <row r="3068" ht="15.75" customHeight="1">
      <c r="A3068" s="1" t="s">
        <v>142</v>
      </c>
      <c r="B3068" s="1" t="s">
        <v>158</v>
      </c>
      <c r="C3068" s="1" t="s">
        <v>1026</v>
      </c>
      <c r="U3068" s="1"/>
    </row>
    <row r="3069" ht="15.75" customHeight="1">
      <c r="A3069" s="1" t="s">
        <v>142</v>
      </c>
      <c r="B3069" s="1" t="s">
        <v>330</v>
      </c>
      <c r="C3069" s="1" t="s">
        <v>1026</v>
      </c>
      <c r="U3069" s="1"/>
    </row>
    <row r="3070" ht="15.75" customHeight="1">
      <c r="A3070" s="1" t="s">
        <v>142</v>
      </c>
      <c r="B3070" s="1" t="s">
        <v>378</v>
      </c>
      <c r="C3070" s="1" t="s">
        <v>978</v>
      </c>
      <c r="U3070" s="1"/>
    </row>
    <row r="3071" ht="15.75" customHeight="1">
      <c r="A3071" s="1" t="s">
        <v>142</v>
      </c>
      <c r="B3071" s="1" t="s">
        <v>403</v>
      </c>
      <c r="C3071" s="1" t="s">
        <v>987</v>
      </c>
      <c r="U3071" s="1"/>
    </row>
    <row r="3072" ht="15.75" customHeight="1">
      <c r="A3072" s="1" t="s">
        <v>142</v>
      </c>
      <c r="B3072" s="1" t="s">
        <v>403</v>
      </c>
      <c r="C3072" s="1" t="s">
        <v>1566</v>
      </c>
      <c r="U3072" s="1"/>
    </row>
    <row r="3073" ht="15.75" customHeight="1">
      <c r="A3073" s="1" t="s">
        <v>142</v>
      </c>
      <c r="B3073" s="1" t="s">
        <v>997</v>
      </c>
      <c r="C3073" s="1" t="s">
        <v>2192</v>
      </c>
      <c r="U3073" s="1"/>
    </row>
    <row r="3074" ht="15.75" customHeight="1">
      <c r="A3074" s="1" t="s">
        <v>142</v>
      </c>
      <c r="B3074" s="1" t="s">
        <v>1748</v>
      </c>
      <c r="C3074" s="1" t="s">
        <v>1750</v>
      </c>
      <c r="U3074" s="1"/>
    </row>
    <row r="3075" ht="15.75" customHeight="1">
      <c r="A3075" s="1" t="s">
        <v>145</v>
      </c>
      <c r="B3075" s="1" t="s">
        <v>330</v>
      </c>
      <c r="C3075" s="1" t="s">
        <v>331</v>
      </c>
      <c r="U3075" s="1"/>
    </row>
    <row r="3076" ht="15.75" customHeight="1">
      <c r="A3076" s="1" t="s">
        <v>145</v>
      </c>
      <c r="B3076" s="1" t="s">
        <v>330</v>
      </c>
      <c r="C3076" s="1" t="s">
        <v>356</v>
      </c>
      <c r="U3076" s="1"/>
    </row>
    <row r="3077" ht="15.75" customHeight="1">
      <c r="A3077" s="1" t="s">
        <v>145</v>
      </c>
      <c r="B3077" s="1" t="s">
        <v>403</v>
      </c>
      <c r="C3077" s="1" t="s">
        <v>404</v>
      </c>
      <c r="U3077" s="1"/>
    </row>
    <row r="3078" ht="15.75" customHeight="1">
      <c r="A3078" s="1" t="s">
        <v>145</v>
      </c>
      <c r="B3078" s="1" t="s">
        <v>403</v>
      </c>
      <c r="C3078" s="1" t="s">
        <v>2193</v>
      </c>
      <c r="U3078" s="1"/>
    </row>
    <row r="3079" ht="15.75" customHeight="1">
      <c r="A3079" s="1" t="s">
        <v>145</v>
      </c>
      <c r="B3079" s="1" t="s">
        <v>997</v>
      </c>
      <c r="C3079" s="1" t="s">
        <v>2194</v>
      </c>
      <c r="U3079" s="1"/>
    </row>
    <row r="3080" ht="15.75" customHeight="1">
      <c r="A3080" s="1" t="s">
        <v>145</v>
      </c>
      <c r="B3080" s="1" t="s">
        <v>997</v>
      </c>
      <c r="C3080" s="1" t="s">
        <v>2195</v>
      </c>
      <c r="U3080" s="1"/>
    </row>
    <row r="3081" ht="15.75" customHeight="1">
      <c r="A3081" s="1" t="s">
        <v>145</v>
      </c>
      <c r="B3081" s="1" t="s">
        <v>997</v>
      </c>
      <c r="C3081" s="1" t="s">
        <v>2196</v>
      </c>
      <c r="U3081" s="1"/>
    </row>
    <row r="3082" ht="15.75" customHeight="1">
      <c r="A3082" s="1" t="s">
        <v>145</v>
      </c>
      <c r="B3082" s="1" t="s">
        <v>1093</v>
      </c>
      <c r="C3082" s="1" t="s">
        <v>2197</v>
      </c>
      <c r="U3082" s="1"/>
    </row>
    <row r="3083" ht="15.75" customHeight="1">
      <c r="A3083" s="1" t="s">
        <v>147</v>
      </c>
      <c r="B3083" s="1" t="s">
        <v>29</v>
      </c>
      <c r="C3083" s="1" t="s">
        <v>1588</v>
      </c>
      <c r="U3083" s="1"/>
    </row>
    <row r="3084" ht="15.75" customHeight="1">
      <c r="A3084" s="1" t="s">
        <v>147</v>
      </c>
      <c r="B3084" s="1" t="s">
        <v>77</v>
      </c>
      <c r="C3084" s="1" t="s">
        <v>1595</v>
      </c>
      <c r="U3084" s="1"/>
    </row>
    <row r="3085" ht="15.75" customHeight="1">
      <c r="A3085" s="1" t="s">
        <v>147</v>
      </c>
      <c r="B3085" s="1" t="s">
        <v>158</v>
      </c>
      <c r="C3085" s="1" t="s">
        <v>1611</v>
      </c>
      <c r="U3085" s="1"/>
    </row>
    <row r="3086" ht="15.75" customHeight="1">
      <c r="A3086" s="1" t="s">
        <v>147</v>
      </c>
      <c r="B3086" s="1" t="s">
        <v>158</v>
      </c>
      <c r="C3086" s="1" t="s">
        <v>1612</v>
      </c>
      <c r="U3086" s="1"/>
    </row>
    <row r="3087" ht="15.75" customHeight="1">
      <c r="A3087" s="1" t="s">
        <v>147</v>
      </c>
      <c r="B3087" s="1" t="s">
        <v>158</v>
      </c>
      <c r="C3087" s="1" t="s">
        <v>1025</v>
      </c>
      <c r="U3087" s="1"/>
    </row>
    <row r="3088" ht="15.75" customHeight="1">
      <c r="A3088" s="1" t="s">
        <v>147</v>
      </c>
      <c r="B3088" s="1" t="s">
        <v>330</v>
      </c>
      <c r="C3088" s="1" t="s">
        <v>1029</v>
      </c>
      <c r="U3088" s="1"/>
    </row>
    <row r="3089" ht="15.75" customHeight="1">
      <c r="A3089" s="1" t="s">
        <v>147</v>
      </c>
      <c r="B3089" s="1" t="s">
        <v>378</v>
      </c>
      <c r="C3089" s="1" t="s">
        <v>978</v>
      </c>
      <c r="U3089" s="1"/>
    </row>
    <row r="3090" ht="15.75" customHeight="1">
      <c r="A3090" s="1" t="s">
        <v>147</v>
      </c>
      <c r="B3090" s="1" t="s">
        <v>1093</v>
      </c>
      <c r="C3090" s="1" t="s">
        <v>1951</v>
      </c>
      <c r="U3090" s="1"/>
    </row>
    <row r="3091" ht="15.75" customHeight="1">
      <c r="A3091" s="1" t="s">
        <v>150</v>
      </c>
      <c r="B3091" s="1" t="s">
        <v>6</v>
      </c>
      <c r="C3091" s="1" t="s">
        <v>1497</v>
      </c>
      <c r="U3091" s="1"/>
    </row>
    <row r="3092" ht="15.75" customHeight="1">
      <c r="A3092" s="1" t="s">
        <v>150</v>
      </c>
      <c r="B3092" s="1" t="s">
        <v>29</v>
      </c>
      <c r="C3092" s="1" t="s">
        <v>1501</v>
      </c>
      <c r="U3092" s="1"/>
    </row>
    <row r="3093" ht="15.75" customHeight="1">
      <c r="A3093" s="1" t="s">
        <v>150</v>
      </c>
      <c r="B3093" s="1" t="s">
        <v>77</v>
      </c>
      <c r="C3093" s="1" t="s">
        <v>1442</v>
      </c>
      <c r="U3093" s="1"/>
    </row>
    <row r="3094" ht="15.75" customHeight="1">
      <c r="A3094" s="1" t="s">
        <v>150</v>
      </c>
      <c r="B3094" s="1" t="s">
        <v>158</v>
      </c>
      <c r="C3094" s="1" t="s">
        <v>2032</v>
      </c>
      <c r="U3094" s="1"/>
    </row>
    <row r="3095" ht="15.75" customHeight="1">
      <c r="A3095" s="1" t="s">
        <v>150</v>
      </c>
      <c r="B3095" s="1" t="s">
        <v>330</v>
      </c>
      <c r="C3095" s="1" t="s">
        <v>1538</v>
      </c>
      <c r="U3095" s="1"/>
    </row>
    <row r="3096" ht="15.75" customHeight="1">
      <c r="A3096" s="1" t="s">
        <v>150</v>
      </c>
      <c r="B3096" s="1" t="s">
        <v>330</v>
      </c>
      <c r="C3096" s="1" t="s">
        <v>1452</v>
      </c>
      <c r="U3096" s="1"/>
    </row>
    <row r="3097" ht="15.75" customHeight="1">
      <c r="A3097" s="1" t="s">
        <v>150</v>
      </c>
      <c r="B3097" s="1" t="s">
        <v>330</v>
      </c>
      <c r="C3097" s="1" t="s">
        <v>1542</v>
      </c>
      <c r="U3097" s="1"/>
    </row>
    <row r="3098" ht="15.75" customHeight="1">
      <c r="A3098" s="1" t="s">
        <v>150</v>
      </c>
      <c r="B3098" s="1" t="s">
        <v>330</v>
      </c>
      <c r="C3098" s="1" t="s">
        <v>1454</v>
      </c>
      <c r="U3098" s="1"/>
    </row>
    <row r="3099" ht="15.75" customHeight="1">
      <c r="A3099" s="1" t="s">
        <v>152</v>
      </c>
      <c r="B3099" s="1" t="s">
        <v>6</v>
      </c>
      <c r="C3099" s="1" t="s">
        <v>21</v>
      </c>
      <c r="U3099" s="1"/>
    </row>
    <row r="3100" ht="15.75" customHeight="1">
      <c r="A3100" s="1" t="s">
        <v>152</v>
      </c>
      <c r="B3100" s="1" t="s">
        <v>378</v>
      </c>
      <c r="C3100" s="1" t="s">
        <v>978</v>
      </c>
      <c r="U3100" s="1"/>
    </row>
    <row r="3101" ht="15.75" customHeight="1">
      <c r="A3101" s="1" t="s">
        <v>152</v>
      </c>
      <c r="B3101" s="1" t="s">
        <v>403</v>
      </c>
      <c r="C3101" s="1" t="s">
        <v>622</v>
      </c>
      <c r="U3101" s="1"/>
    </row>
    <row r="3102" ht="15.75" customHeight="1">
      <c r="A3102" s="1" t="s">
        <v>152</v>
      </c>
      <c r="B3102" s="1" t="s">
        <v>403</v>
      </c>
      <c r="C3102" s="1" t="s">
        <v>1562</v>
      </c>
      <c r="U3102" s="1"/>
    </row>
    <row r="3103" ht="15.75" customHeight="1">
      <c r="A3103" s="1" t="s">
        <v>152</v>
      </c>
      <c r="B3103" s="1" t="s">
        <v>1492</v>
      </c>
      <c r="C3103" s="1" t="s">
        <v>1986</v>
      </c>
      <c r="U3103" s="1"/>
    </row>
    <row r="3104" ht="15.75" customHeight="1">
      <c r="A3104" s="1" t="s">
        <v>152</v>
      </c>
      <c r="B3104" s="1" t="s">
        <v>1848</v>
      </c>
      <c r="C3104" s="1" t="s">
        <v>1987</v>
      </c>
      <c r="U3104" s="1"/>
    </row>
    <row r="3105" ht="15.75" customHeight="1">
      <c r="A3105" s="1" t="s">
        <v>152</v>
      </c>
      <c r="B3105" s="1" t="s">
        <v>1848</v>
      </c>
      <c r="C3105" s="1" t="s">
        <v>1986</v>
      </c>
      <c r="U3105" s="1"/>
    </row>
    <row r="3106" ht="15.75" customHeight="1">
      <c r="A3106" s="1" t="s">
        <v>152</v>
      </c>
      <c r="B3106" s="1" t="s">
        <v>1848</v>
      </c>
      <c r="C3106" s="1" t="s">
        <v>1988</v>
      </c>
      <c r="U3106" s="1"/>
    </row>
    <row r="3107" ht="15.75" customHeight="1">
      <c r="A3107" s="1" t="s">
        <v>154</v>
      </c>
      <c r="B3107" s="1" t="s">
        <v>29</v>
      </c>
      <c r="C3107" s="1" t="s">
        <v>440</v>
      </c>
      <c r="U3107" s="1"/>
    </row>
    <row r="3108" ht="15.75" customHeight="1">
      <c r="A3108" s="1" t="s">
        <v>154</v>
      </c>
      <c r="B3108" s="1" t="s">
        <v>29</v>
      </c>
      <c r="C3108" s="1" t="s">
        <v>1438</v>
      </c>
      <c r="U3108" s="1"/>
    </row>
    <row r="3109" ht="15.75" customHeight="1">
      <c r="A3109" s="1" t="s">
        <v>154</v>
      </c>
      <c r="B3109" s="1" t="s">
        <v>77</v>
      </c>
      <c r="C3109" s="1" t="s">
        <v>1440</v>
      </c>
      <c r="U3109" s="1"/>
    </row>
    <row r="3110" ht="15.75" customHeight="1">
      <c r="A3110" s="1" t="s">
        <v>154</v>
      </c>
      <c r="B3110" s="1" t="s">
        <v>158</v>
      </c>
      <c r="C3110" s="1" t="s">
        <v>939</v>
      </c>
      <c r="U3110" s="1"/>
    </row>
    <row r="3111" ht="15.75" customHeight="1">
      <c r="A3111" s="1" t="s">
        <v>154</v>
      </c>
      <c r="B3111" s="1" t="s">
        <v>403</v>
      </c>
      <c r="C3111" s="1" t="s">
        <v>1855</v>
      </c>
      <c r="U3111" s="1"/>
    </row>
    <row r="3112" ht="15.75" customHeight="1">
      <c r="A3112" s="1" t="s">
        <v>154</v>
      </c>
      <c r="B3112" s="1" t="s">
        <v>997</v>
      </c>
      <c r="C3112" s="1" t="s">
        <v>2141</v>
      </c>
      <c r="U3112" s="1"/>
    </row>
    <row r="3113" ht="15.75" customHeight="1">
      <c r="A3113" s="1" t="s">
        <v>154</v>
      </c>
      <c r="B3113" s="1" t="s">
        <v>997</v>
      </c>
      <c r="C3113" s="1" t="s">
        <v>2142</v>
      </c>
      <c r="U3113" s="1"/>
    </row>
    <row r="3114" ht="15.75" customHeight="1">
      <c r="A3114" s="1" t="s">
        <v>154</v>
      </c>
      <c r="B3114" s="1" t="s">
        <v>1748</v>
      </c>
      <c r="C3114" s="1" t="s">
        <v>2198</v>
      </c>
      <c r="U3114" s="1"/>
    </row>
    <row r="3115" ht="15.75" customHeight="1">
      <c r="A3115" s="1" t="s">
        <v>157</v>
      </c>
      <c r="B3115" s="1" t="s">
        <v>6</v>
      </c>
      <c r="C3115" s="1" t="s">
        <v>2199</v>
      </c>
      <c r="U3115" s="1"/>
    </row>
    <row r="3116" ht="15.75" customHeight="1">
      <c r="A3116" s="1" t="s">
        <v>157</v>
      </c>
      <c r="B3116" s="1" t="s">
        <v>29</v>
      </c>
      <c r="C3116" s="1" t="s">
        <v>1259</v>
      </c>
      <c r="U3116" s="1"/>
    </row>
    <row r="3117" ht="15.75" customHeight="1">
      <c r="A3117" s="1" t="s">
        <v>157</v>
      </c>
      <c r="B3117" s="1" t="s">
        <v>77</v>
      </c>
      <c r="C3117" s="1" t="s">
        <v>1281</v>
      </c>
      <c r="U3117" s="1"/>
    </row>
    <row r="3118" ht="15.75" customHeight="1">
      <c r="A3118" s="1" t="s">
        <v>157</v>
      </c>
      <c r="B3118" s="1" t="s">
        <v>77</v>
      </c>
      <c r="C3118" s="1" t="s">
        <v>1298</v>
      </c>
      <c r="U3118" s="1"/>
    </row>
    <row r="3119" ht="15.75" customHeight="1">
      <c r="A3119" s="1" t="s">
        <v>157</v>
      </c>
      <c r="B3119" s="1" t="s">
        <v>158</v>
      </c>
      <c r="C3119" s="1" t="s">
        <v>1931</v>
      </c>
      <c r="U3119" s="1"/>
    </row>
    <row r="3120" ht="15.75" customHeight="1">
      <c r="A3120" s="1" t="s">
        <v>157</v>
      </c>
      <c r="B3120" s="1" t="s">
        <v>158</v>
      </c>
      <c r="C3120" s="1" t="s">
        <v>229</v>
      </c>
      <c r="U3120" s="1"/>
    </row>
    <row r="3121" ht="15.75" customHeight="1">
      <c r="A3121" s="1" t="s">
        <v>157</v>
      </c>
      <c r="B3121" s="1" t="s">
        <v>403</v>
      </c>
      <c r="C3121" s="1" t="s">
        <v>2200</v>
      </c>
      <c r="U3121" s="1"/>
    </row>
    <row r="3122" ht="15.75" customHeight="1">
      <c r="A3122" s="1" t="s">
        <v>157</v>
      </c>
      <c r="B3122" s="1" t="s">
        <v>997</v>
      </c>
      <c r="C3122" s="1" t="s">
        <v>2192</v>
      </c>
      <c r="U3122" s="1"/>
    </row>
    <row r="3123" ht="15.75" customHeight="1">
      <c r="A3123" s="1" t="s">
        <v>160</v>
      </c>
      <c r="B3123" s="1" t="s">
        <v>158</v>
      </c>
      <c r="C3123" s="1" t="s">
        <v>939</v>
      </c>
      <c r="U3123" s="1"/>
    </row>
    <row r="3124" ht="15.75" customHeight="1">
      <c r="A3124" s="1" t="s">
        <v>160</v>
      </c>
      <c r="B3124" s="1" t="s">
        <v>158</v>
      </c>
      <c r="C3124" s="1" t="s">
        <v>941</v>
      </c>
      <c r="U3124" s="1"/>
    </row>
    <row r="3125" ht="15.75" customHeight="1">
      <c r="A3125" s="1" t="s">
        <v>160</v>
      </c>
      <c r="B3125" s="1" t="s">
        <v>330</v>
      </c>
      <c r="C3125" s="1" t="s">
        <v>950</v>
      </c>
      <c r="U3125" s="1"/>
    </row>
    <row r="3126" ht="15.75" customHeight="1">
      <c r="A3126" s="1" t="s">
        <v>160</v>
      </c>
      <c r="B3126" s="1" t="s">
        <v>330</v>
      </c>
      <c r="C3126" s="1" t="s">
        <v>954</v>
      </c>
      <c r="U3126" s="1"/>
    </row>
    <row r="3127" ht="15.75" customHeight="1">
      <c r="A3127" s="1" t="s">
        <v>160</v>
      </c>
      <c r="B3127" s="1" t="s">
        <v>403</v>
      </c>
      <c r="C3127" s="1" t="s">
        <v>981</v>
      </c>
      <c r="U3127" s="1"/>
    </row>
    <row r="3128" ht="15.75" customHeight="1">
      <c r="A3128" s="1" t="s">
        <v>160</v>
      </c>
      <c r="B3128" s="1" t="s">
        <v>403</v>
      </c>
      <c r="C3128" s="1" t="s">
        <v>994</v>
      </c>
      <c r="U3128" s="1"/>
    </row>
    <row r="3129" ht="15.75" customHeight="1">
      <c r="A3129" s="1" t="s">
        <v>160</v>
      </c>
      <c r="B3129" s="1" t="s">
        <v>997</v>
      </c>
      <c r="C3129" s="1" t="s">
        <v>2201</v>
      </c>
      <c r="U3129" s="1"/>
    </row>
    <row r="3130" ht="15.75" customHeight="1">
      <c r="A3130" s="1" t="s">
        <v>160</v>
      </c>
      <c r="B3130" s="1" t="s">
        <v>1071</v>
      </c>
      <c r="C3130" s="1" t="s">
        <v>1905</v>
      </c>
      <c r="U3130" s="1"/>
    </row>
    <row r="3131" ht="15.75" customHeight="1">
      <c r="A3131" s="1" t="s">
        <v>162</v>
      </c>
      <c r="B3131" s="1" t="s">
        <v>77</v>
      </c>
      <c r="C3131" s="1" t="s">
        <v>1220</v>
      </c>
      <c r="U3131" s="1"/>
    </row>
    <row r="3132" ht="15.75" customHeight="1">
      <c r="A3132" s="1" t="s">
        <v>162</v>
      </c>
      <c r="B3132" s="1" t="s">
        <v>77</v>
      </c>
      <c r="C3132" s="1" t="s">
        <v>1227</v>
      </c>
      <c r="U3132" s="1"/>
    </row>
    <row r="3133" ht="15.75" customHeight="1">
      <c r="A3133" s="1" t="s">
        <v>162</v>
      </c>
      <c r="B3133" s="1" t="s">
        <v>330</v>
      </c>
      <c r="C3133" s="1" t="s">
        <v>1027</v>
      </c>
      <c r="U3133" s="1"/>
    </row>
    <row r="3134" ht="15.75" customHeight="1">
      <c r="A3134" s="1" t="s">
        <v>162</v>
      </c>
      <c r="B3134" s="1" t="s">
        <v>330</v>
      </c>
      <c r="C3134" s="1" t="s">
        <v>2202</v>
      </c>
      <c r="U3134" s="1"/>
    </row>
    <row r="3135" ht="15.75" customHeight="1">
      <c r="A3135" s="1" t="s">
        <v>162</v>
      </c>
      <c r="B3135" s="1" t="s">
        <v>403</v>
      </c>
      <c r="C3135" s="1" t="s">
        <v>2140</v>
      </c>
      <c r="U3135" s="1"/>
    </row>
    <row r="3136" ht="15.75" customHeight="1">
      <c r="A3136" s="1" t="s">
        <v>162</v>
      </c>
      <c r="B3136" s="1" t="s">
        <v>997</v>
      </c>
      <c r="C3136" s="1" t="s">
        <v>2192</v>
      </c>
      <c r="U3136" s="1"/>
    </row>
    <row r="3137" ht="15.75" customHeight="1">
      <c r="A3137" s="1" t="s">
        <v>162</v>
      </c>
      <c r="B3137" s="1" t="s">
        <v>1093</v>
      </c>
      <c r="C3137" s="1" t="s">
        <v>2169</v>
      </c>
      <c r="U3137" s="1"/>
    </row>
    <row r="3138" ht="15.75" customHeight="1">
      <c r="A3138" s="1" t="s">
        <v>162</v>
      </c>
      <c r="B3138" s="1" t="s">
        <v>1400</v>
      </c>
      <c r="C3138" s="1" t="s">
        <v>2203</v>
      </c>
      <c r="U3138" s="1"/>
    </row>
    <row r="3139" ht="15.75" customHeight="1">
      <c r="A3139" s="1" t="s">
        <v>164</v>
      </c>
      <c r="B3139" s="1" t="s">
        <v>6</v>
      </c>
      <c r="C3139" s="1" t="s">
        <v>1250</v>
      </c>
      <c r="U3139" s="1"/>
    </row>
    <row r="3140" ht="15.75" customHeight="1">
      <c r="A3140" s="1" t="s">
        <v>164</v>
      </c>
      <c r="B3140" s="1" t="s">
        <v>6</v>
      </c>
      <c r="C3140" s="1" t="s">
        <v>1252</v>
      </c>
      <c r="U3140" s="1"/>
    </row>
    <row r="3141" ht="15.75" customHeight="1">
      <c r="A3141" s="1" t="s">
        <v>164</v>
      </c>
      <c r="B3141" s="1" t="s">
        <v>29</v>
      </c>
      <c r="C3141" s="1" t="s">
        <v>1258</v>
      </c>
      <c r="U3141" s="1"/>
    </row>
    <row r="3142" ht="15.75" customHeight="1">
      <c r="A3142" s="1" t="s">
        <v>164</v>
      </c>
      <c r="B3142" s="1" t="s">
        <v>29</v>
      </c>
      <c r="C3142" s="1" t="s">
        <v>1260</v>
      </c>
      <c r="U3142" s="1"/>
    </row>
    <row r="3143" ht="15.75" customHeight="1">
      <c r="A3143" s="1" t="s">
        <v>164</v>
      </c>
      <c r="B3143" s="1" t="s">
        <v>77</v>
      </c>
      <c r="C3143" s="1" t="s">
        <v>1285</v>
      </c>
      <c r="U3143" s="1"/>
    </row>
    <row r="3144" ht="15.75" customHeight="1">
      <c r="A3144" s="1" t="s">
        <v>164</v>
      </c>
      <c r="B3144" s="1" t="s">
        <v>77</v>
      </c>
      <c r="C3144" s="1" t="s">
        <v>1294</v>
      </c>
      <c r="U3144" s="1"/>
    </row>
    <row r="3145" ht="15.75" customHeight="1">
      <c r="A3145" s="1" t="s">
        <v>164</v>
      </c>
      <c r="B3145" s="1" t="s">
        <v>77</v>
      </c>
      <c r="C3145" s="1" t="s">
        <v>1296</v>
      </c>
      <c r="U3145" s="1"/>
    </row>
    <row r="3146" ht="15.75" customHeight="1">
      <c r="A3146" s="1" t="s">
        <v>164</v>
      </c>
      <c r="B3146" s="1" t="s">
        <v>378</v>
      </c>
      <c r="C3146" s="1" t="s">
        <v>2204</v>
      </c>
      <c r="U3146" s="1"/>
    </row>
    <row r="3147" ht="15.75" customHeight="1">
      <c r="A3147" s="1" t="s">
        <v>166</v>
      </c>
      <c r="B3147" s="1" t="s">
        <v>158</v>
      </c>
      <c r="C3147" s="1" t="s">
        <v>939</v>
      </c>
      <c r="U3147" s="1"/>
    </row>
    <row r="3148" ht="15.75" customHeight="1">
      <c r="A3148" s="1" t="s">
        <v>166</v>
      </c>
      <c r="B3148" s="1" t="s">
        <v>158</v>
      </c>
      <c r="C3148" s="1" t="s">
        <v>941</v>
      </c>
      <c r="U3148" s="1"/>
    </row>
    <row r="3149" ht="15.75" customHeight="1">
      <c r="A3149" s="1" t="s">
        <v>166</v>
      </c>
      <c r="B3149" s="1" t="s">
        <v>378</v>
      </c>
      <c r="C3149" s="1" t="s">
        <v>974</v>
      </c>
      <c r="U3149" s="1"/>
    </row>
    <row r="3150" ht="15.75" customHeight="1">
      <c r="A3150" s="1" t="s">
        <v>166</v>
      </c>
      <c r="B3150" s="1" t="s">
        <v>403</v>
      </c>
      <c r="C3150" s="1" t="s">
        <v>981</v>
      </c>
      <c r="U3150" s="1"/>
    </row>
    <row r="3151" ht="15.75" customHeight="1">
      <c r="A3151" s="1" t="s">
        <v>166</v>
      </c>
      <c r="B3151" s="1" t="s">
        <v>403</v>
      </c>
      <c r="C3151" s="1" t="s">
        <v>982</v>
      </c>
      <c r="U3151" s="1"/>
    </row>
    <row r="3152" ht="15.75" customHeight="1">
      <c r="A3152" s="1" t="s">
        <v>166</v>
      </c>
      <c r="B3152" s="1" t="s">
        <v>403</v>
      </c>
      <c r="C3152" s="1" t="s">
        <v>994</v>
      </c>
      <c r="U3152" s="1"/>
    </row>
    <row r="3153" ht="15.75" customHeight="1">
      <c r="A3153" s="1" t="s">
        <v>166</v>
      </c>
      <c r="B3153" s="1" t="s">
        <v>997</v>
      </c>
      <c r="C3153" s="1" t="s">
        <v>998</v>
      </c>
      <c r="U3153" s="1"/>
    </row>
    <row r="3154" ht="15.75" customHeight="1">
      <c r="A3154" s="1" t="s">
        <v>166</v>
      </c>
      <c r="B3154" s="1" t="s">
        <v>997</v>
      </c>
      <c r="C3154" s="1" t="s">
        <v>2201</v>
      </c>
      <c r="U3154" s="1"/>
    </row>
    <row r="3155" ht="15.75" customHeight="1">
      <c r="A3155" s="1" t="s">
        <v>168</v>
      </c>
      <c r="B3155" s="1" t="s">
        <v>29</v>
      </c>
      <c r="C3155" s="1" t="s">
        <v>1503</v>
      </c>
      <c r="U3155" s="1"/>
    </row>
    <row r="3156" ht="15.75" customHeight="1">
      <c r="A3156" s="1" t="s">
        <v>168</v>
      </c>
      <c r="B3156" s="1" t="s">
        <v>29</v>
      </c>
      <c r="C3156" s="1" t="s">
        <v>1506</v>
      </c>
      <c r="U3156" s="1"/>
    </row>
    <row r="3157" ht="15.75" customHeight="1">
      <c r="A3157" s="1" t="s">
        <v>168</v>
      </c>
      <c r="B3157" s="1" t="s">
        <v>330</v>
      </c>
      <c r="C3157" s="1" t="s">
        <v>2102</v>
      </c>
      <c r="U3157" s="1"/>
    </row>
    <row r="3158" ht="15.75" customHeight="1">
      <c r="A3158" s="1" t="s">
        <v>168</v>
      </c>
      <c r="B3158" s="1" t="s">
        <v>403</v>
      </c>
      <c r="C3158" s="1" t="s">
        <v>1855</v>
      </c>
      <c r="U3158" s="1"/>
    </row>
    <row r="3159" ht="15.75" customHeight="1">
      <c r="A3159" s="1" t="s">
        <v>168</v>
      </c>
      <c r="B3159" s="1" t="s">
        <v>1071</v>
      </c>
      <c r="C3159" s="1" t="s">
        <v>1557</v>
      </c>
      <c r="U3159" s="1"/>
    </row>
    <row r="3160" ht="15.75" customHeight="1">
      <c r="A3160" s="1" t="s">
        <v>168</v>
      </c>
      <c r="B3160" s="1" t="s">
        <v>1400</v>
      </c>
      <c r="C3160" s="1" t="s">
        <v>1981</v>
      </c>
      <c r="U3160" s="1"/>
    </row>
    <row r="3161" ht="15.75" customHeight="1">
      <c r="A3161" s="1" t="s">
        <v>168</v>
      </c>
      <c r="B3161" s="1" t="s">
        <v>1848</v>
      </c>
      <c r="C3161" s="1" t="s">
        <v>1989</v>
      </c>
      <c r="U3161" s="1"/>
    </row>
    <row r="3162" ht="15.75" customHeight="1">
      <c r="A3162" s="1" t="s">
        <v>170</v>
      </c>
      <c r="B3162" s="1" t="s">
        <v>29</v>
      </c>
      <c r="C3162" s="1" t="s">
        <v>2106</v>
      </c>
      <c r="U3162" s="1"/>
    </row>
    <row r="3163" ht="15.75" customHeight="1">
      <c r="A3163" s="1" t="s">
        <v>170</v>
      </c>
      <c r="B3163" s="1" t="s">
        <v>158</v>
      </c>
      <c r="C3163" s="1" t="s">
        <v>841</v>
      </c>
      <c r="U3163" s="1"/>
    </row>
    <row r="3164" ht="15.75" customHeight="1">
      <c r="A3164" s="1" t="s">
        <v>170</v>
      </c>
      <c r="B3164" s="1" t="s">
        <v>330</v>
      </c>
      <c r="C3164" s="1" t="s">
        <v>2022</v>
      </c>
      <c r="U3164" s="1"/>
    </row>
    <row r="3165" ht="15.75" customHeight="1">
      <c r="A3165" s="1" t="s">
        <v>170</v>
      </c>
      <c r="B3165" s="1" t="s">
        <v>403</v>
      </c>
      <c r="C3165" s="1" t="s">
        <v>2013</v>
      </c>
      <c r="U3165" s="1"/>
    </row>
    <row r="3166" ht="15.75" customHeight="1">
      <c r="A3166" s="1" t="s">
        <v>170</v>
      </c>
      <c r="B3166" s="1" t="s">
        <v>997</v>
      </c>
      <c r="C3166" s="1" t="s">
        <v>1577</v>
      </c>
      <c r="U3166" s="1"/>
    </row>
    <row r="3167" ht="15.75" customHeight="1">
      <c r="A3167" s="1" t="s">
        <v>170</v>
      </c>
      <c r="B3167" s="1" t="s">
        <v>1410</v>
      </c>
      <c r="C3167" s="1" t="s">
        <v>1414</v>
      </c>
      <c r="U3167" s="1"/>
    </row>
    <row r="3168" ht="15.75" customHeight="1">
      <c r="A3168" s="1" t="s">
        <v>170</v>
      </c>
      <c r="B3168" s="1" t="s">
        <v>2205</v>
      </c>
      <c r="C3168" s="1" t="s">
        <v>2206</v>
      </c>
      <c r="U3168" s="1"/>
    </row>
    <row r="3169" ht="15.75" customHeight="1">
      <c r="A3169" s="1" t="s">
        <v>172</v>
      </c>
      <c r="B3169" s="1" t="s">
        <v>6</v>
      </c>
      <c r="C3169" s="1" t="s">
        <v>1117</v>
      </c>
      <c r="U3169" s="1"/>
    </row>
    <row r="3170" ht="15.75" customHeight="1">
      <c r="A3170" s="1" t="s">
        <v>172</v>
      </c>
      <c r="B3170" s="1" t="s">
        <v>77</v>
      </c>
      <c r="C3170" s="1" t="s">
        <v>1519</v>
      </c>
      <c r="U3170" s="1"/>
    </row>
    <row r="3171" ht="15.75" customHeight="1">
      <c r="A3171" s="1" t="s">
        <v>172</v>
      </c>
      <c r="B3171" s="1" t="s">
        <v>158</v>
      </c>
      <c r="C3171" s="1" t="s">
        <v>2075</v>
      </c>
      <c r="U3171" s="1"/>
    </row>
    <row r="3172" ht="15.75" customHeight="1">
      <c r="A3172" s="1" t="s">
        <v>172</v>
      </c>
      <c r="B3172" s="1" t="s">
        <v>158</v>
      </c>
      <c r="C3172" s="1" t="s">
        <v>2076</v>
      </c>
      <c r="U3172" s="1"/>
    </row>
    <row r="3173" ht="15.75" customHeight="1">
      <c r="A3173" s="1" t="s">
        <v>172</v>
      </c>
      <c r="B3173" s="1" t="s">
        <v>158</v>
      </c>
      <c r="C3173" s="1" t="s">
        <v>2077</v>
      </c>
      <c r="U3173" s="1"/>
    </row>
    <row r="3174" ht="15.75" customHeight="1">
      <c r="A3174" s="1" t="s">
        <v>172</v>
      </c>
      <c r="B3174" s="1" t="s">
        <v>330</v>
      </c>
      <c r="C3174" s="1" t="s">
        <v>2078</v>
      </c>
      <c r="U3174" s="1"/>
    </row>
    <row r="3175" ht="15.75" customHeight="1">
      <c r="A3175" s="1" t="s">
        <v>172</v>
      </c>
      <c r="B3175" s="1" t="s">
        <v>330</v>
      </c>
      <c r="C3175" s="1" t="s">
        <v>1543</v>
      </c>
      <c r="U3175" s="1"/>
    </row>
    <row r="3176" ht="15.75" customHeight="1">
      <c r="A3176" s="1" t="s">
        <v>174</v>
      </c>
      <c r="B3176" s="1" t="s">
        <v>6</v>
      </c>
      <c r="C3176" s="1" t="s">
        <v>16</v>
      </c>
      <c r="U3176" s="1"/>
    </row>
    <row r="3177" ht="15.75" customHeight="1">
      <c r="A3177" s="1" t="s">
        <v>174</v>
      </c>
      <c r="B3177" s="1" t="s">
        <v>403</v>
      </c>
      <c r="C3177" s="1" t="s">
        <v>979</v>
      </c>
      <c r="U3177" s="1"/>
    </row>
    <row r="3178" ht="15.75" customHeight="1">
      <c r="A3178" s="1" t="s">
        <v>174</v>
      </c>
      <c r="B3178" s="1" t="s">
        <v>1400</v>
      </c>
      <c r="C3178" s="1" t="s">
        <v>2207</v>
      </c>
      <c r="U3178" s="1"/>
    </row>
    <row r="3179" ht="15.75" customHeight="1">
      <c r="A3179" s="1" t="s">
        <v>174</v>
      </c>
      <c r="B3179" s="1" t="s">
        <v>1400</v>
      </c>
      <c r="C3179" s="1" t="s">
        <v>2208</v>
      </c>
      <c r="U3179" s="1"/>
    </row>
    <row r="3180" ht="15.75" customHeight="1">
      <c r="A3180" s="1" t="s">
        <v>174</v>
      </c>
      <c r="B3180" s="1" t="s">
        <v>1400</v>
      </c>
      <c r="C3180" s="1" t="s">
        <v>2209</v>
      </c>
      <c r="U3180" s="1"/>
    </row>
    <row r="3181" ht="15.75" customHeight="1">
      <c r="A3181" s="1" t="s">
        <v>174</v>
      </c>
      <c r="B3181" s="1" t="s">
        <v>1400</v>
      </c>
      <c r="C3181" s="1" t="s">
        <v>2210</v>
      </c>
      <c r="U3181" s="1"/>
    </row>
    <row r="3182" ht="15.75" customHeight="1">
      <c r="A3182" s="1" t="s">
        <v>174</v>
      </c>
      <c r="B3182" s="1" t="s">
        <v>1410</v>
      </c>
      <c r="C3182" s="1" t="s">
        <v>2211</v>
      </c>
      <c r="U3182" s="1"/>
    </row>
    <row r="3183" ht="15.75" customHeight="1">
      <c r="A3183" s="1" t="s">
        <v>176</v>
      </c>
      <c r="B3183" s="1" t="s">
        <v>6</v>
      </c>
      <c r="C3183" s="1" t="s">
        <v>1105</v>
      </c>
      <c r="U3183" s="1"/>
    </row>
    <row r="3184" ht="15.75" customHeight="1">
      <c r="A3184" s="1" t="s">
        <v>176</v>
      </c>
      <c r="B3184" s="1" t="s">
        <v>6</v>
      </c>
      <c r="C3184" s="1" t="s">
        <v>1123</v>
      </c>
      <c r="U3184" s="1"/>
    </row>
    <row r="3185" ht="15.75" customHeight="1">
      <c r="A3185" s="1" t="s">
        <v>176</v>
      </c>
      <c r="B3185" s="1" t="s">
        <v>29</v>
      </c>
      <c r="C3185" s="1" t="s">
        <v>1129</v>
      </c>
      <c r="U3185" s="1"/>
    </row>
    <row r="3186" ht="15.75" customHeight="1">
      <c r="A3186" s="1" t="s">
        <v>176</v>
      </c>
      <c r="B3186" s="1" t="s">
        <v>29</v>
      </c>
      <c r="C3186" s="1" t="s">
        <v>1131</v>
      </c>
      <c r="U3186" s="1"/>
    </row>
    <row r="3187" ht="15.75" customHeight="1">
      <c r="A3187" s="1" t="s">
        <v>176</v>
      </c>
      <c r="B3187" s="1" t="s">
        <v>1400</v>
      </c>
      <c r="C3187" s="1" t="s">
        <v>1830</v>
      </c>
      <c r="U3187" s="1"/>
    </row>
    <row r="3188" ht="15.75" customHeight="1">
      <c r="A3188" s="1" t="s">
        <v>176</v>
      </c>
      <c r="B3188" s="1" t="s">
        <v>1425</v>
      </c>
      <c r="C3188" s="1" t="s">
        <v>1837</v>
      </c>
      <c r="U3188" s="1"/>
    </row>
    <row r="3189" ht="15.75" customHeight="1">
      <c r="A3189" s="1" t="s">
        <v>176</v>
      </c>
      <c r="B3189" s="1" t="s">
        <v>1425</v>
      </c>
      <c r="C3189" s="1" t="s">
        <v>1840</v>
      </c>
      <c r="U3189" s="1"/>
    </row>
    <row r="3190" ht="15.75" customHeight="1">
      <c r="A3190" s="1" t="s">
        <v>179</v>
      </c>
      <c r="B3190" s="1" t="s">
        <v>29</v>
      </c>
      <c r="C3190" s="1" t="s">
        <v>49</v>
      </c>
      <c r="U3190" s="1"/>
    </row>
    <row r="3191" ht="15.75" customHeight="1">
      <c r="A3191" s="1" t="s">
        <v>179</v>
      </c>
      <c r="B3191" s="1" t="s">
        <v>77</v>
      </c>
      <c r="C3191" s="1" t="s">
        <v>472</v>
      </c>
      <c r="U3191" s="1"/>
    </row>
    <row r="3192" ht="15.75" customHeight="1">
      <c r="A3192" s="1" t="s">
        <v>179</v>
      </c>
      <c r="B3192" s="1" t="s">
        <v>158</v>
      </c>
      <c r="C3192" s="1" t="s">
        <v>526</v>
      </c>
      <c r="U3192" s="1"/>
    </row>
    <row r="3193" ht="15.75" customHeight="1">
      <c r="A3193" s="1" t="s">
        <v>179</v>
      </c>
      <c r="B3193" s="1" t="s">
        <v>158</v>
      </c>
      <c r="C3193" s="1" t="s">
        <v>210</v>
      </c>
      <c r="U3193" s="1"/>
    </row>
    <row r="3194" ht="15.75" customHeight="1">
      <c r="A3194" s="1" t="s">
        <v>179</v>
      </c>
      <c r="B3194" s="1" t="s">
        <v>330</v>
      </c>
      <c r="C3194" s="1" t="s">
        <v>558</v>
      </c>
      <c r="U3194" s="1"/>
    </row>
    <row r="3195" ht="15.75" customHeight="1">
      <c r="A3195" s="1" t="s">
        <v>179</v>
      </c>
      <c r="B3195" s="1" t="s">
        <v>378</v>
      </c>
      <c r="C3195" s="1" t="s">
        <v>583</v>
      </c>
      <c r="U3195" s="1"/>
    </row>
    <row r="3196" ht="15.75" customHeight="1">
      <c r="A3196" s="1" t="s">
        <v>179</v>
      </c>
      <c r="B3196" s="1" t="s">
        <v>403</v>
      </c>
      <c r="C3196" s="1" t="s">
        <v>1562</v>
      </c>
      <c r="U3196" s="1"/>
    </row>
    <row r="3197" ht="15.75" customHeight="1">
      <c r="A3197" s="1" t="s">
        <v>181</v>
      </c>
      <c r="B3197" s="1" t="s">
        <v>29</v>
      </c>
      <c r="C3197" s="1" t="s">
        <v>1587</v>
      </c>
      <c r="U3197" s="1"/>
    </row>
    <row r="3198" ht="15.75" customHeight="1">
      <c r="A3198" s="1" t="s">
        <v>181</v>
      </c>
      <c r="B3198" s="1" t="s">
        <v>158</v>
      </c>
      <c r="C3198" s="1" t="s">
        <v>1302</v>
      </c>
      <c r="U3198" s="1"/>
    </row>
    <row r="3199" ht="15.75" customHeight="1">
      <c r="A3199" s="1" t="s">
        <v>181</v>
      </c>
      <c r="B3199" s="1" t="s">
        <v>330</v>
      </c>
      <c r="C3199" s="1" t="s">
        <v>957</v>
      </c>
      <c r="U3199" s="1"/>
    </row>
    <row r="3200" ht="15.75" customHeight="1">
      <c r="A3200" s="1" t="s">
        <v>181</v>
      </c>
      <c r="B3200" s="1" t="s">
        <v>403</v>
      </c>
      <c r="C3200" s="1" t="s">
        <v>1855</v>
      </c>
      <c r="U3200" s="1"/>
    </row>
    <row r="3201" ht="15.75" customHeight="1">
      <c r="A3201" s="1" t="s">
        <v>181</v>
      </c>
      <c r="B3201" s="1" t="s">
        <v>1071</v>
      </c>
      <c r="C3201" s="1" t="s">
        <v>1091</v>
      </c>
      <c r="U3201" s="1"/>
    </row>
    <row r="3202" ht="15.75" customHeight="1">
      <c r="A3202" s="1" t="s">
        <v>181</v>
      </c>
      <c r="B3202" s="1" t="s">
        <v>1400</v>
      </c>
      <c r="C3202" s="1" t="s">
        <v>2212</v>
      </c>
      <c r="U3202" s="1"/>
    </row>
    <row r="3203" ht="15.75" customHeight="1">
      <c r="A3203" s="1" t="s">
        <v>181</v>
      </c>
      <c r="B3203" s="1" t="s">
        <v>1410</v>
      </c>
      <c r="C3203" s="1" t="s">
        <v>2213</v>
      </c>
      <c r="U3203" s="1"/>
    </row>
    <row r="3204" ht="15.75" customHeight="1">
      <c r="A3204" s="1" t="s">
        <v>184</v>
      </c>
      <c r="B3204" s="1" t="s">
        <v>6</v>
      </c>
      <c r="C3204" s="1" t="s">
        <v>1119</v>
      </c>
      <c r="U3204" s="1"/>
    </row>
    <row r="3205" ht="15.75" customHeight="1">
      <c r="A3205" s="1" t="s">
        <v>184</v>
      </c>
      <c r="B3205" s="1" t="s">
        <v>6</v>
      </c>
      <c r="C3205" s="1" t="s">
        <v>1120</v>
      </c>
      <c r="U3205" s="1"/>
    </row>
    <row r="3206" ht="15.75" customHeight="1">
      <c r="A3206" s="1" t="s">
        <v>184</v>
      </c>
      <c r="B3206" s="1" t="s">
        <v>29</v>
      </c>
      <c r="C3206" s="1" t="s">
        <v>1127</v>
      </c>
      <c r="U3206" s="1"/>
    </row>
    <row r="3207" ht="15.75" customHeight="1">
      <c r="A3207" s="1" t="s">
        <v>184</v>
      </c>
      <c r="B3207" s="1" t="s">
        <v>29</v>
      </c>
      <c r="C3207" s="1" t="s">
        <v>1259</v>
      </c>
      <c r="U3207" s="1"/>
    </row>
    <row r="3208" ht="15.75" customHeight="1">
      <c r="A3208" s="1" t="s">
        <v>184</v>
      </c>
      <c r="B3208" s="1" t="s">
        <v>29</v>
      </c>
      <c r="C3208" s="1" t="s">
        <v>1133</v>
      </c>
      <c r="U3208" s="1"/>
    </row>
    <row r="3209" ht="15.75" customHeight="1">
      <c r="A3209" s="1" t="s">
        <v>184</v>
      </c>
      <c r="B3209" s="1" t="s">
        <v>29</v>
      </c>
      <c r="C3209" s="1" t="s">
        <v>1270</v>
      </c>
      <c r="U3209" s="1"/>
    </row>
    <row r="3210" ht="15.75" customHeight="1">
      <c r="A3210" s="1" t="s">
        <v>184</v>
      </c>
      <c r="B3210" s="1" t="s">
        <v>77</v>
      </c>
      <c r="C3210" s="1" t="s">
        <v>1281</v>
      </c>
      <c r="U3210" s="1"/>
    </row>
    <row r="3211" ht="15.75" customHeight="1">
      <c r="A3211" s="1" t="s">
        <v>186</v>
      </c>
      <c r="B3211" s="1" t="s">
        <v>77</v>
      </c>
      <c r="C3211" s="1" t="s">
        <v>1698</v>
      </c>
      <c r="U3211" s="1"/>
    </row>
    <row r="3212" ht="15.75" customHeight="1">
      <c r="A3212" s="1" t="s">
        <v>186</v>
      </c>
      <c r="B3212" s="1" t="s">
        <v>158</v>
      </c>
      <c r="C3212" s="1" t="s">
        <v>939</v>
      </c>
      <c r="U3212" s="1"/>
    </row>
    <row r="3213" ht="15.75" customHeight="1">
      <c r="A3213" s="1" t="s">
        <v>186</v>
      </c>
      <c r="B3213" s="1" t="s">
        <v>158</v>
      </c>
      <c r="C3213" s="1" t="s">
        <v>1699</v>
      </c>
      <c r="U3213" s="1"/>
    </row>
    <row r="3214" ht="15.75" customHeight="1">
      <c r="A3214" s="1" t="s">
        <v>186</v>
      </c>
      <c r="B3214" s="1" t="s">
        <v>158</v>
      </c>
      <c r="C3214" s="1" t="s">
        <v>1700</v>
      </c>
      <c r="U3214" s="1"/>
    </row>
    <row r="3215" ht="15.75" customHeight="1">
      <c r="A3215" s="1" t="s">
        <v>186</v>
      </c>
      <c r="B3215" s="1" t="s">
        <v>158</v>
      </c>
      <c r="C3215" s="1" t="s">
        <v>1701</v>
      </c>
      <c r="U3215" s="1"/>
    </row>
    <row r="3216" ht="15.75" customHeight="1">
      <c r="A3216" s="1" t="s">
        <v>186</v>
      </c>
      <c r="B3216" s="1" t="s">
        <v>158</v>
      </c>
      <c r="C3216" s="1" t="s">
        <v>1709</v>
      </c>
      <c r="U3216" s="1"/>
    </row>
    <row r="3217" ht="15.75" customHeight="1">
      <c r="A3217" s="1" t="s">
        <v>186</v>
      </c>
      <c r="B3217" s="1" t="s">
        <v>330</v>
      </c>
      <c r="C3217" s="1" t="s">
        <v>1715</v>
      </c>
      <c r="U3217" s="1"/>
    </row>
    <row r="3218" ht="15.75" customHeight="1">
      <c r="A3218" s="1" t="s">
        <v>188</v>
      </c>
      <c r="B3218" s="1" t="s">
        <v>29</v>
      </c>
      <c r="C3218" s="1" t="s">
        <v>1259</v>
      </c>
      <c r="U3218" s="1"/>
    </row>
    <row r="3219" ht="15.75" customHeight="1">
      <c r="A3219" s="1" t="s">
        <v>188</v>
      </c>
      <c r="B3219" s="1" t="s">
        <v>29</v>
      </c>
      <c r="C3219" s="1" t="s">
        <v>1150</v>
      </c>
      <c r="U3219" s="1"/>
    </row>
    <row r="3220" ht="15.75" customHeight="1">
      <c r="A3220" s="1" t="s">
        <v>188</v>
      </c>
      <c r="B3220" s="1" t="s">
        <v>77</v>
      </c>
      <c r="C3220" s="1" t="s">
        <v>1281</v>
      </c>
      <c r="U3220" s="1"/>
    </row>
    <row r="3221" ht="15.75" customHeight="1">
      <c r="A3221" s="1" t="s">
        <v>188</v>
      </c>
      <c r="B3221" s="1" t="s">
        <v>158</v>
      </c>
      <c r="C3221" s="1" t="s">
        <v>1531</v>
      </c>
      <c r="U3221" s="1"/>
    </row>
    <row r="3222" ht="15.75" customHeight="1">
      <c r="A3222" s="1" t="s">
        <v>188</v>
      </c>
      <c r="B3222" s="1" t="s">
        <v>330</v>
      </c>
      <c r="C3222" s="1" t="s">
        <v>554</v>
      </c>
      <c r="U3222" s="1"/>
    </row>
    <row r="3223" ht="15.75" customHeight="1">
      <c r="A3223" s="1" t="s">
        <v>188</v>
      </c>
      <c r="B3223" s="1" t="s">
        <v>378</v>
      </c>
      <c r="C3223" s="1" t="s">
        <v>1555</v>
      </c>
      <c r="U3223" s="1"/>
    </row>
    <row r="3224" ht="15.75" customHeight="1">
      <c r="A3224" s="1" t="s">
        <v>188</v>
      </c>
      <c r="B3224" s="1" t="s">
        <v>1071</v>
      </c>
      <c r="C3224" s="1" t="s">
        <v>2214</v>
      </c>
      <c r="U3224" s="1"/>
    </row>
    <row r="3225" ht="15.75" customHeight="1">
      <c r="A3225" s="1" t="s">
        <v>191</v>
      </c>
      <c r="B3225" s="1" t="s">
        <v>29</v>
      </c>
      <c r="C3225" s="1" t="s">
        <v>1259</v>
      </c>
      <c r="U3225" s="1"/>
    </row>
    <row r="3226" ht="15.75" customHeight="1">
      <c r="A3226" s="1" t="s">
        <v>191</v>
      </c>
      <c r="B3226" s="1" t="s">
        <v>77</v>
      </c>
      <c r="C3226" s="1" t="s">
        <v>1281</v>
      </c>
      <c r="U3226" s="1"/>
    </row>
    <row r="3227" ht="15.75" customHeight="1">
      <c r="A3227" s="1" t="s">
        <v>191</v>
      </c>
      <c r="B3227" s="1" t="s">
        <v>77</v>
      </c>
      <c r="C3227" s="1" t="s">
        <v>503</v>
      </c>
      <c r="U3227" s="1"/>
    </row>
    <row r="3228" ht="15.75" customHeight="1">
      <c r="A3228" s="1" t="s">
        <v>191</v>
      </c>
      <c r="B3228" s="1" t="s">
        <v>158</v>
      </c>
      <c r="C3228" s="1" t="s">
        <v>1173</v>
      </c>
      <c r="U3228" s="1"/>
    </row>
    <row r="3229" ht="15.75" customHeight="1">
      <c r="A3229" s="1" t="s">
        <v>191</v>
      </c>
      <c r="B3229" s="1" t="s">
        <v>158</v>
      </c>
      <c r="C3229" s="1" t="s">
        <v>1305</v>
      </c>
      <c r="U3229" s="1"/>
    </row>
    <row r="3230" ht="15.75" customHeight="1">
      <c r="A3230" s="1" t="s">
        <v>191</v>
      </c>
      <c r="B3230" s="1" t="s">
        <v>1400</v>
      </c>
      <c r="C3230" s="1" t="s">
        <v>2215</v>
      </c>
      <c r="U3230" s="1"/>
    </row>
    <row r="3231" ht="15.75" customHeight="1">
      <c r="A3231" s="1" t="s">
        <v>191</v>
      </c>
      <c r="B3231" s="1" t="s">
        <v>1410</v>
      </c>
      <c r="C3231" s="1" t="s">
        <v>2216</v>
      </c>
      <c r="U3231" s="1"/>
    </row>
    <row r="3232" ht="15.75" customHeight="1">
      <c r="A3232" s="1" t="s">
        <v>193</v>
      </c>
      <c r="B3232" s="1" t="s">
        <v>77</v>
      </c>
      <c r="C3232" s="1" t="s">
        <v>1227</v>
      </c>
      <c r="U3232" s="1"/>
    </row>
    <row r="3233" ht="15.75" customHeight="1">
      <c r="A3233" s="1" t="s">
        <v>193</v>
      </c>
      <c r="B3233" s="1" t="s">
        <v>158</v>
      </c>
      <c r="C3233" s="1" t="s">
        <v>2217</v>
      </c>
      <c r="U3233" s="1"/>
    </row>
    <row r="3234" ht="15.75" customHeight="1">
      <c r="A3234" s="1" t="s">
        <v>193</v>
      </c>
      <c r="B3234" s="1" t="s">
        <v>158</v>
      </c>
      <c r="C3234" s="1" t="s">
        <v>1931</v>
      </c>
      <c r="U3234" s="1"/>
    </row>
    <row r="3235" ht="15.75" customHeight="1">
      <c r="A3235" s="1" t="s">
        <v>193</v>
      </c>
      <c r="B3235" s="1" t="s">
        <v>330</v>
      </c>
      <c r="C3235" s="1" t="s">
        <v>957</v>
      </c>
      <c r="U3235" s="1"/>
    </row>
    <row r="3236" ht="15.75" customHeight="1">
      <c r="A3236" s="1" t="s">
        <v>193</v>
      </c>
      <c r="B3236" s="1" t="s">
        <v>330</v>
      </c>
      <c r="C3236" s="1" t="s">
        <v>961</v>
      </c>
      <c r="U3236" s="1"/>
    </row>
    <row r="3237" ht="15.75" customHeight="1">
      <c r="A3237" s="1" t="s">
        <v>193</v>
      </c>
      <c r="B3237" s="1" t="s">
        <v>403</v>
      </c>
      <c r="C3237" s="1" t="s">
        <v>1855</v>
      </c>
      <c r="U3237" s="1"/>
    </row>
    <row r="3238" ht="15.75" customHeight="1">
      <c r="A3238" s="1" t="s">
        <v>193</v>
      </c>
      <c r="B3238" s="1" t="s">
        <v>1071</v>
      </c>
      <c r="C3238" s="1" t="s">
        <v>2065</v>
      </c>
      <c r="U3238" s="1"/>
    </row>
    <row r="3239" ht="15.75" customHeight="1">
      <c r="A3239" s="1" t="s">
        <v>195</v>
      </c>
      <c r="B3239" s="1" t="s">
        <v>29</v>
      </c>
      <c r="C3239" s="1" t="s">
        <v>1126</v>
      </c>
      <c r="U3239" s="1"/>
    </row>
    <row r="3240" ht="15.75" customHeight="1">
      <c r="A3240" s="1" t="s">
        <v>195</v>
      </c>
      <c r="B3240" s="1" t="s">
        <v>29</v>
      </c>
      <c r="C3240" s="1" t="s">
        <v>1127</v>
      </c>
      <c r="U3240" s="1"/>
    </row>
    <row r="3241" ht="15.75" customHeight="1">
      <c r="A3241" s="1" t="s">
        <v>195</v>
      </c>
      <c r="B3241" s="1" t="s">
        <v>29</v>
      </c>
      <c r="C3241" s="1" t="s">
        <v>1133</v>
      </c>
      <c r="U3241" s="1"/>
    </row>
    <row r="3242" ht="15.75" customHeight="1">
      <c r="A3242" s="1" t="s">
        <v>195</v>
      </c>
      <c r="B3242" s="1" t="s">
        <v>29</v>
      </c>
      <c r="C3242" s="1" t="s">
        <v>1146</v>
      </c>
      <c r="U3242" s="1"/>
    </row>
    <row r="3243" ht="15.75" customHeight="1">
      <c r="A3243" s="1" t="s">
        <v>195</v>
      </c>
      <c r="B3243" s="1" t="s">
        <v>29</v>
      </c>
      <c r="C3243" s="1" t="s">
        <v>1149</v>
      </c>
      <c r="U3243" s="1"/>
    </row>
    <row r="3244" ht="15.75" customHeight="1">
      <c r="A3244" s="1" t="s">
        <v>195</v>
      </c>
      <c r="B3244" s="1" t="s">
        <v>77</v>
      </c>
      <c r="C3244" s="1" t="s">
        <v>260</v>
      </c>
      <c r="U3244" s="1"/>
    </row>
    <row r="3245" ht="15.75" customHeight="1">
      <c r="A3245" s="1" t="s">
        <v>195</v>
      </c>
      <c r="B3245" s="1" t="s">
        <v>378</v>
      </c>
      <c r="C3245" s="1" t="s">
        <v>2218</v>
      </c>
      <c r="U3245" s="1"/>
    </row>
    <row r="3246" ht="15.75" customHeight="1">
      <c r="A3246" s="1" t="s">
        <v>198</v>
      </c>
      <c r="B3246" s="1" t="s">
        <v>6</v>
      </c>
      <c r="C3246" s="1" t="s">
        <v>2191</v>
      </c>
      <c r="U3246" s="1"/>
    </row>
    <row r="3247" ht="15.75" customHeight="1">
      <c r="A3247" s="1" t="s">
        <v>198</v>
      </c>
      <c r="B3247" s="1" t="s">
        <v>29</v>
      </c>
      <c r="C3247" s="1" t="s">
        <v>1138</v>
      </c>
      <c r="U3247" s="1"/>
    </row>
    <row r="3248" ht="15.75" customHeight="1">
      <c r="A3248" s="1" t="s">
        <v>198</v>
      </c>
      <c r="B3248" s="1" t="s">
        <v>158</v>
      </c>
      <c r="C3248" s="1" t="s">
        <v>949</v>
      </c>
      <c r="U3248" s="1"/>
    </row>
    <row r="3249" ht="15.75" customHeight="1">
      <c r="A3249" s="1" t="s">
        <v>198</v>
      </c>
      <c r="B3249" s="1" t="s">
        <v>158</v>
      </c>
      <c r="C3249" s="1" t="s">
        <v>229</v>
      </c>
      <c r="U3249" s="1"/>
    </row>
    <row r="3250" ht="15.75" customHeight="1">
      <c r="A3250" s="1" t="s">
        <v>198</v>
      </c>
      <c r="B3250" s="1" t="s">
        <v>403</v>
      </c>
      <c r="C3250" s="1" t="s">
        <v>2219</v>
      </c>
      <c r="U3250" s="1"/>
    </row>
    <row r="3251" ht="15.75" customHeight="1">
      <c r="A3251" s="1" t="s">
        <v>198</v>
      </c>
      <c r="B3251" s="1" t="s">
        <v>403</v>
      </c>
      <c r="C3251" s="1" t="s">
        <v>1855</v>
      </c>
      <c r="U3251" s="1"/>
    </row>
    <row r="3252" ht="15.75" customHeight="1">
      <c r="A3252" s="1" t="s">
        <v>198</v>
      </c>
      <c r="B3252" s="1" t="s">
        <v>1763</v>
      </c>
      <c r="C3252" s="1" t="s">
        <v>2220</v>
      </c>
      <c r="U3252" s="1"/>
    </row>
    <row r="3253" ht="15.75" customHeight="1">
      <c r="A3253" s="1" t="s">
        <v>200</v>
      </c>
      <c r="B3253" s="1" t="s">
        <v>77</v>
      </c>
      <c r="C3253" s="1" t="s">
        <v>1515</v>
      </c>
      <c r="U3253" s="1"/>
    </row>
    <row r="3254" ht="15.75" customHeight="1">
      <c r="A3254" s="1" t="s">
        <v>200</v>
      </c>
      <c r="B3254" s="1" t="s">
        <v>158</v>
      </c>
      <c r="C3254" s="1" t="s">
        <v>1535</v>
      </c>
      <c r="U3254" s="1"/>
    </row>
    <row r="3255" ht="15.75" customHeight="1">
      <c r="A3255" s="1" t="s">
        <v>200</v>
      </c>
      <c r="B3255" s="1" t="s">
        <v>330</v>
      </c>
      <c r="C3255" s="1" t="s">
        <v>913</v>
      </c>
      <c r="U3255" s="1"/>
    </row>
    <row r="3256" ht="15.75" customHeight="1">
      <c r="A3256" s="1" t="s">
        <v>202</v>
      </c>
      <c r="B3256" s="1" t="s">
        <v>29</v>
      </c>
      <c r="C3256" s="1" t="s">
        <v>1126</v>
      </c>
      <c r="U3256" s="1"/>
    </row>
    <row r="3257" ht="15.75" customHeight="1">
      <c r="A3257" s="1" t="s">
        <v>202</v>
      </c>
      <c r="B3257" s="1" t="s">
        <v>29</v>
      </c>
      <c r="C3257" s="1" t="s">
        <v>1190</v>
      </c>
      <c r="U3257" s="1"/>
    </row>
    <row r="3258" ht="15.75" customHeight="1">
      <c r="A3258" s="1" t="s">
        <v>202</v>
      </c>
      <c r="B3258" s="1" t="s">
        <v>29</v>
      </c>
      <c r="C3258" s="1" t="s">
        <v>1133</v>
      </c>
      <c r="U3258" s="1"/>
    </row>
    <row r="3259" ht="15.75" customHeight="1">
      <c r="A3259" s="1" t="s">
        <v>202</v>
      </c>
      <c r="B3259" s="1" t="s">
        <v>29</v>
      </c>
      <c r="C3259" s="1" t="s">
        <v>1146</v>
      </c>
      <c r="U3259" s="1"/>
    </row>
    <row r="3260" ht="15.75" customHeight="1">
      <c r="A3260" s="1" t="s">
        <v>202</v>
      </c>
      <c r="B3260" s="1" t="s">
        <v>29</v>
      </c>
      <c r="C3260" s="1" t="s">
        <v>1149</v>
      </c>
      <c r="U3260" s="1"/>
    </row>
    <row r="3261" ht="15.75" customHeight="1">
      <c r="A3261" s="1" t="s">
        <v>202</v>
      </c>
      <c r="B3261" s="1" t="s">
        <v>1410</v>
      </c>
      <c r="C3261" s="1" t="s">
        <v>2221</v>
      </c>
      <c r="U3261" s="1"/>
    </row>
    <row r="3262" ht="15.75" customHeight="1">
      <c r="A3262" s="1" t="s">
        <v>202</v>
      </c>
      <c r="B3262" s="1" t="s">
        <v>1425</v>
      </c>
      <c r="C3262" s="1" t="s">
        <v>2222</v>
      </c>
      <c r="U3262" s="1"/>
    </row>
    <row r="3263" ht="15.75" customHeight="1">
      <c r="A3263" s="1" t="s">
        <v>204</v>
      </c>
      <c r="B3263" s="1" t="s">
        <v>29</v>
      </c>
      <c r="C3263" s="1" t="s">
        <v>1202</v>
      </c>
      <c r="U3263" s="1"/>
    </row>
    <row r="3264" ht="15.75" customHeight="1">
      <c r="A3264" s="1" t="s">
        <v>204</v>
      </c>
      <c r="B3264" s="1" t="s">
        <v>77</v>
      </c>
      <c r="C3264" s="1" t="s">
        <v>808</v>
      </c>
      <c r="U3264" s="1"/>
    </row>
    <row r="3265" ht="15.75" customHeight="1">
      <c r="A3265" s="1" t="s">
        <v>204</v>
      </c>
      <c r="B3265" s="1" t="s">
        <v>158</v>
      </c>
      <c r="C3265" s="1" t="s">
        <v>1171</v>
      </c>
      <c r="U3265" s="1"/>
    </row>
    <row r="3266" ht="15.75" customHeight="1">
      <c r="A3266" s="1" t="s">
        <v>204</v>
      </c>
      <c r="B3266" s="1" t="s">
        <v>158</v>
      </c>
      <c r="C3266" s="1" t="s">
        <v>841</v>
      </c>
      <c r="U3266" s="1"/>
    </row>
    <row r="3267" ht="15.75" customHeight="1">
      <c r="A3267" s="1" t="s">
        <v>204</v>
      </c>
      <c r="B3267" s="1" t="s">
        <v>158</v>
      </c>
      <c r="C3267" s="1" t="s">
        <v>1239</v>
      </c>
      <c r="U3267" s="1"/>
    </row>
    <row r="3268" ht="15.75" customHeight="1">
      <c r="A3268" s="1" t="s">
        <v>204</v>
      </c>
      <c r="B3268" s="1" t="s">
        <v>158</v>
      </c>
      <c r="C3268" s="1" t="s">
        <v>2223</v>
      </c>
      <c r="U3268" s="1"/>
    </row>
    <row r="3269" ht="15.75" customHeight="1">
      <c r="A3269" s="1" t="s">
        <v>207</v>
      </c>
      <c r="B3269" s="1" t="s">
        <v>29</v>
      </c>
      <c r="C3269" s="1" t="s">
        <v>440</v>
      </c>
      <c r="U3269" s="1"/>
    </row>
    <row r="3270" ht="15.75" customHeight="1">
      <c r="A3270" s="1" t="s">
        <v>207</v>
      </c>
      <c r="B3270" s="1" t="s">
        <v>29</v>
      </c>
      <c r="C3270" s="1" t="s">
        <v>446</v>
      </c>
      <c r="U3270" s="1"/>
    </row>
    <row r="3271" ht="15.75" customHeight="1">
      <c r="A3271" s="1" t="s">
        <v>207</v>
      </c>
      <c r="B3271" s="1" t="s">
        <v>29</v>
      </c>
      <c r="C3271" s="1" t="s">
        <v>452</v>
      </c>
      <c r="U3271" s="1"/>
    </row>
    <row r="3272" ht="15.75" customHeight="1">
      <c r="A3272" s="1" t="s">
        <v>207</v>
      </c>
      <c r="B3272" s="1" t="s">
        <v>77</v>
      </c>
      <c r="C3272" s="1" t="s">
        <v>476</v>
      </c>
      <c r="U3272" s="1"/>
    </row>
    <row r="3273" ht="15.75" customHeight="1">
      <c r="A3273" s="1" t="s">
        <v>207</v>
      </c>
      <c r="B3273" s="1" t="s">
        <v>77</v>
      </c>
      <c r="C3273" s="1" t="s">
        <v>2224</v>
      </c>
      <c r="U3273" s="1"/>
    </row>
    <row r="3274" ht="15.75" customHeight="1">
      <c r="A3274" s="1" t="s">
        <v>207</v>
      </c>
      <c r="B3274" s="1" t="s">
        <v>77</v>
      </c>
      <c r="C3274" s="1" t="s">
        <v>499</v>
      </c>
      <c r="U3274" s="1"/>
    </row>
    <row r="3275" ht="15.75" customHeight="1">
      <c r="A3275" s="1" t="s">
        <v>209</v>
      </c>
      <c r="B3275" s="1" t="s">
        <v>158</v>
      </c>
      <c r="C3275" s="1" t="s">
        <v>939</v>
      </c>
      <c r="U3275" s="1"/>
    </row>
    <row r="3276" ht="15.75" customHeight="1">
      <c r="A3276" s="1" t="s">
        <v>209</v>
      </c>
      <c r="B3276" s="1" t="s">
        <v>158</v>
      </c>
      <c r="C3276" s="1" t="s">
        <v>941</v>
      </c>
      <c r="U3276" s="1"/>
    </row>
    <row r="3277" ht="15.75" customHeight="1">
      <c r="A3277" s="1" t="s">
        <v>209</v>
      </c>
      <c r="B3277" s="1" t="s">
        <v>378</v>
      </c>
      <c r="C3277" s="1" t="s">
        <v>974</v>
      </c>
      <c r="U3277" s="1"/>
    </row>
    <row r="3278" ht="15.75" customHeight="1">
      <c r="A3278" s="1" t="s">
        <v>209</v>
      </c>
      <c r="B3278" s="1" t="s">
        <v>403</v>
      </c>
      <c r="C3278" s="1" t="s">
        <v>1855</v>
      </c>
      <c r="U3278" s="1"/>
    </row>
    <row r="3279" ht="15.75" customHeight="1">
      <c r="A3279" s="1" t="s">
        <v>209</v>
      </c>
      <c r="B3279" s="1" t="s">
        <v>997</v>
      </c>
      <c r="C3279" s="1" t="s">
        <v>2192</v>
      </c>
      <c r="U3279" s="1"/>
    </row>
    <row r="3280" ht="15.75" customHeight="1">
      <c r="A3280" s="1" t="s">
        <v>209</v>
      </c>
      <c r="B3280" s="1" t="s">
        <v>1400</v>
      </c>
      <c r="C3280" s="1" t="s">
        <v>2212</v>
      </c>
      <c r="U3280" s="1"/>
    </row>
    <row r="3281" ht="15.75" customHeight="1">
      <c r="A3281" s="1" t="s">
        <v>211</v>
      </c>
      <c r="B3281" s="1" t="s">
        <v>29</v>
      </c>
      <c r="C3281" s="1" t="s">
        <v>1132</v>
      </c>
      <c r="U3281" s="1"/>
    </row>
    <row r="3282" ht="15.75" customHeight="1">
      <c r="A3282" s="1" t="s">
        <v>211</v>
      </c>
      <c r="B3282" s="1" t="s">
        <v>77</v>
      </c>
      <c r="C3282" s="1" t="s">
        <v>1151</v>
      </c>
      <c r="U3282" s="1"/>
    </row>
    <row r="3283" ht="15.75" customHeight="1">
      <c r="A3283" s="1" t="s">
        <v>211</v>
      </c>
      <c r="B3283" s="1" t="s">
        <v>158</v>
      </c>
      <c r="C3283" s="1" t="s">
        <v>1316</v>
      </c>
      <c r="U3283" s="1"/>
    </row>
    <row r="3284" ht="15.75" customHeight="1">
      <c r="A3284" s="1" t="s">
        <v>214</v>
      </c>
      <c r="B3284" s="1" t="s">
        <v>378</v>
      </c>
      <c r="C3284" s="1" t="s">
        <v>1720</v>
      </c>
      <c r="U3284" s="1"/>
    </row>
    <row r="3285" ht="15.75" customHeight="1">
      <c r="A3285" s="1" t="s">
        <v>214</v>
      </c>
      <c r="B3285" s="1" t="s">
        <v>997</v>
      </c>
      <c r="C3285" s="1" t="s">
        <v>1721</v>
      </c>
      <c r="U3285" s="1"/>
    </row>
    <row r="3286" ht="15.75" customHeight="1">
      <c r="A3286" s="1" t="s">
        <v>214</v>
      </c>
      <c r="B3286" s="1" t="s">
        <v>997</v>
      </c>
      <c r="C3286" s="1" t="s">
        <v>1723</v>
      </c>
      <c r="U3286" s="1"/>
    </row>
    <row r="3287" ht="15.75" customHeight="1">
      <c r="A3287" s="1" t="s">
        <v>214</v>
      </c>
      <c r="B3287" s="1" t="s">
        <v>1400</v>
      </c>
      <c r="C3287" s="1" t="s">
        <v>2225</v>
      </c>
      <c r="U3287" s="1"/>
    </row>
    <row r="3288" ht="15.75" customHeight="1">
      <c r="A3288" s="1" t="s">
        <v>214</v>
      </c>
      <c r="B3288" s="1" t="s">
        <v>1410</v>
      </c>
      <c r="C3288" s="1" t="s">
        <v>2226</v>
      </c>
      <c r="U3288" s="1"/>
    </row>
    <row r="3289" ht="15.75" customHeight="1">
      <c r="A3289" s="1" t="s">
        <v>214</v>
      </c>
      <c r="B3289" s="1" t="s">
        <v>1410</v>
      </c>
      <c r="C3289" s="1" t="s">
        <v>2227</v>
      </c>
      <c r="U3289" s="1"/>
    </row>
    <row r="3290" ht="15.75" customHeight="1">
      <c r="A3290" s="1" t="s">
        <v>216</v>
      </c>
      <c r="B3290" s="1" t="s">
        <v>6</v>
      </c>
      <c r="C3290" s="1" t="s">
        <v>427</v>
      </c>
      <c r="U3290" s="1"/>
    </row>
    <row r="3291" ht="15.75" customHeight="1">
      <c r="A3291" s="1" t="s">
        <v>216</v>
      </c>
      <c r="B3291" s="1" t="s">
        <v>6</v>
      </c>
      <c r="C3291" s="1" t="s">
        <v>429</v>
      </c>
      <c r="U3291" s="1"/>
    </row>
    <row r="3292" ht="15.75" customHeight="1">
      <c r="A3292" s="1" t="s">
        <v>216</v>
      </c>
      <c r="B3292" s="1" t="s">
        <v>77</v>
      </c>
      <c r="C3292" s="1" t="s">
        <v>511</v>
      </c>
      <c r="U3292" s="1"/>
    </row>
    <row r="3293" ht="15.75" customHeight="1">
      <c r="A3293" s="1" t="s">
        <v>216</v>
      </c>
      <c r="B3293" s="1" t="s">
        <v>330</v>
      </c>
      <c r="C3293" s="1" t="s">
        <v>548</v>
      </c>
      <c r="U3293" s="1"/>
    </row>
    <row r="3294" ht="15.75" customHeight="1">
      <c r="A3294" s="1" t="s">
        <v>216</v>
      </c>
      <c r="B3294" s="1" t="s">
        <v>403</v>
      </c>
      <c r="C3294" s="1" t="s">
        <v>624</v>
      </c>
      <c r="U3294" s="1"/>
    </row>
    <row r="3295" ht="15.75" customHeight="1">
      <c r="A3295" s="1" t="s">
        <v>216</v>
      </c>
      <c r="B3295" s="1" t="s">
        <v>997</v>
      </c>
      <c r="C3295" s="1" t="s">
        <v>2228</v>
      </c>
      <c r="U3295" s="1"/>
    </row>
    <row r="3296" ht="15.75" customHeight="1">
      <c r="A3296" s="1" t="s">
        <v>218</v>
      </c>
      <c r="B3296" s="1" t="s">
        <v>6</v>
      </c>
      <c r="C3296" s="1" t="s">
        <v>1581</v>
      </c>
      <c r="U3296" s="1"/>
    </row>
    <row r="3297" ht="15.75" customHeight="1">
      <c r="A3297" s="1" t="s">
        <v>218</v>
      </c>
      <c r="B3297" s="1" t="s">
        <v>6</v>
      </c>
      <c r="C3297" s="1" t="s">
        <v>919</v>
      </c>
      <c r="U3297" s="1"/>
    </row>
    <row r="3298" ht="15.75" customHeight="1">
      <c r="A3298" s="1" t="s">
        <v>218</v>
      </c>
      <c r="B3298" s="1" t="s">
        <v>6</v>
      </c>
      <c r="C3298" s="1" t="s">
        <v>920</v>
      </c>
      <c r="U3298" s="1"/>
    </row>
    <row r="3299" ht="15.75" customHeight="1">
      <c r="A3299" s="1" t="s">
        <v>218</v>
      </c>
      <c r="B3299" s="1" t="s">
        <v>29</v>
      </c>
      <c r="C3299" s="1" t="s">
        <v>925</v>
      </c>
      <c r="U3299" s="1"/>
    </row>
    <row r="3300" ht="15.75" customHeight="1">
      <c r="A3300" s="1" t="s">
        <v>218</v>
      </c>
      <c r="B3300" s="1" t="s">
        <v>29</v>
      </c>
      <c r="C3300" s="1" t="s">
        <v>1592</v>
      </c>
      <c r="U3300" s="1"/>
    </row>
    <row r="3301" ht="15.75" customHeight="1">
      <c r="A3301" s="1" t="s">
        <v>218</v>
      </c>
      <c r="B3301" s="1" t="s">
        <v>77</v>
      </c>
      <c r="C3301" s="1" t="s">
        <v>928</v>
      </c>
      <c r="U3301" s="1"/>
    </row>
    <row r="3302" ht="15.75" customHeight="1">
      <c r="A3302" s="1" t="s">
        <v>220</v>
      </c>
      <c r="B3302" s="1" t="s">
        <v>403</v>
      </c>
      <c r="C3302" s="1" t="s">
        <v>992</v>
      </c>
      <c r="U3302" s="1"/>
    </row>
    <row r="3303" ht="15.75" customHeight="1">
      <c r="A3303" s="1" t="s">
        <v>220</v>
      </c>
      <c r="B3303" s="1" t="s">
        <v>997</v>
      </c>
      <c r="C3303" s="1" t="s">
        <v>1000</v>
      </c>
      <c r="U3303" s="1"/>
    </row>
    <row r="3304" ht="15.75" customHeight="1">
      <c r="A3304" s="1" t="s">
        <v>220</v>
      </c>
      <c r="B3304" s="1" t="s">
        <v>997</v>
      </c>
      <c r="C3304" s="1" t="s">
        <v>1002</v>
      </c>
      <c r="U3304" s="1"/>
    </row>
    <row r="3305" ht="15.75" customHeight="1">
      <c r="A3305" s="1" t="s">
        <v>220</v>
      </c>
      <c r="B3305" s="1" t="s">
        <v>997</v>
      </c>
      <c r="C3305" s="1" t="s">
        <v>1004</v>
      </c>
      <c r="U3305" s="1"/>
    </row>
    <row r="3306" ht="15.75" customHeight="1">
      <c r="A3306" s="1" t="s">
        <v>220</v>
      </c>
      <c r="B3306" s="1" t="s">
        <v>997</v>
      </c>
      <c r="C3306" s="1" t="s">
        <v>2171</v>
      </c>
      <c r="U3306" s="1"/>
    </row>
    <row r="3307" ht="15.75" customHeight="1">
      <c r="A3307" s="1" t="s">
        <v>220</v>
      </c>
      <c r="B3307" s="1" t="s">
        <v>1071</v>
      </c>
      <c r="C3307" s="1" t="s">
        <v>2229</v>
      </c>
      <c r="U3307" s="1"/>
    </row>
    <row r="3308" ht="15.75" customHeight="1">
      <c r="A3308" s="1" t="s">
        <v>222</v>
      </c>
      <c r="B3308" s="1" t="s">
        <v>158</v>
      </c>
      <c r="C3308" s="1" t="s">
        <v>939</v>
      </c>
      <c r="U3308" s="1"/>
    </row>
    <row r="3309" ht="15.75" customHeight="1">
      <c r="A3309" s="1" t="s">
        <v>222</v>
      </c>
      <c r="B3309" s="1" t="s">
        <v>158</v>
      </c>
      <c r="C3309" s="1" t="s">
        <v>856</v>
      </c>
      <c r="U3309" s="1"/>
    </row>
    <row r="3310" ht="15.75" customHeight="1">
      <c r="A3310" s="1" t="s">
        <v>222</v>
      </c>
      <c r="B3310" s="1" t="s">
        <v>378</v>
      </c>
      <c r="C3310" s="1" t="s">
        <v>1651</v>
      </c>
      <c r="U3310" s="1"/>
    </row>
    <row r="3311" ht="15.75" customHeight="1">
      <c r="A3311" s="1" t="s">
        <v>222</v>
      </c>
      <c r="B3311" s="1" t="s">
        <v>378</v>
      </c>
      <c r="C3311" s="1" t="s">
        <v>1652</v>
      </c>
      <c r="U3311" s="1"/>
    </row>
    <row r="3312" ht="15.75" customHeight="1">
      <c r="A3312" s="1" t="s">
        <v>222</v>
      </c>
      <c r="B3312" s="1" t="s">
        <v>378</v>
      </c>
      <c r="C3312" s="1" t="s">
        <v>977</v>
      </c>
      <c r="U3312" s="1"/>
    </row>
    <row r="3313" ht="15.75" customHeight="1">
      <c r="A3313" s="1" t="s">
        <v>222</v>
      </c>
      <c r="B3313" s="1" t="s">
        <v>403</v>
      </c>
      <c r="C3313" s="1" t="s">
        <v>1651</v>
      </c>
      <c r="U3313" s="1"/>
    </row>
    <row r="3314" ht="15.75" customHeight="1">
      <c r="A3314" s="1" t="s">
        <v>224</v>
      </c>
      <c r="B3314" s="1" t="s">
        <v>1093</v>
      </c>
      <c r="C3314" s="1" t="s">
        <v>2230</v>
      </c>
      <c r="U3314" s="1"/>
    </row>
    <row r="3315" ht="15.75" customHeight="1">
      <c r="A3315" s="1" t="s">
        <v>224</v>
      </c>
      <c r="B3315" s="1" t="s">
        <v>1400</v>
      </c>
      <c r="C3315" s="1" t="s">
        <v>1482</v>
      </c>
      <c r="U3315" s="1"/>
    </row>
    <row r="3316" ht="15.75" customHeight="1">
      <c r="A3316" s="1" t="s">
        <v>224</v>
      </c>
      <c r="B3316" s="1" t="s">
        <v>1848</v>
      </c>
      <c r="C3316" s="1" t="s">
        <v>2163</v>
      </c>
      <c r="U3316" s="1"/>
    </row>
    <row r="3317" ht="15.75" customHeight="1">
      <c r="A3317" s="1" t="s">
        <v>224</v>
      </c>
      <c r="B3317" s="1" t="s">
        <v>1848</v>
      </c>
      <c r="C3317" s="1" t="s">
        <v>2165</v>
      </c>
      <c r="U3317" s="1"/>
    </row>
    <row r="3318" ht="15.75" customHeight="1">
      <c r="A3318" s="1" t="s">
        <v>224</v>
      </c>
      <c r="B3318" s="1" t="s">
        <v>1848</v>
      </c>
      <c r="C3318" s="1" t="s">
        <v>2164</v>
      </c>
      <c r="U3318" s="1"/>
    </row>
    <row r="3319" ht="15.75" customHeight="1">
      <c r="A3319" s="1" t="s">
        <v>224</v>
      </c>
      <c r="B3319" s="1" t="s">
        <v>1848</v>
      </c>
      <c r="C3319" s="1" t="s">
        <v>2166</v>
      </c>
      <c r="U3319" s="1"/>
    </row>
    <row r="3320" ht="15.75" customHeight="1">
      <c r="A3320" s="1" t="s">
        <v>226</v>
      </c>
      <c r="B3320" s="1" t="s">
        <v>330</v>
      </c>
      <c r="C3320" s="1" t="s">
        <v>910</v>
      </c>
      <c r="U3320" s="1"/>
    </row>
    <row r="3321" ht="15.75" customHeight="1">
      <c r="A3321" s="1" t="s">
        <v>226</v>
      </c>
      <c r="B3321" s="1" t="s">
        <v>378</v>
      </c>
      <c r="C3321" s="1" t="s">
        <v>2231</v>
      </c>
      <c r="U3321" s="1"/>
    </row>
    <row r="3322" ht="15.75" customHeight="1">
      <c r="A3322" s="1" t="s">
        <v>226</v>
      </c>
      <c r="B3322" s="1" t="s">
        <v>378</v>
      </c>
      <c r="C3322" s="1" t="s">
        <v>2079</v>
      </c>
      <c r="U3322" s="1"/>
    </row>
    <row r="3323" ht="15.75" customHeight="1">
      <c r="A3323" s="1" t="s">
        <v>226</v>
      </c>
      <c r="B3323" s="1" t="s">
        <v>1400</v>
      </c>
      <c r="C3323" s="1" t="s">
        <v>2143</v>
      </c>
      <c r="U3323" s="1"/>
    </row>
    <row r="3324" ht="15.75" customHeight="1">
      <c r="A3324" s="1" t="s">
        <v>226</v>
      </c>
      <c r="B3324" s="1" t="s">
        <v>1425</v>
      </c>
      <c r="C3324" s="1" t="s">
        <v>2144</v>
      </c>
      <c r="U3324" s="1"/>
    </row>
    <row r="3325" ht="15.75" customHeight="1">
      <c r="A3325" s="1" t="s">
        <v>226</v>
      </c>
      <c r="B3325" s="1" t="s">
        <v>1748</v>
      </c>
      <c r="C3325" s="1" t="s">
        <v>2147</v>
      </c>
      <c r="U3325" s="1"/>
    </row>
    <row r="3326" ht="15.75" customHeight="1">
      <c r="A3326" s="1" t="s">
        <v>228</v>
      </c>
      <c r="B3326" s="1" t="s">
        <v>158</v>
      </c>
      <c r="C3326" s="1" t="s">
        <v>941</v>
      </c>
      <c r="U3326" s="1"/>
    </row>
    <row r="3327" ht="15.75" customHeight="1">
      <c r="A3327" s="1" t="s">
        <v>228</v>
      </c>
      <c r="B3327" s="1" t="s">
        <v>330</v>
      </c>
      <c r="C3327" s="1" t="s">
        <v>950</v>
      </c>
      <c r="U3327" s="1"/>
    </row>
    <row r="3328" ht="15.75" customHeight="1">
      <c r="A3328" s="1" t="s">
        <v>228</v>
      </c>
      <c r="B3328" s="1" t="s">
        <v>330</v>
      </c>
      <c r="C3328" s="1" t="s">
        <v>954</v>
      </c>
      <c r="U3328" s="1"/>
    </row>
    <row r="3329" ht="15.75" customHeight="1">
      <c r="A3329" s="1" t="s">
        <v>228</v>
      </c>
      <c r="B3329" s="1" t="s">
        <v>378</v>
      </c>
      <c r="C3329" s="1" t="s">
        <v>974</v>
      </c>
      <c r="U3329" s="1"/>
    </row>
    <row r="3330" ht="15.75" customHeight="1">
      <c r="A3330" s="1" t="s">
        <v>228</v>
      </c>
      <c r="B3330" s="1" t="s">
        <v>378</v>
      </c>
      <c r="C3330" s="1" t="s">
        <v>977</v>
      </c>
      <c r="U3330" s="1"/>
    </row>
    <row r="3331" ht="15.75" customHeight="1">
      <c r="A3331" s="1" t="s">
        <v>228</v>
      </c>
      <c r="B3331" s="1" t="s">
        <v>403</v>
      </c>
      <c r="C3331" s="1" t="s">
        <v>993</v>
      </c>
      <c r="U3331" s="1"/>
    </row>
    <row r="3332" ht="15.75" customHeight="1">
      <c r="A3332" s="1" t="s">
        <v>230</v>
      </c>
      <c r="B3332" s="1" t="s">
        <v>158</v>
      </c>
      <c r="C3332" s="1" t="s">
        <v>939</v>
      </c>
      <c r="U3332" s="1"/>
    </row>
    <row r="3333" ht="15.75" customHeight="1">
      <c r="A3333" s="1" t="s">
        <v>230</v>
      </c>
      <c r="B3333" s="1" t="s">
        <v>158</v>
      </c>
      <c r="C3333" s="1" t="s">
        <v>1317</v>
      </c>
      <c r="U3333" s="1"/>
    </row>
    <row r="3334" ht="15.75" customHeight="1">
      <c r="A3334" s="1" t="s">
        <v>230</v>
      </c>
      <c r="B3334" s="1" t="s">
        <v>330</v>
      </c>
      <c r="C3334" s="1" t="s">
        <v>951</v>
      </c>
      <c r="U3334" s="1"/>
    </row>
    <row r="3335" ht="15.75" customHeight="1">
      <c r="A3335" s="1" t="s">
        <v>230</v>
      </c>
      <c r="B3335" s="1" t="s">
        <v>330</v>
      </c>
      <c r="C3335" s="1" t="s">
        <v>1321</v>
      </c>
      <c r="U3335" s="1"/>
    </row>
    <row r="3336" ht="15.75" customHeight="1">
      <c r="A3336" s="1" t="s">
        <v>230</v>
      </c>
      <c r="B3336" s="1" t="s">
        <v>330</v>
      </c>
      <c r="C3336" s="1" t="s">
        <v>1325</v>
      </c>
      <c r="U3336" s="1"/>
    </row>
    <row r="3337" ht="15.75" customHeight="1">
      <c r="A3337" s="1" t="s">
        <v>230</v>
      </c>
      <c r="B3337" s="1" t="s">
        <v>403</v>
      </c>
      <c r="C3337" s="1" t="s">
        <v>2179</v>
      </c>
      <c r="U3337" s="1"/>
    </row>
    <row r="3338" ht="15.75" customHeight="1">
      <c r="A3338" s="1" t="s">
        <v>232</v>
      </c>
      <c r="B3338" s="1" t="s">
        <v>1410</v>
      </c>
      <c r="C3338" s="1" t="s">
        <v>2232</v>
      </c>
      <c r="U3338" s="1"/>
    </row>
    <row r="3339" ht="15.75" customHeight="1">
      <c r="A3339" s="1" t="s">
        <v>232</v>
      </c>
      <c r="B3339" s="1" t="s">
        <v>1410</v>
      </c>
      <c r="C3339" s="1" t="s">
        <v>2233</v>
      </c>
      <c r="U3339" s="1"/>
    </row>
    <row r="3340" ht="15.75" customHeight="1">
      <c r="A3340" s="1" t="s">
        <v>232</v>
      </c>
      <c r="B3340" s="1" t="s">
        <v>1492</v>
      </c>
      <c r="C3340" s="1" t="s">
        <v>2234</v>
      </c>
      <c r="U3340" s="1"/>
    </row>
    <row r="3341" ht="15.75" customHeight="1">
      <c r="A3341" s="1" t="s">
        <v>232</v>
      </c>
      <c r="B3341" s="1" t="s">
        <v>1492</v>
      </c>
      <c r="C3341" s="1" t="s">
        <v>2235</v>
      </c>
      <c r="U3341" s="1"/>
    </row>
    <row r="3342" ht="15.75" customHeight="1">
      <c r="A3342" s="1" t="s">
        <v>232</v>
      </c>
      <c r="B3342" s="1" t="s">
        <v>1848</v>
      </c>
      <c r="C3342" s="1" t="s">
        <v>2095</v>
      </c>
      <c r="U3342" s="1"/>
    </row>
    <row r="3343" ht="15.75" customHeight="1">
      <c r="A3343" s="1" t="s">
        <v>232</v>
      </c>
      <c r="B3343" s="1" t="s">
        <v>1848</v>
      </c>
      <c r="C3343" s="1" t="s">
        <v>2236</v>
      </c>
      <c r="U3343" s="1"/>
    </row>
    <row r="3344" ht="15.75" customHeight="1">
      <c r="A3344" s="1" t="s">
        <v>234</v>
      </c>
      <c r="B3344" s="1" t="s">
        <v>6</v>
      </c>
      <c r="C3344" s="1" t="s">
        <v>766</v>
      </c>
      <c r="U3344" s="1"/>
    </row>
    <row r="3345" ht="15.75" customHeight="1">
      <c r="A3345" s="1" t="s">
        <v>234</v>
      </c>
      <c r="B3345" s="1" t="s">
        <v>29</v>
      </c>
      <c r="C3345" s="1" t="s">
        <v>1191</v>
      </c>
      <c r="U3345" s="1"/>
    </row>
    <row r="3346" ht="15.75" customHeight="1">
      <c r="A3346" s="1" t="s">
        <v>234</v>
      </c>
      <c r="B3346" s="1" t="s">
        <v>29</v>
      </c>
      <c r="C3346" s="1" t="s">
        <v>1203</v>
      </c>
      <c r="U3346" s="1"/>
    </row>
    <row r="3347" ht="15.75" customHeight="1">
      <c r="A3347" s="1" t="s">
        <v>234</v>
      </c>
      <c r="B3347" s="1" t="s">
        <v>158</v>
      </c>
      <c r="C3347" s="1" t="s">
        <v>949</v>
      </c>
      <c r="U3347" s="1"/>
    </row>
    <row r="3348" ht="15.75" customHeight="1">
      <c r="A3348" s="1" t="s">
        <v>234</v>
      </c>
      <c r="B3348" s="1" t="s">
        <v>158</v>
      </c>
      <c r="C3348" s="1" t="s">
        <v>2034</v>
      </c>
      <c r="U3348" s="1"/>
    </row>
    <row r="3349" ht="15.75" customHeight="1">
      <c r="A3349" s="1" t="s">
        <v>234</v>
      </c>
      <c r="B3349" s="1" t="s">
        <v>403</v>
      </c>
      <c r="C3349" s="1" t="s">
        <v>1855</v>
      </c>
      <c r="U3349" s="1"/>
    </row>
    <row r="3350" ht="15.75" customHeight="1">
      <c r="A3350" s="1" t="s">
        <v>237</v>
      </c>
      <c r="B3350" s="1" t="s">
        <v>158</v>
      </c>
      <c r="C3350" s="1" t="s">
        <v>939</v>
      </c>
      <c r="U3350" s="1"/>
    </row>
    <row r="3351" ht="15.75" customHeight="1">
      <c r="A3351" s="1" t="s">
        <v>237</v>
      </c>
      <c r="B3351" s="1" t="s">
        <v>158</v>
      </c>
      <c r="C3351" s="1" t="s">
        <v>941</v>
      </c>
      <c r="U3351" s="1"/>
    </row>
    <row r="3352" ht="15.75" customHeight="1">
      <c r="A3352" s="1" t="s">
        <v>237</v>
      </c>
      <c r="B3352" s="1" t="s">
        <v>330</v>
      </c>
      <c r="C3352" s="1" t="s">
        <v>954</v>
      </c>
      <c r="U3352" s="1"/>
    </row>
    <row r="3353" ht="15.75" customHeight="1">
      <c r="A3353" s="1" t="s">
        <v>237</v>
      </c>
      <c r="B3353" s="1" t="s">
        <v>403</v>
      </c>
      <c r="C3353" s="1" t="s">
        <v>994</v>
      </c>
      <c r="U3353" s="1"/>
    </row>
    <row r="3354" ht="15.75" customHeight="1">
      <c r="A3354" s="1" t="s">
        <v>237</v>
      </c>
      <c r="B3354" s="1" t="s">
        <v>997</v>
      </c>
      <c r="C3354" s="1" t="s">
        <v>2201</v>
      </c>
      <c r="U3354" s="1"/>
    </row>
    <row r="3355" ht="15.75" customHeight="1">
      <c r="A3355" s="1" t="s">
        <v>240</v>
      </c>
      <c r="B3355" s="1" t="s">
        <v>6</v>
      </c>
      <c r="C3355" s="1" t="s">
        <v>1694</v>
      </c>
      <c r="U3355" s="1"/>
    </row>
    <row r="3356" ht="15.75" customHeight="1">
      <c r="A3356" s="1" t="s">
        <v>240</v>
      </c>
      <c r="B3356" s="1" t="s">
        <v>158</v>
      </c>
      <c r="C3356" s="1" t="s">
        <v>203</v>
      </c>
      <c r="U3356" s="1"/>
    </row>
    <row r="3357" ht="15.75" customHeight="1">
      <c r="A3357" s="1" t="s">
        <v>240</v>
      </c>
      <c r="B3357" s="1" t="s">
        <v>158</v>
      </c>
      <c r="C3357" s="1" t="s">
        <v>208</v>
      </c>
      <c r="U3357" s="1"/>
    </row>
    <row r="3358" ht="15.75" customHeight="1">
      <c r="A3358" s="1" t="s">
        <v>240</v>
      </c>
      <c r="B3358" s="1" t="s">
        <v>330</v>
      </c>
      <c r="C3358" s="1" t="s">
        <v>346</v>
      </c>
      <c r="U3358" s="1"/>
    </row>
    <row r="3359" ht="15.75" customHeight="1">
      <c r="A3359" s="1" t="s">
        <v>240</v>
      </c>
      <c r="B3359" s="1" t="s">
        <v>997</v>
      </c>
      <c r="C3359" s="1" t="s">
        <v>1577</v>
      </c>
      <c r="U3359" s="1"/>
    </row>
    <row r="3360" ht="15.75" customHeight="1">
      <c r="A3360" s="1" t="s">
        <v>241</v>
      </c>
      <c r="B3360" s="1" t="s">
        <v>29</v>
      </c>
      <c r="C3360" s="1" t="s">
        <v>35</v>
      </c>
      <c r="U3360" s="1"/>
    </row>
    <row r="3361" ht="15.75" customHeight="1">
      <c r="A3361" s="1" t="s">
        <v>241</v>
      </c>
      <c r="B3361" s="1" t="s">
        <v>403</v>
      </c>
      <c r="C3361" s="1" t="s">
        <v>2237</v>
      </c>
      <c r="U3361" s="1"/>
    </row>
    <row r="3362" ht="15.75" customHeight="1">
      <c r="A3362" s="1" t="s">
        <v>241</v>
      </c>
      <c r="B3362" s="1" t="s">
        <v>997</v>
      </c>
      <c r="C3362" s="1" t="s">
        <v>2183</v>
      </c>
      <c r="U3362" s="1"/>
    </row>
    <row r="3363" ht="15.75" customHeight="1">
      <c r="A3363" s="1" t="s">
        <v>241</v>
      </c>
      <c r="B3363" s="1" t="s">
        <v>1071</v>
      </c>
      <c r="C3363" s="1" t="s">
        <v>2238</v>
      </c>
      <c r="U3363" s="1"/>
    </row>
    <row r="3364" ht="15.75" customHeight="1">
      <c r="A3364" s="1" t="s">
        <v>241</v>
      </c>
      <c r="B3364" s="1" t="s">
        <v>1848</v>
      </c>
      <c r="C3364" s="1" t="s">
        <v>2186</v>
      </c>
      <c r="U3364" s="1"/>
    </row>
    <row r="3365" ht="15.75" customHeight="1">
      <c r="A3365" s="1" t="s">
        <v>244</v>
      </c>
      <c r="B3365" s="1" t="s">
        <v>29</v>
      </c>
      <c r="C3365" s="1" t="s">
        <v>41</v>
      </c>
      <c r="U3365" s="1"/>
    </row>
    <row r="3366" ht="15.75" customHeight="1">
      <c r="A3366" s="1" t="s">
        <v>244</v>
      </c>
      <c r="B3366" s="1" t="s">
        <v>29</v>
      </c>
      <c r="C3366" s="1" t="s">
        <v>1010</v>
      </c>
      <c r="U3366" s="1"/>
    </row>
    <row r="3367" ht="15.75" customHeight="1">
      <c r="A3367" s="1" t="s">
        <v>244</v>
      </c>
      <c r="B3367" s="1" t="s">
        <v>29</v>
      </c>
      <c r="C3367" s="1" t="s">
        <v>1271</v>
      </c>
      <c r="U3367" s="1"/>
    </row>
    <row r="3368" ht="15.75" customHeight="1">
      <c r="A3368" s="1" t="s">
        <v>244</v>
      </c>
      <c r="B3368" s="1" t="s">
        <v>29</v>
      </c>
      <c r="C3368" s="1" t="s">
        <v>70</v>
      </c>
      <c r="U3368" s="1"/>
    </row>
    <row r="3369" ht="15.75" customHeight="1">
      <c r="A3369" s="1" t="s">
        <v>244</v>
      </c>
      <c r="B3369" s="1" t="s">
        <v>29</v>
      </c>
      <c r="C3369" s="1" t="s">
        <v>925</v>
      </c>
      <c r="U3369" s="1"/>
    </row>
    <row r="3370" ht="15.75" customHeight="1">
      <c r="A3370" s="1" t="s">
        <v>245</v>
      </c>
      <c r="B3370" s="1" t="s">
        <v>29</v>
      </c>
      <c r="C3370" s="1" t="s">
        <v>438</v>
      </c>
      <c r="U3370" s="1"/>
    </row>
    <row r="3371" ht="15.75" customHeight="1">
      <c r="A3371" s="1" t="s">
        <v>245</v>
      </c>
      <c r="B3371" s="1" t="s">
        <v>77</v>
      </c>
      <c r="C3371" s="1" t="s">
        <v>485</v>
      </c>
      <c r="U3371" s="1"/>
    </row>
    <row r="3372" ht="15.75" customHeight="1">
      <c r="A3372" s="1" t="s">
        <v>245</v>
      </c>
      <c r="B3372" s="1" t="s">
        <v>378</v>
      </c>
      <c r="C3372" s="1" t="s">
        <v>603</v>
      </c>
      <c r="U3372" s="1"/>
    </row>
    <row r="3373" ht="15.75" customHeight="1">
      <c r="A3373" s="1" t="s">
        <v>245</v>
      </c>
      <c r="B3373" s="1" t="s">
        <v>1400</v>
      </c>
      <c r="C3373" s="1" t="s">
        <v>1983</v>
      </c>
      <c r="U3373" s="1"/>
    </row>
    <row r="3374" ht="15.75" customHeight="1">
      <c r="A3374" s="1" t="s">
        <v>245</v>
      </c>
      <c r="B3374" s="1" t="s">
        <v>1748</v>
      </c>
      <c r="C3374" s="1" t="s">
        <v>1762</v>
      </c>
      <c r="U3374" s="1"/>
    </row>
    <row r="3375" ht="15.75" customHeight="1">
      <c r="A3375" s="1" t="s">
        <v>246</v>
      </c>
      <c r="B3375" s="1" t="s">
        <v>29</v>
      </c>
      <c r="C3375" s="1" t="s">
        <v>1272</v>
      </c>
      <c r="U3375" s="1"/>
    </row>
    <row r="3376" ht="15.75" customHeight="1">
      <c r="A3376" s="1" t="s">
        <v>246</v>
      </c>
      <c r="B3376" s="1" t="s">
        <v>29</v>
      </c>
      <c r="C3376" s="1" t="s">
        <v>1273</v>
      </c>
      <c r="U3376" s="1"/>
    </row>
    <row r="3377" ht="15.75" customHeight="1">
      <c r="A3377" s="1" t="s">
        <v>246</v>
      </c>
      <c r="B3377" s="1" t="s">
        <v>77</v>
      </c>
      <c r="C3377" s="1" t="s">
        <v>1291</v>
      </c>
      <c r="U3377" s="1"/>
    </row>
    <row r="3378" ht="15.75" customHeight="1">
      <c r="A3378" s="1" t="s">
        <v>246</v>
      </c>
      <c r="B3378" s="1" t="s">
        <v>77</v>
      </c>
      <c r="C3378" s="1" t="s">
        <v>1292</v>
      </c>
      <c r="U3378" s="1"/>
    </row>
    <row r="3379" ht="15.75" customHeight="1">
      <c r="A3379" s="1" t="s">
        <v>246</v>
      </c>
      <c r="B3379" s="1" t="s">
        <v>77</v>
      </c>
      <c r="C3379" s="1" t="s">
        <v>1301</v>
      </c>
      <c r="U3379" s="1"/>
    </row>
    <row r="3380" ht="15.75" customHeight="1">
      <c r="A3380" s="1" t="s">
        <v>248</v>
      </c>
      <c r="B3380" s="1" t="s">
        <v>158</v>
      </c>
      <c r="C3380" s="1" t="s">
        <v>939</v>
      </c>
      <c r="U3380" s="1"/>
    </row>
    <row r="3381" ht="15.75" customHeight="1">
      <c r="A3381" s="1" t="s">
        <v>248</v>
      </c>
      <c r="B3381" s="1" t="s">
        <v>330</v>
      </c>
      <c r="C3381" s="1" t="s">
        <v>957</v>
      </c>
      <c r="U3381" s="1"/>
    </row>
    <row r="3382" ht="15.75" customHeight="1">
      <c r="A3382" s="1" t="s">
        <v>248</v>
      </c>
      <c r="B3382" s="1" t="s">
        <v>378</v>
      </c>
      <c r="C3382" s="1" t="s">
        <v>974</v>
      </c>
      <c r="U3382" s="1"/>
    </row>
    <row r="3383" ht="15.75" customHeight="1">
      <c r="A3383" s="1" t="s">
        <v>248</v>
      </c>
      <c r="B3383" s="1" t="s">
        <v>403</v>
      </c>
      <c r="C3383" s="1" t="s">
        <v>994</v>
      </c>
      <c r="U3383" s="1"/>
    </row>
    <row r="3384" ht="15.75" customHeight="1">
      <c r="A3384" s="1" t="s">
        <v>248</v>
      </c>
      <c r="B3384" s="1" t="s">
        <v>997</v>
      </c>
      <c r="C3384" s="1" t="s">
        <v>2201</v>
      </c>
      <c r="U3384" s="1"/>
    </row>
    <row r="3385" ht="15.75" customHeight="1">
      <c r="A3385" s="1" t="s">
        <v>250</v>
      </c>
      <c r="B3385" s="1" t="s">
        <v>158</v>
      </c>
      <c r="C3385" s="1" t="s">
        <v>939</v>
      </c>
      <c r="U3385" s="1"/>
    </row>
    <row r="3386" ht="15.75" customHeight="1">
      <c r="A3386" s="1" t="s">
        <v>250</v>
      </c>
      <c r="B3386" s="1" t="s">
        <v>158</v>
      </c>
      <c r="C3386" s="1" t="s">
        <v>941</v>
      </c>
      <c r="U3386" s="1"/>
    </row>
    <row r="3387" ht="15.75" customHeight="1">
      <c r="A3387" s="1" t="s">
        <v>250</v>
      </c>
      <c r="B3387" s="1" t="s">
        <v>158</v>
      </c>
      <c r="C3387" s="1" t="s">
        <v>856</v>
      </c>
      <c r="U3387" s="1"/>
    </row>
    <row r="3388" ht="15.75" customHeight="1">
      <c r="A3388" s="1" t="s">
        <v>250</v>
      </c>
      <c r="B3388" s="1" t="s">
        <v>330</v>
      </c>
      <c r="C3388" s="1" t="s">
        <v>950</v>
      </c>
      <c r="U3388" s="1"/>
    </row>
    <row r="3389" ht="15.75" customHeight="1">
      <c r="A3389" s="1" t="s">
        <v>250</v>
      </c>
      <c r="B3389" s="1" t="s">
        <v>378</v>
      </c>
      <c r="C3389" s="1" t="s">
        <v>974</v>
      </c>
      <c r="U3389" s="1"/>
    </row>
    <row r="3390" ht="15.75" customHeight="1">
      <c r="A3390" s="1" t="s">
        <v>251</v>
      </c>
      <c r="B3390" s="1" t="s">
        <v>403</v>
      </c>
      <c r="C3390" s="1" t="s">
        <v>981</v>
      </c>
      <c r="U3390" s="1"/>
    </row>
    <row r="3391" ht="15.75" customHeight="1">
      <c r="A3391" s="1" t="s">
        <v>251</v>
      </c>
      <c r="B3391" s="1" t="s">
        <v>403</v>
      </c>
      <c r="C3391" s="1" t="s">
        <v>994</v>
      </c>
      <c r="U3391" s="1"/>
    </row>
    <row r="3392" ht="15.75" customHeight="1">
      <c r="A3392" s="1" t="s">
        <v>251</v>
      </c>
      <c r="B3392" s="1" t="s">
        <v>997</v>
      </c>
      <c r="C3392" s="1" t="s">
        <v>2201</v>
      </c>
      <c r="U3392" s="1"/>
    </row>
    <row r="3393" ht="15.75" customHeight="1">
      <c r="A3393" s="1" t="s">
        <v>251</v>
      </c>
      <c r="B3393" s="1" t="s">
        <v>1071</v>
      </c>
      <c r="C3393" s="1" t="s">
        <v>1905</v>
      </c>
      <c r="U3393" s="1"/>
    </row>
    <row r="3394" ht="15.75" customHeight="1">
      <c r="A3394" s="1" t="s">
        <v>251</v>
      </c>
      <c r="B3394" s="1" t="s">
        <v>1848</v>
      </c>
      <c r="C3394" s="1" t="s">
        <v>2062</v>
      </c>
      <c r="U3394" s="1"/>
    </row>
    <row r="3395" ht="15.75" customHeight="1">
      <c r="A3395" s="1" t="s">
        <v>2239</v>
      </c>
      <c r="B3395" s="1" t="s">
        <v>29</v>
      </c>
      <c r="C3395" s="1" t="s">
        <v>432</v>
      </c>
      <c r="U3395" s="1"/>
    </row>
    <row r="3396" ht="15.75" customHeight="1">
      <c r="A3396" s="1" t="s">
        <v>2239</v>
      </c>
      <c r="B3396" s="1" t="s">
        <v>29</v>
      </c>
      <c r="C3396" s="1" t="s">
        <v>452</v>
      </c>
      <c r="U3396" s="1"/>
    </row>
    <row r="3397" ht="15.75" customHeight="1">
      <c r="A3397" s="1" t="s">
        <v>2239</v>
      </c>
      <c r="B3397" s="1" t="s">
        <v>77</v>
      </c>
      <c r="C3397" s="1" t="s">
        <v>476</v>
      </c>
      <c r="U3397" s="1"/>
    </row>
    <row r="3398" ht="15.75" customHeight="1">
      <c r="A3398" s="1" t="s">
        <v>2239</v>
      </c>
      <c r="B3398" s="1" t="s">
        <v>378</v>
      </c>
      <c r="C3398" s="1" t="s">
        <v>603</v>
      </c>
      <c r="U3398" s="1"/>
    </row>
    <row r="3399" ht="15.75" customHeight="1">
      <c r="A3399" s="1" t="s">
        <v>2239</v>
      </c>
      <c r="B3399" s="1" t="s">
        <v>378</v>
      </c>
      <c r="C3399" s="1" t="s">
        <v>1894</v>
      </c>
      <c r="U3399" s="1"/>
    </row>
    <row r="3400" ht="15.75" customHeight="1">
      <c r="A3400" s="1" t="s">
        <v>254</v>
      </c>
      <c r="B3400" s="1" t="s">
        <v>6</v>
      </c>
      <c r="C3400" s="1" t="s">
        <v>423</v>
      </c>
      <c r="U3400" s="1"/>
    </row>
    <row r="3401" ht="15.75" customHeight="1">
      <c r="A3401" s="1" t="s">
        <v>254</v>
      </c>
      <c r="B3401" s="1" t="s">
        <v>29</v>
      </c>
      <c r="C3401" s="1" t="s">
        <v>1588</v>
      </c>
      <c r="U3401" s="1"/>
    </row>
    <row r="3402" ht="15.75" customHeight="1">
      <c r="A3402" s="1" t="s">
        <v>254</v>
      </c>
      <c r="B3402" s="1" t="s">
        <v>77</v>
      </c>
      <c r="C3402" s="1" t="s">
        <v>493</v>
      </c>
      <c r="U3402" s="1"/>
    </row>
    <row r="3403" ht="15.75" customHeight="1">
      <c r="A3403" s="1" t="s">
        <v>254</v>
      </c>
      <c r="B3403" s="1" t="s">
        <v>158</v>
      </c>
      <c r="C3403" s="1" t="s">
        <v>536</v>
      </c>
      <c r="U3403" s="1"/>
    </row>
    <row r="3404" ht="15.75" customHeight="1">
      <c r="A3404" s="1" t="s">
        <v>254</v>
      </c>
      <c r="B3404" s="1" t="s">
        <v>378</v>
      </c>
      <c r="C3404" s="1" t="s">
        <v>601</v>
      </c>
      <c r="U3404" s="1"/>
    </row>
    <row r="3405" ht="15.75" customHeight="1">
      <c r="A3405" s="1" t="s">
        <v>256</v>
      </c>
      <c r="B3405" s="1" t="s">
        <v>6</v>
      </c>
      <c r="C3405" s="1" t="s">
        <v>1251</v>
      </c>
      <c r="U3405" s="1"/>
    </row>
    <row r="3406" ht="15.75" customHeight="1">
      <c r="A3406" s="1" t="s">
        <v>256</v>
      </c>
      <c r="B3406" s="1" t="s">
        <v>77</v>
      </c>
      <c r="C3406" s="1" t="s">
        <v>1281</v>
      </c>
      <c r="U3406" s="1"/>
    </row>
    <row r="3407" ht="15.75" customHeight="1">
      <c r="A3407" s="1" t="s">
        <v>256</v>
      </c>
      <c r="B3407" s="1" t="s">
        <v>77</v>
      </c>
      <c r="C3407" s="1" t="s">
        <v>1288</v>
      </c>
      <c r="U3407" s="1"/>
    </row>
    <row r="3408" ht="15.75" customHeight="1">
      <c r="A3408" s="1" t="s">
        <v>256</v>
      </c>
      <c r="B3408" s="1" t="s">
        <v>77</v>
      </c>
      <c r="C3408" s="1" t="s">
        <v>2240</v>
      </c>
      <c r="U3408" s="1"/>
    </row>
    <row r="3409" ht="15.75" customHeight="1">
      <c r="A3409" s="1" t="s">
        <v>256</v>
      </c>
      <c r="B3409" s="1" t="s">
        <v>158</v>
      </c>
      <c r="C3409" s="1" t="s">
        <v>1316</v>
      </c>
      <c r="U3409" s="1"/>
    </row>
    <row r="3410" ht="15.75" customHeight="1">
      <c r="A3410" s="1" t="s">
        <v>258</v>
      </c>
      <c r="B3410" s="1" t="s">
        <v>77</v>
      </c>
      <c r="C3410" s="1" t="s">
        <v>1598</v>
      </c>
      <c r="U3410" s="1"/>
    </row>
    <row r="3411" ht="15.75" customHeight="1">
      <c r="A3411" s="1" t="s">
        <v>258</v>
      </c>
      <c r="B3411" s="1" t="s">
        <v>77</v>
      </c>
      <c r="C3411" s="1" t="s">
        <v>1222</v>
      </c>
      <c r="U3411" s="1"/>
    </row>
    <row r="3412" ht="15.75" customHeight="1">
      <c r="A3412" s="1" t="s">
        <v>258</v>
      </c>
      <c r="B3412" s="1" t="s">
        <v>77</v>
      </c>
      <c r="C3412" s="1" t="s">
        <v>509</v>
      </c>
      <c r="U3412" s="1"/>
    </row>
    <row r="3413" ht="15.75" customHeight="1">
      <c r="A3413" s="1" t="s">
        <v>258</v>
      </c>
      <c r="B3413" s="1" t="s">
        <v>158</v>
      </c>
      <c r="C3413" s="1" t="s">
        <v>2114</v>
      </c>
      <c r="U3413" s="1"/>
    </row>
    <row r="3414" ht="15.75" customHeight="1">
      <c r="A3414" s="1" t="s">
        <v>258</v>
      </c>
      <c r="B3414" s="1" t="s">
        <v>403</v>
      </c>
      <c r="C3414" s="1" t="s">
        <v>1855</v>
      </c>
      <c r="U3414" s="1"/>
    </row>
    <row r="3415" ht="15.75" customHeight="1">
      <c r="A3415" s="1" t="s">
        <v>259</v>
      </c>
      <c r="B3415" s="1" t="s">
        <v>77</v>
      </c>
      <c r="C3415" s="1" t="s">
        <v>1288</v>
      </c>
      <c r="U3415" s="1"/>
    </row>
    <row r="3416" ht="15.75" customHeight="1">
      <c r="A3416" s="1" t="s">
        <v>259</v>
      </c>
      <c r="B3416" s="1" t="s">
        <v>77</v>
      </c>
      <c r="C3416" s="1" t="s">
        <v>1604</v>
      </c>
      <c r="U3416" s="1"/>
    </row>
    <row r="3417" ht="15.75" customHeight="1">
      <c r="A3417" s="1" t="s">
        <v>259</v>
      </c>
      <c r="B3417" s="1" t="s">
        <v>158</v>
      </c>
      <c r="C3417" s="1" t="s">
        <v>939</v>
      </c>
      <c r="U3417" s="1"/>
    </row>
    <row r="3418" ht="15.75" customHeight="1">
      <c r="A3418" s="1" t="s">
        <v>259</v>
      </c>
      <c r="B3418" s="1" t="s">
        <v>403</v>
      </c>
      <c r="C3418" s="1" t="s">
        <v>994</v>
      </c>
      <c r="U3418" s="1"/>
    </row>
    <row r="3419" ht="15.75" customHeight="1">
      <c r="A3419" s="1" t="s">
        <v>259</v>
      </c>
      <c r="B3419" s="1" t="s">
        <v>997</v>
      </c>
      <c r="C3419" s="1" t="s">
        <v>2201</v>
      </c>
      <c r="U3419" s="1"/>
    </row>
    <row r="3420" ht="15.75" customHeight="1">
      <c r="A3420" s="1" t="s">
        <v>261</v>
      </c>
      <c r="B3420" s="1" t="s">
        <v>158</v>
      </c>
      <c r="C3420" s="1" t="s">
        <v>1531</v>
      </c>
      <c r="U3420" s="1"/>
    </row>
    <row r="3421" ht="15.75" customHeight="1">
      <c r="A3421" s="1" t="s">
        <v>261</v>
      </c>
      <c r="B3421" s="1" t="s">
        <v>378</v>
      </c>
      <c r="C3421" s="1" t="s">
        <v>1627</v>
      </c>
      <c r="U3421" s="1"/>
    </row>
    <row r="3422" ht="15.75" customHeight="1">
      <c r="A3422" s="1" t="s">
        <v>261</v>
      </c>
      <c r="B3422" s="1" t="s">
        <v>378</v>
      </c>
      <c r="C3422" s="1" t="s">
        <v>1630</v>
      </c>
      <c r="U3422" s="1"/>
    </row>
    <row r="3423" ht="15.75" customHeight="1">
      <c r="A3423" s="1" t="s">
        <v>261</v>
      </c>
      <c r="B3423" s="1" t="s">
        <v>403</v>
      </c>
      <c r="C3423" s="1" t="s">
        <v>1637</v>
      </c>
      <c r="U3423" s="1"/>
    </row>
    <row r="3424" ht="15.75" customHeight="1">
      <c r="A3424" s="1" t="s">
        <v>261</v>
      </c>
      <c r="B3424" s="1" t="s">
        <v>1748</v>
      </c>
      <c r="C3424" s="1" t="s">
        <v>1761</v>
      </c>
      <c r="U3424" s="1"/>
    </row>
    <row r="3425" ht="15.75" customHeight="1">
      <c r="A3425" s="1" t="s">
        <v>263</v>
      </c>
      <c r="B3425" s="1" t="s">
        <v>29</v>
      </c>
      <c r="C3425" s="1" t="s">
        <v>769</v>
      </c>
      <c r="U3425" s="1"/>
    </row>
    <row r="3426" ht="15.75" customHeight="1">
      <c r="A3426" s="1" t="s">
        <v>263</v>
      </c>
      <c r="B3426" s="1" t="s">
        <v>29</v>
      </c>
      <c r="C3426" s="1" t="s">
        <v>1192</v>
      </c>
      <c r="U3426" s="1"/>
    </row>
    <row r="3427" ht="15.75" customHeight="1">
      <c r="A3427" s="1" t="s">
        <v>263</v>
      </c>
      <c r="B3427" s="1" t="s">
        <v>29</v>
      </c>
      <c r="C3427" s="1" t="s">
        <v>782</v>
      </c>
      <c r="U3427" s="1"/>
    </row>
    <row r="3428" ht="15.75" customHeight="1">
      <c r="A3428" s="1" t="s">
        <v>263</v>
      </c>
      <c r="B3428" s="1" t="s">
        <v>29</v>
      </c>
      <c r="C3428" s="1" t="s">
        <v>456</v>
      </c>
      <c r="U3428" s="1"/>
    </row>
    <row r="3429" ht="15.75" customHeight="1">
      <c r="A3429" s="1" t="s">
        <v>263</v>
      </c>
      <c r="B3429" s="1" t="s">
        <v>29</v>
      </c>
      <c r="C3429" s="1" t="s">
        <v>1207</v>
      </c>
      <c r="U3429" s="1"/>
    </row>
    <row r="3430" ht="15.75" customHeight="1">
      <c r="A3430" s="1" t="s">
        <v>265</v>
      </c>
      <c r="B3430" s="1" t="s">
        <v>77</v>
      </c>
      <c r="C3430" s="1" t="s">
        <v>78</v>
      </c>
      <c r="U3430" s="1"/>
    </row>
    <row r="3431" ht="15.75" customHeight="1">
      <c r="A3431" s="1" t="s">
        <v>265</v>
      </c>
      <c r="B3431" s="1" t="s">
        <v>77</v>
      </c>
      <c r="C3431" s="1" t="s">
        <v>126</v>
      </c>
      <c r="U3431" s="1"/>
    </row>
    <row r="3432" ht="15.75" customHeight="1">
      <c r="A3432" s="1" t="s">
        <v>265</v>
      </c>
      <c r="B3432" s="1" t="s">
        <v>378</v>
      </c>
      <c r="C3432" s="1" t="s">
        <v>1040</v>
      </c>
      <c r="U3432" s="1"/>
    </row>
    <row r="3433" ht="15.75" customHeight="1">
      <c r="A3433" s="1" t="s">
        <v>265</v>
      </c>
      <c r="B3433" s="1" t="s">
        <v>1093</v>
      </c>
      <c r="C3433" s="1" t="s">
        <v>1099</v>
      </c>
      <c r="U3433" s="1"/>
    </row>
    <row r="3434" ht="15.75" customHeight="1">
      <c r="A3434" s="1" t="s">
        <v>265</v>
      </c>
      <c r="B3434" s="1" t="s">
        <v>1492</v>
      </c>
      <c r="C3434" s="1" t="s">
        <v>2241</v>
      </c>
      <c r="U3434" s="1"/>
    </row>
    <row r="3435" ht="15.75" customHeight="1">
      <c r="A3435" s="1" t="s">
        <v>266</v>
      </c>
      <c r="B3435" s="1" t="s">
        <v>29</v>
      </c>
      <c r="C3435" s="1" t="s">
        <v>1265</v>
      </c>
      <c r="U3435" s="1"/>
    </row>
    <row r="3436" ht="15.75" customHeight="1">
      <c r="A3436" s="1" t="s">
        <v>266</v>
      </c>
      <c r="B3436" s="1" t="s">
        <v>29</v>
      </c>
      <c r="C3436" s="1" t="s">
        <v>1266</v>
      </c>
      <c r="U3436" s="1"/>
    </row>
    <row r="3437" ht="15.75" customHeight="1">
      <c r="A3437" s="1" t="s">
        <v>266</v>
      </c>
      <c r="B3437" s="1" t="s">
        <v>29</v>
      </c>
      <c r="C3437" s="1" t="s">
        <v>1273</v>
      </c>
      <c r="U3437" s="1"/>
    </row>
    <row r="3438" ht="15.75" customHeight="1">
      <c r="A3438" s="1" t="s">
        <v>266</v>
      </c>
      <c r="B3438" s="1" t="s">
        <v>77</v>
      </c>
      <c r="C3438" s="1" t="s">
        <v>1286</v>
      </c>
      <c r="U3438" s="1"/>
    </row>
    <row r="3439" ht="15.75" customHeight="1">
      <c r="A3439" s="1" t="s">
        <v>266</v>
      </c>
      <c r="B3439" s="1" t="s">
        <v>77</v>
      </c>
      <c r="C3439" s="1" t="s">
        <v>1292</v>
      </c>
      <c r="U3439" s="1"/>
    </row>
    <row r="3440" ht="15.75" customHeight="1">
      <c r="A3440" s="1" t="s">
        <v>268</v>
      </c>
      <c r="B3440" s="1" t="s">
        <v>29</v>
      </c>
      <c r="C3440" s="1" t="s">
        <v>1259</v>
      </c>
      <c r="U3440" s="1"/>
    </row>
    <row r="3441" ht="15.75" customHeight="1">
      <c r="A3441" s="1" t="s">
        <v>268</v>
      </c>
      <c r="B3441" s="1" t="s">
        <v>29</v>
      </c>
      <c r="C3441" s="1" t="s">
        <v>1132</v>
      </c>
      <c r="U3441" s="1"/>
    </row>
    <row r="3442" ht="15.75" customHeight="1">
      <c r="A3442" s="1" t="s">
        <v>268</v>
      </c>
      <c r="B3442" s="1" t="s">
        <v>77</v>
      </c>
      <c r="C3442" s="1" t="s">
        <v>1281</v>
      </c>
      <c r="U3442" s="1"/>
    </row>
    <row r="3443" ht="15.75" customHeight="1">
      <c r="A3443" s="1" t="s">
        <v>268</v>
      </c>
      <c r="B3443" s="1" t="s">
        <v>158</v>
      </c>
      <c r="C3443" s="1" t="s">
        <v>227</v>
      </c>
      <c r="U3443" s="1"/>
    </row>
    <row r="3444" ht="15.75" customHeight="1">
      <c r="A3444" s="1" t="s">
        <v>268</v>
      </c>
      <c r="B3444" s="1" t="s">
        <v>378</v>
      </c>
      <c r="C3444" s="1" t="s">
        <v>1894</v>
      </c>
      <c r="U3444" s="1"/>
    </row>
    <row r="3445" ht="15.75" customHeight="1">
      <c r="A3445" s="1" t="s">
        <v>269</v>
      </c>
      <c r="B3445" s="1" t="s">
        <v>29</v>
      </c>
      <c r="C3445" s="1" t="s">
        <v>1193</v>
      </c>
      <c r="U3445" s="1"/>
    </row>
    <row r="3446" ht="15.75" customHeight="1">
      <c r="A3446" s="1" t="s">
        <v>269</v>
      </c>
      <c r="B3446" s="1" t="s">
        <v>29</v>
      </c>
      <c r="C3446" s="1" t="s">
        <v>780</v>
      </c>
      <c r="U3446" s="1"/>
    </row>
    <row r="3447" ht="15.75" customHeight="1">
      <c r="A3447" s="1" t="s">
        <v>269</v>
      </c>
      <c r="B3447" s="1" t="s">
        <v>330</v>
      </c>
      <c r="C3447" s="1" t="s">
        <v>366</v>
      </c>
      <c r="U3447" s="1"/>
    </row>
    <row r="3448" ht="15.75" customHeight="1">
      <c r="A3448" s="1" t="s">
        <v>269</v>
      </c>
      <c r="B3448" s="1" t="s">
        <v>378</v>
      </c>
      <c r="C3448" s="1" t="s">
        <v>1719</v>
      </c>
      <c r="U3448" s="1"/>
    </row>
    <row r="3449" ht="15.75" customHeight="1">
      <c r="A3449" s="1" t="s">
        <v>269</v>
      </c>
      <c r="B3449" s="1" t="s">
        <v>403</v>
      </c>
      <c r="C3449" s="1" t="s">
        <v>2200</v>
      </c>
      <c r="U3449" s="1"/>
    </row>
    <row r="3450" ht="15.75" customHeight="1">
      <c r="A3450" s="1" t="s">
        <v>270</v>
      </c>
      <c r="B3450" s="1" t="s">
        <v>29</v>
      </c>
      <c r="C3450" s="1" t="s">
        <v>1259</v>
      </c>
      <c r="U3450" s="1"/>
    </row>
    <row r="3451" ht="15.75" customHeight="1">
      <c r="A3451" s="1" t="s">
        <v>270</v>
      </c>
      <c r="B3451" s="1" t="s">
        <v>29</v>
      </c>
      <c r="C3451" s="1" t="s">
        <v>1134</v>
      </c>
      <c r="U3451" s="1"/>
    </row>
    <row r="3452" ht="15.75" customHeight="1">
      <c r="A3452" s="1" t="s">
        <v>270</v>
      </c>
      <c r="B3452" s="1" t="s">
        <v>77</v>
      </c>
      <c r="C3452" s="1" t="s">
        <v>1281</v>
      </c>
      <c r="U3452" s="1"/>
    </row>
    <row r="3453" ht="15.75" customHeight="1">
      <c r="A3453" s="1" t="s">
        <v>270</v>
      </c>
      <c r="B3453" s="1" t="s">
        <v>158</v>
      </c>
      <c r="C3453" s="1" t="s">
        <v>2242</v>
      </c>
      <c r="U3453" s="1"/>
    </row>
    <row r="3454" ht="15.75" customHeight="1">
      <c r="A3454" s="1" t="s">
        <v>270</v>
      </c>
      <c r="B3454" s="1" t="s">
        <v>158</v>
      </c>
      <c r="C3454" s="1" t="s">
        <v>1181</v>
      </c>
      <c r="U3454" s="1"/>
    </row>
    <row r="3455" ht="15.75" customHeight="1">
      <c r="A3455" s="1" t="s">
        <v>272</v>
      </c>
      <c r="B3455" s="1" t="s">
        <v>330</v>
      </c>
      <c r="C3455" s="1" t="s">
        <v>1618</v>
      </c>
      <c r="U3455" s="1"/>
    </row>
    <row r="3456" ht="15.75" customHeight="1">
      <c r="A3456" s="1" t="s">
        <v>272</v>
      </c>
      <c r="B3456" s="1" t="s">
        <v>403</v>
      </c>
      <c r="C3456" s="1" t="s">
        <v>1638</v>
      </c>
      <c r="U3456" s="1"/>
    </row>
    <row r="3457" ht="15.75" customHeight="1">
      <c r="A3457" s="1" t="s">
        <v>272</v>
      </c>
      <c r="B3457" s="1" t="s">
        <v>1410</v>
      </c>
      <c r="C3457" s="1" t="s">
        <v>1962</v>
      </c>
      <c r="U3457" s="1"/>
    </row>
    <row r="3458" ht="15.75" customHeight="1">
      <c r="A3458" s="1" t="s">
        <v>272</v>
      </c>
      <c r="B3458" s="1" t="s">
        <v>1425</v>
      </c>
      <c r="C3458" s="1" t="s">
        <v>1962</v>
      </c>
      <c r="U3458" s="1"/>
    </row>
    <row r="3459" ht="15.75" customHeight="1">
      <c r="A3459" s="1" t="s">
        <v>272</v>
      </c>
      <c r="B3459" s="1" t="s">
        <v>1492</v>
      </c>
      <c r="C3459" s="1" t="s">
        <v>1944</v>
      </c>
      <c r="U3459" s="1"/>
    </row>
    <row r="3460" ht="15.75" customHeight="1">
      <c r="A3460" s="1" t="s">
        <v>274</v>
      </c>
      <c r="B3460" s="1" t="s">
        <v>6</v>
      </c>
      <c r="C3460" s="1" t="s">
        <v>1497</v>
      </c>
      <c r="U3460" s="1"/>
    </row>
    <row r="3461" ht="15.75" customHeight="1">
      <c r="A3461" s="1" t="s">
        <v>274</v>
      </c>
      <c r="B3461" s="1" t="s">
        <v>6</v>
      </c>
      <c r="C3461" s="1" t="s">
        <v>1116</v>
      </c>
      <c r="U3461" s="1"/>
    </row>
    <row r="3462" ht="15.75" customHeight="1">
      <c r="A3462" s="1" t="s">
        <v>274</v>
      </c>
      <c r="B3462" s="1" t="s">
        <v>158</v>
      </c>
      <c r="C3462" s="1" t="s">
        <v>203</v>
      </c>
      <c r="U3462" s="1"/>
    </row>
    <row r="3463" ht="15.75" customHeight="1">
      <c r="A3463" s="1" t="s">
        <v>274</v>
      </c>
      <c r="B3463" s="1" t="s">
        <v>330</v>
      </c>
      <c r="C3463" s="1" t="s">
        <v>1542</v>
      </c>
      <c r="U3463" s="1"/>
    </row>
    <row r="3464" ht="15.75" customHeight="1">
      <c r="A3464" s="1" t="s">
        <v>274</v>
      </c>
      <c r="B3464" s="1" t="s">
        <v>403</v>
      </c>
      <c r="C3464" s="1" t="s">
        <v>2168</v>
      </c>
      <c r="U3464" s="1"/>
    </row>
    <row r="3465" ht="15.75" customHeight="1">
      <c r="A3465" s="1" t="s">
        <v>276</v>
      </c>
      <c r="B3465" s="1" t="s">
        <v>378</v>
      </c>
      <c r="C3465" s="1" t="s">
        <v>2057</v>
      </c>
      <c r="U3465" s="1"/>
    </row>
    <row r="3466" ht="15.75" customHeight="1">
      <c r="A3466" s="1" t="s">
        <v>276</v>
      </c>
      <c r="B3466" s="1" t="s">
        <v>403</v>
      </c>
      <c r="C3466" s="1" t="s">
        <v>754</v>
      </c>
      <c r="U3466" s="1"/>
    </row>
    <row r="3467" ht="15.75" customHeight="1">
      <c r="A3467" s="1" t="s">
        <v>276</v>
      </c>
      <c r="B3467" s="1" t="s">
        <v>403</v>
      </c>
      <c r="C3467" s="1" t="s">
        <v>1566</v>
      </c>
      <c r="U3467" s="1"/>
    </row>
    <row r="3468" ht="15.75" customHeight="1">
      <c r="A3468" s="1" t="s">
        <v>276</v>
      </c>
      <c r="B3468" s="1" t="s">
        <v>997</v>
      </c>
      <c r="C3468" s="1" t="s">
        <v>1570</v>
      </c>
      <c r="U3468" s="1"/>
    </row>
    <row r="3469" ht="15.75" customHeight="1">
      <c r="A3469" s="1" t="s">
        <v>276</v>
      </c>
      <c r="B3469" s="1" t="s">
        <v>1071</v>
      </c>
      <c r="C3469" s="1" t="s">
        <v>2243</v>
      </c>
      <c r="U3469" s="1"/>
    </row>
    <row r="3470" ht="15.75" customHeight="1">
      <c r="A3470" s="1" t="s">
        <v>278</v>
      </c>
      <c r="B3470" s="1" t="s">
        <v>29</v>
      </c>
      <c r="C3470" s="1" t="s">
        <v>1138</v>
      </c>
      <c r="U3470" s="1"/>
    </row>
    <row r="3471" ht="15.75" customHeight="1">
      <c r="A3471" s="1" t="s">
        <v>278</v>
      </c>
      <c r="B3471" s="1" t="s">
        <v>1848</v>
      </c>
      <c r="C3471" s="1" t="s">
        <v>1969</v>
      </c>
      <c r="U3471" s="1"/>
    </row>
    <row r="3472" ht="15.75" customHeight="1">
      <c r="A3472" s="1" t="s">
        <v>278</v>
      </c>
      <c r="B3472" s="1" t="s">
        <v>1848</v>
      </c>
      <c r="C3472" s="1" t="s">
        <v>1970</v>
      </c>
      <c r="U3472" s="1"/>
    </row>
    <row r="3473" ht="15.75" customHeight="1">
      <c r="A3473" s="1" t="s">
        <v>278</v>
      </c>
      <c r="B3473" s="1" t="s">
        <v>1848</v>
      </c>
      <c r="C3473" s="1" t="s">
        <v>1971</v>
      </c>
      <c r="U3473" s="1"/>
    </row>
    <row r="3474" ht="15.75" customHeight="1">
      <c r="A3474" s="1" t="s">
        <v>278</v>
      </c>
      <c r="B3474" s="1" t="s">
        <v>1848</v>
      </c>
      <c r="C3474" s="1" t="s">
        <v>1972</v>
      </c>
      <c r="U3474" s="1"/>
    </row>
    <row r="3475" ht="15.75" customHeight="1">
      <c r="A3475" s="1" t="s">
        <v>279</v>
      </c>
      <c r="B3475" s="1" t="s">
        <v>29</v>
      </c>
      <c r="C3475" s="1" t="s">
        <v>1129</v>
      </c>
      <c r="U3475" s="1"/>
    </row>
    <row r="3476" ht="15.75" customHeight="1">
      <c r="A3476" s="1" t="s">
        <v>279</v>
      </c>
      <c r="B3476" s="1" t="s">
        <v>29</v>
      </c>
      <c r="C3476" s="1" t="s">
        <v>1141</v>
      </c>
      <c r="U3476" s="1"/>
    </row>
    <row r="3477" ht="15.75" customHeight="1">
      <c r="A3477" s="1" t="s">
        <v>279</v>
      </c>
      <c r="B3477" s="1" t="s">
        <v>158</v>
      </c>
      <c r="C3477" s="1" t="s">
        <v>1172</v>
      </c>
      <c r="U3477" s="1"/>
    </row>
    <row r="3478" ht="15.75" customHeight="1">
      <c r="A3478" s="1" t="s">
        <v>279</v>
      </c>
      <c r="B3478" s="1" t="s">
        <v>158</v>
      </c>
      <c r="C3478" s="1" t="s">
        <v>1184</v>
      </c>
      <c r="U3478" s="1"/>
    </row>
    <row r="3479" ht="15.75" customHeight="1">
      <c r="A3479" s="1" t="s">
        <v>279</v>
      </c>
      <c r="B3479" s="1" t="s">
        <v>158</v>
      </c>
      <c r="C3479" s="1" t="s">
        <v>1317</v>
      </c>
      <c r="U3479" s="1"/>
    </row>
    <row r="3480" ht="15.75" customHeight="1">
      <c r="A3480" s="1" t="s">
        <v>280</v>
      </c>
      <c r="B3480" s="1" t="s">
        <v>29</v>
      </c>
      <c r="C3480" s="1" t="s">
        <v>1132</v>
      </c>
      <c r="U3480" s="1"/>
    </row>
    <row r="3481" ht="15.75" customHeight="1">
      <c r="A3481" s="1" t="s">
        <v>280</v>
      </c>
      <c r="B3481" s="1" t="s">
        <v>29</v>
      </c>
      <c r="C3481" s="1" t="s">
        <v>1270</v>
      </c>
      <c r="U3481" s="1"/>
    </row>
    <row r="3482" ht="15.75" customHeight="1">
      <c r="A3482" s="1" t="s">
        <v>280</v>
      </c>
      <c r="B3482" s="1" t="s">
        <v>29</v>
      </c>
      <c r="C3482" s="1" t="s">
        <v>1150</v>
      </c>
      <c r="U3482" s="1"/>
    </row>
    <row r="3483" ht="15.75" customHeight="1">
      <c r="A3483" s="1" t="s">
        <v>280</v>
      </c>
      <c r="B3483" s="1" t="s">
        <v>1400</v>
      </c>
      <c r="C3483" s="1" t="s">
        <v>1800</v>
      </c>
      <c r="U3483" s="1"/>
    </row>
    <row r="3484" ht="15.75" customHeight="1">
      <c r="A3484" s="1" t="s">
        <v>280</v>
      </c>
      <c r="B3484" s="1" t="s">
        <v>1848</v>
      </c>
      <c r="C3484" s="1" t="s">
        <v>1800</v>
      </c>
      <c r="U3484" s="1"/>
    </row>
    <row r="3485" ht="15.75" customHeight="1">
      <c r="A3485" s="1" t="s">
        <v>282</v>
      </c>
      <c r="B3485" s="1" t="s">
        <v>29</v>
      </c>
      <c r="C3485" s="1" t="s">
        <v>1259</v>
      </c>
      <c r="U3485" s="1"/>
    </row>
    <row r="3486" ht="15.75" customHeight="1">
      <c r="A3486" s="1" t="s">
        <v>282</v>
      </c>
      <c r="B3486" s="1" t="s">
        <v>77</v>
      </c>
      <c r="C3486" s="1" t="s">
        <v>1281</v>
      </c>
      <c r="U3486" s="1"/>
    </row>
    <row r="3487" ht="15.75" customHeight="1">
      <c r="A3487" s="1" t="s">
        <v>282</v>
      </c>
      <c r="B3487" s="1" t="s">
        <v>378</v>
      </c>
      <c r="C3487" s="1" t="s">
        <v>1333</v>
      </c>
      <c r="U3487" s="1"/>
    </row>
    <row r="3488" ht="15.75" customHeight="1">
      <c r="A3488" s="1" t="s">
        <v>282</v>
      </c>
      <c r="B3488" s="1" t="s">
        <v>378</v>
      </c>
      <c r="C3488" s="1" t="s">
        <v>1340</v>
      </c>
      <c r="U3488" s="1"/>
    </row>
    <row r="3489" ht="15.75" customHeight="1">
      <c r="A3489" s="1" t="s">
        <v>284</v>
      </c>
      <c r="B3489" s="1" t="s">
        <v>997</v>
      </c>
      <c r="C3489" s="1" t="s">
        <v>1857</v>
      </c>
      <c r="U3489" s="1"/>
    </row>
    <row r="3490" ht="15.75" customHeight="1">
      <c r="A3490" s="1" t="s">
        <v>284</v>
      </c>
      <c r="B3490" s="1" t="s">
        <v>1071</v>
      </c>
      <c r="C3490" s="1" t="s">
        <v>1861</v>
      </c>
      <c r="U3490" s="1"/>
    </row>
    <row r="3491" ht="15.75" customHeight="1">
      <c r="A3491" s="1" t="s">
        <v>284</v>
      </c>
      <c r="B3491" s="1" t="s">
        <v>1071</v>
      </c>
      <c r="C3491" s="1" t="s">
        <v>1862</v>
      </c>
      <c r="U3491" s="1"/>
    </row>
    <row r="3492" ht="15.75" customHeight="1">
      <c r="A3492" s="1" t="s">
        <v>284</v>
      </c>
      <c r="B3492" s="1" t="s">
        <v>1071</v>
      </c>
      <c r="C3492" s="1" t="s">
        <v>1863</v>
      </c>
      <c r="U3492" s="1"/>
    </row>
    <row r="3493" ht="15.75" customHeight="1">
      <c r="A3493" s="1" t="s">
        <v>286</v>
      </c>
      <c r="B3493" s="1" t="s">
        <v>158</v>
      </c>
      <c r="C3493" s="1" t="s">
        <v>2032</v>
      </c>
      <c r="U3493" s="1"/>
    </row>
    <row r="3494" ht="15.75" customHeight="1">
      <c r="A3494" s="1" t="s">
        <v>286</v>
      </c>
      <c r="B3494" s="1" t="s">
        <v>1093</v>
      </c>
      <c r="C3494" s="1" t="s">
        <v>1094</v>
      </c>
      <c r="U3494" s="1"/>
    </row>
    <row r="3495" ht="15.75" customHeight="1">
      <c r="A3495" s="1" t="s">
        <v>286</v>
      </c>
      <c r="B3495" s="1" t="s">
        <v>1400</v>
      </c>
      <c r="C3495" s="1" t="s">
        <v>1936</v>
      </c>
      <c r="U3495" s="1"/>
    </row>
    <row r="3496" ht="15.75" customHeight="1">
      <c r="A3496" s="1" t="s">
        <v>286</v>
      </c>
      <c r="B3496" s="1" t="s">
        <v>1400</v>
      </c>
      <c r="C3496" s="1" t="s">
        <v>1940</v>
      </c>
      <c r="U3496" s="1"/>
    </row>
    <row r="3497" ht="15.75" customHeight="1">
      <c r="A3497" s="1" t="s">
        <v>287</v>
      </c>
      <c r="B3497" s="1" t="s">
        <v>6</v>
      </c>
      <c r="C3497" s="1" t="s">
        <v>1106</v>
      </c>
      <c r="U3497" s="1"/>
    </row>
    <row r="3498" ht="15.75" customHeight="1">
      <c r="A3498" s="1" t="s">
        <v>287</v>
      </c>
      <c r="B3498" s="1" t="s">
        <v>6</v>
      </c>
      <c r="C3498" s="1" t="s">
        <v>1122</v>
      </c>
      <c r="U3498" s="1"/>
    </row>
    <row r="3499" ht="15.75" customHeight="1">
      <c r="A3499" s="1" t="s">
        <v>287</v>
      </c>
      <c r="B3499" s="1" t="s">
        <v>158</v>
      </c>
      <c r="C3499" s="1" t="s">
        <v>199</v>
      </c>
      <c r="U3499" s="1"/>
    </row>
    <row r="3500" ht="15.75" customHeight="1">
      <c r="A3500" s="1" t="s">
        <v>287</v>
      </c>
      <c r="B3500" s="1" t="s">
        <v>1071</v>
      </c>
      <c r="C3500" s="1" t="s">
        <v>1077</v>
      </c>
      <c r="U3500" s="1"/>
    </row>
    <row r="3501" ht="15.75" customHeight="1">
      <c r="A3501" s="1" t="s">
        <v>288</v>
      </c>
      <c r="B3501" s="1" t="s">
        <v>77</v>
      </c>
      <c r="C3501" s="1" t="s">
        <v>1159</v>
      </c>
      <c r="U3501" s="1"/>
    </row>
    <row r="3502" ht="15.75" customHeight="1">
      <c r="A3502" s="1" t="s">
        <v>288</v>
      </c>
      <c r="B3502" s="1" t="s">
        <v>403</v>
      </c>
      <c r="C3502" s="1" t="s">
        <v>2244</v>
      </c>
      <c r="U3502" s="1"/>
    </row>
    <row r="3503" ht="15.75" customHeight="1">
      <c r="A3503" s="1" t="s">
        <v>288</v>
      </c>
      <c r="B3503" s="1" t="s">
        <v>1093</v>
      </c>
      <c r="C3503" s="1" t="s">
        <v>1980</v>
      </c>
      <c r="U3503" s="1"/>
    </row>
    <row r="3504" ht="15.75" customHeight="1">
      <c r="A3504" s="1" t="s">
        <v>288</v>
      </c>
      <c r="B3504" s="1" t="s">
        <v>1492</v>
      </c>
      <c r="C3504" s="1" t="s">
        <v>2245</v>
      </c>
      <c r="U3504" s="1"/>
    </row>
    <row r="3505" ht="15.75" customHeight="1">
      <c r="A3505" s="1" t="s">
        <v>289</v>
      </c>
      <c r="B3505" s="1" t="s">
        <v>29</v>
      </c>
      <c r="C3505" s="1" t="s">
        <v>1270</v>
      </c>
      <c r="U3505" s="1"/>
    </row>
    <row r="3506" ht="15.75" customHeight="1">
      <c r="A3506" s="1" t="s">
        <v>289</v>
      </c>
      <c r="B3506" s="1" t="s">
        <v>158</v>
      </c>
      <c r="C3506" s="1" t="s">
        <v>532</v>
      </c>
      <c r="U3506" s="1"/>
    </row>
    <row r="3507" ht="15.75" customHeight="1">
      <c r="A3507" s="1" t="s">
        <v>289</v>
      </c>
      <c r="B3507" s="1" t="s">
        <v>330</v>
      </c>
      <c r="C3507" s="1" t="s">
        <v>957</v>
      </c>
      <c r="U3507" s="1"/>
    </row>
    <row r="3508" ht="15.75" customHeight="1">
      <c r="A3508" s="1" t="s">
        <v>289</v>
      </c>
      <c r="B3508" s="1" t="s">
        <v>378</v>
      </c>
      <c r="C3508" s="1" t="s">
        <v>973</v>
      </c>
      <c r="U3508" s="1"/>
    </row>
    <row r="3509" ht="15.75" customHeight="1">
      <c r="A3509" s="1" t="s">
        <v>291</v>
      </c>
      <c r="B3509" s="1" t="s">
        <v>997</v>
      </c>
      <c r="C3509" s="1" t="s">
        <v>2141</v>
      </c>
      <c r="U3509" s="1"/>
    </row>
    <row r="3510" ht="15.75" customHeight="1">
      <c r="A3510" s="1" t="s">
        <v>291</v>
      </c>
      <c r="B3510" s="1" t="s">
        <v>997</v>
      </c>
      <c r="C3510" s="1" t="s">
        <v>2142</v>
      </c>
      <c r="U3510" s="1"/>
    </row>
    <row r="3511" ht="15.75" customHeight="1">
      <c r="A3511" s="1" t="s">
        <v>291</v>
      </c>
      <c r="B3511" s="1" t="s">
        <v>1071</v>
      </c>
      <c r="C3511" s="1" t="s">
        <v>2117</v>
      </c>
      <c r="U3511" s="1"/>
    </row>
    <row r="3512" ht="15.75" customHeight="1">
      <c r="A3512" s="1" t="s">
        <v>291</v>
      </c>
      <c r="B3512" s="1" t="s">
        <v>1425</v>
      </c>
      <c r="C3512" s="1" t="s">
        <v>1966</v>
      </c>
      <c r="U3512" s="1"/>
    </row>
    <row r="3513" ht="15.75" customHeight="1">
      <c r="A3513" s="1" t="s">
        <v>293</v>
      </c>
      <c r="B3513" s="1" t="s">
        <v>6</v>
      </c>
      <c r="C3513" s="1" t="s">
        <v>7</v>
      </c>
      <c r="U3513" s="1"/>
    </row>
    <row r="3514" ht="15.75" customHeight="1">
      <c r="A3514" s="1" t="s">
        <v>293</v>
      </c>
      <c r="B3514" s="1" t="s">
        <v>29</v>
      </c>
      <c r="C3514" s="1" t="s">
        <v>47</v>
      </c>
      <c r="U3514" s="1"/>
    </row>
    <row r="3515" ht="15.75" customHeight="1">
      <c r="A3515" s="1" t="s">
        <v>293</v>
      </c>
      <c r="B3515" s="1" t="s">
        <v>77</v>
      </c>
      <c r="C3515" s="1" t="s">
        <v>109</v>
      </c>
      <c r="U3515" s="1"/>
    </row>
    <row r="3516" ht="15.75" customHeight="1">
      <c r="A3516" s="1" t="s">
        <v>293</v>
      </c>
      <c r="B3516" s="1" t="s">
        <v>378</v>
      </c>
      <c r="C3516" s="1" t="s">
        <v>2246</v>
      </c>
      <c r="U3516" s="1"/>
    </row>
    <row r="3517" ht="15.75" customHeight="1">
      <c r="A3517" s="1" t="s">
        <v>294</v>
      </c>
      <c r="B3517" s="1" t="s">
        <v>77</v>
      </c>
      <c r="C3517" s="1" t="s">
        <v>2224</v>
      </c>
      <c r="U3517" s="1"/>
    </row>
    <row r="3518" ht="15.75" customHeight="1">
      <c r="A3518" s="1" t="s">
        <v>294</v>
      </c>
      <c r="B3518" s="1" t="s">
        <v>330</v>
      </c>
      <c r="C3518" s="1" t="s">
        <v>1618</v>
      </c>
      <c r="U3518" s="1"/>
    </row>
    <row r="3519" ht="15.75" customHeight="1">
      <c r="A3519" s="1" t="s">
        <v>294</v>
      </c>
      <c r="B3519" s="1" t="s">
        <v>403</v>
      </c>
      <c r="C3519" s="1" t="s">
        <v>754</v>
      </c>
      <c r="U3519" s="1"/>
    </row>
    <row r="3520" ht="15.75" customHeight="1">
      <c r="A3520" s="1" t="s">
        <v>294</v>
      </c>
      <c r="B3520" s="1" t="s">
        <v>403</v>
      </c>
      <c r="C3520" s="1" t="s">
        <v>1638</v>
      </c>
      <c r="U3520" s="1"/>
    </row>
    <row r="3521" ht="15.75" customHeight="1">
      <c r="A3521" s="1" t="s">
        <v>295</v>
      </c>
      <c r="B3521" s="1" t="s">
        <v>29</v>
      </c>
      <c r="C3521" s="1" t="s">
        <v>1270</v>
      </c>
      <c r="U3521" s="1"/>
    </row>
    <row r="3522" ht="15.75" customHeight="1">
      <c r="A3522" s="1" t="s">
        <v>295</v>
      </c>
      <c r="B3522" s="1" t="s">
        <v>77</v>
      </c>
      <c r="C3522" s="1" t="s">
        <v>1442</v>
      </c>
      <c r="U3522" s="1"/>
    </row>
    <row r="3523" ht="15.75" customHeight="1">
      <c r="A3523" s="1" t="s">
        <v>295</v>
      </c>
      <c r="B3523" s="1" t="s">
        <v>1071</v>
      </c>
      <c r="C3523" s="1" t="s">
        <v>2247</v>
      </c>
      <c r="U3523" s="1"/>
    </row>
    <row r="3524" ht="15.75" customHeight="1">
      <c r="A3524" s="1" t="s">
        <v>295</v>
      </c>
      <c r="B3524" s="1" t="s">
        <v>1848</v>
      </c>
      <c r="C3524" s="1" t="s">
        <v>2248</v>
      </c>
      <c r="U3524" s="1"/>
    </row>
    <row r="3525" ht="15.75" customHeight="1">
      <c r="A3525" s="1" t="s">
        <v>296</v>
      </c>
      <c r="B3525" s="1" t="s">
        <v>6</v>
      </c>
      <c r="C3525" s="1" t="s">
        <v>1117</v>
      </c>
      <c r="U3525" s="1"/>
    </row>
    <row r="3526" ht="15.75" customHeight="1">
      <c r="A3526" s="1" t="s">
        <v>296</v>
      </c>
      <c r="B3526" s="1" t="s">
        <v>158</v>
      </c>
      <c r="C3526" s="1" t="s">
        <v>1025</v>
      </c>
      <c r="U3526" s="1"/>
    </row>
    <row r="3527" ht="15.75" customHeight="1">
      <c r="A3527" s="1" t="s">
        <v>296</v>
      </c>
      <c r="B3527" s="1" t="s">
        <v>378</v>
      </c>
      <c r="C3527" s="1" t="s">
        <v>2249</v>
      </c>
      <c r="U3527" s="1"/>
    </row>
    <row r="3528" ht="15.75" customHeight="1">
      <c r="A3528" s="1" t="s">
        <v>296</v>
      </c>
      <c r="B3528" s="1" t="s">
        <v>1071</v>
      </c>
      <c r="C3528" s="1" t="s">
        <v>1557</v>
      </c>
      <c r="U3528" s="1"/>
    </row>
    <row r="3529" ht="15.75" customHeight="1">
      <c r="A3529" s="1" t="s">
        <v>297</v>
      </c>
      <c r="B3529" s="1" t="s">
        <v>29</v>
      </c>
      <c r="C3529" s="1" t="s">
        <v>1264</v>
      </c>
      <c r="U3529" s="1"/>
    </row>
    <row r="3530" ht="15.75" customHeight="1">
      <c r="A3530" s="1" t="s">
        <v>297</v>
      </c>
      <c r="B3530" s="1" t="s">
        <v>29</v>
      </c>
      <c r="C3530" s="1" t="s">
        <v>1437</v>
      </c>
      <c r="U3530" s="1"/>
    </row>
    <row r="3531" ht="15.75" customHeight="1">
      <c r="A3531" s="1" t="s">
        <v>297</v>
      </c>
      <c r="B3531" s="1" t="s">
        <v>158</v>
      </c>
      <c r="C3531" s="1" t="s">
        <v>949</v>
      </c>
      <c r="U3531" s="1"/>
    </row>
    <row r="3532" ht="15.75" customHeight="1">
      <c r="A3532" s="1" t="s">
        <v>297</v>
      </c>
      <c r="B3532" s="1" t="s">
        <v>403</v>
      </c>
      <c r="C3532" s="1" t="s">
        <v>1855</v>
      </c>
      <c r="U3532" s="1"/>
    </row>
    <row r="3533" ht="15.75" customHeight="1">
      <c r="A3533" s="1" t="s">
        <v>298</v>
      </c>
      <c r="B3533" s="1" t="s">
        <v>6</v>
      </c>
      <c r="C3533" s="1" t="s">
        <v>1251</v>
      </c>
      <c r="U3533" s="1"/>
    </row>
    <row r="3534" ht="15.75" customHeight="1">
      <c r="A3534" s="1" t="s">
        <v>298</v>
      </c>
      <c r="B3534" s="1" t="s">
        <v>29</v>
      </c>
      <c r="C3534" s="1" t="s">
        <v>1257</v>
      </c>
      <c r="U3534" s="1"/>
    </row>
    <row r="3535" ht="15.75" customHeight="1">
      <c r="A3535" s="1" t="s">
        <v>298</v>
      </c>
      <c r="B3535" s="1" t="s">
        <v>29</v>
      </c>
      <c r="C3535" s="1" t="s">
        <v>1259</v>
      </c>
      <c r="U3535" s="1"/>
    </row>
    <row r="3536" ht="15.75" customHeight="1">
      <c r="A3536" s="1" t="s">
        <v>298</v>
      </c>
      <c r="B3536" s="1" t="s">
        <v>158</v>
      </c>
      <c r="C3536" s="1" t="s">
        <v>1306</v>
      </c>
      <c r="U3536" s="1"/>
    </row>
    <row r="3537" ht="15.75" customHeight="1">
      <c r="A3537" s="1" t="s">
        <v>299</v>
      </c>
      <c r="B3537" s="1" t="s">
        <v>1492</v>
      </c>
      <c r="C3537" s="1" t="s">
        <v>2250</v>
      </c>
      <c r="U3537" s="1"/>
    </row>
    <row r="3538" ht="15.75" customHeight="1">
      <c r="A3538" s="1" t="s">
        <v>299</v>
      </c>
      <c r="B3538" s="1" t="s">
        <v>1848</v>
      </c>
      <c r="C3538" s="1" t="s">
        <v>2251</v>
      </c>
      <c r="U3538" s="1"/>
    </row>
    <row r="3539" ht="15.75" customHeight="1">
      <c r="A3539" s="1" t="s">
        <v>299</v>
      </c>
      <c r="B3539" s="1" t="s">
        <v>1748</v>
      </c>
      <c r="C3539" s="1" t="s">
        <v>2252</v>
      </c>
      <c r="U3539" s="1"/>
    </row>
    <row r="3540" ht="15.75" customHeight="1">
      <c r="A3540" s="1" t="s">
        <v>299</v>
      </c>
      <c r="B3540" s="1" t="s">
        <v>1748</v>
      </c>
      <c r="C3540" s="1" t="s">
        <v>2253</v>
      </c>
      <c r="U3540" s="1"/>
    </row>
    <row r="3541" ht="15.75" customHeight="1">
      <c r="A3541" s="1" t="s">
        <v>300</v>
      </c>
      <c r="B3541" s="1" t="s">
        <v>6</v>
      </c>
      <c r="C3541" s="1" t="s">
        <v>1117</v>
      </c>
      <c r="U3541" s="1"/>
    </row>
    <row r="3542" ht="15.75" customHeight="1">
      <c r="A3542" s="1" t="s">
        <v>300</v>
      </c>
      <c r="B3542" s="1" t="s">
        <v>77</v>
      </c>
      <c r="C3542" s="1" t="s">
        <v>828</v>
      </c>
      <c r="U3542" s="1"/>
    </row>
    <row r="3543" ht="15.75" customHeight="1">
      <c r="A3543" s="1" t="s">
        <v>300</v>
      </c>
      <c r="B3543" s="1" t="s">
        <v>403</v>
      </c>
      <c r="C3543" s="1" t="s">
        <v>1855</v>
      </c>
      <c r="U3543" s="1"/>
    </row>
    <row r="3544" ht="15.75" customHeight="1">
      <c r="A3544" s="1" t="s">
        <v>300</v>
      </c>
      <c r="B3544" s="1" t="s">
        <v>1410</v>
      </c>
      <c r="C3544" s="1" t="s">
        <v>1738</v>
      </c>
      <c r="U3544" s="1"/>
    </row>
    <row r="3545" ht="15.75" customHeight="1">
      <c r="A3545" s="1" t="s">
        <v>301</v>
      </c>
      <c r="B3545" s="1" t="s">
        <v>29</v>
      </c>
      <c r="C3545" s="1" t="s">
        <v>1132</v>
      </c>
      <c r="U3545" s="1"/>
    </row>
    <row r="3546" ht="15.75" customHeight="1">
      <c r="A3546" s="1" t="s">
        <v>301</v>
      </c>
      <c r="B3546" s="1" t="s">
        <v>29</v>
      </c>
      <c r="C3546" s="1" t="s">
        <v>1150</v>
      </c>
      <c r="U3546" s="1"/>
    </row>
    <row r="3547" ht="15.75" customHeight="1">
      <c r="A3547" s="1" t="s">
        <v>301</v>
      </c>
      <c r="B3547" s="1" t="s">
        <v>77</v>
      </c>
      <c r="C3547" s="1" t="s">
        <v>1281</v>
      </c>
      <c r="U3547" s="1"/>
    </row>
    <row r="3548" ht="15.75" customHeight="1">
      <c r="A3548" s="1" t="s">
        <v>301</v>
      </c>
      <c r="B3548" s="1" t="s">
        <v>77</v>
      </c>
      <c r="C3548" s="1" t="s">
        <v>503</v>
      </c>
      <c r="U3548" s="1"/>
    </row>
    <row r="3549" ht="15.75" customHeight="1">
      <c r="A3549" s="1" t="s">
        <v>303</v>
      </c>
      <c r="B3549" s="1" t="s">
        <v>77</v>
      </c>
      <c r="C3549" s="1" t="s">
        <v>1594</v>
      </c>
      <c r="U3549" s="1"/>
    </row>
    <row r="3550" ht="15.75" customHeight="1">
      <c r="A3550" s="1" t="s">
        <v>303</v>
      </c>
      <c r="B3550" s="1" t="s">
        <v>330</v>
      </c>
      <c r="C3550" s="1" t="s">
        <v>910</v>
      </c>
      <c r="U3550" s="1"/>
    </row>
    <row r="3551" ht="15.75" customHeight="1">
      <c r="A3551" s="1" t="s">
        <v>303</v>
      </c>
      <c r="B3551" s="1" t="s">
        <v>1425</v>
      </c>
      <c r="C3551" s="1" t="s">
        <v>1742</v>
      </c>
      <c r="U3551" s="1"/>
    </row>
    <row r="3552" ht="15.75" customHeight="1">
      <c r="A3552" s="1" t="s">
        <v>303</v>
      </c>
      <c r="B3552" s="1" t="s">
        <v>1425</v>
      </c>
      <c r="C3552" s="1" t="s">
        <v>1744</v>
      </c>
      <c r="U3552" s="1"/>
    </row>
    <row r="3553" ht="15.75" customHeight="1">
      <c r="A3553" s="1" t="s">
        <v>305</v>
      </c>
      <c r="B3553" s="1" t="s">
        <v>6</v>
      </c>
      <c r="C3553" s="1" t="s">
        <v>1107</v>
      </c>
      <c r="U3553" s="1"/>
    </row>
    <row r="3554" ht="15.75" customHeight="1">
      <c r="A3554" s="1" t="s">
        <v>305</v>
      </c>
      <c r="B3554" s="1" t="s">
        <v>6</v>
      </c>
      <c r="C3554" s="1" t="s">
        <v>1110</v>
      </c>
      <c r="U3554" s="1"/>
    </row>
    <row r="3555" ht="15.75" customHeight="1">
      <c r="A3555" s="1" t="s">
        <v>305</v>
      </c>
      <c r="B3555" s="1" t="s">
        <v>29</v>
      </c>
      <c r="C3555" s="1" t="s">
        <v>1129</v>
      </c>
      <c r="U3555" s="1"/>
    </row>
    <row r="3556" ht="15.75" customHeight="1">
      <c r="A3556" s="1" t="s">
        <v>305</v>
      </c>
      <c r="B3556" s="1" t="s">
        <v>330</v>
      </c>
      <c r="C3556" s="1" t="s">
        <v>913</v>
      </c>
      <c r="U3556" s="1"/>
    </row>
    <row r="3557" ht="15.75" customHeight="1">
      <c r="A3557" s="1" t="s">
        <v>307</v>
      </c>
      <c r="B3557" s="1" t="s">
        <v>77</v>
      </c>
      <c r="C3557" s="1" t="s">
        <v>1666</v>
      </c>
      <c r="U3557" s="1"/>
    </row>
    <row r="3558" ht="15.75" customHeight="1">
      <c r="A3558" s="1" t="s">
        <v>307</v>
      </c>
      <c r="B3558" s="1" t="s">
        <v>77</v>
      </c>
      <c r="C3558" s="1" t="s">
        <v>1672</v>
      </c>
      <c r="U3558" s="1"/>
    </row>
    <row r="3559" ht="15.75" customHeight="1">
      <c r="A3559" s="1" t="s">
        <v>307</v>
      </c>
      <c r="B3559" s="1" t="s">
        <v>77</v>
      </c>
      <c r="C3559" s="1" t="s">
        <v>1670</v>
      </c>
      <c r="U3559" s="1"/>
    </row>
    <row r="3560" ht="15.75" customHeight="1">
      <c r="A3560" s="1" t="s">
        <v>307</v>
      </c>
      <c r="B3560" s="1" t="s">
        <v>77</v>
      </c>
      <c r="C3560" s="1" t="s">
        <v>1674</v>
      </c>
      <c r="U3560" s="1"/>
    </row>
    <row r="3561" ht="15.75" customHeight="1">
      <c r="A3561" s="1" t="s">
        <v>308</v>
      </c>
      <c r="B3561" s="1" t="s">
        <v>158</v>
      </c>
      <c r="C3561" s="1" t="s">
        <v>171</v>
      </c>
      <c r="U3561" s="1"/>
    </row>
    <row r="3562" ht="15.75" customHeight="1">
      <c r="A3562" s="1" t="s">
        <v>308</v>
      </c>
      <c r="B3562" s="1" t="s">
        <v>378</v>
      </c>
      <c r="C3562" s="1" t="s">
        <v>976</v>
      </c>
      <c r="U3562" s="1"/>
    </row>
    <row r="3563" ht="15.75" customHeight="1">
      <c r="A3563" s="1" t="s">
        <v>308</v>
      </c>
      <c r="B3563" s="1" t="s">
        <v>1410</v>
      </c>
      <c r="C3563" s="1" t="s">
        <v>2254</v>
      </c>
      <c r="U3563" s="1"/>
    </row>
    <row r="3564" ht="15.75" customHeight="1">
      <c r="A3564" s="1" t="s">
        <v>308</v>
      </c>
      <c r="B3564" s="1" t="s">
        <v>1410</v>
      </c>
      <c r="C3564" s="1" t="s">
        <v>2255</v>
      </c>
      <c r="U3564" s="1"/>
    </row>
    <row r="3565" ht="15.75" customHeight="1">
      <c r="A3565" s="1" t="s">
        <v>310</v>
      </c>
      <c r="B3565" s="1" t="s">
        <v>6</v>
      </c>
      <c r="C3565" s="1" t="s">
        <v>1117</v>
      </c>
      <c r="U3565" s="1"/>
    </row>
    <row r="3566" ht="15.75" customHeight="1">
      <c r="A3566" s="1" t="s">
        <v>310</v>
      </c>
      <c r="B3566" s="1" t="s">
        <v>29</v>
      </c>
      <c r="C3566" s="1" t="s">
        <v>1259</v>
      </c>
      <c r="U3566" s="1"/>
    </row>
    <row r="3567" ht="15.75" customHeight="1">
      <c r="A3567" s="1" t="s">
        <v>310</v>
      </c>
      <c r="B3567" s="1" t="s">
        <v>77</v>
      </c>
      <c r="C3567" s="1" t="s">
        <v>1151</v>
      </c>
      <c r="U3567" s="1"/>
    </row>
    <row r="3568" ht="15.75" customHeight="1">
      <c r="A3568" s="1" t="s">
        <v>310</v>
      </c>
      <c r="B3568" s="1" t="s">
        <v>997</v>
      </c>
      <c r="C3568" s="1" t="s">
        <v>1825</v>
      </c>
      <c r="U3568" s="1"/>
    </row>
    <row r="3569" ht="15.75" customHeight="1">
      <c r="A3569" s="1" t="s">
        <v>311</v>
      </c>
      <c r="B3569" s="1" t="s">
        <v>77</v>
      </c>
      <c r="C3569" s="1" t="s">
        <v>813</v>
      </c>
      <c r="U3569" s="1"/>
    </row>
    <row r="3570" ht="15.75" customHeight="1">
      <c r="A3570" s="1" t="s">
        <v>311</v>
      </c>
      <c r="B3570" s="1" t="s">
        <v>158</v>
      </c>
      <c r="C3570" s="1" t="s">
        <v>849</v>
      </c>
      <c r="U3570" s="1"/>
    </row>
    <row r="3571" ht="15.75" customHeight="1">
      <c r="A3571" s="1" t="s">
        <v>311</v>
      </c>
      <c r="B3571" s="1" t="s">
        <v>403</v>
      </c>
      <c r="C3571" s="1" t="s">
        <v>2256</v>
      </c>
      <c r="U3571" s="1"/>
    </row>
    <row r="3572" ht="15.75" customHeight="1">
      <c r="A3572" s="1" t="s">
        <v>311</v>
      </c>
      <c r="B3572" s="1" t="s">
        <v>403</v>
      </c>
      <c r="C3572" s="1" t="s">
        <v>2257</v>
      </c>
      <c r="U3572" s="1"/>
    </row>
    <row r="3573" ht="15.75" customHeight="1">
      <c r="A3573" s="1" t="s">
        <v>313</v>
      </c>
      <c r="B3573" s="1" t="s">
        <v>29</v>
      </c>
      <c r="C3573" s="1" t="s">
        <v>1499</v>
      </c>
      <c r="U3573" s="1"/>
    </row>
    <row r="3574" ht="15.75" customHeight="1">
      <c r="A3574" s="1" t="s">
        <v>313</v>
      </c>
      <c r="B3574" s="1" t="s">
        <v>29</v>
      </c>
      <c r="C3574" s="1" t="s">
        <v>438</v>
      </c>
      <c r="U3574" s="1"/>
    </row>
    <row r="3575" ht="15.75" customHeight="1">
      <c r="A3575" s="1" t="s">
        <v>313</v>
      </c>
      <c r="B3575" s="1" t="s">
        <v>29</v>
      </c>
      <c r="C3575" s="1" t="s">
        <v>1264</v>
      </c>
      <c r="U3575" s="1"/>
    </row>
    <row r="3576" ht="15.75" customHeight="1">
      <c r="A3576" s="1" t="s">
        <v>313</v>
      </c>
      <c r="B3576" s="1" t="s">
        <v>403</v>
      </c>
      <c r="C3576" s="1" t="s">
        <v>1779</v>
      </c>
      <c r="U3576" s="1"/>
    </row>
    <row r="3577" ht="15.75" customHeight="1">
      <c r="A3577" s="1" t="s">
        <v>316</v>
      </c>
      <c r="B3577" s="1" t="s">
        <v>6</v>
      </c>
      <c r="C3577" s="1" t="s">
        <v>1104</v>
      </c>
      <c r="U3577" s="1"/>
    </row>
    <row r="3578" ht="15.75" customHeight="1">
      <c r="A3578" s="1" t="s">
        <v>316</v>
      </c>
      <c r="B3578" s="1" t="s">
        <v>6</v>
      </c>
      <c r="C3578" s="1" t="s">
        <v>1115</v>
      </c>
      <c r="U3578" s="1"/>
    </row>
    <row r="3579" ht="15.75" customHeight="1">
      <c r="A3579" s="1" t="s">
        <v>316</v>
      </c>
      <c r="B3579" s="1" t="s">
        <v>29</v>
      </c>
      <c r="C3579" s="1" t="s">
        <v>1259</v>
      </c>
      <c r="U3579" s="1"/>
    </row>
    <row r="3580" ht="15.75" customHeight="1">
      <c r="A3580" s="1" t="s">
        <v>316</v>
      </c>
      <c r="B3580" s="1" t="s">
        <v>330</v>
      </c>
      <c r="C3580" s="1" t="s">
        <v>570</v>
      </c>
      <c r="U3580" s="1"/>
    </row>
    <row r="3581" ht="15.75" customHeight="1">
      <c r="A3581" s="1" t="s">
        <v>317</v>
      </c>
      <c r="B3581" s="1" t="s">
        <v>29</v>
      </c>
      <c r="C3581" s="1" t="s">
        <v>440</v>
      </c>
      <c r="U3581" s="1"/>
    </row>
    <row r="3582" ht="15.75" customHeight="1">
      <c r="A3582" s="1" t="s">
        <v>317</v>
      </c>
      <c r="B3582" s="1" t="s">
        <v>29</v>
      </c>
      <c r="C3582" s="1" t="s">
        <v>458</v>
      </c>
      <c r="U3582" s="1"/>
    </row>
    <row r="3583" ht="15.75" customHeight="1">
      <c r="A3583" s="1" t="s">
        <v>317</v>
      </c>
      <c r="B3583" s="1" t="s">
        <v>1093</v>
      </c>
      <c r="C3583" s="1" t="s">
        <v>1827</v>
      </c>
      <c r="U3583" s="1"/>
    </row>
    <row r="3584" ht="15.75" customHeight="1">
      <c r="A3584" s="1" t="s">
        <v>317</v>
      </c>
      <c r="B3584" s="1" t="s">
        <v>1400</v>
      </c>
      <c r="C3584" s="1" t="s">
        <v>1955</v>
      </c>
      <c r="U3584" s="1"/>
    </row>
    <row r="3585" ht="15.75" customHeight="1">
      <c r="A3585" s="1" t="s">
        <v>318</v>
      </c>
      <c r="B3585" s="1" t="s">
        <v>158</v>
      </c>
      <c r="C3585" s="1" t="s">
        <v>939</v>
      </c>
      <c r="U3585" s="1"/>
    </row>
    <row r="3586" ht="15.75" customHeight="1">
      <c r="A3586" s="1" t="s">
        <v>318</v>
      </c>
      <c r="B3586" s="1" t="s">
        <v>378</v>
      </c>
      <c r="C3586" s="1" t="s">
        <v>965</v>
      </c>
      <c r="U3586" s="1"/>
    </row>
    <row r="3587" ht="15.75" customHeight="1">
      <c r="A3587" s="1" t="s">
        <v>318</v>
      </c>
      <c r="B3587" s="1" t="s">
        <v>378</v>
      </c>
      <c r="C3587" s="1" t="s">
        <v>974</v>
      </c>
      <c r="U3587" s="1"/>
    </row>
    <row r="3588" ht="15.75" customHeight="1">
      <c r="A3588" s="1" t="s">
        <v>318</v>
      </c>
      <c r="B3588" s="1" t="s">
        <v>378</v>
      </c>
      <c r="C3588" s="1" t="s">
        <v>977</v>
      </c>
      <c r="U3588" s="1"/>
    </row>
    <row r="3589" ht="15.75" customHeight="1">
      <c r="A3589" s="1" t="s">
        <v>321</v>
      </c>
      <c r="B3589" s="1" t="s">
        <v>77</v>
      </c>
      <c r="C3589" s="1" t="s">
        <v>487</v>
      </c>
      <c r="U3589" s="1"/>
    </row>
    <row r="3590" ht="15.75" customHeight="1">
      <c r="A3590" s="1" t="s">
        <v>321</v>
      </c>
      <c r="B3590" s="1" t="s">
        <v>997</v>
      </c>
      <c r="C3590" s="1" t="s">
        <v>2258</v>
      </c>
      <c r="U3590" s="1"/>
    </row>
    <row r="3591" ht="15.75" customHeight="1">
      <c r="A3591" s="1" t="s">
        <v>321</v>
      </c>
      <c r="B3591" s="1" t="s">
        <v>1425</v>
      </c>
      <c r="C3591" s="1" t="s">
        <v>2259</v>
      </c>
      <c r="U3591" s="1"/>
    </row>
    <row r="3592" ht="15.75" customHeight="1">
      <c r="A3592" s="1" t="s">
        <v>321</v>
      </c>
      <c r="B3592" s="1" t="s">
        <v>1492</v>
      </c>
      <c r="C3592" s="1" t="s">
        <v>2235</v>
      </c>
      <c r="U3592" s="1"/>
    </row>
    <row r="3593" ht="15.75" customHeight="1">
      <c r="A3593" s="1" t="s">
        <v>323</v>
      </c>
      <c r="B3593" s="1" t="s">
        <v>29</v>
      </c>
      <c r="C3593" s="1" t="s">
        <v>55</v>
      </c>
      <c r="U3593" s="1"/>
    </row>
    <row r="3594" ht="15.75" customHeight="1">
      <c r="A3594" s="1" t="s">
        <v>323</v>
      </c>
      <c r="B3594" s="1" t="s">
        <v>29</v>
      </c>
      <c r="C3594" s="1" t="s">
        <v>59</v>
      </c>
      <c r="U3594" s="1"/>
    </row>
    <row r="3595" ht="15.75" customHeight="1">
      <c r="A3595" s="1" t="s">
        <v>323</v>
      </c>
      <c r="B3595" s="1" t="s">
        <v>330</v>
      </c>
      <c r="C3595" s="1" t="s">
        <v>1540</v>
      </c>
      <c r="U3595" s="1"/>
    </row>
    <row r="3596" ht="15.75" customHeight="1">
      <c r="A3596" s="1" t="s">
        <v>323</v>
      </c>
      <c r="B3596" s="1" t="s">
        <v>378</v>
      </c>
      <c r="C3596" s="1" t="s">
        <v>1550</v>
      </c>
      <c r="U3596" s="1"/>
    </row>
    <row r="3597" ht="15.75" customHeight="1">
      <c r="A3597" s="1" t="s">
        <v>325</v>
      </c>
      <c r="B3597" s="1" t="s">
        <v>29</v>
      </c>
      <c r="C3597" s="1" t="s">
        <v>446</v>
      </c>
      <c r="U3597" s="1"/>
    </row>
    <row r="3598" ht="15.75" customHeight="1">
      <c r="A3598" s="1" t="s">
        <v>325</v>
      </c>
      <c r="B3598" s="1" t="s">
        <v>29</v>
      </c>
      <c r="C3598" s="1" t="s">
        <v>452</v>
      </c>
      <c r="U3598" s="1"/>
    </row>
    <row r="3599" ht="15.75" customHeight="1">
      <c r="A3599" s="1" t="s">
        <v>325</v>
      </c>
      <c r="B3599" s="1" t="s">
        <v>77</v>
      </c>
      <c r="C3599" s="1" t="s">
        <v>476</v>
      </c>
      <c r="U3599" s="1"/>
    </row>
    <row r="3600" ht="15.75" customHeight="1">
      <c r="A3600" s="1" t="s">
        <v>325</v>
      </c>
      <c r="B3600" s="1" t="s">
        <v>77</v>
      </c>
      <c r="C3600" s="1" t="s">
        <v>499</v>
      </c>
      <c r="U3600" s="1"/>
    </row>
    <row r="3601" ht="15.75" customHeight="1">
      <c r="A3601" s="1" t="s">
        <v>327</v>
      </c>
      <c r="B3601" s="1" t="s">
        <v>158</v>
      </c>
      <c r="C3601" s="1" t="s">
        <v>939</v>
      </c>
      <c r="U3601" s="1"/>
    </row>
    <row r="3602" ht="15.75" customHeight="1">
      <c r="A3602" s="1" t="s">
        <v>327</v>
      </c>
      <c r="B3602" s="1" t="s">
        <v>378</v>
      </c>
      <c r="C3602" s="1" t="s">
        <v>974</v>
      </c>
      <c r="U3602" s="1"/>
    </row>
    <row r="3603" ht="15.75" customHeight="1">
      <c r="A3603" s="1" t="s">
        <v>327</v>
      </c>
      <c r="B3603" s="1" t="s">
        <v>403</v>
      </c>
      <c r="C3603" s="1" t="s">
        <v>994</v>
      </c>
      <c r="U3603" s="1"/>
    </row>
    <row r="3604" ht="15.75" customHeight="1">
      <c r="A3604" s="1" t="s">
        <v>327</v>
      </c>
      <c r="B3604" s="1" t="s">
        <v>997</v>
      </c>
      <c r="C3604" s="1" t="s">
        <v>2201</v>
      </c>
      <c r="U3604" s="1"/>
    </row>
    <row r="3605" ht="15.75" customHeight="1">
      <c r="A3605" s="1" t="s">
        <v>329</v>
      </c>
      <c r="B3605" s="1" t="s">
        <v>6</v>
      </c>
      <c r="C3605" s="1" t="s">
        <v>423</v>
      </c>
      <c r="U3605" s="1"/>
    </row>
    <row r="3606" ht="15.75" customHeight="1">
      <c r="A3606" s="1" t="s">
        <v>329</v>
      </c>
      <c r="B3606" s="1" t="s">
        <v>378</v>
      </c>
      <c r="C3606" s="1" t="s">
        <v>601</v>
      </c>
      <c r="U3606" s="1"/>
    </row>
    <row r="3607" ht="15.75" customHeight="1">
      <c r="A3607" s="1" t="s">
        <v>329</v>
      </c>
      <c r="B3607" s="1" t="s">
        <v>1071</v>
      </c>
      <c r="C3607" s="1" t="s">
        <v>1978</v>
      </c>
      <c r="U3607" s="1"/>
    </row>
    <row r="3608" ht="15.75" customHeight="1">
      <c r="A3608" s="1" t="s">
        <v>329</v>
      </c>
      <c r="B3608" s="1" t="s">
        <v>1093</v>
      </c>
      <c r="C3608" s="1" t="s">
        <v>2084</v>
      </c>
      <c r="U3608" s="1"/>
    </row>
    <row r="3609" ht="15.75" customHeight="1">
      <c r="A3609" s="1" t="s">
        <v>332</v>
      </c>
      <c r="B3609" s="1" t="s">
        <v>997</v>
      </c>
      <c r="C3609" s="1" t="s">
        <v>1784</v>
      </c>
      <c r="U3609" s="1"/>
    </row>
    <row r="3610" ht="15.75" customHeight="1">
      <c r="A3610" s="1" t="s">
        <v>332</v>
      </c>
      <c r="B3610" s="1" t="s">
        <v>1400</v>
      </c>
      <c r="C3610" s="1" t="s">
        <v>2085</v>
      </c>
      <c r="U3610" s="1"/>
    </row>
    <row r="3611" ht="15.75" customHeight="1">
      <c r="A3611" s="1" t="s">
        <v>332</v>
      </c>
      <c r="B3611" s="1" t="s">
        <v>1492</v>
      </c>
      <c r="C3611" s="1" t="s">
        <v>2250</v>
      </c>
      <c r="U3611" s="1"/>
    </row>
    <row r="3612" ht="15.75" customHeight="1">
      <c r="A3612" s="1" t="s">
        <v>332</v>
      </c>
      <c r="B3612" s="1" t="s">
        <v>1848</v>
      </c>
      <c r="C3612" s="1" t="s">
        <v>2251</v>
      </c>
      <c r="U3612" s="1"/>
    </row>
    <row r="3613" ht="15.75" customHeight="1">
      <c r="A3613" s="1" t="s">
        <v>334</v>
      </c>
      <c r="B3613" s="1" t="s">
        <v>330</v>
      </c>
      <c r="C3613" s="1" t="s">
        <v>564</v>
      </c>
      <c r="U3613" s="1"/>
    </row>
    <row r="3614" ht="15.75" customHeight="1">
      <c r="A3614" s="1" t="s">
        <v>334</v>
      </c>
      <c r="B3614" s="1" t="s">
        <v>1400</v>
      </c>
      <c r="C3614" s="1" t="s">
        <v>1984</v>
      </c>
      <c r="U3614" s="1"/>
    </row>
    <row r="3615" ht="15.75" customHeight="1">
      <c r="A3615" s="1" t="s">
        <v>334</v>
      </c>
      <c r="B3615" s="1" t="s">
        <v>1410</v>
      </c>
      <c r="C3615" s="1" t="s">
        <v>2216</v>
      </c>
      <c r="U3615" s="1"/>
    </row>
    <row r="3616" ht="15.75" customHeight="1">
      <c r="A3616" s="1" t="s">
        <v>334</v>
      </c>
      <c r="B3616" s="1" t="s">
        <v>1848</v>
      </c>
      <c r="C3616" s="1" t="s">
        <v>2186</v>
      </c>
      <c r="U3616" s="1"/>
    </row>
    <row r="3617" ht="15.75" customHeight="1">
      <c r="A3617" s="1" t="s">
        <v>336</v>
      </c>
      <c r="B3617" s="1" t="s">
        <v>158</v>
      </c>
      <c r="C3617" s="1" t="s">
        <v>165</v>
      </c>
      <c r="U3617" s="1"/>
    </row>
    <row r="3618" ht="15.75" customHeight="1">
      <c r="A3618" s="1" t="s">
        <v>336</v>
      </c>
      <c r="B3618" s="1" t="s">
        <v>378</v>
      </c>
      <c r="C3618" s="1" t="s">
        <v>379</v>
      </c>
      <c r="U3618" s="1"/>
    </row>
    <row r="3619" ht="15.75" customHeight="1">
      <c r="A3619" s="1" t="s">
        <v>336</v>
      </c>
      <c r="B3619" s="1" t="s">
        <v>378</v>
      </c>
      <c r="C3619" s="1" t="s">
        <v>2260</v>
      </c>
      <c r="U3619" s="1"/>
    </row>
    <row r="3620" ht="15.75" customHeight="1">
      <c r="A3620" s="1" t="s">
        <v>336</v>
      </c>
      <c r="B3620" s="1" t="s">
        <v>1425</v>
      </c>
      <c r="C3620" s="1" t="s">
        <v>2261</v>
      </c>
      <c r="U3620" s="1"/>
    </row>
    <row r="3621" ht="15.75" customHeight="1">
      <c r="A3621" s="1" t="s">
        <v>338</v>
      </c>
      <c r="B3621" s="1" t="s">
        <v>403</v>
      </c>
      <c r="C3621" s="1" t="s">
        <v>1855</v>
      </c>
      <c r="U3621" s="1"/>
    </row>
    <row r="3622" ht="15.75" customHeight="1">
      <c r="A3622" s="1" t="s">
        <v>338</v>
      </c>
      <c r="B3622" s="1" t="s">
        <v>403</v>
      </c>
      <c r="C3622" s="1" t="s">
        <v>991</v>
      </c>
      <c r="U3622" s="1"/>
    </row>
    <row r="3623" ht="15.75" customHeight="1">
      <c r="A3623" s="1" t="s">
        <v>338</v>
      </c>
      <c r="B3623" s="1" t="s">
        <v>997</v>
      </c>
      <c r="C3623" s="1" t="s">
        <v>2124</v>
      </c>
      <c r="U3623" s="1"/>
    </row>
    <row r="3624" ht="15.75" customHeight="1">
      <c r="A3624" s="1" t="s">
        <v>338</v>
      </c>
      <c r="B3624" s="1" t="s">
        <v>997</v>
      </c>
      <c r="C3624" s="1" t="s">
        <v>2125</v>
      </c>
      <c r="U3624" s="1"/>
    </row>
    <row r="3625" ht="15.75" customHeight="1">
      <c r="A3625" s="1" t="s">
        <v>340</v>
      </c>
      <c r="B3625" s="1" t="s">
        <v>29</v>
      </c>
      <c r="C3625" s="1" t="s">
        <v>1504</v>
      </c>
      <c r="U3625" s="1"/>
    </row>
    <row r="3626" ht="15.75" customHeight="1">
      <c r="A3626" s="1" t="s">
        <v>340</v>
      </c>
      <c r="B3626" s="1" t="s">
        <v>77</v>
      </c>
      <c r="C3626" s="1" t="s">
        <v>491</v>
      </c>
      <c r="U3626" s="1"/>
    </row>
    <row r="3627" ht="15.75" customHeight="1">
      <c r="A3627" s="1" t="s">
        <v>340</v>
      </c>
      <c r="B3627" s="1" t="s">
        <v>158</v>
      </c>
      <c r="C3627" s="1" t="s">
        <v>1317</v>
      </c>
      <c r="U3627" s="1"/>
    </row>
    <row r="3628" ht="15.75" customHeight="1">
      <c r="A3628" s="1" t="s">
        <v>340</v>
      </c>
      <c r="B3628" s="1" t="s">
        <v>1400</v>
      </c>
      <c r="C3628" s="1" t="s">
        <v>2262</v>
      </c>
      <c r="U3628" s="1"/>
    </row>
    <row r="3629" ht="15.75" customHeight="1">
      <c r="A3629" s="1" t="s">
        <v>343</v>
      </c>
      <c r="B3629" s="1" t="s">
        <v>158</v>
      </c>
      <c r="C3629" s="1" t="s">
        <v>949</v>
      </c>
      <c r="U3629" s="1"/>
    </row>
    <row r="3630" ht="15.75" customHeight="1">
      <c r="A3630" s="1" t="s">
        <v>343</v>
      </c>
      <c r="B3630" s="1" t="s">
        <v>1093</v>
      </c>
      <c r="C3630" s="1" t="s">
        <v>1480</v>
      </c>
      <c r="U3630" s="1"/>
    </row>
    <row r="3631" ht="15.75" customHeight="1">
      <c r="A3631" s="1" t="s">
        <v>343</v>
      </c>
      <c r="B3631" s="1" t="s">
        <v>1410</v>
      </c>
      <c r="C3631" s="1" t="s">
        <v>1834</v>
      </c>
      <c r="U3631" s="1"/>
    </row>
    <row r="3632" ht="15.75" customHeight="1">
      <c r="A3632" s="1" t="s">
        <v>343</v>
      </c>
      <c r="B3632" s="1" t="s">
        <v>1492</v>
      </c>
      <c r="C3632" s="1" t="s">
        <v>1845</v>
      </c>
      <c r="U3632" s="1"/>
    </row>
    <row r="3633" ht="15.75" customHeight="1">
      <c r="A3633" s="1" t="s">
        <v>345</v>
      </c>
      <c r="B3633" s="1" t="s">
        <v>378</v>
      </c>
      <c r="C3633" s="1" t="s">
        <v>1038</v>
      </c>
      <c r="U3633" s="1"/>
    </row>
    <row r="3634" ht="15.75" customHeight="1">
      <c r="A3634" s="1" t="s">
        <v>345</v>
      </c>
      <c r="B3634" s="1" t="s">
        <v>403</v>
      </c>
      <c r="C3634" s="1" t="s">
        <v>1041</v>
      </c>
      <c r="U3634" s="1"/>
    </row>
    <row r="3635" ht="15.75" customHeight="1">
      <c r="A3635" s="1" t="s">
        <v>345</v>
      </c>
      <c r="B3635" s="1" t="s">
        <v>403</v>
      </c>
      <c r="C3635" s="1" t="s">
        <v>1041</v>
      </c>
      <c r="U3635" s="1"/>
    </row>
    <row r="3636" ht="15.75" customHeight="1">
      <c r="A3636" s="1" t="s">
        <v>345</v>
      </c>
      <c r="B3636" s="1" t="s">
        <v>403</v>
      </c>
      <c r="C3636" s="1" t="s">
        <v>1046</v>
      </c>
      <c r="U3636" s="1"/>
    </row>
    <row r="3637" ht="15.75" customHeight="1">
      <c r="A3637" s="1" t="s">
        <v>347</v>
      </c>
      <c r="B3637" s="1" t="s">
        <v>29</v>
      </c>
      <c r="C3637" s="1" t="s">
        <v>1198</v>
      </c>
      <c r="U3637" s="1"/>
    </row>
    <row r="3638" ht="15.75" customHeight="1">
      <c r="A3638" s="1" t="s">
        <v>347</v>
      </c>
      <c r="B3638" s="1" t="s">
        <v>330</v>
      </c>
      <c r="C3638" s="1" t="s">
        <v>1245</v>
      </c>
      <c r="U3638" s="1"/>
    </row>
    <row r="3639" ht="15.75" customHeight="1">
      <c r="A3639" s="1" t="s">
        <v>347</v>
      </c>
      <c r="B3639" s="1" t="s">
        <v>378</v>
      </c>
      <c r="C3639" s="1" t="s">
        <v>2101</v>
      </c>
      <c r="U3639" s="1"/>
    </row>
    <row r="3640" ht="15.75" customHeight="1">
      <c r="A3640" s="1" t="s">
        <v>349</v>
      </c>
      <c r="B3640" s="1" t="s">
        <v>77</v>
      </c>
      <c r="C3640" s="1" t="s">
        <v>478</v>
      </c>
      <c r="U3640" s="1"/>
    </row>
    <row r="3641" ht="15.75" customHeight="1">
      <c r="A3641" s="1" t="s">
        <v>349</v>
      </c>
      <c r="B3641" s="1" t="s">
        <v>77</v>
      </c>
      <c r="C3641" s="1" t="s">
        <v>497</v>
      </c>
      <c r="U3641" s="1"/>
    </row>
    <row r="3642" ht="15.75" customHeight="1">
      <c r="A3642" s="1" t="s">
        <v>349</v>
      </c>
      <c r="B3642" s="1" t="s">
        <v>77</v>
      </c>
      <c r="C3642" s="1" t="s">
        <v>501</v>
      </c>
      <c r="U3642" s="1"/>
    </row>
    <row r="3643" ht="15.75" customHeight="1">
      <c r="A3643" s="1" t="s">
        <v>351</v>
      </c>
      <c r="B3643" s="1" t="s">
        <v>77</v>
      </c>
      <c r="C3643" s="1" t="s">
        <v>1510</v>
      </c>
      <c r="U3643" s="1"/>
    </row>
    <row r="3644" ht="15.75" customHeight="1">
      <c r="A3644" s="1" t="s">
        <v>351</v>
      </c>
      <c r="B3644" s="1" t="s">
        <v>77</v>
      </c>
      <c r="C3644" s="1" t="s">
        <v>1519</v>
      </c>
      <c r="U3644" s="1"/>
    </row>
    <row r="3645" ht="15.75" customHeight="1">
      <c r="A3645" s="1" t="s">
        <v>351</v>
      </c>
      <c r="B3645" s="1" t="s">
        <v>77</v>
      </c>
      <c r="C3645" s="1" t="s">
        <v>1445</v>
      </c>
      <c r="U3645" s="1"/>
    </row>
    <row r="3646" ht="15.75" customHeight="1">
      <c r="A3646" s="1" t="s">
        <v>353</v>
      </c>
      <c r="B3646" s="1" t="s">
        <v>1748</v>
      </c>
      <c r="C3646" s="1" t="s">
        <v>1874</v>
      </c>
      <c r="U3646" s="1"/>
    </row>
    <row r="3647" ht="15.75" customHeight="1">
      <c r="A3647" s="1" t="s">
        <v>353</v>
      </c>
      <c r="B3647" s="1" t="s">
        <v>1748</v>
      </c>
      <c r="C3647" s="1" t="s">
        <v>1879</v>
      </c>
      <c r="U3647" s="1"/>
    </row>
    <row r="3648" ht="15.75" customHeight="1">
      <c r="A3648" s="1" t="s">
        <v>353</v>
      </c>
      <c r="B3648" s="1" t="s">
        <v>1763</v>
      </c>
      <c r="C3648" s="1" t="s">
        <v>2263</v>
      </c>
      <c r="U3648" s="1"/>
    </row>
    <row r="3649" ht="15.75" customHeight="1">
      <c r="A3649" s="1" t="s">
        <v>355</v>
      </c>
      <c r="B3649" s="1" t="s">
        <v>29</v>
      </c>
      <c r="C3649" s="1" t="s">
        <v>59</v>
      </c>
      <c r="U3649" s="1"/>
    </row>
    <row r="3650" ht="15.75" customHeight="1">
      <c r="A3650" s="1" t="s">
        <v>355</v>
      </c>
      <c r="B3650" s="1" t="s">
        <v>330</v>
      </c>
      <c r="C3650" s="1" t="s">
        <v>1540</v>
      </c>
      <c r="U3650" s="1"/>
    </row>
    <row r="3651" ht="15.75" customHeight="1">
      <c r="A3651" s="1" t="s">
        <v>355</v>
      </c>
      <c r="B3651" s="1" t="s">
        <v>378</v>
      </c>
      <c r="C3651" s="1" t="s">
        <v>1554</v>
      </c>
      <c r="U3651" s="1"/>
    </row>
    <row r="3652" ht="15.75" customHeight="1">
      <c r="A3652" s="1" t="s">
        <v>357</v>
      </c>
      <c r="B3652" s="1" t="s">
        <v>29</v>
      </c>
      <c r="C3652" s="1" t="s">
        <v>1257</v>
      </c>
      <c r="U3652" s="1"/>
    </row>
    <row r="3653" ht="15.75" customHeight="1">
      <c r="A3653" s="1" t="s">
        <v>357</v>
      </c>
      <c r="B3653" s="1" t="s">
        <v>29</v>
      </c>
      <c r="C3653" s="1" t="s">
        <v>1270</v>
      </c>
      <c r="U3653" s="1"/>
    </row>
    <row r="3654" ht="15.75" customHeight="1">
      <c r="A3654" s="1" t="s">
        <v>357</v>
      </c>
      <c r="B3654" s="1" t="s">
        <v>1410</v>
      </c>
      <c r="C3654" s="1" t="s">
        <v>2221</v>
      </c>
      <c r="U3654" s="1"/>
    </row>
    <row r="3655" ht="15.75" customHeight="1">
      <c r="A3655" s="1" t="s">
        <v>359</v>
      </c>
      <c r="B3655" s="1" t="s">
        <v>29</v>
      </c>
      <c r="C3655" s="1" t="s">
        <v>1129</v>
      </c>
      <c r="U3655" s="1"/>
    </row>
    <row r="3656" ht="15.75" customHeight="1">
      <c r="A3656" s="1" t="s">
        <v>359</v>
      </c>
      <c r="B3656" s="1" t="s">
        <v>158</v>
      </c>
      <c r="C3656" s="1" t="s">
        <v>1931</v>
      </c>
      <c r="U3656" s="1"/>
    </row>
    <row r="3657" ht="15.75" customHeight="1">
      <c r="A3657" s="1" t="s">
        <v>359</v>
      </c>
      <c r="B3657" s="1" t="s">
        <v>403</v>
      </c>
      <c r="C3657" s="1" t="s">
        <v>2027</v>
      </c>
      <c r="U3657" s="1"/>
    </row>
    <row r="3658" ht="15.75" customHeight="1">
      <c r="A3658" s="1" t="s">
        <v>362</v>
      </c>
      <c r="B3658" s="1" t="s">
        <v>77</v>
      </c>
      <c r="C3658" s="1" t="s">
        <v>1607</v>
      </c>
      <c r="U3658" s="1"/>
    </row>
    <row r="3659" ht="15.75" customHeight="1">
      <c r="A3659" s="1" t="s">
        <v>362</v>
      </c>
      <c r="B3659" s="1" t="s">
        <v>158</v>
      </c>
      <c r="C3659" s="1" t="s">
        <v>1238</v>
      </c>
      <c r="U3659" s="1"/>
    </row>
    <row r="3660" ht="15.75" customHeight="1">
      <c r="A3660" s="1" t="s">
        <v>362</v>
      </c>
      <c r="B3660" s="1" t="s">
        <v>330</v>
      </c>
      <c r="C3660" s="1" t="s">
        <v>1617</v>
      </c>
      <c r="U3660" s="1"/>
    </row>
    <row r="3661" ht="15.75" customHeight="1">
      <c r="A3661" s="1" t="s">
        <v>365</v>
      </c>
      <c r="B3661" s="1" t="s">
        <v>6</v>
      </c>
      <c r="C3661" s="1" t="s">
        <v>1117</v>
      </c>
      <c r="U3661" s="1"/>
    </row>
    <row r="3662" ht="15.75" customHeight="1">
      <c r="A3662" s="1" t="s">
        <v>365</v>
      </c>
      <c r="B3662" s="1" t="s">
        <v>1848</v>
      </c>
      <c r="C3662" s="1" t="s">
        <v>2105</v>
      </c>
      <c r="U3662" s="1"/>
    </row>
    <row r="3663" ht="15.75" customHeight="1">
      <c r="A3663" s="1" t="s">
        <v>365</v>
      </c>
      <c r="B3663" s="1" t="s">
        <v>1848</v>
      </c>
      <c r="C3663" s="1" t="s">
        <v>2264</v>
      </c>
      <c r="U3663" s="1"/>
    </row>
    <row r="3664" ht="15.75" customHeight="1">
      <c r="A3664" s="1" t="s">
        <v>367</v>
      </c>
      <c r="B3664" s="1" t="s">
        <v>29</v>
      </c>
      <c r="C3664" s="1" t="s">
        <v>1134</v>
      </c>
      <c r="U3664" s="1"/>
    </row>
    <row r="3665" ht="15.75" customHeight="1">
      <c r="A3665" s="1" t="s">
        <v>367</v>
      </c>
      <c r="B3665" s="1" t="s">
        <v>158</v>
      </c>
      <c r="C3665" s="1" t="s">
        <v>1181</v>
      </c>
      <c r="U3665" s="1"/>
    </row>
    <row r="3666" ht="15.75" customHeight="1">
      <c r="A3666" s="1" t="s">
        <v>367</v>
      </c>
      <c r="B3666" s="1" t="s">
        <v>1848</v>
      </c>
      <c r="C3666" s="1" t="s">
        <v>2071</v>
      </c>
      <c r="U3666" s="1"/>
    </row>
    <row r="3667" ht="15.75" customHeight="1">
      <c r="A3667" s="1" t="s">
        <v>369</v>
      </c>
      <c r="B3667" s="1" t="s">
        <v>158</v>
      </c>
      <c r="C3667" s="1" t="s">
        <v>939</v>
      </c>
      <c r="U3667" s="1"/>
    </row>
    <row r="3668" ht="15.75" customHeight="1">
      <c r="A3668" s="1" t="s">
        <v>369</v>
      </c>
      <c r="B3668" s="1" t="s">
        <v>330</v>
      </c>
      <c r="C3668" s="1" t="s">
        <v>951</v>
      </c>
      <c r="U3668" s="1"/>
    </row>
    <row r="3669" ht="15.75" customHeight="1">
      <c r="A3669" s="1" t="s">
        <v>369</v>
      </c>
      <c r="B3669" s="1" t="s">
        <v>378</v>
      </c>
      <c r="C3669" s="1" t="s">
        <v>974</v>
      </c>
      <c r="U3669" s="1"/>
    </row>
    <row r="3670" ht="15.75" customHeight="1">
      <c r="A3670" s="1" t="s">
        <v>371</v>
      </c>
      <c r="B3670" s="1" t="s">
        <v>1093</v>
      </c>
      <c r="C3670" s="1" t="s">
        <v>1996</v>
      </c>
      <c r="U3670" s="1"/>
    </row>
    <row r="3671" ht="15.75" customHeight="1">
      <c r="A3671" s="1" t="s">
        <v>371</v>
      </c>
      <c r="B3671" s="1" t="s">
        <v>1410</v>
      </c>
      <c r="C3671" s="1" t="s">
        <v>1808</v>
      </c>
      <c r="U3671" s="1"/>
    </row>
    <row r="3672" ht="15.75" customHeight="1">
      <c r="A3672" s="1" t="s">
        <v>371</v>
      </c>
      <c r="B3672" s="1" t="s">
        <v>1410</v>
      </c>
      <c r="C3672" s="1" t="s">
        <v>2265</v>
      </c>
      <c r="U3672" s="1"/>
    </row>
    <row r="3673" ht="15.75" customHeight="1">
      <c r="A3673" s="1" t="s">
        <v>373</v>
      </c>
      <c r="B3673" s="1" t="s">
        <v>29</v>
      </c>
      <c r="C3673" s="1" t="s">
        <v>1259</v>
      </c>
      <c r="U3673" s="1"/>
    </row>
    <row r="3674" ht="15.75" customHeight="1">
      <c r="A3674" s="1" t="s">
        <v>373</v>
      </c>
      <c r="B3674" s="1" t="s">
        <v>29</v>
      </c>
      <c r="C3674" s="1" t="s">
        <v>1270</v>
      </c>
      <c r="U3674" s="1"/>
    </row>
    <row r="3675" ht="15.75" customHeight="1">
      <c r="A3675" s="1" t="s">
        <v>373</v>
      </c>
      <c r="B3675" s="1" t="s">
        <v>77</v>
      </c>
      <c r="C3675" s="1" t="s">
        <v>1281</v>
      </c>
      <c r="U3675" s="1"/>
    </row>
    <row r="3676" ht="15.75" customHeight="1">
      <c r="A3676" s="1" t="s">
        <v>375</v>
      </c>
      <c r="B3676" s="1" t="s">
        <v>6</v>
      </c>
      <c r="C3676" s="1" t="s">
        <v>21</v>
      </c>
      <c r="U3676" s="1"/>
    </row>
    <row r="3677" ht="15.75" customHeight="1">
      <c r="A3677" s="1" t="s">
        <v>375</v>
      </c>
      <c r="B3677" s="1" t="s">
        <v>77</v>
      </c>
      <c r="C3677" s="1" t="s">
        <v>926</v>
      </c>
      <c r="U3677" s="1"/>
    </row>
    <row r="3678" ht="15.75" customHeight="1">
      <c r="A3678" s="1" t="s">
        <v>375</v>
      </c>
      <c r="B3678" s="1" t="s">
        <v>77</v>
      </c>
      <c r="C3678" s="1" t="s">
        <v>930</v>
      </c>
      <c r="U3678" s="1"/>
    </row>
    <row r="3679" ht="15.75" customHeight="1">
      <c r="A3679" s="1" t="s">
        <v>377</v>
      </c>
      <c r="B3679" s="1" t="s">
        <v>158</v>
      </c>
      <c r="C3679" s="1" t="s">
        <v>1174</v>
      </c>
      <c r="U3679" s="1"/>
    </row>
    <row r="3680" ht="15.75" customHeight="1">
      <c r="A3680" s="1" t="s">
        <v>377</v>
      </c>
      <c r="B3680" s="1" t="s">
        <v>158</v>
      </c>
      <c r="C3680" s="1" t="s">
        <v>1186</v>
      </c>
      <c r="U3680" s="1"/>
    </row>
    <row r="3681" ht="15.75" customHeight="1">
      <c r="A3681" s="1" t="s">
        <v>377</v>
      </c>
      <c r="B3681" s="1" t="s">
        <v>158</v>
      </c>
      <c r="C3681" s="1" t="s">
        <v>2018</v>
      </c>
      <c r="U3681" s="1"/>
    </row>
    <row r="3682" ht="15.75" customHeight="1">
      <c r="A3682" s="1" t="s">
        <v>380</v>
      </c>
      <c r="B3682" s="1" t="s">
        <v>29</v>
      </c>
      <c r="C3682" s="1" t="s">
        <v>1259</v>
      </c>
      <c r="U3682" s="1"/>
    </row>
    <row r="3683" ht="15.75" customHeight="1">
      <c r="A3683" s="1" t="s">
        <v>380</v>
      </c>
      <c r="B3683" s="1" t="s">
        <v>77</v>
      </c>
      <c r="C3683" s="1" t="s">
        <v>1281</v>
      </c>
      <c r="U3683" s="1"/>
    </row>
    <row r="3684" ht="15.75" customHeight="1">
      <c r="A3684" s="1" t="s">
        <v>380</v>
      </c>
      <c r="B3684" s="1" t="s">
        <v>330</v>
      </c>
      <c r="C3684" s="1" t="s">
        <v>957</v>
      </c>
      <c r="U3684" s="1"/>
    </row>
    <row r="3685" ht="15.75" customHeight="1">
      <c r="A3685" s="1" t="s">
        <v>382</v>
      </c>
      <c r="B3685" s="1" t="s">
        <v>6</v>
      </c>
      <c r="C3685" s="1" t="s">
        <v>1433</v>
      </c>
      <c r="U3685" s="1"/>
    </row>
    <row r="3686" ht="15.75" customHeight="1">
      <c r="A3686" s="1" t="s">
        <v>382</v>
      </c>
      <c r="B3686" s="1" t="s">
        <v>330</v>
      </c>
      <c r="C3686" s="1" t="s">
        <v>1683</v>
      </c>
      <c r="U3686" s="1"/>
    </row>
    <row r="3687" ht="15.75" customHeight="1">
      <c r="A3687" s="1" t="s">
        <v>382</v>
      </c>
      <c r="B3687" s="1" t="s">
        <v>330</v>
      </c>
      <c r="C3687" s="1" t="s">
        <v>1686</v>
      </c>
      <c r="U3687" s="1"/>
    </row>
    <row r="3688" ht="15.75" customHeight="1">
      <c r="A3688" s="1" t="s">
        <v>384</v>
      </c>
      <c r="B3688" s="1" t="s">
        <v>77</v>
      </c>
      <c r="C3688" s="1" t="s">
        <v>1151</v>
      </c>
      <c r="U3688" s="1"/>
    </row>
    <row r="3689" ht="15.75" customHeight="1">
      <c r="A3689" s="1" t="s">
        <v>384</v>
      </c>
      <c r="B3689" s="1" t="s">
        <v>158</v>
      </c>
      <c r="C3689" s="1" t="s">
        <v>1173</v>
      </c>
      <c r="U3689" s="1"/>
    </row>
    <row r="3690" ht="15.75" customHeight="1">
      <c r="A3690" s="1" t="s">
        <v>384</v>
      </c>
      <c r="B3690" s="1" t="s">
        <v>158</v>
      </c>
      <c r="C3690" s="1" t="s">
        <v>2074</v>
      </c>
      <c r="U3690" s="1"/>
    </row>
    <row r="3691" ht="15.75" customHeight="1">
      <c r="A3691" s="1" t="s">
        <v>386</v>
      </c>
      <c r="B3691" s="1" t="s">
        <v>1410</v>
      </c>
      <c r="C3691" s="1" t="s">
        <v>1802</v>
      </c>
      <c r="U3691" s="1"/>
    </row>
    <row r="3692" ht="15.75" customHeight="1">
      <c r="A3692" s="1" t="s">
        <v>386</v>
      </c>
      <c r="B3692" s="1" t="s">
        <v>1410</v>
      </c>
      <c r="C3692" s="1" t="s">
        <v>1809</v>
      </c>
      <c r="U3692" s="1"/>
    </row>
    <row r="3693" ht="15.75" customHeight="1">
      <c r="A3693" s="1" t="s">
        <v>386</v>
      </c>
      <c r="B3693" s="1" t="s">
        <v>1425</v>
      </c>
      <c r="C3693" s="1" t="s">
        <v>1816</v>
      </c>
      <c r="U3693" s="1"/>
    </row>
    <row r="3694" ht="15.75" customHeight="1">
      <c r="A3694" s="1" t="s">
        <v>388</v>
      </c>
      <c r="B3694" s="1" t="s">
        <v>29</v>
      </c>
      <c r="C3694" s="1" t="s">
        <v>1259</v>
      </c>
      <c r="U3694" s="1"/>
    </row>
    <row r="3695" ht="15.75" customHeight="1">
      <c r="A3695" s="1" t="s">
        <v>388</v>
      </c>
      <c r="B3695" s="1" t="s">
        <v>77</v>
      </c>
      <c r="C3695" s="1" t="s">
        <v>1281</v>
      </c>
      <c r="U3695" s="1"/>
    </row>
    <row r="3696" ht="15.75" customHeight="1">
      <c r="A3696" s="1" t="s">
        <v>388</v>
      </c>
      <c r="B3696" s="1" t="s">
        <v>1763</v>
      </c>
      <c r="C3696" s="1" t="s">
        <v>2266</v>
      </c>
      <c r="U3696" s="1"/>
    </row>
    <row r="3697" ht="15.75" customHeight="1">
      <c r="A3697" s="1" t="s">
        <v>390</v>
      </c>
      <c r="B3697" s="1" t="s">
        <v>29</v>
      </c>
      <c r="C3697" s="1" t="s">
        <v>1259</v>
      </c>
      <c r="U3697" s="1"/>
    </row>
    <row r="3698" ht="15.75" customHeight="1">
      <c r="A3698" s="1" t="s">
        <v>390</v>
      </c>
      <c r="B3698" s="1" t="s">
        <v>77</v>
      </c>
      <c r="C3698" s="1" t="s">
        <v>1607</v>
      </c>
      <c r="U3698" s="1"/>
    </row>
    <row r="3699" ht="15.75" customHeight="1">
      <c r="A3699" s="1" t="s">
        <v>390</v>
      </c>
      <c r="B3699" s="1" t="s">
        <v>378</v>
      </c>
      <c r="C3699" s="1" t="s">
        <v>975</v>
      </c>
      <c r="U3699" s="1"/>
    </row>
    <row r="3700" ht="15.75" customHeight="1">
      <c r="A3700" s="1" t="s">
        <v>392</v>
      </c>
      <c r="B3700" s="1" t="s">
        <v>29</v>
      </c>
      <c r="C3700" s="1" t="s">
        <v>1659</v>
      </c>
      <c r="U3700" s="1"/>
    </row>
    <row r="3701" ht="15.75" customHeight="1">
      <c r="A3701" s="1" t="s">
        <v>392</v>
      </c>
      <c r="B3701" s="1" t="s">
        <v>29</v>
      </c>
      <c r="C3701" s="1" t="s">
        <v>1661</v>
      </c>
      <c r="U3701" s="1"/>
    </row>
    <row r="3702" ht="15.75" customHeight="1">
      <c r="A3702" s="1" t="s">
        <v>392</v>
      </c>
      <c r="B3702" s="1" t="s">
        <v>29</v>
      </c>
      <c r="C3702" s="1" t="s">
        <v>1662</v>
      </c>
      <c r="U3702" s="1"/>
    </row>
    <row r="3703" ht="15.75" customHeight="1">
      <c r="A3703" s="1" t="s">
        <v>394</v>
      </c>
      <c r="B3703" s="1" t="s">
        <v>6</v>
      </c>
      <c r="C3703" s="1" t="s">
        <v>1117</v>
      </c>
      <c r="U3703" s="1"/>
    </row>
    <row r="3704" ht="15.75" customHeight="1">
      <c r="A3704" s="1" t="s">
        <v>394</v>
      </c>
      <c r="B3704" s="1" t="s">
        <v>29</v>
      </c>
      <c r="C3704" s="1" t="s">
        <v>1132</v>
      </c>
      <c r="U3704" s="1"/>
    </row>
    <row r="3705" ht="15.75" customHeight="1">
      <c r="A3705" s="1" t="s">
        <v>394</v>
      </c>
      <c r="B3705" s="1" t="s">
        <v>29</v>
      </c>
      <c r="C3705" s="1" t="s">
        <v>1150</v>
      </c>
      <c r="U3705" s="1"/>
    </row>
    <row r="3706" ht="15.75" customHeight="1">
      <c r="A3706" s="1" t="s">
        <v>396</v>
      </c>
      <c r="B3706" s="1" t="s">
        <v>6</v>
      </c>
      <c r="C3706" s="1" t="s">
        <v>1248</v>
      </c>
      <c r="U3706" s="1"/>
    </row>
    <row r="3707" ht="15.75" customHeight="1">
      <c r="A3707" s="1" t="s">
        <v>396</v>
      </c>
      <c r="B3707" s="1" t="s">
        <v>6</v>
      </c>
      <c r="C3707" s="1" t="s">
        <v>1253</v>
      </c>
      <c r="U3707" s="1"/>
    </row>
    <row r="3708" ht="15.75" customHeight="1">
      <c r="A3708" s="1" t="s">
        <v>396</v>
      </c>
      <c r="B3708" s="1" t="s">
        <v>77</v>
      </c>
      <c r="C3708" s="1" t="s">
        <v>936</v>
      </c>
      <c r="U3708" s="1"/>
    </row>
    <row r="3709" ht="15.75" customHeight="1">
      <c r="A3709" s="1" t="s">
        <v>398</v>
      </c>
      <c r="B3709" s="1" t="s">
        <v>378</v>
      </c>
      <c r="C3709" s="1" t="s">
        <v>383</v>
      </c>
      <c r="U3709" s="1"/>
    </row>
    <row r="3710" ht="15.75" customHeight="1">
      <c r="A3710" s="1" t="s">
        <v>398</v>
      </c>
      <c r="B3710" s="1" t="s">
        <v>1071</v>
      </c>
      <c r="C3710" s="1" t="s">
        <v>2080</v>
      </c>
      <c r="U3710" s="1"/>
    </row>
    <row r="3711" ht="15.75" customHeight="1">
      <c r="A3711" s="1" t="s">
        <v>398</v>
      </c>
      <c r="B3711" s="1" t="s">
        <v>1400</v>
      </c>
      <c r="C3711" s="1" t="s">
        <v>2267</v>
      </c>
      <c r="U3711" s="1"/>
    </row>
    <row r="3712" ht="15.75" customHeight="1">
      <c r="A3712" s="1" t="s">
        <v>400</v>
      </c>
      <c r="B3712" s="1" t="s">
        <v>77</v>
      </c>
      <c r="C3712" s="1" t="s">
        <v>462</v>
      </c>
      <c r="U3712" s="1"/>
    </row>
    <row r="3713" ht="15.75" customHeight="1">
      <c r="A3713" s="1" t="s">
        <v>400</v>
      </c>
      <c r="B3713" s="1" t="s">
        <v>77</v>
      </c>
      <c r="C3713" s="1" t="s">
        <v>478</v>
      </c>
      <c r="U3713" s="1"/>
    </row>
    <row r="3714" ht="15.75" customHeight="1">
      <c r="A3714" s="1" t="s">
        <v>400</v>
      </c>
      <c r="B3714" s="1" t="s">
        <v>77</v>
      </c>
      <c r="C3714" s="1" t="s">
        <v>483</v>
      </c>
      <c r="U3714" s="1"/>
    </row>
    <row r="3715" ht="15.75" customHeight="1">
      <c r="A3715" s="1" t="s">
        <v>402</v>
      </c>
      <c r="B3715" s="1" t="s">
        <v>29</v>
      </c>
      <c r="C3715" s="1" t="s">
        <v>452</v>
      </c>
      <c r="U3715" s="1"/>
    </row>
    <row r="3716" ht="15.75" customHeight="1">
      <c r="A3716" s="1" t="s">
        <v>402</v>
      </c>
      <c r="B3716" s="1" t="s">
        <v>77</v>
      </c>
      <c r="C3716" s="1" t="s">
        <v>476</v>
      </c>
      <c r="U3716" s="1"/>
    </row>
    <row r="3717" ht="15.75" customHeight="1">
      <c r="A3717" s="1" t="s">
        <v>402</v>
      </c>
      <c r="B3717" s="1" t="s">
        <v>1410</v>
      </c>
      <c r="C3717" s="1" t="s">
        <v>2268</v>
      </c>
      <c r="U3717" s="1"/>
    </row>
    <row r="3718" ht="15.75" customHeight="1">
      <c r="A3718" s="1" t="s">
        <v>405</v>
      </c>
      <c r="B3718" s="1" t="s">
        <v>29</v>
      </c>
      <c r="C3718" s="1" t="s">
        <v>1500</v>
      </c>
      <c r="U3718" s="1"/>
    </row>
    <row r="3719" ht="15.75" customHeight="1">
      <c r="A3719" s="1" t="s">
        <v>405</v>
      </c>
      <c r="B3719" s="1" t="s">
        <v>77</v>
      </c>
      <c r="C3719" s="1" t="s">
        <v>802</v>
      </c>
      <c r="U3719" s="1"/>
    </row>
    <row r="3720" ht="15.75" customHeight="1">
      <c r="A3720" s="1" t="s">
        <v>405</v>
      </c>
      <c r="B3720" s="1" t="s">
        <v>330</v>
      </c>
      <c r="C3720" s="1" t="s">
        <v>896</v>
      </c>
      <c r="U3720" s="1"/>
    </row>
    <row r="3721" ht="15.75" customHeight="1">
      <c r="A3721" s="1" t="s">
        <v>407</v>
      </c>
      <c r="B3721" s="1" t="s">
        <v>77</v>
      </c>
      <c r="C3721" s="1" t="s">
        <v>1515</v>
      </c>
      <c r="U3721" s="1"/>
    </row>
    <row r="3722" ht="15.75" customHeight="1">
      <c r="A3722" s="1" t="s">
        <v>407</v>
      </c>
      <c r="B3722" s="1" t="s">
        <v>77</v>
      </c>
      <c r="C3722" s="1" t="s">
        <v>1519</v>
      </c>
      <c r="U3722" s="1"/>
    </row>
    <row r="3723" ht="15.75" customHeight="1">
      <c r="A3723" s="1" t="s">
        <v>407</v>
      </c>
      <c r="B3723" s="1" t="s">
        <v>158</v>
      </c>
      <c r="C3723" s="1" t="s">
        <v>1535</v>
      </c>
      <c r="U3723" s="1"/>
    </row>
    <row r="3724" ht="15.75" customHeight="1">
      <c r="A3724" s="1" t="s">
        <v>409</v>
      </c>
      <c r="B3724" s="1" t="s">
        <v>29</v>
      </c>
      <c r="C3724" s="1" t="s">
        <v>1262</v>
      </c>
      <c r="U3724" s="1"/>
    </row>
    <row r="3725" ht="15.75" customHeight="1">
      <c r="A3725" s="1" t="s">
        <v>409</v>
      </c>
      <c r="B3725" s="1" t="s">
        <v>29</v>
      </c>
      <c r="C3725" s="1" t="s">
        <v>1270</v>
      </c>
      <c r="U3725" s="1"/>
    </row>
    <row r="3726" ht="15.75" customHeight="1">
      <c r="A3726" s="1" t="s">
        <v>409</v>
      </c>
      <c r="B3726" s="1" t="s">
        <v>77</v>
      </c>
      <c r="C3726" s="1" t="s">
        <v>505</v>
      </c>
      <c r="U3726" s="1"/>
    </row>
    <row r="3727" ht="15.75" customHeight="1">
      <c r="A3727" s="1" t="s">
        <v>411</v>
      </c>
      <c r="B3727" s="1" t="s">
        <v>6</v>
      </c>
      <c r="C3727" s="1" t="s">
        <v>1248</v>
      </c>
      <c r="U3727" s="1"/>
    </row>
    <row r="3728" ht="15.75" customHeight="1">
      <c r="A3728" s="1" t="s">
        <v>411</v>
      </c>
      <c r="B3728" s="1" t="s">
        <v>6</v>
      </c>
      <c r="C3728" s="1" t="s">
        <v>1253</v>
      </c>
      <c r="U3728" s="1"/>
    </row>
    <row r="3729" ht="15.75" customHeight="1">
      <c r="A3729" s="1" t="s">
        <v>411</v>
      </c>
      <c r="B3729" s="1" t="s">
        <v>29</v>
      </c>
      <c r="C3729" s="1" t="s">
        <v>1264</v>
      </c>
      <c r="U3729" s="1"/>
    </row>
    <row r="3730" ht="15.75" customHeight="1">
      <c r="A3730" s="1" t="s">
        <v>413</v>
      </c>
      <c r="B3730" s="1" t="s">
        <v>29</v>
      </c>
      <c r="C3730" s="1" t="s">
        <v>1196</v>
      </c>
      <c r="U3730" s="1"/>
    </row>
    <row r="3731" ht="15.75" customHeight="1">
      <c r="A3731" s="1" t="s">
        <v>413</v>
      </c>
      <c r="B3731" s="1" t="s">
        <v>29</v>
      </c>
      <c r="C3731" s="1" t="s">
        <v>1201</v>
      </c>
      <c r="U3731" s="1"/>
    </row>
    <row r="3732" ht="15.75" customHeight="1">
      <c r="A3732" s="1" t="s">
        <v>413</v>
      </c>
      <c r="B3732" s="1" t="s">
        <v>378</v>
      </c>
      <c r="C3732" s="1" t="s">
        <v>1894</v>
      </c>
      <c r="U3732" s="1"/>
    </row>
    <row r="3733" ht="15.75" customHeight="1">
      <c r="A3733" s="1" t="s">
        <v>415</v>
      </c>
      <c r="B3733" s="1" t="s">
        <v>6</v>
      </c>
      <c r="C3733" s="1" t="s">
        <v>21</v>
      </c>
      <c r="U3733" s="1"/>
    </row>
    <row r="3734" ht="15.75" customHeight="1">
      <c r="A3734" s="1" t="s">
        <v>415</v>
      </c>
      <c r="B3734" s="1" t="s">
        <v>29</v>
      </c>
      <c r="C3734" s="1" t="s">
        <v>35</v>
      </c>
      <c r="U3734" s="1"/>
    </row>
    <row r="3735" ht="15.75" customHeight="1">
      <c r="A3735" s="1" t="s">
        <v>415</v>
      </c>
      <c r="B3735" s="1" t="s">
        <v>997</v>
      </c>
      <c r="C3735" s="1" t="s">
        <v>2269</v>
      </c>
      <c r="U3735" s="1"/>
    </row>
    <row r="3736" ht="15.75" customHeight="1">
      <c r="A3736" s="1" t="s">
        <v>417</v>
      </c>
      <c r="B3736" s="1" t="s">
        <v>6</v>
      </c>
      <c r="C3736" s="1" t="s">
        <v>1117</v>
      </c>
      <c r="U3736" s="1"/>
    </row>
    <row r="3737" ht="15.75" customHeight="1">
      <c r="A3737" s="1" t="s">
        <v>417</v>
      </c>
      <c r="B3737" s="1" t="s">
        <v>997</v>
      </c>
      <c r="C3737" s="1" t="s">
        <v>1643</v>
      </c>
      <c r="U3737" s="1"/>
    </row>
    <row r="3738" ht="15.75" customHeight="1">
      <c r="A3738" s="1" t="s">
        <v>417</v>
      </c>
      <c r="B3738" s="1" t="s">
        <v>1093</v>
      </c>
      <c r="C3738" s="1" t="s">
        <v>2270</v>
      </c>
      <c r="U3738" s="1"/>
    </row>
    <row r="3739" ht="15.75" customHeight="1">
      <c r="A3739" s="1" t="s">
        <v>419</v>
      </c>
      <c r="B3739" s="1" t="s">
        <v>29</v>
      </c>
      <c r="C3739" s="1" t="s">
        <v>1189</v>
      </c>
      <c r="U3739" s="1"/>
    </row>
    <row r="3740" ht="15.75" customHeight="1">
      <c r="A3740" s="1" t="s">
        <v>419</v>
      </c>
      <c r="B3740" s="1" t="s">
        <v>77</v>
      </c>
      <c r="C3740" s="1" t="s">
        <v>1225</v>
      </c>
      <c r="U3740" s="1"/>
    </row>
    <row r="3741" ht="15.75" customHeight="1">
      <c r="A3741" s="1" t="s">
        <v>419</v>
      </c>
      <c r="B3741" s="1" t="s">
        <v>378</v>
      </c>
      <c r="C3741" s="1" t="s">
        <v>1894</v>
      </c>
      <c r="U3741" s="1"/>
    </row>
    <row r="3742" ht="15.75" customHeight="1">
      <c r="A3742" s="1" t="s">
        <v>421</v>
      </c>
      <c r="B3742" s="1" t="s">
        <v>403</v>
      </c>
      <c r="C3742" s="1" t="s">
        <v>2176</v>
      </c>
      <c r="U3742" s="1"/>
    </row>
    <row r="3743" ht="15.75" customHeight="1">
      <c r="A3743" s="1" t="s">
        <v>421</v>
      </c>
      <c r="B3743" s="1" t="s">
        <v>403</v>
      </c>
      <c r="C3743" s="1" t="s">
        <v>2177</v>
      </c>
      <c r="U3743" s="1"/>
    </row>
    <row r="3744" ht="15.75" customHeight="1">
      <c r="A3744" s="1" t="s">
        <v>421</v>
      </c>
      <c r="B3744" s="1" t="s">
        <v>403</v>
      </c>
      <c r="C3744" s="1" t="s">
        <v>2178</v>
      </c>
      <c r="U3744" s="1"/>
    </row>
    <row r="3745" ht="15.75" customHeight="1">
      <c r="A3745" s="1" t="s">
        <v>424</v>
      </c>
      <c r="B3745" s="1" t="s">
        <v>6</v>
      </c>
      <c r="C3745" s="1" t="s">
        <v>1497</v>
      </c>
      <c r="U3745" s="1"/>
    </row>
    <row r="3746" ht="15.75" customHeight="1">
      <c r="A3746" s="1" t="s">
        <v>424</v>
      </c>
      <c r="B3746" s="1" t="s">
        <v>29</v>
      </c>
      <c r="C3746" s="1" t="s">
        <v>1501</v>
      </c>
      <c r="U3746" s="1"/>
    </row>
    <row r="3747" ht="15.75" customHeight="1">
      <c r="A3747" s="1" t="s">
        <v>424</v>
      </c>
      <c r="B3747" s="1" t="s">
        <v>330</v>
      </c>
      <c r="C3747" s="1" t="s">
        <v>1547</v>
      </c>
      <c r="U3747" s="1"/>
    </row>
    <row r="3748" ht="15.75" customHeight="1">
      <c r="A3748" s="1" t="s">
        <v>426</v>
      </c>
      <c r="B3748" s="1" t="s">
        <v>997</v>
      </c>
      <c r="C3748" s="1" t="s">
        <v>2194</v>
      </c>
      <c r="U3748" s="1"/>
    </row>
    <row r="3749" ht="15.75" customHeight="1">
      <c r="A3749" s="1" t="s">
        <v>426</v>
      </c>
      <c r="B3749" s="1" t="s">
        <v>997</v>
      </c>
      <c r="C3749" s="1" t="s">
        <v>2195</v>
      </c>
      <c r="U3749" s="1"/>
    </row>
    <row r="3750" ht="15.75" customHeight="1">
      <c r="A3750" s="1" t="s">
        <v>426</v>
      </c>
      <c r="B3750" s="1" t="s">
        <v>997</v>
      </c>
      <c r="C3750" s="1" t="s">
        <v>2196</v>
      </c>
      <c r="U3750" s="1"/>
    </row>
    <row r="3751" ht="15.75" customHeight="1">
      <c r="A3751" s="1" t="s">
        <v>428</v>
      </c>
      <c r="B3751" s="1" t="s">
        <v>77</v>
      </c>
      <c r="C3751" s="1" t="s">
        <v>1288</v>
      </c>
      <c r="U3751" s="1"/>
    </row>
    <row r="3752" ht="15.75" customHeight="1">
      <c r="A3752" s="1" t="s">
        <v>428</v>
      </c>
      <c r="B3752" s="1" t="s">
        <v>158</v>
      </c>
      <c r="C3752" s="1" t="s">
        <v>1931</v>
      </c>
      <c r="U3752" s="1"/>
    </row>
    <row r="3753" ht="15.75" customHeight="1">
      <c r="A3753" s="1" t="s">
        <v>428</v>
      </c>
      <c r="B3753" s="1" t="s">
        <v>403</v>
      </c>
      <c r="C3753" s="1" t="s">
        <v>1855</v>
      </c>
      <c r="U3753" s="1"/>
    </row>
    <row r="3754" ht="15.75" customHeight="1">
      <c r="A3754" s="1" t="s">
        <v>430</v>
      </c>
      <c r="B3754" s="1" t="s">
        <v>1848</v>
      </c>
      <c r="C3754" s="1" t="s">
        <v>2163</v>
      </c>
      <c r="U3754" s="1"/>
    </row>
    <row r="3755" ht="15.75" customHeight="1">
      <c r="A3755" s="1" t="s">
        <v>430</v>
      </c>
      <c r="B3755" s="1" t="s">
        <v>1848</v>
      </c>
      <c r="C3755" s="1" t="s">
        <v>2165</v>
      </c>
      <c r="U3755" s="1"/>
    </row>
    <row r="3756" ht="15.75" customHeight="1">
      <c r="A3756" s="1" t="s">
        <v>430</v>
      </c>
      <c r="B3756" s="1" t="s">
        <v>1848</v>
      </c>
      <c r="C3756" s="1" t="s">
        <v>2166</v>
      </c>
      <c r="U3756" s="1"/>
    </row>
    <row r="3757" ht="15.75" customHeight="1">
      <c r="A3757" s="1" t="s">
        <v>433</v>
      </c>
      <c r="B3757" s="1" t="s">
        <v>1691</v>
      </c>
      <c r="C3757" s="1" t="s">
        <v>2271</v>
      </c>
      <c r="U3757" s="1"/>
    </row>
    <row r="3758" ht="15.75" customHeight="1">
      <c r="A3758" s="1" t="s">
        <v>433</v>
      </c>
      <c r="B3758" s="1" t="s">
        <v>2005</v>
      </c>
      <c r="C3758" s="1" t="s">
        <v>2272</v>
      </c>
      <c r="U3758" s="1"/>
    </row>
    <row r="3759" ht="15.75" customHeight="1">
      <c r="A3759" s="1" t="s">
        <v>433</v>
      </c>
      <c r="B3759" s="1" t="s">
        <v>2005</v>
      </c>
      <c r="C3759" s="1" t="s">
        <v>2273</v>
      </c>
      <c r="U3759" s="1"/>
    </row>
    <row r="3760" ht="15.75" customHeight="1">
      <c r="A3760" s="1" t="s">
        <v>435</v>
      </c>
      <c r="B3760" s="1" t="s">
        <v>158</v>
      </c>
      <c r="C3760" s="1" t="s">
        <v>1019</v>
      </c>
      <c r="U3760" s="1"/>
    </row>
    <row r="3761" ht="15.75" customHeight="1">
      <c r="A3761" s="1" t="s">
        <v>435</v>
      </c>
      <c r="B3761" s="1" t="s">
        <v>378</v>
      </c>
      <c r="C3761" s="1" t="s">
        <v>1039</v>
      </c>
      <c r="U3761" s="1"/>
    </row>
    <row r="3762" ht="15.75" customHeight="1">
      <c r="A3762" s="1" t="s">
        <v>435</v>
      </c>
      <c r="B3762" s="1" t="s">
        <v>403</v>
      </c>
      <c r="C3762" s="1" t="s">
        <v>1045</v>
      </c>
      <c r="U3762" s="1"/>
    </row>
    <row r="3763" ht="15.75" customHeight="1">
      <c r="A3763" s="1" t="s">
        <v>437</v>
      </c>
      <c r="B3763" s="1" t="s">
        <v>29</v>
      </c>
      <c r="C3763" s="1" t="s">
        <v>1150</v>
      </c>
      <c r="U3763" s="1"/>
    </row>
    <row r="3764" ht="15.75" customHeight="1">
      <c r="A3764" s="1" t="s">
        <v>437</v>
      </c>
      <c r="B3764" s="1" t="s">
        <v>158</v>
      </c>
      <c r="C3764" s="1" t="s">
        <v>2074</v>
      </c>
      <c r="U3764" s="1"/>
    </row>
    <row r="3765" ht="15.75" customHeight="1">
      <c r="A3765" s="1" t="s">
        <v>439</v>
      </c>
      <c r="B3765" s="1" t="s">
        <v>77</v>
      </c>
      <c r="C3765" s="1" t="s">
        <v>253</v>
      </c>
      <c r="U3765" s="1"/>
    </row>
    <row r="3766" ht="15.75" customHeight="1">
      <c r="A3766" s="1" t="s">
        <v>439</v>
      </c>
      <c r="B3766" s="1" t="s">
        <v>77</v>
      </c>
      <c r="C3766" s="1" t="s">
        <v>283</v>
      </c>
      <c r="U3766" s="1"/>
    </row>
    <row r="3767" ht="15.75" customHeight="1">
      <c r="A3767" s="1" t="s">
        <v>439</v>
      </c>
      <c r="B3767" s="1" t="s">
        <v>330</v>
      </c>
      <c r="C3767" s="1" t="s">
        <v>2274</v>
      </c>
      <c r="U3767" s="1"/>
    </row>
    <row r="3768" ht="15.75" customHeight="1">
      <c r="A3768" s="1" t="s">
        <v>441</v>
      </c>
      <c r="B3768" s="1" t="s">
        <v>77</v>
      </c>
      <c r="C3768" s="1" t="s">
        <v>146</v>
      </c>
      <c r="U3768" s="1"/>
    </row>
    <row r="3769" ht="15.75" customHeight="1">
      <c r="A3769" s="1" t="s">
        <v>441</v>
      </c>
      <c r="B3769" s="1" t="s">
        <v>330</v>
      </c>
      <c r="C3769" s="1" t="s">
        <v>719</v>
      </c>
      <c r="U3769" s="1"/>
    </row>
    <row r="3770" ht="15.75" customHeight="1">
      <c r="A3770" s="1" t="s">
        <v>441</v>
      </c>
      <c r="B3770" s="1" t="s">
        <v>330</v>
      </c>
      <c r="C3770" s="1" t="s">
        <v>725</v>
      </c>
      <c r="U3770" s="1"/>
    </row>
    <row r="3771" ht="15.75" customHeight="1">
      <c r="A3771" s="1" t="s">
        <v>443</v>
      </c>
      <c r="B3771" s="1" t="s">
        <v>6</v>
      </c>
      <c r="C3771" s="1" t="s">
        <v>1117</v>
      </c>
      <c r="U3771" s="1"/>
    </row>
    <row r="3772" ht="15.75" customHeight="1">
      <c r="A3772" s="1" t="s">
        <v>443</v>
      </c>
      <c r="B3772" s="1" t="s">
        <v>29</v>
      </c>
      <c r="C3772" s="1" t="s">
        <v>1200</v>
      </c>
      <c r="U3772" s="1"/>
    </row>
    <row r="3773" ht="15.75" customHeight="1">
      <c r="A3773" s="1" t="s">
        <v>443</v>
      </c>
      <c r="B3773" s="1" t="s">
        <v>330</v>
      </c>
      <c r="C3773" s="1" t="s">
        <v>957</v>
      </c>
      <c r="U3773" s="1"/>
    </row>
    <row r="3774" ht="15.75" customHeight="1">
      <c r="A3774" s="1" t="s">
        <v>445</v>
      </c>
      <c r="B3774" s="1" t="s">
        <v>1071</v>
      </c>
      <c r="C3774" s="1" t="s">
        <v>2160</v>
      </c>
      <c r="U3774" s="1"/>
    </row>
    <row r="3775" ht="15.75" customHeight="1">
      <c r="A3775" s="1" t="s">
        <v>445</v>
      </c>
      <c r="B3775" s="1" t="s">
        <v>1093</v>
      </c>
      <c r="C3775" s="1" t="s">
        <v>2230</v>
      </c>
      <c r="U3775" s="1"/>
    </row>
    <row r="3776" ht="15.75" customHeight="1">
      <c r="A3776" s="1" t="s">
        <v>445</v>
      </c>
      <c r="B3776" s="1" t="s">
        <v>1748</v>
      </c>
      <c r="C3776" s="1" t="s">
        <v>2167</v>
      </c>
      <c r="U3776" s="1"/>
    </row>
    <row r="3777" ht="15.75" customHeight="1">
      <c r="A3777" s="1" t="s">
        <v>447</v>
      </c>
      <c r="B3777" s="1" t="s">
        <v>378</v>
      </c>
      <c r="C3777" s="1" t="s">
        <v>379</v>
      </c>
      <c r="U3777" s="1"/>
    </row>
    <row r="3778" ht="15.75" customHeight="1">
      <c r="A3778" s="1" t="s">
        <v>447</v>
      </c>
      <c r="B3778" s="1" t="s">
        <v>378</v>
      </c>
      <c r="C3778" s="1" t="s">
        <v>2260</v>
      </c>
      <c r="U3778" s="1"/>
    </row>
    <row r="3779" ht="15.75" customHeight="1">
      <c r="A3779" s="1" t="s">
        <v>447</v>
      </c>
      <c r="B3779" s="1" t="s">
        <v>378</v>
      </c>
      <c r="C3779" s="1" t="s">
        <v>2275</v>
      </c>
      <c r="U3779" s="1"/>
    </row>
    <row r="3780" ht="15.75" customHeight="1">
      <c r="A3780" s="1" t="s">
        <v>449</v>
      </c>
      <c r="B3780" s="1" t="s">
        <v>29</v>
      </c>
      <c r="C3780" s="1" t="s">
        <v>1270</v>
      </c>
      <c r="U3780" s="1"/>
    </row>
    <row r="3781" ht="15.75" customHeight="1">
      <c r="A3781" s="1" t="s">
        <v>449</v>
      </c>
      <c r="B3781" s="1" t="s">
        <v>1400</v>
      </c>
      <c r="C3781" s="1" t="s">
        <v>2276</v>
      </c>
      <c r="U3781" s="1"/>
    </row>
    <row r="3782" ht="15.75" customHeight="1">
      <c r="A3782" s="1" t="s">
        <v>449</v>
      </c>
      <c r="B3782" s="1" t="s">
        <v>1492</v>
      </c>
      <c r="C3782" s="1" t="s">
        <v>2277</v>
      </c>
      <c r="U3782" s="1"/>
    </row>
    <row r="3783" ht="15.75" customHeight="1">
      <c r="A3783" s="1" t="s">
        <v>451</v>
      </c>
      <c r="B3783" s="1" t="s">
        <v>6</v>
      </c>
      <c r="C3783" s="1" t="s">
        <v>1123</v>
      </c>
      <c r="U3783" s="1"/>
    </row>
    <row r="3784" ht="15.75" customHeight="1">
      <c r="A3784" s="1" t="s">
        <v>451</v>
      </c>
      <c r="B3784" s="1" t="s">
        <v>29</v>
      </c>
      <c r="C3784" s="1" t="s">
        <v>1278</v>
      </c>
      <c r="U3784" s="1"/>
    </row>
    <row r="3785" ht="15.75" customHeight="1">
      <c r="A3785" s="1" t="s">
        <v>451</v>
      </c>
      <c r="B3785" s="1" t="s">
        <v>77</v>
      </c>
      <c r="C3785" s="1" t="s">
        <v>151</v>
      </c>
      <c r="U3785" s="1"/>
    </row>
    <row r="3786" ht="15.75" customHeight="1">
      <c r="A3786" s="1" t="s">
        <v>453</v>
      </c>
      <c r="B3786" s="1" t="s">
        <v>378</v>
      </c>
      <c r="C3786" s="1" t="s">
        <v>387</v>
      </c>
      <c r="U3786" s="1"/>
    </row>
    <row r="3787" ht="15.75" customHeight="1">
      <c r="A3787" s="1" t="s">
        <v>453</v>
      </c>
      <c r="B3787" s="1" t="s">
        <v>997</v>
      </c>
      <c r="C3787" s="1" t="s">
        <v>2278</v>
      </c>
      <c r="U3787" s="1"/>
    </row>
    <row r="3788" ht="15.75" customHeight="1">
      <c r="A3788" s="1" t="s">
        <v>453</v>
      </c>
      <c r="B3788" s="1" t="s">
        <v>1071</v>
      </c>
      <c r="C3788" s="1" t="s">
        <v>2279</v>
      </c>
      <c r="U3788" s="1"/>
    </row>
    <row r="3789" ht="15.75" customHeight="1">
      <c r="A3789" s="1" t="s">
        <v>455</v>
      </c>
      <c r="B3789" s="1" t="s">
        <v>29</v>
      </c>
      <c r="C3789" s="1" t="s">
        <v>1198</v>
      </c>
      <c r="U3789" s="1"/>
    </row>
    <row r="3790" ht="15.75" customHeight="1">
      <c r="A3790" s="1" t="s">
        <v>455</v>
      </c>
      <c r="B3790" s="1" t="s">
        <v>77</v>
      </c>
      <c r="C3790" s="1" t="s">
        <v>1513</v>
      </c>
      <c r="U3790" s="1"/>
    </row>
    <row r="3791" ht="15.75" customHeight="1">
      <c r="A3791" s="1" t="s">
        <v>455</v>
      </c>
      <c r="B3791" s="1" t="s">
        <v>158</v>
      </c>
      <c r="C3791" s="1" t="s">
        <v>1234</v>
      </c>
      <c r="U3791" s="1"/>
    </row>
    <row r="3792" ht="15.75" customHeight="1">
      <c r="A3792" s="1" t="s">
        <v>457</v>
      </c>
      <c r="B3792" s="1" t="s">
        <v>1848</v>
      </c>
      <c r="C3792" s="1" t="s">
        <v>2163</v>
      </c>
      <c r="U3792" s="1"/>
    </row>
    <row r="3793" ht="15.75" customHeight="1">
      <c r="A3793" s="1" t="s">
        <v>457</v>
      </c>
      <c r="B3793" s="1" t="s">
        <v>1848</v>
      </c>
      <c r="C3793" s="1" t="s">
        <v>2165</v>
      </c>
      <c r="U3793" s="1"/>
    </row>
    <row r="3794" ht="15.75" customHeight="1">
      <c r="A3794" s="1" t="s">
        <v>457</v>
      </c>
      <c r="B3794" s="1" t="s">
        <v>1848</v>
      </c>
      <c r="C3794" s="1" t="s">
        <v>2166</v>
      </c>
      <c r="U3794" s="1"/>
    </row>
    <row r="3795" ht="15.75" customHeight="1">
      <c r="A3795" s="1" t="s">
        <v>459</v>
      </c>
      <c r="B3795" s="1" t="s">
        <v>1400</v>
      </c>
      <c r="C3795" s="1" t="s">
        <v>2280</v>
      </c>
      <c r="U3795" s="1"/>
    </row>
    <row r="3796" ht="15.75" customHeight="1">
      <c r="A3796" s="1" t="s">
        <v>459</v>
      </c>
      <c r="B3796" s="1" t="s">
        <v>1400</v>
      </c>
      <c r="C3796" s="1" t="s">
        <v>2281</v>
      </c>
      <c r="U3796" s="1"/>
    </row>
    <row r="3797" ht="15.75" customHeight="1">
      <c r="A3797" s="1" t="s">
        <v>459</v>
      </c>
      <c r="B3797" s="1" t="s">
        <v>1848</v>
      </c>
      <c r="C3797" s="1" t="s">
        <v>2282</v>
      </c>
      <c r="U3797" s="1"/>
    </row>
    <row r="3798" ht="15.75" customHeight="1">
      <c r="A3798" s="1" t="s">
        <v>461</v>
      </c>
      <c r="B3798" s="1" t="s">
        <v>1071</v>
      </c>
      <c r="C3798" s="1" t="s">
        <v>1786</v>
      </c>
      <c r="U3798" s="1"/>
    </row>
    <row r="3799" ht="15.75" customHeight="1">
      <c r="A3799" s="1" t="s">
        <v>461</v>
      </c>
      <c r="B3799" s="1" t="s">
        <v>1400</v>
      </c>
      <c r="C3799" s="1" t="s">
        <v>2283</v>
      </c>
      <c r="U3799" s="1"/>
    </row>
    <row r="3800" ht="15.75" customHeight="1">
      <c r="A3800" s="1" t="s">
        <v>461</v>
      </c>
      <c r="B3800" s="1" t="s">
        <v>1410</v>
      </c>
      <c r="C3800" s="1" t="s">
        <v>2284</v>
      </c>
      <c r="U3800" s="1"/>
    </row>
    <row r="3801" ht="15.75" customHeight="1">
      <c r="A3801" s="1" t="s">
        <v>463</v>
      </c>
      <c r="B3801" s="1" t="s">
        <v>29</v>
      </c>
      <c r="C3801" s="1" t="s">
        <v>1259</v>
      </c>
      <c r="U3801" s="1"/>
    </row>
    <row r="3802" ht="15.75" customHeight="1">
      <c r="A3802" s="1" t="s">
        <v>463</v>
      </c>
      <c r="B3802" s="1" t="s">
        <v>77</v>
      </c>
      <c r="C3802" s="1" t="s">
        <v>1281</v>
      </c>
      <c r="U3802" s="1"/>
    </row>
    <row r="3803" ht="15.75" customHeight="1">
      <c r="A3803" s="1" t="s">
        <v>463</v>
      </c>
      <c r="B3803" s="1" t="s">
        <v>1071</v>
      </c>
      <c r="C3803" s="1" t="s">
        <v>1860</v>
      </c>
      <c r="U3803" s="1"/>
    </row>
    <row r="3804" ht="15.75" customHeight="1">
      <c r="A3804" s="1" t="s">
        <v>465</v>
      </c>
      <c r="B3804" s="1" t="s">
        <v>29</v>
      </c>
      <c r="C3804" s="1" t="s">
        <v>1257</v>
      </c>
      <c r="U3804" s="1"/>
    </row>
    <row r="3805" ht="15.75" customHeight="1">
      <c r="A3805" s="1" t="s">
        <v>465</v>
      </c>
      <c r="B3805" s="1" t="s">
        <v>29</v>
      </c>
      <c r="C3805" s="1" t="s">
        <v>1267</v>
      </c>
      <c r="U3805" s="1"/>
    </row>
    <row r="3806" ht="15.75" customHeight="1">
      <c r="A3806" s="1" t="s">
        <v>465</v>
      </c>
      <c r="B3806" s="1" t="s">
        <v>158</v>
      </c>
      <c r="C3806" s="1" t="s">
        <v>1303</v>
      </c>
      <c r="U3806" s="1"/>
    </row>
    <row r="3807" ht="15.75" customHeight="1">
      <c r="A3807" s="1" t="s">
        <v>467</v>
      </c>
      <c r="B3807" s="1" t="s">
        <v>77</v>
      </c>
      <c r="C3807" s="1" t="s">
        <v>78</v>
      </c>
      <c r="U3807" s="1"/>
    </row>
    <row r="3808" ht="15.75" customHeight="1">
      <c r="A3808" s="1" t="s">
        <v>467</v>
      </c>
      <c r="B3808" s="1" t="s">
        <v>77</v>
      </c>
      <c r="C3808" s="1" t="s">
        <v>91</v>
      </c>
      <c r="U3808" s="1"/>
    </row>
    <row r="3809" ht="15.75" customHeight="1">
      <c r="A3809" s="1" t="s">
        <v>467</v>
      </c>
      <c r="B3809" s="1" t="s">
        <v>77</v>
      </c>
      <c r="C3809" s="1" t="s">
        <v>126</v>
      </c>
      <c r="U3809" s="1"/>
    </row>
    <row r="3810" ht="15.75" customHeight="1">
      <c r="A3810" s="1" t="s">
        <v>469</v>
      </c>
      <c r="B3810" s="1" t="s">
        <v>77</v>
      </c>
      <c r="C3810" s="1" t="s">
        <v>472</v>
      </c>
      <c r="U3810" s="1"/>
    </row>
    <row r="3811" ht="15.75" customHeight="1">
      <c r="A3811" s="1" t="s">
        <v>469</v>
      </c>
      <c r="B3811" s="1" t="s">
        <v>330</v>
      </c>
      <c r="C3811" s="1" t="s">
        <v>558</v>
      </c>
      <c r="U3811" s="1"/>
    </row>
    <row r="3812" ht="15.75" customHeight="1">
      <c r="A3812" s="1" t="s">
        <v>469</v>
      </c>
      <c r="B3812" s="1" t="s">
        <v>403</v>
      </c>
      <c r="C3812" s="1" t="s">
        <v>754</v>
      </c>
      <c r="U3812" s="1"/>
    </row>
    <row r="3813" ht="15.75" customHeight="1">
      <c r="A3813" s="1" t="s">
        <v>471</v>
      </c>
      <c r="B3813" s="1" t="s">
        <v>29</v>
      </c>
      <c r="C3813" s="1" t="s">
        <v>1259</v>
      </c>
      <c r="U3813" s="1"/>
    </row>
    <row r="3814" ht="15.75" customHeight="1">
      <c r="A3814" s="1" t="s">
        <v>471</v>
      </c>
      <c r="B3814" s="1" t="s">
        <v>77</v>
      </c>
      <c r="C3814" s="1" t="s">
        <v>1281</v>
      </c>
      <c r="U3814" s="1"/>
    </row>
    <row r="3815" ht="15.75" customHeight="1">
      <c r="A3815" s="1" t="s">
        <v>471</v>
      </c>
      <c r="B3815" s="1" t="s">
        <v>77</v>
      </c>
      <c r="C3815" s="1" t="s">
        <v>1284</v>
      </c>
      <c r="U3815" s="1"/>
    </row>
    <row r="3816" ht="15.75" customHeight="1">
      <c r="A3816" s="1" t="s">
        <v>473</v>
      </c>
      <c r="B3816" s="1" t="s">
        <v>158</v>
      </c>
      <c r="C3816" s="1" t="s">
        <v>939</v>
      </c>
      <c r="U3816" s="1"/>
    </row>
    <row r="3817" ht="15.75" customHeight="1">
      <c r="A3817" s="1" t="s">
        <v>473</v>
      </c>
      <c r="B3817" s="1" t="s">
        <v>158</v>
      </c>
      <c r="C3817" s="1" t="s">
        <v>941</v>
      </c>
      <c r="U3817" s="1"/>
    </row>
    <row r="3818" ht="15.75" customHeight="1">
      <c r="A3818" s="1" t="s">
        <v>473</v>
      </c>
      <c r="B3818" s="1" t="s">
        <v>330</v>
      </c>
      <c r="C3818" s="1" t="s">
        <v>951</v>
      </c>
      <c r="U3818" s="1"/>
    </row>
    <row r="3819" ht="15.75" customHeight="1">
      <c r="A3819" s="1" t="s">
        <v>475</v>
      </c>
      <c r="B3819" s="1" t="s">
        <v>6</v>
      </c>
      <c r="C3819" s="1" t="s">
        <v>1117</v>
      </c>
      <c r="U3819" s="1"/>
    </row>
    <row r="3820" ht="15.75" customHeight="1">
      <c r="A3820" s="1" t="s">
        <v>475</v>
      </c>
      <c r="B3820" s="1" t="s">
        <v>29</v>
      </c>
      <c r="C3820" s="1" t="s">
        <v>1658</v>
      </c>
      <c r="U3820" s="1"/>
    </row>
    <row r="3821" ht="15.75" customHeight="1">
      <c r="A3821" s="1" t="s">
        <v>475</v>
      </c>
      <c r="B3821" s="1" t="s">
        <v>997</v>
      </c>
      <c r="C3821" s="1" t="s">
        <v>2285</v>
      </c>
      <c r="U3821" s="1"/>
    </row>
    <row r="3822" ht="15.75" customHeight="1">
      <c r="A3822" s="1" t="s">
        <v>477</v>
      </c>
      <c r="B3822" s="1" t="s">
        <v>1748</v>
      </c>
      <c r="C3822" s="1" t="s">
        <v>2286</v>
      </c>
      <c r="U3822" s="1"/>
    </row>
    <row r="3823" ht="15.75" customHeight="1">
      <c r="A3823" s="1" t="s">
        <v>477</v>
      </c>
      <c r="B3823" s="1" t="s">
        <v>1748</v>
      </c>
      <c r="C3823" s="1" t="s">
        <v>2287</v>
      </c>
      <c r="U3823" s="1"/>
    </row>
    <row r="3824" ht="15.75" customHeight="1">
      <c r="A3824" s="1" t="s">
        <v>477</v>
      </c>
      <c r="B3824" s="1" t="s">
        <v>1763</v>
      </c>
      <c r="C3824" s="1" t="s">
        <v>2288</v>
      </c>
      <c r="U3824" s="1"/>
    </row>
    <row r="3825" ht="15.75" customHeight="1">
      <c r="A3825" s="1" t="s">
        <v>479</v>
      </c>
      <c r="B3825" s="1" t="s">
        <v>77</v>
      </c>
      <c r="C3825" s="1" t="s">
        <v>81</v>
      </c>
      <c r="U3825" s="1"/>
    </row>
    <row r="3826" ht="15.75" customHeight="1">
      <c r="A3826" s="1" t="s">
        <v>479</v>
      </c>
      <c r="B3826" s="1" t="s">
        <v>158</v>
      </c>
      <c r="C3826" s="1" t="s">
        <v>201</v>
      </c>
      <c r="U3826" s="1"/>
    </row>
    <row r="3827" ht="15.75" customHeight="1">
      <c r="A3827" s="1" t="s">
        <v>479</v>
      </c>
      <c r="B3827" s="1" t="s">
        <v>378</v>
      </c>
      <c r="C3827" s="1" t="s">
        <v>1550</v>
      </c>
      <c r="U3827" s="1"/>
    </row>
    <row r="3828" ht="15.75" customHeight="1">
      <c r="A3828" s="1" t="s">
        <v>481</v>
      </c>
      <c r="B3828" s="1" t="s">
        <v>29</v>
      </c>
      <c r="C3828" s="1" t="s">
        <v>1198</v>
      </c>
      <c r="U3828" s="1"/>
    </row>
    <row r="3829" ht="15.75" customHeight="1">
      <c r="A3829" s="1" t="s">
        <v>481</v>
      </c>
      <c r="B3829" s="1" t="s">
        <v>158</v>
      </c>
      <c r="C3829" s="1" t="s">
        <v>1234</v>
      </c>
      <c r="U3829" s="1"/>
    </row>
    <row r="3830" ht="15.75" customHeight="1">
      <c r="A3830" s="1" t="s">
        <v>481</v>
      </c>
      <c r="B3830" s="1" t="s">
        <v>330</v>
      </c>
      <c r="C3830" s="1" t="s">
        <v>1245</v>
      </c>
      <c r="U3830" s="1"/>
    </row>
    <row r="3831" ht="15.75" customHeight="1">
      <c r="A3831" s="1" t="s">
        <v>484</v>
      </c>
      <c r="B3831" s="1" t="s">
        <v>77</v>
      </c>
      <c r="C3831" s="1" t="s">
        <v>932</v>
      </c>
      <c r="U3831" s="1"/>
    </row>
    <row r="3832" ht="15.75" customHeight="1">
      <c r="A3832" s="1" t="s">
        <v>484</v>
      </c>
      <c r="B3832" s="1" t="s">
        <v>158</v>
      </c>
      <c r="C3832" s="1" t="s">
        <v>943</v>
      </c>
      <c r="U3832" s="1"/>
    </row>
    <row r="3833" ht="15.75" customHeight="1">
      <c r="A3833" s="1" t="s">
        <v>484</v>
      </c>
      <c r="B3833" s="1" t="s">
        <v>378</v>
      </c>
      <c r="C3833" s="1" t="s">
        <v>970</v>
      </c>
      <c r="U3833" s="1"/>
    </row>
    <row r="3834" ht="15.75" customHeight="1">
      <c r="A3834" s="1" t="s">
        <v>486</v>
      </c>
      <c r="B3834" s="1" t="s">
        <v>29</v>
      </c>
      <c r="C3834" s="1" t="s">
        <v>1583</v>
      </c>
      <c r="U3834" s="1"/>
    </row>
    <row r="3835" ht="15.75" customHeight="1">
      <c r="A3835" s="1" t="s">
        <v>486</v>
      </c>
      <c r="B3835" s="1" t="s">
        <v>29</v>
      </c>
      <c r="C3835" s="1" t="s">
        <v>1143</v>
      </c>
      <c r="U3835" s="1"/>
    </row>
    <row r="3836" ht="15.75" customHeight="1">
      <c r="A3836" s="1" t="s">
        <v>486</v>
      </c>
      <c r="B3836" s="1" t="s">
        <v>29</v>
      </c>
      <c r="C3836" s="1" t="s">
        <v>1589</v>
      </c>
      <c r="U3836" s="1"/>
    </row>
    <row r="3837" ht="15.75" customHeight="1">
      <c r="A3837" s="1" t="s">
        <v>488</v>
      </c>
      <c r="B3837" s="1" t="s">
        <v>378</v>
      </c>
      <c r="C3837" s="1" t="s">
        <v>1337</v>
      </c>
      <c r="U3837" s="1"/>
    </row>
    <row r="3838" ht="15.75" customHeight="1">
      <c r="A3838" s="1" t="s">
        <v>488</v>
      </c>
      <c r="B3838" s="1" t="s">
        <v>997</v>
      </c>
      <c r="C3838" s="1" t="s">
        <v>1934</v>
      </c>
      <c r="U3838" s="1"/>
    </row>
    <row r="3839" ht="15.75" customHeight="1">
      <c r="A3839" s="1" t="s">
        <v>488</v>
      </c>
      <c r="B3839" s="1" t="s">
        <v>1425</v>
      </c>
      <c r="C3839" s="1" t="s">
        <v>1943</v>
      </c>
      <c r="U3839" s="1"/>
    </row>
    <row r="3840" ht="15.75" customHeight="1">
      <c r="A3840" s="1" t="s">
        <v>490</v>
      </c>
      <c r="B3840" s="1" t="s">
        <v>1848</v>
      </c>
      <c r="C3840" s="1" t="s">
        <v>2163</v>
      </c>
      <c r="U3840" s="1"/>
    </row>
    <row r="3841" ht="15.75" customHeight="1">
      <c r="A3841" s="1" t="s">
        <v>490</v>
      </c>
      <c r="B3841" s="1" t="s">
        <v>1848</v>
      </c>
      <c r="C3841" s="1" t="s">
        <v>2165</v>
      </c>
      <c r="U3841" s="1"/>
    </row>
    <row r="3842" ht="15.75" customHeight="1">
      <c r="A3842" s="1" t="s">
        <v>490</v>
      </c>
      <c r="B3842" s="1" t="s">
        <v>1848</v>
      </c>
      <c r="C3842" s="1" t="s">
        <v>2166</v>
      </c>
      <c r="U3842" s="1"/>
    </row>
    <row r="3843" ht="15.75" customHeight="1">
      <c r="A3843" s="1" t="s">
        <v>492</v>
      </c>
      <c r="B3843" s="1" t="s">
        <v>6</v>
      </c>
      <c r="C3843" s="1" t="s">
        <v>1118</v>
      </c>
      <c r="U3843" s="1"/>
    </row>
    <row r="3844" ht="15.75" customHeight="1">
      <c r="A3844" s="1" t="s">
        <v>492</v>
      </c>
      <c r="B3844" s="1" t="s">
        <v>29</v>
      </c>
      <c r="C3844" s="1" t="s">
        <v>1138</v>
      </c>
      <c r="U3844" s="1"/>
    </row>
    <row r="3845" ht="15.75" customHeight="1">
      <c r="A3845" s="1" t="s">
        <v>492</v>
      </c>
      <c r="B3845" s="1" t="s">
        <v>29</v>
      </c>
      <c r="C3845" s="1" t="s">
        <v>1145</v>
      </c>
      <c r="U3845" s="1"/>
    </row>
    <row r="3846" ht="15.75" customHeight="1">
      <c r="A3846" s="1" t="s">
        <v>494</v>
      </c>
      <c r="B3846" s="1" t="s">
        <v>330</v>
      </c>
      <c r="C3846" s="1" t="s">
        <v>913</v>
      </c>
      <c r="U3846" s="1"/>
    </row>
    <row r="3847" ht="15.75" customHeight="1">
      <c r="A3847" s="1" t="s">
        <v>494</v>
      </c>
      <c r="B3847" s="1" t="s">
        <v>378</v>
      </c>
      <c r="C3847" s="1" t="s">
        <v>2289</v>
      </c>
      <c r="U3847" s="1"/>
    </row>
    <row r="3848" ht="15.75" customHeight="1">
      <c r="A3848" s="1" t="s">
        <v>494</v>
      </c>
      <c r="B3848" s="1" t="s">
        <v>997</v>
      </c>
      <c r="C3848" s="1" t="s">
        <v>2290</v>
      </c>
      <c r="U3848" s="1"/>
    </row>
    <row r="3849" ht="15.75" customHeight="1">
      <c r="A3849" s="1" t="s">
        <v>496</v>
      </c>
      <c r="B3849" s="1" t="s">
        <v>77</v>
      </c>
      <c r="C3849" s="1" t="s">
        <v>507</v>
      </c>
      <c r="U3849" s="1"/>
    </row>
    <row r="3850" ht="15.75" customHeight="1">
      <c r="A3850" s="1" t="s">
        <v>496</v>
      </c>
      <c r="B3850" s="1" t="s">
        <v>158</v>
      </c>
      <c r="C3850" s="1" t="s">
        <v>516</v>
      </c>
      <c r="U3850" s="1"/>
    </row>
    <row r="3851" ht="15.75" customHeight="1">
      <c r="A3851" s="1" t="s">
        <v>496</v>
      </c>
      <c r="B3851" s="1" t="s">
        <v>1888</v>
      </c>
      <c r="C3851" s="1" t="s">
        <v>2291</v>
      </c>
      <c r="U3851" s="1"/>
    </row>
    <row r="3852" ht="15.75" customHeight="1">
      <c r="A3852" s="1" t="s">
        <v>498</v>
      </c>
      <c r="B3852" s="1" t="s">
        <v>29</v>
      </c>
      <c r="C3852" s="1" t="s">
        <v>1014</v>
      </c>
      <c r="U3852" s="1"/>
    </row>
    <row r="3853" ht="15.75" customHeight="1">
      <c r="A3853" s="1" t="s">
        <v>498</v>
      </c>
      <c r="B3853" s="1" t="s">
        <v>403</v>
      </c>
      <c r="C3853" s="1" t="s">
        <v>2140</v>
      </c>
      <c r="U3853" s="1"/>
    </row>
    <row r="3854" ht="15.75" customHeight="1">
      <c r="A3854" s="1" t="s">
        <v>498</v>
      </c>
      <c r="B3854" s="1" t="s">
        <v>1071</v>
      </c>
      <c r="C3854" s="1" t="s">
        <v>1074</v>
      </c>
      <c r="U3854" s="1"/>
    </row>
    <row r="3855" ht="15.75" customHeight="1">
      <c r="A3855" s="1" t="s">
        <v>500</v>
      </c>
      <c r="B3855" s="1" t="s">
        <v>378</v>
      </c>
      <c r="C3855" s="1" t="s">
        <v>379</v>
      </c>
      <c r="U3855" s="1"/>
    </row>
    <row r="3856" ht="15.75" customHeight="1">
      <c r="A3856" s="1" t="s">
        <v>500</v>
      </c>
      <c r="B3856" s="1" t="s">
        <v>378</v>
      </c>
      <c r="C3856" s="1" t="s">
        <v>2292</v>
      </c>
      <c r="U3856" s="1"/>
    </row>
    <row r="3857" ht="15.75" customHeight="1">
      <c r="A3857" s="1" t="s">
        <v>500</v>
      </c>
      <c r="B3857" s="1" t="s">
        <v>378</v>
      </c>
      <c r="C3857" s="1" t="s">
        <v>2260</v>
      </c>
      <c r="U3857" s="1"/>
    </row>
    <row r="3858" ht="15.75" customHeight="1">
      <c r="A3858" s="1" t="s">
        <v>502</v>
      </c>
      <c r="B3858" s="1" t="s">
        <v>158</v>
      </c>
      <c r="C3858" s="1" t="s">
        <v>939</v>
      </c>
      <c r="U3858" s="1"/>
    </row>
    <row r="3859" ht="15.75" customHeight="1">
      <c r="A3859" s="1" t="s">
        <v>502</v>
      </c>
      <c r="B3859" s="1" t="s">
        <v>378</v>
      </c>
      <c r="C3859" s="1" t="s">
        <v>974</v>
      </c>
      <c r="U3859" s="1"/>
    </row>
    <row r="3860" ht="15.75" customHeight="1">
      <c r="A3860" s="1" t="s">
        <v>502</v>
      </c>
      <c r="B3860" s="1" t="s">
        <v>403</v>
      </c>
      <c r="C3860" s="1" t="s">
        <v>993</v>
      </c>
      <c r="U3860" s="1"/>
    </row>
    <row r="3861" ht="15.75" customHeight="1">
      <c r="A3861" s="1" t="s">
        <v>504</v>
      </c>
      <c r="B3861" s="1" t="s">
        <v>29</v>
      </c>
      <c r="C3861" s="1" t="s">
        <v>55</v>
      </c>
      <c r="U3861" s="1"/>
    </row>
    <row r="3862" ht="15.75" customHeight="1">
      <c r="A3862" s="1" t="s">
        <v>504</v>
      </c>
      <c r="B3862" s="1" t="s">
        <v>77</v>
      </c>
      <c r="C3862" s="1" t="s">
        <v>81</v>
      </c>
      <c r="U3862" s="1"/>
    </row>
    <row r="3863" ht="15.75" customHeight="1">
      <c r="A3863" s="1" t="s">
        <v>504</v>
      </c>
      <c r="B3863" s="1" t="s">
        <v>403</v>
      </c>
      <c r="C3863" s="1" t="s">
        <v>1855</v>
      </c>
      <c r="U3863" s="1"/>
    </row>
    <row r="3864" ht="15.75" customHeight="1">
      <c r="A3864" s="1" t="s">
        <v>506</v>
      </c>
      <c r="B3864" s="1" t="s">
        <v>403</v>
      </c>
      <c r="C3864" s="1" t="s">
        <v>2082</v>
      </c>
      <c r="U3864" s="1"/>
    </row>
    <row r="3865" ht="15.75" customHeight="1">
      <c r="A3865" s="1" t="s">
        <v>506</v>
      </c>
      <c r="B3865" s="1" t="s">
        <v>1748</v>
      </c>
      <c r="C3865" s="1" t="s">
        <v>2293</v>
      </c>
      <c r="U3865" s="1"/>
    </row>
    <row r="3866" ht="15.75" customHeight="1">
      <c r="A3866" s="1" t="s">
        <v>508</v>
      </c>
      <c r="B3866" s="1" t="s">
        <v>77</v>
      </c>
      <c r="C3866" s="1" t="s">
        <v>493</v>
      </c>
      <c r="U3866" s="1"/>
    </row>
    <row r="3867" ht="15.75" customHeight="1">
      <c r="A3867" s="1" t="s">
        <v>508</v>
      </c>
      <c r="B3867" s="1" t="s">
        <v>158</v>
      </c>
      <c r="C3867" s="1" t="s">
        <v>536</v>
      </c>
      <c r="U3867" s="1"/>
    </row>
    <row r="3868" ht="15.75" customHeight="1">
      <c r="A3868" s="1" t="s">
        <v>510</v>
      </c>
      <c r="B3868" s="1" t="s">
        <v>29</v>
      </c>
      <c r="C3868" s="1" t="s">
        <v>1588</v>
      </c>
      <c r="U3868" s="1"/>
    </row>
    <row r="3869" ht="15.75" customHeight="1">
      <c r="A3869" s="1" t="s">
        <v>510</v>
      </c>
      <c r="B3869" s="1" t="s">
        <v>77</v>
      </c>
      <c r="C3869" s="1" t="s">
        <v>1595</v>
      </c>
      <c r="U3869" s="1"/>
    </row>
    <row r="3870" ht="15.75" customHeight="1">
      <c r="A3870" s="1" t="s">
        <v>512</v>
      </c>
      <c r="B3870" s="1" t="s">
        <v>29</v>
      </c>
      <c r="C3870" s="1" t="s">
        <v>1134</v>
      </c>
      <c r="U3870" s="1"/>
    </row>
    <row r="3871" ht="15.75" customHeight="1">
      <c r="A3871" s="1" t="s">
        <v>512</v>
      </c>
      <c r="B3871" s="1" t="s">
        <v>158</v>
      </c>
      <c r="C3871" s="1" t="s">
        <v>1181</v>
      </c>
      <c r="U3871" s="1"/>
    </row>
    <row r="3872" ht="15.75" customHeight="1">
      <c r="A3872" s="1" t="s">
        <v>514</v>
      </c>
      <c r="B3872" s="1" t="s">
        <v>77</v>
      </c>
      <c r="C3872" s="1" t="s">
        <v>1292</v>
      </c>
      <c r="U3872" s="1"/>
    </row>
    <row r="3873" ht="15.75" customHeight="1">
      <c r="A3873" s="1" t="s">
        <v>514</v>
      </c>
      <c r="B3873" s="1" t="s">
        <v>158</v>
      </c>
      <c r="C3873" s="1" t="s">
        <v>2294</v>
      </c>
      <c r="U3873" s="1"/>
    </row>
    <row r="3874" ht="15.75" customHeight="1">
      <c r="A3874" s="1" t="s">
        <v>517</v>
      </c>
      <c r="B3874" s="1" t="s">
        <v>330</v>
      </c>
      <c r="C3874" s="1" t="s">
        <v>366</v>
      </c>
      <c r="U3874" s="1"/>
    </row>
    <row r="3875" ht="15.75" customHeight="1">
      <c r="A3875" s="1" t="s">
        <v>517</v>
      </c>
      <c r="B3875" s="1" t="s">
        <v>403</v>
      </c>
      <c r="C3875" s="1" t="s">
        <v>624</v>
      </c>
      <c r="U3875" s="1"/>
    </row>
    <row r="3876" ht="15.75" customHeight="1">
      <c r="A3876" s="1" t="s">
        <v>519</v>
      </c>
      <c r="B3876" s="1" t="s">
        <v>158</v>
      </c>
      <c r="C3876" s="1" t="s">
        <v>939</v>
      </c>
      <c r="U3876" s="1"/>
    </row>
    <row r="3877" ht="15.75" customHeight="1">
      <c r="A3877" s="1" t="s">
        <v>519</v>
      </c>
      <c r="B3877" s="1" t="s">
        <v>378</v>
      </c>
      <c r="C3877" s="1" t="s">
        <v>977</v>
      </c>
      <c r="U3877" s="1"/>
    </row>
    <row r="3878" ht="15.75" customHeight="1">
      <c r="A3878" s="1" t="s">
        <v>521</v>
      </c>
      <c r="B3878" s="1" t="s">
        <v>330</v>
      </c>
      <c r="C3878" s="1" t="s">
        <v>2295</v>
      </c>
      <c r="U3878" s="1"/>
    </row>
    <row r="3879" ht="15.75" customHeight="1">
      <c r="A3879" s="1" t="s">
        <v>521</v>
      </c>
      <c r="B3879" s="1" t="s">
        <v>378</v>
      </c>
      <c r="C3879" s="1" t="s">
        <v>2296</v>
      </c>
      <c r="U3879" s="1"/>
    </row>
    <row r="3880" ht="15.75" customHeight="1">
      <c r="A3880" s="1" t="s">
        <v>523</v>
      </c>
      <c r="B3880" s="1" t="s">
        <v>403</v>
      </c>
      <c r="C3880" s="1" t="s">
        <v>622</v>
      </c>
      <c r="U3880" s="1"/>
    </row>
    <row r="3881" ht="15.75" customHeight="1">
      <c r="A3881" s="1" t="s">
        <v>523</v>
      </c>
      <c r="B3881" s="1" t="s">
        <v>1492</v>
      </c>
      <c r="C3881" s="1" t="s">
        <v>1986</v>
      </c>
      <c r="U3881" s="1"/>
    </row>
    <row r="3882" ht="15.75" customHeight="1">
      <c r="A3882" s="1" t="s">
        <v>525</v>
      </c>
      <c r="B3882" s="1" t="s">
        <v>158</v>
      </c>
      <c r="C3882" s="1" t="s">
        <v>939</v>
      </c>
      <c r="U3882" s="1"/>
    </row>
    <row r="3883" ht="15.75" customHeight="1">
      <c r="A3883" s="1" t="s">
        <v>525</v>
      </c>
      <c r="B3883" s="1" t="s">
        <v>403</v>
      </c>
      <c r="C3883" s="1" t="s">
        <v>408</v>
      </c>
      <c r="U3883" s="1"/>
    </row>
    <row r="3884" ht="15.75" customHeight="1">
      <c r="A3884" s="1" t="s">
        <v>527</v>
      </c>
      <c r="B3884" s="1" t="s">
        <v>29</v>
      </c>
      <c r="C3884" s="1" t="s">
        <v>1504</v>
      </c>
      <c r="U3884" s="1"/>
    </row>
    <row r="3885" ht="15.75" customHeight="1">
      <c r="A3885" s="1" t="s">
        <v>527</v>
      </c>
      <c r="B3885" s="1" t="s">
        <v>29</v>
      </c>
      <c r="C3885" s="1" t="s">
        <v>1505</v>
      </c>
      <c r="U3885" s="1"/>
    </row>
    <row r="3886" ht="15.75" customHeight="1">
      <c r="A3886" s="1" t="s">
        <v>529</v>
      </c>
      <c r="B3886" s="1" t="s">
        <v>29</v>
      </c>
      <c r="C3886" s="1" t="s">
        <v>1259</v>
      </c>
      <c r="U3886" s="1"/>
    </row>
    <row r="3887" ht="15.75" customHeight="1">
      <c r="A3887" s="1" t="s">
        <v>529</v>
      </c>
      <c r="B3887" s="1" t="s">
        <v>77</v>
      </c>
      <c r="C3887" s="1" t="s">
        <v>1281</v>
      </c>
      <c r="U3887" s="1"/>
    </row>
    <row r="3888" ht="15.75" customHeight="1">
      <c r="A3888" s="1" t="s">
        <v>531</v>
      </c>
      <c r="B3888" s="1" t="s">
        <v>330</v>
      </c>
      <c r="C3888" s="1" t="s">
        <v>372</v>
      </c>
      <c r="U3888" s="1"/>
    </row>
    <row r="3889" ht="15.75" customHeight="1">
      <c r="A3889" s="1" t="s">
        <v>531</v>
      </c>
      <c r="B3889" s="1" t="s">
        <v>1071</v>
      </c>
      <c r="C3889" s="1" t="s">
        <v>2173</v>
      </c>
      <c r="U3889" s="1"/>
    </row>
    <row r="3890" ht="15.75" customHeight="1">
      <c r="A3890" s="1" t="s">
        <v>533</v>
      </c>
      <c r="B3890" s="1" t="s">
        <v>77</v>
      </c>
      <c r="C3890" s="1" t="s">
        <v>936</v>
      </c>
      <c r="U3890" s="1"/>
    </row>
    <row r="3891" ht="15.75" customHeight="1">
      <c r="A3891" s="1" t="s">
        <v>533</v>
      </c>
      <c r="B3891" s="1" t="s">
        <v>997</v>
      </c>
      <c r="C3891" s="1" t="s">
        <v>1064</v>
      </c>
      <c r="U3891" s="1"/>
    </row>
    <row r="3892" ht="15.75" customHeight="1">
      <c r="A3892" s="1" t="s">
        <v>535</v>
      </c>
      <c r="B3892" s="1" t="s">
        <v>158</v>
      </c>
      <c r="C3892" s="1" t="s">
        <v>1236</v>
      </c>
      <c r="U3892" s="1"/>
    </row>
    <row r="3893" ht="15.75" customHeight="1">
      <c r="A3893" s="1" t="s">
        <v>535</v>
      </c>
      <c r="B3893" s="1" t="s">
        <v>378</v>
      </c>
      <c r="C3893" s="1" t="s">
        <v>1333</v>
      </c>
      <c r="U3893" s="1"/>
    </row>
    <row r="3894" ht="15.75" customHeight="1">
      <c r="A3894" s="1" t="s">
        <v>537</v>
      </c>
      <c r="B3894" s="1" t="s">
        <v>403</v>
      </c>
      <c r="C3894" s="1" t="s">
        <v>747</v>
      </c>
      <c r="U3894" s="1"/>
    </row>
    <row r="3895" ht="15.75" customHeight="1">
      <c r="A3895" s="1" t="s">
        <v>537</v>
      </c>
      <c r="B3895" s="1" t="s">
        <v>997</v>
      </c>
      <c r="C3895" s="1" t="s">
        <v>1350</v>
      </c>
      <c r="U3895" s="1"/>
    </row>
    <row r="3896" ht="15.75" customHeight="1">
      <c r="A3896" s="1" t="s">
        <v>539</v>
      </c>
      <c r="B3896" s="1" t="s">
        <v>29</v>
      </c>
      <c r="C3896" s="1" t="s">
        <v>1658</v>
      </c>
      <c r="U3896" s="1"/>
    </row>
    <row r="3897" ht="15.75" customHeight="1">
      <c r="A3897" s="1" t="s">
        <v>539</v>
      </c>
      <c r="B3897" s="1" t="s">
        <v>1848</v>
      </c>
      <c r="C3897" s="1" t="s">
        <v>2264</v>
      </c>
      <c r="U3897" s="1"/>
    </row>
    <row r="3898" ht="15.75" customHeight="1">
      <c r="A3898" s="1" t="s">
        <v>541</v>
      </c>
      <c r="B3898" s="1" t="s">
        <v>158</v>
      </c>
      <c r="C3898" s="1" t="s">
        <v>1174</v>
      </c>
      <c r="U3898" s="1"/>
    </row>
    <row r="3899" ht="15.75" customHeight="1">
      <c r="A3899" s="1" t="s">
        <v>541</v>
      </c>
      <c r="B3899" s="1" t="s">
        <v>158</v>
      </c>
      <c r="C3899" s="1" t="s">
        <v>1186</v>
      </c>
      <c r="U3899" s="1"/>
    </row>
    <row r="3900" ht="15.75" customHeight="1">
      <c r="A3900" s="1" t="s">
        <v>543</v>
      </c>
      <c r="B3900" s="1" t="s">
        <v>330</v>
      </c>
      <c r="C3900" s="1" t="s">
        <v>719</v>
      </c>
      <c r="U3900" s="1"/>
    </row>
    <row r="3901" ht="15.75" customHeight="1">
      <c r="A3901" s="1" t="s">
        <v>543</v>
      </c>
      <c r="B3901" s="1" t="s">
        <v>378</v>
      </c>
      <c r="C3901" s="1" t="s">
        <v>731</v>
      </c>
      <c r="U3901" s="1"/>
    </row>
    <row r="3902" ht="15.75" customHeight="1">
      <c r="A3902" s="1" t="s">
        <v>545</v>
      </c>
      <c r="B3902" s="1" t="s">
        <v>29</v>
      </c>
      <c r="C3902" s="1" t="s">
        <v>1147</v>
      </c>
      <c r="U3902" s="1"/>
    </row>
    <row r="3903" ht="15.75" customHeight="1">
      <c r="A3903" s="1" t="s">
        <v>545</v>
      </c>
      <c r="B3903" s="1" t="s">
        <v>29</v>
      </c>
      <c r="C3903" s="1" t="s">
        <v>1148</v>
      </c>
      <c r="U3903" s="1"/>
    </row>
    <row r="3904" ht="15.75" customHeight="1">
      <c r="A3904" s="1" t="s">
        <v>547</v>
      </c>
      <c r="B3904" s="1" t="s">
        <v>29</v>
      </c>
      <c r="C3904" s="1" t="s">
        <v>1134</v>
      </c>
      <c r="U3904" s="1"/>
    </row>
    <row r="3905" ht="15.75" customHeight="1">
      <c r="A3905" s="1" t="s">
        <v>547</v>
      </c>
      <c r="B3905" s="1" t="s">
        <v>158</v>
      </c>
      <c r="C3905" s="1" t="s">
        <v>1181</v>
      </c>
      <c r="U3905" s="1"/>
    </row>
    <row r="3906" ht="15.75" customHeight="1">
      <c r="A3906" s="1" t="s">
        <v>549</v>
      </c>
      <c r="B3906" s="1" t="s">
        <v>2005</v>
      </c>
      <c r="C3906" s="1" t="s">
        <v>2272</v>
      </c>
      <c r="U3906" s="1"/>
    </row>
    <row r="3907" ht="15.75" customHeight="1">
      <c r="A3907" s="1" t="s">
        <v>549</v>
      </c>
      <c r="B3907" s="1" t="s">
        <v>2005</v>
      </c>
      <c r="C3907" s="1" t="s">
        <v>2273</v>
      </c>
      <c r="U3907" s="1"/>
    </row>
    <row r="3908" ht="15.75" customHeight="1">
      <c r="A3908" s="1" t="s">
        <v>551</v>
      </c>
      <c r="B3908" s="1" t="s">
        <v>403</v>
      </c>
      <c r="C3908" s="1" t="s">
        <v>2297</v>
      </c>
      <c r="U3908" s="1"/>
    </row>
    <row r="3909" ht="15.75" customHeight="1">
      <c r="A3909" s="1" t="s">
        <v>551</v>
      </c>
      <c r="B3909" s="1" t="s">
        <v>1425</v>
      </c>
      <c r="C3909" s="1" t="s">
        <v>2180</v>
      </c>
      <c r="U3909" s="1"/>
    </row>
    <row r="3910" ht="15.75" customHeight="1">
      <c r="A3910" s="1" t="s">
        <v>553</v>
      </c>
      <c r="B3910" s="1" t="s">
        <v>6</v>
      </c>
      <c r="C3910" s="1" t="s">
        <v>1694</v>
      </c>
      <c r="U3910" s="1"/>
    </row>
    <row r="3911" ht="15.75" customHeight="1">
      <c r="A3911" s="1" t="s">
        <v>553</v>
      </c>
      <c r="B3911" s="1" t="s">
        <v>29</v>
      </c>
      <c r="C3911" s="1" t="s">
        <v>1270</v>
      </c>
      <c r="U3911" s="1"/>
    </row>
    <row r="3912" ht="15.75" customHeight="1">
      <c r="A3912" s="1" t="s">
        <v>555</v>
      </c>
      <c r="B3912" s="1" t="s">
        <v>29</v>
      </c>
      <c r="C3912" s="1" t="s">
        <v>1150</v>
      </c>
      <c r="U3912" s="1"/>
    </row>
    <row r="3913" ht="15.75" customHeight="1">
      <c r="A3913" s="1" t="s">
        <v>555</v>
      </c>
      <c r="B3913" s="1" t="s">
        <v>378</v>
      </c>
      <c r="C3913" s="1" t="s">
        <v>2289</v>
      </c>
      <c r="U3913" s="1"/>
    </row>
    <row r="3914" ht="15.75" customHeight="1">
      <c r="A3914" s="1" t="s">
        <v>557</v>
      </c>
      <c r="B3914" s="1" t="s">
        <v>403</v>
      </c>
      <c r="C3914" s="1" t="s">
        <v>2083</v>
      </c>
      <c r="U3914" s="1"/>
    </row>
    <row r="3915" ht="15.75" customHeight="1">
      <c r="A3915" s="1" t="s">
        <v>557</v>
      </c>
      <c r="B3915" s="1" t="s">
        <v>1410</v>
      </c>
      <c r="C3915" s="1" t="s">
        <v>2298</v>
      </c>
      <c r="U3915" s="1"/>
    </row>
    <row r="3916" ht="15.75" customHeight="1">
      <c r="A3916" s="1" t="s">
        <v>559</v>
      </c>
      <c r="B3916" s="1" t="s">
        <v>403</v>
      </c>
      <c r="C3916" s="1" t="s">
        <v>2219</v>
      </c>
      <c r="U3916" s="1"/>
    </row>
    <row r="3917" ht="15.75" customHeight="1">
      <c r="A3917" s="1" t="s">
        <v>559</v>
      </c>
      <c r="B3917" s="1" t="s">
        <v>403</v>
      </c>
      <c r="C3917" s="1" t="s">
        <v>2012</v>
      </c>
      <c r="U3917" s="1"/>
    </row>
    <row r="3918" ht="15.75" customHeight="1">
      <c r="A3918" s="1" t="s">
        <v>561</v>
      </c>
      <c r="B3918" s="1" t="s">
        <v>158</v>
      </c>
      <c r="C3918" s="1" t="s">
        <v>2114</v>
      </c>
      <c r="U3918" s="1"/>
    </row>
    <row r="3919" ht="15.75" customHeight="1">
      <c r="A3919" s="1" t="s">
        <v>561</v>
      </c>
      <c r="B3919" s="1" t="s">
        <v>330</v>
      </c>
      <c r="C3919" s="1" t="s">
        <v>2102</v>
      </c>
      <c r="U3919" s="1"/>
    </row>
    <row r="3920" ht="15.75" customHeight="1">
      <c r="A3920" s="1" t="s">
        <v>563</v>
      </c>
      <c r="B3920" s="1" t="s">
        <v>403</v>
      </c>
      <c r="C3920" s="1" t="s">
        <v>994</v>
      </c>
      <c r="U3920" s="1"/>
    </row>
    <row r="3921" ht="15.75" customHeight="1">
      <c r="A3921" s="1" t="s">
        <v>563</v>
      </c>
      <c r="B3921" s="1" t="s">
        <v>997</v>
      </c>
      <c r="C3921" s="1" t="s">
        <v>2201</v>
      </c>
      <c r="U3921" s="1"/>
    </row>
    <row r="3922" ht="15.75" customHeight="1">
      <c r="A3922" s="1" t="s">
        <v>565</v>
      </c>
      <c r="B3922" s="1" t="s">
        <v>6</v>
      </c>
      <c r="C3922" s="1" t="s">
        <v>1119</v>
      </c>
      <c r="U3922" s="1"/>
    </row>
    <row r="3923" ht="15.75" customHeight="1">
      <c r="A3923" s="1" t="s">
        <v>565</v>
      </c>
      <c r="B3923" s="1" t="s">
        <v>29</v>
      </c>
      <c r="C3923" s="1" t="s">
        <v>1127</v>
      </c>
      <c r="U3923" s="1"/>
    </row>
    <row r="3924" ht="15.75" customHeight="1">
      <c r="A3924" s="1" t="s">
        <v>567</v>
      </c>
      <c r="B3924" s="1" t="s">
        <v>158</v>
      </c>
      <c r="C3924" s="1" t="s">
        <v>1026</v>
      </c>
      <c r="U3924" s="1"/>
    </row>
    <row r="3925" ht="15.75" customHeight="1">
      <c r="A3925" s="1" t="s">
        <v>567</v>
      </c>
      <c r="B3925" s="1" t="s">
        <v>330</v>
      </c>
      <c r="C3925" s="1" t="s">
        <v>1026</v>
      </c>
      <c r="U3925" s="1"/>
    </row>
    <row r="3926" ht="15.75" customHeight="1">
      <c r="A3926" s="1" t="s">
        <v>569</v>
      </c>
      <c r="B3926" s="1" t="s">
        <v>1748</v>
      </c>
      <c r="C3926" s="1" t="s">
        <v>2252</v>
      </c>
      <c r="U3926" s="1"/>
    </row>
    <row r="3927" ht="15.75" customHeight="1">
      <c r="A3927" s="1" t="s">
        <v>569</v>
      </c>
      <c r="B3927" s="1" t="s">
        <v>1748</v>
      </c>
      <c r="C3927" s="1" t="s">
        <v>2253</v>
      </c>
      <c r="U3927" s="1"/>
    </row>
    <row r="3928" ht="15.75" customHeight="1">
      <c r="A3928" s="1" t="s">
        <v>571</v>
      </c>
      <c r="B3928" s="1" t="s">
        <v>29</v>
      </c>
      <c r="C3928" s="1" t="s">
        <v>780</v>
      </c>
      <c r="U3928" s="1"/>
    </row>
    <row r="3929" ht="15.75" customHeight="1">
      <c r="A3929" s="1" t="s">
        <v>571</v>
      </c>
      <c r="B3929" s="1" t="s">
        <v>403</v>
      </c>
      <c r="C3929" s="1" t="s">
        <v>1856</v>
      </c>
      <c r="U3929" s="1"/>
    </row>
    <row r="3930" ht="15.75" customHeight="1">
      <c r="A3930" s="1" t="s">
        <v>573</v>
      </c>
      <c r="B3930" s="1" t="s">
        <v>77</v>
      </c>
      <c r="C3930" s="1" t="s">
        <v>1288</v>
      </c>
      <c r="U3930" s="1"/>
    </row>
    <row r="3931" ht="15.75" customHeight="1">
      <c r="A3931" s="1" t="s">
        <v>573</v>
      </c>
      <c r="B3931" s="1" t="s">
        <v>1400</v>
      </c>
      <c r="C3931" s="1" t="s">
        <v>1954</v>
      </c>
      <c r="U3931" s="1"/>
    </row>
    <row r="3932" ht="15.75" customHeight="1">
      <c r="A3932" s="1" t="s">
        <v>575</v>
      </c>
      <c r="B3932" s="1" t="s">
        <v>29</v>
      </c>
      <c r="C3932" s="1" t="s">
        <v>452</v>
      </c>
      <c r="U3932" s="1"/>
    </row>
    <row r="3933" ht="15.75" customHeight="1">
      <c r="A3933" s="1" t="s">
        <v>575</v>
      </c>
      <c r="B3933" s="1" t="s">
        <v>77</v>
      </c>
      <c r="C3933" s="1" t="s">
        <v>476</v>
      </c>
      <c r="U3933" s="1"/>
    </row>
    <row r="3934" ht="15.75" customHeight="1">
      <c r="A3934" s="1" t="s">
        <v>577</v>
      </c>
      <c r="B3934" s="1" t="s">
        <v>77</v>
      </c>
      <c r="C3934" s="1" t="s">
        <v>1519</v>
      </c>
      <c r="U3934" s="1"/>
    </row>
    <row r="3935" ht="15.75" customHeight="1">
      <c r="A3935" s="1" t="s">
        <v>577</v>
      </c>
      <c r="B3935" s="1" t="s">
        <v>158</v>
      </c>
      <c r="C3935" s="1" t="s">
        <v>1931</v>
      </c>
      <c r="U3935" s="1"/>
    </row>
    <row r="3936" ht="15.75" customHeight="1">
      <c r="A3936" s="1" t="s">
        <v>579</v>
      </c>
      <c r="B3936" s="1" t="s">
        <v>6</v>
      </c>
      <c r="C3936" s="1" t="s">
        <v>1117</v>
      </c>
      <c r="U3936" s="1"/>
    </row>
    <row r="3937" ht="15.75" customHeight="1">
      <c r="A3937" s="1" t="s">
        <v>579</v>
      </c>
      <c r="B3937" s="1" t="s">
        <v>29</v>
      </c>
      <c r="C3937" s="1" t="s">
        <v>1277</v>
      </c>
      <c r="U3937" s="1"/>
    </row>
    <row r="3938" ht="15.75" customHeight="1">
      <c r="A3938" s="1" t="s">
        <v>581</v>
      </c>
      <c r="B3938" s="1" t="s">
        <v>77</v>
      </c>
      <c r="C3938" s="1" t="s">
        <v>1291</v>
      </c>
      <c r="U3938" s="1"/>
    </row>
    <row r="3939" ht="15.75" customHeight="1">
      <c r="A3939" s="1" t="s">
        <v>581</v>
      </c>
      <c r="B3939" s="1" t="s">
        <v>158</v>
      </c>
      <c r="C3939" s="1" t="s">
        <v>2294</v>
      </c>
      <c r="U3939" s="1"/>
    </row>
    <row r="3940" ht="15.75" customHeight="1">
      <c r="A3940" s="1" t="s">
        <v>584</v>
      </c>
      <c r="B3940" s="1" t="s">
        <v>158</v>
      </c>
      <c r="C3940" s="1" t="s">
        <v>1317</v>
      </c>
      <c r="U3940" s="1"/>
    </row>
    <row r="3941" ht="15.75" customHeight="1">
      <c r="A3941" s="1" t="s">
        <v>584</v>
      </c>
      <c r="B3941" s="1" t="s">
        <v>403</v>
      </c>
      <c r="C3941" s="1" t="s">
        <v>2237</v>
      </c>
      <c r="U3941" s="1"/>
    </row>
    <row r="3942" ht="15.75" customHeight="1">
      <c r="A3942" s="1" t="s">
        <v>586</v>
      </c>
      <c r="B3942" s="1" t="s">
        <v>29</v>
      </c>
      <c r="C3942" s="1" t="s">
        <v>1264</v>
      </c>
      <c r="U3942" s="1"/>
    </row>
    <row r="3943" ht="15.75" customHeight="1">
      <c r="A3943" s="1" t="s">
        <v>586</v>
      </c>
      <c r="B3943" s="1" t="s">
        <v>158</v>
      </c>
      <c r="C3943" s="1" t="s">
        <v>1703</v>
      </c>
      <c r="U3943" s="1"/>
    </row>
    <row r="3944" ht="15.75" customHeight="1">
      <c r="A3944" s="1" t="s">
        <v>588</v>
      </c>
      <c r="B3944" s="1" t="s">
        <v>158</v>
      </c>
      <c r="C3944" s="1" t="s">
        <v>1535</v>
      </c>
      <c r="U3944" s="1"/>
    </row>
    <row r="3945" ht="15.75" customHeight="1">
      <c r="A3945" s="1" t="s">
        <v>588</v>
      </c>
      <c r="B3945" s="1" t="s">
        <v>330</v>
      </c>
      <c r="C3945" s="1" t="s">
        <v>1543</v>
      </c>
      <c r="U3945" s="1"/>
    </row>
    <row r="3946" ht="15.75" customHeight="1">
      <c r="A3946" s="1" t="s">
        <v>590</v>
      </c>
      <c r="B3946" s="1" t="s">
        <v>158</v>
      </c>
      <c r="C3946" s="1" t="s">
        <v>939</v>
      </c>
      <c r="U3946" s="1"/>
    </row>
    <row r="3947" ht="15.75" customHeight="1">
      <c r="A3947" s="1" t="s">
        <v>590</v>
      </c>
      <c r="B3947" s="1" t="s">
        <v>378</v>
      </c>
      <c r="C3947" s="1" t="s">
        <v>974</v>
      </c>
      <c r="U3947" s="1"/>
    </row>
    <row r="3948" ht="15.75" customHeight="1">
      <c r="A3948" s="1" t="s">
        <v>592</v>
      </c>
      <c r="B3948" s="1" t="s">
        <v>403</v>
      </c>
      <c r="C3948" s="1" t="s">
        <v>1932</v>
      </c>
      <c r="U3948" s="1"/>
    </row>
    <row r="3949" ht="15.75" customHeight="1">
      <c r="A3949" s="1" t="s">
        <v>592</v>
      </c>
      <c r="B3949" s="1" t="s">
        <v>403</v>
      </c>
      <c r="C3949" s="1" t="s">
        <v>1933</v>
      </c>
      <c r="U3949" s="1"/>
    </row>
    <row r="3950" ht="15.75" customHeight="1">
      <c r="A3950" s="1" t="s">
        <v>594</v>
      </c>
      <c r="B3950" s="1" t="s">
        <v>330</v>
      </c>
      <c r="C3950" s="1" t="s">
        <v>544</v>
      </c>
      <c r="U3950" s="1"/>
    </row>
    <row r="3951" ht="15.75" customHeight="1">
      <c r="A3951" s="1" t="s">
        <v>594</v>
      </c>
      <c r="B3951" s="1" t="s">
        <v>378</v>
      </c>
      <c r="C3951" s="1" t="s">
        <v>580</v>
      </c>
      <c r="U3951" s="1"/>
    </row>
    <row r="3952" ht="15.75" customHeight="1">
      <c r="A3952" s="1" t="s">
        <v>596</v>
      </c>
      <c r="B3952" s="1" t="s">
        <v>158</v>
      </c>
      <c r="C3952" s="1" t="s">
        <v>1306</v>
      </c>
      <c r="U3952" s="1"/>
    </row>
    <row r="3953" ht="15.75" customHeight="1">
      <c r="A3953" s="1" t="s">
        <v>596</v>
      </c>
      <c r="B3953" s="1" t="s">
        <v>1848</v>
      </c>
      <c r="C3953" s="1" t="s">
        <v>1872</v>
      </c>
      <c r="U3953" s="1"/>
    </row>
    <row r="3954" ht="15.75" customHeight="1">
      <c r="A3954" s="1" t="s">
        <v>598</v>
      </c>
      <c r="B3954" s="1" t="s">
        <v>330</v>
      </c>
      <c r="C3954" s="1" t="s">
        <v>544</v>
      </c>
      <c r="U3954" s="1"/>
    </row>
    <row r="3955" ht="15.75" customHeight="1">
      <c r="A3955" s="1" t="s">
        <v>598</v>
      </c>
      <c r="B3955" s="1" t="s">
        <v>378</v>
      </c>
      <c r="C3955" s="1" t="s">
        <v>580</v>
      </c>
      <c r="U3955" s="1"/>
    </row>
    <row r="3956" ht="15.75" customHeight="1">
      <c r="A3956" s="1" t="s">
        <v>600</v>
      </c>
      <c r="B3956" s="1" t="s">
        <v>29</v>
      </c>
      <c r="C3956" s="1" t="s">
        <v>1150</v>
      </c>
      <c r="U3956" s="1"/>
    </row>
    <row r="3957" ht="15.75" customHeight="1">
      <c r="A3957" s="1" t="s">
        <v>600</v>
      </c>
      <c r="B3957" s="1" t="s">
        <v>77</v>
      </c>
      <c r="C3957" s="1" t="s">
        <v>485</v>
      </c>
      <c r="U3957" s="1"/>
    </row>
    <row r="3958" ht="15.75" customHeight="1">
      <c r="A3958" s="1" t="s">
        <v>602</v>
      </c>
      <c r="B3958" s="1" t="s">
        <v>330</v>
      </c>
      <c r="C3958" s="1" t="s">
        <v>1685</v>
      </c>
      <c r="U3958" s="1"/>
    </row>
    <row r="3959" ht="15.75" customHeight="1">
      <c r="A3959" s="1" t="s">
        <v>602</v>
      </c>
      <c r="B3959" s="1" t="s">
        <v>378</v>
      </c>
      <c r="C3959" s="1" t="s">
        <v>1689</v>
      </c>
      <c r="U3959" s="1"/>
    </row>
    <row r="3960" ht="15.75" customHeight="1">
      <c r="A3960" s="1" t="s">
        <v>604</v>
      </c>
      <c r="B3960" s="1" t="s">
        <v>6</v>
      </c>
      <c r="C3960" s="1" t="s">
        <v>1497</v>
      </c>
      <c r="U3960" s="1"/>
    </row>
    <row r="3961" ht="15.75" customHeight="1">
      <c r="A3961" s="1" t="s">
        <v>604</v>
      </c>
      <c r="B3961" s="1" t="s">
        <v>29</v>
      </c>
      <c r="C3961" s="1" t="s">
        <v>1501</v>
      </c>
      <c r="U3961" s="1"/>
    </row>
    <row r="3962" ht="15.75" customHeight="1">
      <c r="A3962" s="1" t="s">
        <v>606</v>
      </c>
      <c r="B3962" s="1" t="s">
        <v>29</v>
      </c>
      <c r="C3962" s="1" t="s">
        <v>1260</v>
      </c>
      <c r="U3962" s="1"/>
    </row>
    <row r="3963" ht="15.75" customHeight="1">
      <c r="A3963" s="1" t="s">
        <v>606</v>
      </c>
      <c r="B3963" s="1" t="s">
        <v>77</v>
      </c>
      <c r="C3963" s="1" t="s">
        <v>1294</v>
      </c>
      <c r="U3963" s="1"/>
    </row>
    <row r="3964" ht="15.75" customHeight="1">
      <c r="A3964" s="1" t="s">
        <v>608</v>
      </c>
      <c r="B3964" s="1" t="s">
        <v>1748</v>
      </c>
      <c r="C3964" s="1" t="s">
        <v>2299</v>
      </c>
      <c r="U3964" s="1"/>
    </row>
    <row r="3965" ht="15.75" customHeight="1">
      <c r="A3965" s="1" t="s">
        <v>608</v>
      </c>
      <c r="B3965" s="1" t="s">
        <v>1748</v>
      </c>
      <c r="C3965" s="1" t="s">
        <v>2300</v>
      </c>
      <c r="U3965" s="1"/>
    </row>
    <row r="3966" ht="15.75" customHeight="1">
      <c r="A3966" s="1" t="s">
        <v>610</v>
      </c>
      <c r="B3966" s="1" t="s">
        <v>6</v>
      </c>
      <c r="C3966" s="1" t="s">
        <v>1106</v>
      </c>
      <c r="U3966" s="1"/>
    </row>
    <row r="3967" ht="15.75" customHeight="1">
      <c r="A3967" s="1" t="s">
        <v>610</v>
      </c>
      <c r="B3967" s="1" t="s">
        <v>6</v>
      </c>
      <c r="C3967" s="1" t="s">
        <v>1122</v>
      </c>
      <c r="U3967" s="1"/>
    </row>
    <row r="3968" ht="15.75" customHeight="1">
      <c r="A3968" s="1" t="s">
        <v>612</v>
      </c>
      <c r="B3968" s="1" t="s">
        <v>1410</v>
      </c>
      <c r="C3968" s="1" t="s">
        <v>2301</v>
      </c>
      <c r="U3968" s="1"/>
    </row>
    <row r="3969" ht="15.75" customHeight="1">
      <c r="A3969" s="1" t="s">
        <v>612</v>
      </c>
      <c r="B3969" s="1" t="s">
        <v>1848</v>
      </c>
      <c r="C3969" s="1" t="s">
        <v>2031</v>
      </c>
      <c r="U3969" s="1"/>
    </row>
    <row r="3970" ht="15.75" customHeight="1">
      <c r="A3970" s="1" t="s">
        <v>614</v>
      </c>
      <c r="B3970" s="1" t="s">
        <v>77</v>
      </c>
      <c r="C3970" s="1" t="s">
        <v>132</v>
      </c>
      <c r="U3970" s="1"/>
    </row>
    <row r="3971" ht="15.75" customHeight="1">
      <c r="A3971" s="1" t="s">
        <v>614</v>
      </c>
      <c r="B3971" s="1" t="s">
        <v>378</v>
      </c>
      <c r="C3971" s="1" t="s">
        <v>2246</v>
      </c>
      <c r="U3971" s="1"/>
    </row>
    <row r="3972" ht="15.75" customHeight="1">
      <c r="A3972" s="1" t="s">
        <v>616</v>
      </c>
      <c r="B3972" s="1" t="s">
        <v>77</v>
      </c>
      <c r="C3972" s="1" t="s">
        <v>1281</v>
      </c>
      <c r="U3972" s="1"/>
    </row>
    <row r="3973" ht="15.75" customHeight="1">
      <c r="A3973" s="1" t="s">
        <v>616</v>
      </c>
      <c r="B3973" s="1" t="s">
        <v>158</v>
      </c>
      <c r="C3973" s="1" t="s">
        <v>227</v>
      </c>
      <c r="U3973" s="1"/>
    </row>
    <row r="3974" ht="15.75" customHeight="1">
      <c r="A3974" s="1" t="s">
        <v>618</v>
      </c>
      <c r="B3974" s="1" t="s">
        <v>6</v>
      </c>
      <c r="C3974" s="1" t="s">
        <v>1107</v>
      </c>
      <c r="U3974" s="1"/>
    </row>
    <row r="3975" ht="15.75" customHeight="1">
      <c r="A3975" s="1" t="s">
        <v>618</v>
      </c>
      <c r="B3975" s="1" t="s">
        <v>6</v>
      </c>
      <c r="C3975" s="1" t="s">
        <v>1110</v>
      </c>
      <c r="U3975" s="1"/>
    </row>
    <row r="3976" ht="15.75" customHeight="1">
      <c r="A3976" s="1" t="s">
        <v>2302</v>
      </c>
      <c r="B3976" s="1" t="s">
        <v>330</v>
      </c>
      <c r="C3976" s="1" t="s">
        <v>913</v>
      </c>
      <c r="U3976" s="1"/>
    </row>
    <row r="3977" ht="15.75" customHeight="1">
      <c r="A3977" s="1" t="s">
        <v>2302</v>
      </c>
      <c r="B3977" s="1" t="s">
        <v>330</v>
      </c>
      <c r="C3977" s="1" t="s">
        <v>1547</v>
      </c>
      <c r="U3977" s="1"/>
    </row>
    <row r="3978" ht="15.75" customHeight="1">
      <c r="A3978" s="1" t="s">
        <v>623</v>
      </c>
      <c r="B3978" s="1" t="s">
        <v>997</v>
      </c>
      <c r="C3978" s="1" t="s">
        <v>999</v>
      </c>
      <c r="U3978" s="1"/>
    </row>
    <row r="3979" ht="15.75" customHeight="1">
      <c r="A3979" s="1" t="s">
        <v>623</v>
      </c>
      <c r="B3979" s="1" t="s">
        <v>997</v>
      </c>
      <c r="C3979" s="1" t="s">
        <v>1734</v>
      </c>
      <c r="U3979" s="1"/>
    </row>
    <row r="3980" ht="15.75" customHeight="1">
      <c r="A3980" s="1" t="s">
        <v>625</v>
      </c>
      <c r="B3980" s="1" t="s">
        <v>29</v>
      </c>
      <c r="C3980" s="1" t="s">
        <v>1150</v>
      </c>
      <c r="U3980" s="1"/>
    </row>
    <row r="3981" ht="15.75" customHeight="1">
      <c r="A3981" s="1" t="s">
        <v>625</v>
      </c>
      <c r="B3981" s="1" t="s">
        <v>77</v>
      </c>
      <c r="C3981" s="1" t="s">
        <v>124</v>
      </c>
      <c r="U3981" s="1"/>
    </row>
    <row r="3982" ht="15.75" customHeight="1">
      <c r="A3982" s="1" t="s">
        <v>627</v>
      </c>
      <c r="B3982" s="1" t="s">
        <v>1093</v>
      </c>
      <c r="C3982" s="1" t="s">
        <v>2303</v>
      </c>
      <c r="U3982" s="1"/>
    </row>
    <row r="3983" ht="15.75" customHeight="1">
      <c r="A3983" s="1" t="s">
        <v>627</v>
      </c>
      <c r="B3983" s="1" t="s">
        <v>1400</v>
      </c>
      <c r="C3983" s="1" t="s">
        <v>1984</v>
      </c>
      <c r="U3983" s="1"/>
    </row>
    <row r="3984" ht="15.75" customHeight="1">
      <c r="A3984" s="1" t="s">
        <v>629</v>
      </c>
      <c r="B3984" s="1" t="s">
        <v>158</v>
      </c>
      <c r="C3984" s="1" t="s">
        <v>939</v>
      </c>
      <c r="U3984" s="1"/>
    </row>
    <row r="3985" ht="15.75" customHeight="1">
      <c r="A3985" s="1" t="s">
        <v>629</v>
      </c>
      <c r="B3985" s="1" t="s">
        <v>1425</v>
      </c>
      <c r="C3985" s="1" t="s">
        <v>2162</v>
      </c>
      <c r="U3985" s="1"/>
    </row>
    <row r="3986" ht="15.75" customHeight="1">
      <c r="A3986" s="1" t="s">
        <v>630</v>
      </c>
      <c r="B3986" s="1" t="s">
        <v>29</v>
      </c>
      <c r="C3986" s="1" t="s">
        <v>440</v>
      </c>
      <c r="U3986" s="1"/>
    </row>
    <row r="3987" ht="15.75" customHeight="1">
      <c r="A3987" s="1" t="s">
        <v>630</v>
      </c>
      <c r="B3987" s="1" t="s">
        <v>403</v>
      </c>
      <c r="C3987" s="1" t="s">
        <v>2179</v>
      </c>
      <c r="U3987" s="1"/>
    </row>
    <row r="3988" ht="15.75" customHeight="1">
      <c r="A3988" s="1" t="s">
        <v>631</v>
      </c>
      <c r="B3988" s="1" t="s">
        <v>158</v>
      </c>
      <c r="C3988" s="1" t="s">
        <v>949</v>
      </c>
      <c r="U3988" s="1"/>
    </row>
    <row r="3989" ht="15.75" customHeight="1">
      <c r="A3989" s="1" t="s">
        <v>631</v>
      </c>
      <c r="B3989" s="1" t="s">
        <v>403</v>
      </c>
      <c r="C3989" s="1" t="s">
        <v>754</v>
      </c>
      <c r="U3989" s="1"/>
    </row>
    <row r="3990" ht="15.75" customHeight="1">
      <c r="A3990" s="1" t="s">
        <v>632</v>
      </c>
      <c r="B3990" s="1" t="s">
        <v>330</v>
      </c>
      <c r="C3990" s="1" t="s">
        <v>372</v>
      </c>
      <c r="U3990" s="1"/>
    </row>
    <row r="3991" ht="15.75" customHeight="1">
      <c r="A3991" s="1" t="s">
        <v>632</v>
      </c>
      <c r="B3991" s="1" t="s">
        <v>403</v>
      </c>
      <c r="C3991" s="1" t="s">
        <v>2219</v>
      </c>
      <c r="U3991" s="1"/>
    </row>
    <row r="3992" ht="15.75" customHeight="1">
      <c r="A3992" s="1" t="s">
        <v>633</v>
      </c>
      <c r="B3992" s="1" t="s">
        <v>403</v>
      </c>
      <c r="C3992" s="1" t="s">
        <v>1638</v>
      </c>
      <c r="U3992" s="1"/>
    </row>
    <row r="3993" ht="15.75" customHeight="1">
      <c r="A3993" s="1" t="s">
        <v>633</v>
      </c>
      <c r="B3993" s="1" t="s">
        <v>997</v>
      </c>
      <c r="C3993" s="1" t="s">
        <v>1347</v>
      </c>
      <c r="U3993" s="1"/>
    </row>
    <row r="3994" ht="15.75" customHeight="1">
      <c r="A3994" s="1" t="s">
        <v>634</v>
      </c>
      <c r="B3994" s="1" t="s">
        <v>330</v>
      </c>
      <c r="C3994" s="1" t="s">
        <v>951</v>
      </c>
      <c r="U3994" s="1"/>
    </row>
    <row r="3995" ht="15.75" customHeight="1">
      <c r="A3995" s="1" t="s">
        <v>634</v>
      </c>
      <c r="B3995" s="1" t="s">
        <v>378</v>
      </c>
      <c r="C3995" s="1" t="s">
        <v>975</v>
      </c>
      <c r="U3995" s="1"/>
    </row>
    <row r="3996" ht="15.75" customHeight="1">
      <c r="A3996" s="1" t="s">
        <v>635</v>
      </c>
      <c r="B3996" s="1" t="s">
        <v>6</v>
      </c>
      <c r="C3996" s="1" t="s">
        <v>1123</v>
      </c>
      <c r="U3996" s="1"/>
    </row>
    <row r="3997" ht="15.75" customHeight="1">
      <c r="A3997" s="1" t="s">
        <v>635</v>
      </c>
      <c r="B3997" s="1" t="s">
        <v>330</v>
      </c>
      <c r="C3997" s="1" t="s">
        <v>1615</v>
      </c>
      <c r="U3997" s="1"/>
    </row>
    <row r="3998" ht="15.75" customHeight="1">
      <c r="A3998" s="1" t="s">
        <v>636</v>
      </c>
      <c r="B3998" s="1" t="s">
        <v>330</v>
      </c>
      <c r="C3998" s="1" t="s">
        <v>2102</v>
      </c>
      <c r="U3998" s="1"/>
    </row>
    <row r="3999" ht="15.75" customHeight="1">
      <c r="A3999" s="1" t="s">
        <v>636</v>
      </c>
      <c r="B3999" s="1" t="s">
        <v>330</v>
      </c>
      <c r="C3999" s="1" t="s">
        <v>358</v>
      </c>
      <c r="U3999" s="1"/>
    </row>
    <row r="4000" ht="15.75" customHeight="1">
      <c r="A4000" s="1" t="s">
        <v>637</v>
      </c>
      <c r="B4000" s="1" t="s">
        <v>1400</v>
      </c>
      <c r="C4000" s="1" t="s">
        <v>1864</v>
      </c>
      <c r="U4000" s="1"/>
    </row>
    <row r="4001" ht="15.75" customHeight="1">
      <c r="A4001" s="1" t="s">
        <v>637</v>
      </c>
      <c r="B4001" s="1" t="s">
        <v>1410</v>
      </c>
      <c r="C4001" s="1" t="s">
        <v>1867</v>
      </c>
      <c r="U4001" s="1"/>
    </row>
    <row r="4002" ht="15.75" customHeight="1">
      <c r="A4002" s="1" t="s">
        <v>638</v>
      </c>
      <c r="B4002" s="1" t="s">
        <v>330</v>
      </c>
      <c r="C4002" s="1" t="s">
        <v>951</v>
      </c>
      <c r="U4002" s="1"/>
    </row>
    <row r="4003" ht="15.75" customHeight="1">
      <c r="A4003" s="1" t="s">
        <v>638</v>
      </c>
      <c r="B4003" s="1" t="s">
        <v>1492</v>
      </c>
      <c r="C4003" s="1" t="s">
        <v>2235</v>
      </c>
      <c r="U4003" s="1"/>
    </row>
    <row r="4004" ht="15.75" customHeight="1">
      <c r="A4004" s="1" t="s">
        <v>639</v>
      </c>
      <c r="B4004" s="1" t="s">
        <v>158</v>
      </c>
      <c r="C4004" s="1" t="s">
        <v>939</v>
      </c>
      <c r="U4004" s="1"/>
    </row>
    <row r="4005" ht="15.75" customHeight="1">
      <c r="A4005" s="1" t="s">
        <v>639</v>
      </c>
      <c r="B4005" s="1" t="s">
        <v>378</v>
      </c>
      <c r="C4005" s="1" t="s">
        <v>974</v>
      </c>
      <c r="U4005" s="1"/>
    </row>
    <row r="4006" ht="15.75" customHeight="1">
      <c r="A4006" s="1" t="s">
        <v>641</v>
      </c>
      <c r="B4006" s="1" t="s">
        <v>158</v>
      </c>
      <c r="C4006" s="1" t="s">
        <v>949</v>
      </c>
      <c r="U4006" s="1"/>
    </row>
    <row r="4007" ht="15.75" customHeight="1">
      <c r="A4007" s="1" t="s">
        <v>641</v>
      </c>
      <c r="B4007" s="1" t="s">
        <v>378</v>
      </c>
      <c r="C4007" s="1" t="s">
        <v>1343</v>
      </c>
      <c r="U4007" s="1"/>
    </row>
    <row r="4008" ht="15.75" customHeight="1">
      <c r="A4008" s="1" t="s">
        <v>642</v>
      </c>
      <c r="B4008" s="1" t="s">
        <v>77</v>
      </c>
      <c r="C4008" s="1" t="s">
        <v>100</v>
      </c>
      <c r="U4008" s="1"/>
    </row>
    <row r="4009" ht="15.75" customHeight="1">
      <c r="A4009" s="1" t="s">
        <v>642</v>
      </c>
      <c r="B4009" s="1" t="s">
        <v>378</v>
      </c>
      <c r="C4009" s="1" t="s">
        <v>383</v>
      </c>
      <c r="U4009" s="1"/>
    </row>
    <row r="4010" ht="15.75" customHeight="1">
      <c r="A4010" s="1" t="s">
        <v>643</v>
      </c>
      <c r="B4010" s="1" t="s">
        <v>158</v>
      </c>
      <c r="C4010" s="1" t="s">
        <v>1231</v>
      </c>
      <c r="U4010" s="1"/>
    </row>
    <row r="4011" ht="15.75" customHeight="1">
      <c r="A4011" s="1" t="s">
        <v>643</v>
      </c>
      <c r="B4011" s="1" t="s">
        <v>330</v>
      </c>
      <c r="C4011" s="1" t="s">
        <v>957</v>
      </c>
      <c r="U4011" s="1"/>
    </row>
    <row r="4012" ht="15.75" customHeight="1">
      <c r="A4012" s="1" t="s">
        <v>644</v>
      </c>
      <c r="B4012" s="1" t="s">
        <v>29</v>
      </c>
      <c r="C4012" s="1" t="s">
        <v>442</v>
      </c>
      <c r="U4012" s="1"/>
    </row>
    <row r="4013" ht="15.75" customHeight="1">
      <c r="A4013" s="1" t="s">
        <v>644</v>
      </c>
      <c r="B4013" s="1" t="s">
        <v>158</v>
      </c>
      <c r="C4013" s="1" t="s">
        <v>229</v>
      </c>
      <c r="U4013" s="1"/>
    </row>
    <row r="4014" ht="15.75" customHeight="1">
      <c r="A4014" s="1" t="s">
        <v>645</v>
      </c>
      <c r="B4014" s="1" t="s">
        <v>29</v>
      </c>
      <c r="C4014" s="1" t="s">
        <v>1259</v>
      </c>
      <c r="U4014" s="1"/>
    </row>
    <row r="4015" ht="15.75" customHeight="1">
      <c r="A4015" s="1" t="s">
        <v>645</v>
      </c>
      <c r="B4015" s="1" t="s">
        <v>77</v>
      </c>
      <c r="C4015" s="1" t="s">
        <v>1281</v>
      </c>
      <c r="U4015" s="1"/>
    </row>
    <row r="4016" ht="15.75" customHeight="1">
      <c r="A4016" s="1" t="s">
        <v>646</v>
      </c>
      <c r="B4016" s="1" t="s">
        <v>6</v>
      </c>
      <c r="C4016" s="1" t="s">
        <v>1107</v>
      </c>
      <c r="U4016" s="1"/>
    </row>
    <row r="4017" ht="15.75" customHeight="1">
      <c r="A4017" s="1" t="s">
        <v>646</v>
      </c>
      <c r="B4017" s="1" t="s">
        <v>6</v>
      </c>
      <c r="C4017" s="1" t="s">
        <v>1110</v>
      </c>
      <c r="U4017" s="1"/>
    </row>
    <row r="4018" ht="15.75" customHeight="1">
      <c r="A4018" s="1" t="s">
        <v>647</v>
      </c>
      <c r="B4018" s="1" t="s">
        <v>1748</v>
      </c>
      <c r="C4018" s="1" t="s">
        <v>2304</v>
      </c>
      <c r="U4018" s="1"/>
    </row>
    <row r="4019" ht="15.75" customHeight="1">
      <c r="A4019" s="1" t="s">
        <v>647</v>
      </c>
      <c r="B4019" s="1" t="s">
        <v>1748</v>
      </c>
      <c r="C4019" s="1" t="s">
        <v>2167</v>
      </c>
      <c r="U4019" s="1"/>
    </row>
    <row r="4020" ht="15.75" customHeight="1">
      <c r="A4020" s="1" t="s">
        <v>648</v>
      </c>
      <c r="B4020" s="1" t="s">
        <v>158</v>
      </c>
      <c r="C4020" s="1" t="s">
        <v>229</v>
      </c>
      <c r="U4020" s="1"/>
    </row>
    <row r="4021" ht="15.75" customHeight="1">
      <c r="A4021" s="1" t="s">
        <v>648</v>
      </c>
      <c r="B4021" s="1" t="s">
        <v>403</v>
      </c>
      <c r="C4021" s="1" t="s">
        <v>1855</v>
      </c>
      <c r="U4021" s="1"/>
    </row>
    <row r="4022" ht="15.75" customHeight="1">
      <c r="A4022" s="1" t="s">
        <v>649</v>
      </c>
      <c r="B4022" s="1" t="s">
        <v>77</v>
      </c>
      <c r="C4022" s="1" t="s">
        <v>1595</v>
      </c>
      <c r="U4022" s="1"/>
    </row>
    <row r="4023" ht="15.75" customHeight="1">
      <c r="A4023" s="1" t="s">
        <v>649</v>
      </c>
      <c r="B4023" s="1" t="s">
        <v>1848</v>
      </c>
      <c r="C4023" s="1" t="s">
        <v>2282</v>
      </c>
      <c r="U4023" s="1"/>
    </row>
    <row r="4024" ht="15.75" customHeight="1">
      <c r="A4024" s="1" t="s">
        <v>650</v>
      </c>
      <c r="B4024" s="1" t="s">
        <v>29</v>
      </c>
      <c r="C4024" s="1" t="s">
        <v>1198</v>
      </c>
      <c r="U4024" s="1"/>
    </row>
    <row r="4025" ht="15.75" customHeight="1">
      <c r="A4025" s="1" t="s">
        <v>650</v>
      </c>
      <c r="B4025" s="1" t="s">
        <v>158</v>
      </c>
      <c r="C4025" s="1" t="s">
        <v>1234</v>
      </c>
      <c r="U4025" s="1"/>
    </row>
    <row r="4026" ht="15.75" customHeight="1">
      <c r="A4026" s="1" t="s">
        <v>651</v>
      </c>
      <c r="B4026" s="1" t="s">
        <v>29</v>
      </c>
      <c r="C4026" s="1" t="s">
        <v>1503</v>
      </c>
      <c r="U4026" s="1"/>
    </row>
    <row r="4027" ht="15.75" customHeight="1">
      <c r="A4027" s="1" t="s">
        <v>651</v>
      </c>
      <c r="B4027" s="1" t="s">
        <v>29</v>
      </c>
      <c r="C4027" s="1" t="s">
        <v>1506</v>
      </c>
      <c r="U4027" s="1"/>
    </row>
    <row r="4028" ht="15.75" customHeight="1">
      <c r="A4028" s="1" t="s">
        <v>652</v>
      </c>
      <c r="B4028" s="1" t="s">
        <v>330</v>
      </c>
      <c r="C4028" s="1" t="s">
        <v>2295</v>
      </c>
      <c r="U4028" s="1"/>
    </row>
    <row r="4029" ht="15.75" customHeight="1">
      <c r="A4029" s="1" t="s">
        <v>652</v>
      </c>
      <c r="B4029" s="1" t="s">
        <v>378</v>
      </c>
      <c r="C4029" s="1" t="s">
        <v>2296</v>
      </c>
      <c r="U4029" s="1"/>
    </row>
    <row r="4030" ht="15.75" customHeight="1">
      <c r="A4030" s="1" t="s">
        <v>653</v>
      </c>
      <c r="B4030" s="1" t="s">
        <v>29</v>
      </c>
      <c r="C4030" s="1" t="s">
        <v>1270</v>
      </c>
      <c r="U4030" s="1"/>
    </row>
    <row r="4031" ht="15.75" customHeight="1">
      <c r="A4031" s="1" t="s">
        <v>653</v>
      </c>
      <c r="B4031" s="1" t="s">
        <v>158</v>
      </c>
      <c r="C4031" s="1" t="s">
        <v>1529</v>
      </c>
      <c r="U4031" s="1"/>
    </row>
    <row r="4032" ht="15.75" customHeight="1">
      <c r="A4032" s="1" t="s">
        <v>654</v>
      </c>
      <c r="B4032" s="1" t="s">
        <v>997</v>
      </c>
      <c r="C4032" s="1" t="s">
        <v>2192</v>
      </c>
      <c r="U4032" s="1"/>
    </row>
    <row r="4033" ht="15.75" customHeight="1">
      <c r="A4033" s="1" t="s">
        <v>654</v>
      </c>
      <c r="B4033" s="1" t="s">
        <v>1093</v>
      </c>
      <c r="C4033" s="1" t="s">
        <v>2169</v>
      </c>
      <c r="U4033" s="1"/>
    </row>
    <row r="4034" ht="15.75" customHeight="1">
      <c r="A4034" s="1" t="s">
        <v>655</v>
      </c>
      <c r="B4034" s="1" t="s">
        <v>77</v>
      </c>
      <c r="C4034" s="1" t="s">
        <v>1281</v>
      </c>
      <c r="U4034" s="1"/>
    </row>
    <row r="4035" ht="15.75" customHeight="1">
      <c r="A4035" s="1" t="s">
        <v>655</v>
      </c>
      <c r="B4035" s="1" t="s">
        <v>330</v>
      </c>
      <c r="C4035" s="1" t="s">
        <v>957</v>
      </c>
      <c r="U4035" s="1"/>
    </row>
    <row r="4036" ht="15.75" customHeight="1">
      <c r="A4036" s="1" t="s">
        <v>656</v>
      </c>
      <c r="B4036" s="1" t="s">
        <v>997</v>
      </c>
      <c r="C4036" s="1" t="s">
        <v>1734</v>
      </c>
      <c r="U4036" s="1"/>
    </row>
    <row r="4037" ht="15.75" customHeight="1">
      <c r="A4037" s="1" t="s">
        <v>656</v>
      </c>
      <c r="B4037" s="1" t="s">
        <v>1748</v>
      </c>
      <c r="C4037" s="1" t="s">
        <v>1749</v>
      </c>
      <c r="U4037" s="1"/>
    </row>
    <row r="4038" ht="15.75" customHeight="1">
      <c r="A4038" s="1" t="s">
        <v>657</v>
      </c>
      <c r="B4038" s="1" t="s">
        <v>158</v>
      </c>
      <c r="C4038" s="1" t="s">
        <v>939</v>
      </c>
      <c r="U4038" s="1"/>
    </row>
    <row r="4039" ht="15.75" customHeight="1">
      <c r="A4039" s="1" t="s">
        <v>657</v>
      </c>
      <c r="B4039" s="1" t="s">
        <v>378</v>
      </c>
      <c r="C4039" s="1" t="s">
        <v>974</v>
      </c>
      <c r="U4039" s="1"/>
    </row>
    <row r="4040" ht="15.75" customHeight="1">
      <c r="A4040" s="1" t="s">
        <v>658</v>
      </c>
      <c r="B4040" s="1" t="s">
        <v>29</v>
      </c>
      <c r="C4040" s="1" t="s">
        <v>452</v>
      </c>
      <c r="U4040" s="1"/>
    </row>
    <row r="4041" ht="15.75" customHeight="1">
      <c r="A4041" s="1" t="s">
        <v>658</v>
      </c>
      <c r="B4041" s="1" t="s">
        <v>77</v>
      </c>
      <c r="C4041" s="1" t="s">
        <v>476</v>
      </c>
      <c r="U4041" s="1"/>
    </row>
    <row r="4042" ht="15.75" customHeight="1">
      <c r="A4042" s="1" t="s">
        <v>659</v>
      </c>
      <c r="B4042" s="1" t="s">
        <v>378</v>
      </c>
      <c r="C4042" s="1" t="s">
        <v>976</v>
      </c>
      <c r="U4042" s="1"/>
    </row>
    <row r="4043" ht="15.75" customHeight="1">
      <c r="A4043" s="1" t="s">
        <v>659</v>
      </c>
      <c r="B4043" s="1" t="s">
        <v>1492</v>
      </c>
      <c r="C4043" s="1" t="s">
        <v>2175</v>
      </c>
      <c r="U4043" s="1"/>
    </row>
    <row r="4044" ht="15.75" customHeight="1">
      <c r="A4044" s="1" t="s">
        <v>660</v>
      </c>
      <c r="B4044" s="1" t="s">
        <v>77</v>
      </c>
      <c r="C4044" s="1" t="s">
        <v>507</v>
      </c>
      <c r="U4044" s="1"/>
    </row>
    <row r="4045" ht="15.75" customHeight="1">
      <c r="A4045" s="1" t="s">
        <v>660</v>
      </c>
      <c r="B4045" s="1" t="s">
        <v>158</v>
      </c>
      <c r="C4045" s="1" t="s">
        <v>516</v>
      </c>
      <c r="U4045" s="1"/>
    </row>
    <row r="4046" ht="15.75" customHeight="1">
      <c r="A4046" s="1" t="s">
        <v>661</v>
      </c>
      <c r="B4046" s="1" t="s">
        <v>29</v>
      </c>
      <c r="C4046" s="1" t="s">
        <v>782</v>
      </c>
      <c r="U4046" s="1"/>
    </row>
    <row r="4047" ht="15.75" customHeight="1">
      <c r="A4047" s="1" t="s">
        <v>661</v>
      </c>
      <c r="B4047" s="1" t="s">
        <v>77</v>
      </c>
      <c r="C4047" s="1" t="s">
        <v>804</v>
      </c>
      <c r="U4047" s="1"/>
    </row>
    <row r="4048" ht="15.75" customHeight="1">
      <c r="A4048" s="1" t="s">
        <v>662</v>
      </c>
      <c r="B4048" s="1" t="s">
        <v>403</v>
      </c>
      <c r="C4048" s="1" t="s">
        <v>2305</v>
      </c>
      <c r="U4048" s="1"/>
    </row>
    <row r="4049" ht="15.75" customHeight="1">
      <c r="A4049" s="1" t="s">
        <v>662</v>
      </c>
      <c r="B4049" s="1" t="s">
        <v>1400</v>
      </c>
      <c r="C4049" s="1" t="s">
        <v>2149</v>
      </c>
      <c r="U4049" s="1"/>
    </row>
    <row r="4050" ht="15.75" customHeight="1">
      <c r="A4050" s="1" t="s">
        <v>663</v>
      </c>
      <c r="B4050" s="1" t="s">
        <v>6</v>
      </c>
      <c r="C4050" s="1" t="s">
        <v>1107</v>
      </c>
      <c r="U4050" s="1"/>
    </row>
    <row r="4051" ht="15.75" customHeight="1">
      <c r="A4051" s="1" t="s">
        <v>663</v>
      </c>
      <c r="B4051" s="1" t="s">
        <v>6</v>
      </c>
      <c r="C4051" s="1" t="s">
        <v>1110</v>
      </c>
      <c r="U4051" s="1"/>
    </row>
    <row r="4052" ht="15.75" customHeight="1">
      <c r="A4052" s="1" t="s">
        <v>664</v>
      </c>
      <c r="B4052" s="1" t="s">
        <v>330</v>
      </c>
      <c r="C4052" s="1" t="s">
        <v>957</v>
      </c>
      <c r="U4052" s="1"/>
    </row>
    <row r="4053" ht="15.75" customHeight="1">
      <c r="A4053" s="1" t="s">
        <v>664</v>
      </c>
      <c r="B4053" s="1" t="s">
        <v>1400</v>
      </c>
      <c r="C4053" s="1" t="s">
        <v>1955</v>
      </c>
      <c r="U4053" s="1"/>
    </row>
    <row r="4054" ht="15.75" customHeight="1">
      <c r="A4054" s="1" t="s">
        <v>665</v>
      </c>
      <c r="B4054" s="1" t="s">
        <v>158</v>
      </c>
      <c r="C4054" s="1" t="s">
        <v>1612</v>
      </c>
      <c r="U4054" s="1"/>
    </row>
    <row r="4055" ht="15.75" customHeight="1">
      <c r="A4055" s="1" t="s">
        <v>665</v>
      </c>
      <c r="B4055" s="1" t="s">
        <v>330</v>
      </c>
      <c r="C4055" s="1" t="s">
        <v>957</v>
      </c>
      <c r="U4055" s="1"/>
    </row>
    <row r="4056" ht="15.75" customHeight="1">
      <c r="A4056" s="1" t="s">
        <v>666</v>
      </c>
      <c r="B4056" s="1" t="s">
        <v>158</v>
      </c>
      <c r="C4056" s="1" t="s">
        <v>939</v>
      </c>
      <c r="U4056" s="1"/>
    </row>
    <row r="4057" ht="15.75" customHeight="1">
      <c r="A4057" s="1" t="s">
        <v>666</v>
      </c>
      <c r="B4057" s="1" t="s">
        <v>378</v>
      </c>
      <c r="C4057" s="1" t="s">
        <v>974</v>
      </c>
      <c r="U4057" s="1"/>
    </row>
    <row r="4058" ht="15.75" customHeight="1">
      <c r="A4058" s="1" t="s">
        <v>667</v>
      </c>
      <c r="B4058" s="1" t="s">
        <v>330</v>
      </c>
      <c r="C4058" s="1" t="s">
        <v>957</v>
      </c>
      <c r="U4058" s="1"/>
    </row>
    <row r="4059" ht="15.75" customHeight="1">
      <c r="A4059" s="1" t="s">
        <v>667</v>
      </c>
      <c r="B4059" s="1" t="s">
        <v>1848</v>
      </c>
      <c r="C4059" s="1" t="s">
        <v>2248</v>
      </c>
      <c r="U4059" s="1"/>
    </row>
    <row r="4060" ht="15.75" customHeight="1">
      <c r="A4060" s="1" t="s">
        <v>668</v>
      </c>
      <c r="B4060" s="1" t="s">
        <v>158</v>
      </c>
      <c r="C4060" s="1" t="s">
        <v>1306</v>
      </c>
      <c r="U4060" s="1"/>
    </row>
    <row r="4061" ht="15.75" customHeight="1">
      <c r="A4061" s="1" t="s">
        <v>668</v>
      </c>
      <c r="B4061" s="1" t="s">
        <v>158</v>
      </c>
      <c r="C4061" s="1" t="s">
        <v>227</v>
      </c>
      <c r="U4061" s="1"/>
    </row>
    <row r="4062" ht="15.75" customHeight="1">
      <c r="A4062" s="1" t="s">
        <v>669</v>
      </c>
      <c r="B4062" s="1" t="s">
        <v>378</v>
      </c>
      <c r="C4062" s="1" t="s">
        <v>603</v>
      </c>
      <c r="U4062" s="1"/>
    </row>
    <row r="4063" ht="15.75" customHeight="1">
      <c r="A4063" s="1" t="s">
        <v>669</v>
      </c>
      <c r="B4063" s="1" t="s">
        <v>997</v>
      </c>
      <c r="C4063" s="1" t="s">
        <v>2269</v>
      </c>
      <c r="U4063" s="1"/>
    </row>
    <row r="4064" ht="15.75" customHeight="1">
      <c r="A4064" s="1" t="s">
        <v>670</v>
      </c>
      <c r="B4064" s="1" t="s">
        <v>403</v>
      </c>
      <c r="C4064" s="1" t="s">
        <v>1472</v>
      </c>
      <c r="U4064" s="1"/>
    </row>
    <row r="4065" ht="15.75" customHeight="1">
      <c r="A4065" s="1" t="s">
        <v>671</v>
      </c>
      <c r="B4065" s="1" t="s">
        <v>77</v>
      </c>
      <c r="C4065" s="1" t="s">
        <v>1602</v>
      </c>
      <c r="U4065" s="1"/>
    </row>
    <row r="4066" ht="15.75" customHeight="1">
      <c r="A4066" s="1" t="s">
        <v>671</v>
      </c>
      <c r="B4066" s="1" t="s">
        <v>1425</v>
      </c>
      <c r="C4066" s="1" t="s">
        <v>1966</v>
      </c>
      <c r="U4066" s="1"/>
    </row>
    <row r="4067" ht="15.75" customHeight="1">
      <c r="A4067" s="1" t="s">
        <v>672</v>
      </c>
      <c r="B4067" s="1" t="s">
        <v>29</v>
      </c>
      <c r="C4067" s="1" t="s">
        <v>1257</v>
      </c>
      <c r="U4067" s="1"/>
    </row>
    <row r="4068" ht="15.75" customHeight="1">
      <c r="A4068" s="1" t="s">
        <v>672</v>
      </c>
      <c r="B4068" s="1" t="s">
        <v>77</v>
      </c>
      <c r="C4068" s="1" t="s">
        <v>1296</v>
      </c>
      <c r="U4068" s="1"/>
    </row>
    <row r="4069" ht="15.75" customHeight="1">
      <c r="A4069" s="1" t="s">
        <v>673</v>
      </c>
      <c r="B4069" s="1" t="s">
        <v>403</v>
      </c>
      <c r="C4069" s="1" t="s">
        <v>2011</v>
      </c>
      <c r="U4069" s="1"/>
    </row>
    <row r="4070" ht="15.75" customHeight="1">
      <c r="A4070" s="1" t="s">
        <v>673</v>
      </c>
      <c r="B4070" s="1" t="s">
        <v>1748</v>
      </c>
      <c r="C4070" s="1" t="s">
        <v>2306</v>
      </c>
      <c r="U4070" s="1"/>
    </row>
    <row r="4071" ht="15.75" customHeight="1">
      <c r="A4071" s="1" t="s">
        <v>674</v>
      </c>
      <c r="B4071" s="1" t="s">
        <v>29</v>
      </c>
      <c r="C4071" s="1" t="s">
        <v>1505</v>
      </c>
      <c r="U4071" s="1"/>
    </row>
    <row r="4072" ht="15.75" customHeight="1">
      <c r="A4072" s="1" t="s">
        <v>674</v>
      </c>
      <c r="B4072" s="1" t="s">
        <v>158</v>
      </c>
      <c r="C4072" s="1" t="s">
        <v>163</v>
      </c>
      <c r="U4072" s="1"/>
    </row>
    <row r="4073" ht="15.75" customHeight="1">
      <c r="A4073" s="1" t="s">
        <v>675</v>
      </c>
      <c r="B4073" s="1" t="s">
        <v>330</v>
      </c>
      <c r="C4073" s="1" t="s">
        <v>352</v>
      </c>
      <c r="U4073" s="1"/>
    </row>
    <row r="4074" ht="15.75" customHeight="1">
      <c r="A4074" s="1" t="s">
        <v>675</v>
      </c>
      <c r="B4074" s="1" t="s">
        <v>330</v>
      </c>
      <c r="C4074" s="1" t="s">
        <v>372</v>
      </c>
      <c r="U4074" s="1"/>
    </row>
    <row r="4075" ht="15.75" customHeight="1">
      <c r="A4075" s="1" t="s">
        <v>676</v>
      </c>
      <c r="B4075" s="1" t="s">
        <v>158</v>
      </c>
      <c r="C4075" s="1" t="s">
        <v>1527</v>
      </c>
      <c r="U4075" s="1"/>
    </row>
    <row r="4076" ht="15.75" customHeight="1">
      <c r="A4076" s="1" t="s">
        <v>676</v>
      </c>
      <c r="B4076" s="1" t="s">
        <v>1425</v>
      </c>
      <c r="C4076" s="1" t="s">
        <v>2307</v>
      </c>
      <c r="U4076" s="1"/>
    </row>
    <row r="4077" ht="15.75" customHeight="1">
      <c r="A4077" s="1" t="s">
        <v>677</v>
      </c>
      <c r="B4077" s="1" t="s">
        <v>1748</v>
      </c>
      <c r="C4077" s="1" t="s">
        <v>2308</v>
      </c>
      <c r="U4077" s="1"/>
    </row>
    <row r="4078" ht="15.75" customHeight="1">
      <c r="A4078" s="1" t="s">
        <v>677</v>
      </c>
      <c r="B4078" s="1" t="s">
        <v>1748</v>
      </c>
      <c r="C4078" s="1" t="s">
        <v>2309</v>
      </c>
      <c r="U4078" s="1"/>
    </row>
    <row r="4079" ht="15.75" customHeight="1">
      <c r="A4079" s="1" t="s">
        <v>678</v>
      </c>
      <c r="B4079" s="1" t="s">
        <v>77</v>
      </c>
      <c r="C4079" s="1" t="s">
        <v>1288</v>
      </c>
      <c r="U4079" s="1"/>
    </row>
    <row r="4080" ht="15.75" customHeight="1">
      <c r="A4080" s="1" t="s">
        <v>678</v>
      </c>
      <c r="B4080" s="1" t="s">
        <v>158</v>
      </c>
      <c r="C4080" s="1" t="s">
        <v>1317</v>
      </c>
      <c r="U4080" s="1"/>
    </row>
    <row r="4081" ht="15.75" customHeight="1">
      <c r="A4081" s="1" t="s">
        <v>679</v>
      </c>
      <c r="B4081" s="1" t="s">
        <v>158</v>
      </c>
      <c r="C4081" s="1" t="s">
        <v>940</v>
      </c>
      <c r="U4081" s="1"/>
    </row>
    <row r="4082" ht="15.75" customHeight="1">
      <c r="A4082" s="1" t="s">
        <v>679</v>
      </c>
      <c r="B4082" s="1" t="s">
        <v>378</v>
      </c>
      <c r="C4082" s="1" t="s">
        <v>966</v>
      </c>
      <c r="U4082" s="1"/>
    </row>
    <row r="4083" ht="15.75" customHeight="1">
      <c r="A4083" s="1" t="s">
        <v>680</v>
      </c>
      <c r="B4083" s="1" t="s">
        <v>77</v>
      </c>
      <c r="C4083" s="1" t="s">
        <v>1229</v>
      </c>
      <c r="U4083" s="1"/>
    </row>
    <row r="4084" ht="15.75" customHeight="1">
      <c r="A4084" s="1" t="s">
        <v>681</v>
      </c>
      <c r="B4084" s="1" t="s">
        <v>77</v>
      </c>
      <c r="C4084" s="1" t="s">
        <v>1696</v>
      </c>
      <c r="U4084" s="1"/>
    </row>
    <row r="4085" ht="15.75" customHeight="1">
      <c r="A4085" s="1" t="s">
        <v>682</v>
      </c>
      <c r="B4085" s="1" t="s">
        <v>6</v>
      </c>
      <c r="C4085" s="1" t="s">
        <v>1008</v>
      </c>
      <c r="U4085" s="1"/>
    </row>
    <row r="4086" ht="15.75" customHeight="1">
      <c r="A4086" s="1" t="s">
        <v>683</v>
      </c>
      <c r="B4086" s="1" t="s">
        <v>403</v>
      </c>
      <c r="C4086" s="1" t="s">
        <v>996</v>
      </c>
      <c r="U4086" s="1"/>
    </row>
    <row r="4087" ht="15.75" customHeight="1">
      <c r="A4087" s="1" t="s">
        <v>684</v>
      </c>
      <c r="B4087" s="1" t="s">
        <v>1071</v>
      </c>
      <c r="C4087" s="1" t="s">
        <v>1077</v>
      </c>
      <c r="U4087" s="1"/>
    </row>
    <row r="4088" ht="15.75" customHeight="1">
      <c r="A4088" s="1" t="s">
        <v>685</v>
      </c>
      <c r="B4088" s="1" t="s">
        <v>158</v>
      </c>
      <c r="C4088" s="1" t="s">
        <v>1703</v>
      </c>
      <c r="U4088" s="1"/>
    </row>
    <row r="4089" ht="15.75" customHeight="1">
      <c r="A4089" s="1" t="s">
        <v>687</v>
      </c>
      <c r="B4089" s="1" t="s">
        <v>77</v>
      </c>
      <c r="C4089" s="1" t="s">
        <v>466</v>
      </c>
      <c r="U4089" s="1"/>
    </row>
    <row r="4090" ht="15.75" customHeight="1">
      <c r="A4090" s="1" t="s">
        <v>2310</v>
      </c>
      <c r="B4090" s="1" t="s">
        <v>997</v>
      </c>
      <c r="C4090" s="1" t="s">
        <v>2269</v>
      </c>
      <c r="U4090" s="1"/>
    </row>
    <row r="4091" ht="15.75" customHeight="1">
      <c r="A4091" s="1" t="s">
        <v>689</v>
      </c>
      <c r="B4091" s="1" t="s">
        <v>29</v>
      </c>
      <c r="C4091" s="1" t="s">
        <v>1132</v>
      </c>
      <c r="U4091" s="1"/>
    </row>
    <row r="4092" ht="15.75" customHeight="1">
      <c r="A4092" s="1" t="s">
        <v>691</v>
      </c>
      <c r="B4092" s="1" t="s">
        <v>77</v>
      </c>
      <c r="C4092" s="1" t="s">
        <v>1297</v>
      </c>
      <c r="U4092" s="1"/>
    </row>
    <row r="4093" ht="15.75" customHeight="1">
      <c r="A4093" s="1" t="s">
        <v>693</v>
      </c>
      <c r="B4093" s="1" t="s">
        <v>403</v>
      </c>
      <c r="C4093" s="1" t="s">
        <v>983</v>
      </c>
      <c r="U4093" s="1"/>
    </row>
    <row r="4094" ht="15.75" customHeight="1">
      <c r="A4094" s="1" t="s">
        <v>695</v>
      </c>
      <c r="B4094" s="1" t="s">
        <v>378</v>
      </c>
      <c r="C4094" s="1" t="s">
        <v>603</v>
      </c>
      <c r="U4094" s="1"/>
    </row>
    <row r="4095" ht="15.75" customHeight="1">
      <c r="A4095" s="1" t="s">
        <v>697</v>
      </c>
      <c r="B4095" s="1" t="s">
        <v>1848</v>
      </c>
      <c r="C4095" s="1" t="s">
        <v>2311</v>
      </c>
      <c r="U4095" s="1"/>
    </row>
    <row r="4096" ht="15.75" customHeight="1">
      <c r="A4096" s="1" t="s">
        <v>698</v>
      </c>
      <c r="B4096" s="1" t="s">
        <v>6</v>
      </c>
      <c r="C4096" s="1" t="s">
        <v>1117</v>
      </c>
      <c r="U4096" s="1"/>
    </row>
    <row r="4097" ht="15.75" customHeight="1">
      <c r="A4097" s="1" t="s">
        <v>700</v>
      </c>
      <c r="B4097" s="1" t="s">
        <v>77</v>
      </c>
      <c r="C4097" s="1" t="s">
        <v>1298</v>
      </c>
      <c r="U4097" s="1"/>
    </row>
    <row r="4098" ht="15.75" customHeight="1">
      <c r="A4098" s="1" t="s">
        <v>701</v>
      </c>
      <c r="B4098" s="1" t="s">
        <v>378</v>
      </c>
      <c r="C4098" s="1" t="s">
        <v>1337</v>
      </c>
      <c r="U4098" s="1"/>
    </row>
    <row r="4099" ht="15.75" customHeight="1">
      <c r="A4099" s="1" t="s">
        <v>703</v>
      </c>
      <c r="B4099" s="1" t="s">
        <v>29</v>
      </c>
      <c r="C4099" s="1" t="s">
        <v>52</v>
      </c>
      <c r="U4099" s="1"/>
    </row>
    <row r="4100" ht="15.75" customHeight="1">
      <c r="A4100" s="1" t="s">
        <v>705</v>
      </c>
      <c r="B4100" s="1" t="s">
        <v>158</v>
      </c>
      <c r="C4100" s="1" t="s">
        <v>1526</v>
      </c>
      <c r="U4100" s="1"/>
    </row>
    <row r="4101" ht="15.75" customHeight="1">
      <c r="A4101" s="1" t="s">
        <v>707</v>
      </c>
      <c r="B4101" s="1" t="s">
        <v>158</v>
      </c>
      <c r="C4101" s="1" t="s">
        <v>940</v>
      </c>
      <c r="U4101" s="1"/>
    </row>
    <row r="4102" ht="15.75" customHeight="1">
      <c r="A4102" s="1" t="s">
        <v>709</v>
      </c>
      <c r="B4102" s="1" t="s">
        <v>997</v>
      </c>
      <c r="C4102" s="1" t="s">
        <v>2312</v>
      </c>
      <c r="U4102" s="1"/>
    </row>
    <row r="4103" ht="15.75" customHeight="1">
      <c r="A4103" s="1" t="s">
        <v>711</v>
      </c>
      <c r="B4103" s="1" t="s">
        <v>77</v>
      </c>
      <c r="C4103" s="1" t="s">
        <v>1295</v>
      </c>
      <c r="U4103" s="1"/>
    </row>
    <row r="4104" ht="15.75" customHeight="1">
      <c r="A4104" s="1" t="s">
        <v>712</v>
      </c>
      <c r="B4104" s="1" t="s">
        <v>378</v>
      </c>
      <c r="C4104" s="1" t="s">
        <v>2260</v>
      </c>
      <c r="U4104" s="1"/>
    </row>
    <row r="4105" ht="15.75" customHeight="1">
      <c r="A4105" s="1" t="s">
        <v>714</v>
      </c>
      <c r="B4105" s="1" t="s">
        <v>330</v>
      </c>
      <c r="C4105" s="1" t="s">
        <v>1543</v>
      </c>
      <c r="U4105" s="1"/>
    </row>
    <row r="4106" ht="15.75" customHeight="1">
      <c r="A4106" s="1" t="s">
        <v>716</v>
      </c>
      <c r="B4106" s="1" t="s">
        <v>6</v>
      </c>
      <c r="C4106" s="1" t="s">
        <v>21</v>
      </c>
      <c r="U4106" s="1"/>
    </row>
    <row r="4107" ht="15.75" customHeight="1">
      <c r="A4107" s="1" t="s">
        <v>718</v>
      </c>
      <c r="B4107" s="1" t="s">
        <v>158</v>
      </c>
      <c r="C4107" s="1" t="s">
        <v>949</v>
      </c>
      <c r="U4107" s="1"/>
    </row>
    <row r="4108" ht="15.75" customHeight="1">
      <c r="A4108" s="1" t="s">
        <v>720</v>
      </c>
      <c r="B4108" s="1" t="s">
        <v>29</v>
      </c>
      <c r="C4108" s="1" t="s">
        <v>1259</v>
      </c>
      <c r="U4108" s="1"/>
    </row>
    <row r="4109" ht="15.75" customHeight="1">
      <c r="A4109" s="1" t="s">
        <v>722</v>
      </c>
      <c r="B4109" s="1" t="s">
        <v>77</v>
      </c>
      <c r="C4109" s="1" t="s">
        <v>1672</v>
      </c>
      <c r="U4109" s="1"/>
    </row>
    <row r="4110" ht="15.75" customHeight="1">
      <c r="A4110" s="1" t="s">
        <v>724</v>
      </c>
      <c r="B4110" s="1" t="s">
        <v>29</v>
      </c>
      <c r="C4110" s="1" t="s">
        <v>1270</v>
      </c>
      <c r="U4110" s="1"/>
    </row>
    <row r="4111" ht="15.75" customHeight="1">
      <c r="A4111" s="1" t="s">
        <v>726</v>
      </c>
      <c r="B4111" s="1" t="s">
        <v>29</v>
      </c>
      <c r="C4111" s="1" t="s">
        <v>1259</v>
      </c>
      <c r="U4111" s="1"/>
    </row>
    <row r="4112" ht="15.75" customHeight="1">
      <c r="A4112" s="1" t="s">
        <v>727</v>
      </c>
      <c r="B4112" s="1" t="s">
        <v>29</v>
      </c>
      <c r="C4112" s="1" t="s">
        <v>1264</v>
      </c>
      <c r="U4112" s="1"/>
    </row>
    <row r="4113" ht="15.75" customHeight="1">
      <c r="A4113" s="1" t="s">
        <v>729</v>
      </c>
      <c r="B4113" s="1" t="s">
        <v>330</v>
      </c>
      <c r="C4113" s="1" t="s">
        <v>696</v>
      </c>
      <c r="U4113" s="1"/>
    </row>
    <row r="4114" ht="15.75" customHeight="1">
      <c r="A4114" s="1" t="s">
        <v>730</v>
      </c>
      <c r="B4114" s="1" t="s">
        <v>29</v>
      </c>
      <c r="C4114" s="1" t="s">
        <v>1587</v>
      </c>
      <c r="U4114" s="1"/>
    </row>
    <row r="4115" ht="15.75" customHeight="1">
      <c r="A4115" s="1" t="s">
        <v>732</v>
      </c>
      <c r="B4115" s="1" t="s">
        <v>330</v>
      </c>
      <c r="C4115" s="1" t="s">
        <v>342</v>
      </c>
      <c r="U4115" s="1"/>
    </row>
    <row r="4116" ht="15.75" customHeight="1">
      <c r="A4116" s="1" t="s">
        <v>733</v>
      </c>
      <c r="B4116" s="1" t="s">
        <v>330</v>
      </c>
      <c r="C4116" s="1" t="s">
        <v>2102</v>
      </c>
      <c r="U4116" s="1"/>
    </row>
    <row r="4117" ht="15.75" customHeight="1">
      <c r="A4117" s="1" t="s">
        <v>735</v>
      </c>
      <c r="B4117" s="1" t="s">
        <v>77</v>
      </c>
      <c r="C4117" s="1" t="s">
        <v>1288</v>
      </c>
      <c r="U4117" s="1"/>
    </row>
    <row r="4118" ht="15.75" customHeight="1">
      <c r="A4118" s="1" t="s">
        <v>736</v>
      </c>
      <c r="B4118" s="1" t="s">
        <v>29</v>
      </c>
      <c r="C4118" s="1" t="s">
        <v>1259</v>
      </c>
      <c r="U4118" s="1"/>
    </row>
    <row r="4119" ht="15.75" customHeight="1">
      <c r="A4119" s="1" t="s">
        <v>738</v>
      </c>
      <c r="B4119" s="1" t="s">
        <v>6</v>
      </c>
      <c r="C4119" s="1" t="s">
        <v>1655</v>
      </c>
      <c r="U4119" s="1"/>
    </row>
    <row r="4120" ht="15.75" customHeight="1">
      <c r="A4120" s="1" t="s">
        <v>739</v>
      </c>
      <c r="B4120" s="1" t="s">
        <v>77</v>
      </c>
      <c r="C4120" s="1" t="s">
        <v>1152</v>
      </c>
      <c r="U4120" s="1"/>
    </row>
    <row r="4121" ht="15.75" customHeight="1">
      <c r="A4121" s="1" t="s">
        <v>741</v>
      </c>
      <c r="B4121" s="1" t="s">
        <v>158</v>
      </c>
      <c r="C4121" s="1" t="s">
        <v>2313</v>
      </c>
      <c r="U4121" s="1"/>
    </row>
    <row r="4122" ht="15.75" customHeight="1">
      <c r="A4122" s="1" t="s">
        <v>742</v>
      </c>
      <c r="B4122" s="1" t="s">
        <v>378</v>
      </c>
      <c r="C4122" s="1" t="s">
        <v>379</v>
      </c>
      <c r="U4122" s="1"/>
    </row>
    <row r="4123" ht="15.75" customHeight="1">
      <c r="A4123" s="1" t="s">
        <v>743</v>
      </c>
      <c r="B4123" s="1" t="s">
        <v>158</v>
      </c>
      <c r="C4123" s="1" t="s">
        <v>1173</v>
      </c>
      <c r="U4123" s="1"/>
    </row>
    <row r="4124" ht="15.75" customHeight="1">
      <c r="A4124" s="1" t="s">
        <v>744</v>
      </c>
      <c r="B4124" s="1" t="s">
        <v>29</v>
      </c>
      <c r="C4124" s="1" t="s">
        <v>1129</v>
      </c>
      <c r="U4124" s="1"/>
    </row>
    <row r="4125" ht="15.75" customHeight="1">
      <c r="A4125" s="1" t="s">
        <v>746</v>
      </c>
      <c r="B4125" s="1" t="s">
        <v>378</v>
      </c>
      <c r="C4125" s="1" t="s">
        <v>2079</v>
      </c>
      <c r="U4125" s="1"/>
    </row>
    <row r="4126" ht="15.75" customHeight="1">
      <c r="A4126" s="1" t="s">
        <v>748</v>
      </c>
      <c r="B4126" s="1" t="s">
        <v>1410</v>
      </c>
      <c r="C4126" s="1" t="s">
        <v>2314</v>
      </c>
      <c r="U4126" s="1"/>
    </row>
    <row r="4127" ht="15.75" customHeight="1">
      <c r="A4127" s="1" t="s">
        <v>749</v>
      </c>
      <c r="B4127" s="1" t="s">
        <v>29</v>
      </c>
      <c r="C4127" s="1" t="s">
        <v>1263</v>
      </c>
      <c r="U4127" s="1"/>
    </row>
    <row r="4128" ht="15.75" customHeight="1">
      <c r="A4128" s="1" t="s">
        <v>751</v>
      </c>
      <c r="B4128" s="1" t="s">
        <v>77</v>
      </c>
      <c r="C4128" s="1" t="s">
        <v>1511</v>
      </c>
      <c r="U4128" s="1"/>
    </row>
    <row r="4129" ht="15.75" customHeight="1">
      <c r="A4129" s="1" t="s">
        <v>752</v>
      </c>
      <c r="B4129" s="1" t="s">
        <v>997</v>
      </c>
      <c r="C4129" s="1" t="s">
        <v>1641</v>
      </c>
      <c r="U4129" s="1"/>
    </row>
    <row r="4130" ht="15.75" customHeight="1">
      <c r="A4130" s="1" t="s">
        <v>753</v>
      </c>
      <c r="B4130" s="1" t="s">
        <v>378</v>
      </c>
      <c r="C4130" s="1" t="s">
        <v>965</v>
      </c>
      <c r="U4130" s="1"/>
    </row>
    <row r="4131" ht="15.75" customHeight="1">
      <c r="A4131" s="1" t="s">
        <v>755</v>
      </c>
      <c r="B4131" s="1" t="s">
        <v>403</v>
      </c>
      <c r="C4131" s="1" t="s">
        <v>2026</v>
      </c>
      <c r="U4131" s="1"/>
    </row>
    <row r="4132" ht="15.75" customHeight="1">
      <c r="A4132" s="1" t="s">
        <v>757</v>
      </c>
      <c r="B4132" s="1" t="s">
        <v>1691</v>
      </c>
      <c r="C4132" s="1" t="s">
        <v>1891</v>
      </c>
      <c r="U4132" s="1"/>
    </row>
    <row r="4133" ht="15.75" customHeight="1">
      <c r="A4133" s="1" t="s">
        <v>759</v>
      </c>
      <c r="B4133" s="1" t="s">
        <v>330</v>
      </c>
      <c r="C4133" s="1" t="s">
        <v>2102</v>
      </c>
      <c r="U4133" s="1"/>
    </row>
    <row r="4134" ht="15.75" customHeight="1">
      <c r="A4134" s="1" t="s">
        <v>760</v>
      </c>
      <c r="B4134" s="1" t="s">
        <v>29</v>
      </c>
      <c r="C4134" s="1" t="s">
        <v>1502</v>
      </c>
      <c r="U4134" s="1"/>
    </row>
    <row r="4135" ht="15.75" customHeight="1">
      <c r="A4135" s="1" t="s">
        <v>762</v>
      </c>
      <c r="B4135" s="1" t="s">
        <v>1400</v>
      </c>
      <c r="C4135" s="1" t="s">
        <v>1955</v>
      </c>
      <c r="U4135" s="1"/>
    </row>
    <row r="4136" ht="15.75" customHeight="1">
      <c r="A4136" s="1" t="s">
        <v>764</v>
      </c>
      <c r="B4136" s="1" t="s">
        <v>403</v>
      </c>
      <c r="C4136" s="1" t="s">
        <v>408</v>
      </c>
      <c r="U4136" s="1"/>
    </row>
    <row r="4137" ht="15.75" customHeight="1">
      <c r="A4137" s="1" t="s">
        <v>765</v>
      </c>
      <c r="B4137" s="1" t="s">
        <v>29</v>
      </c>
      <c r="C4137" s="1" t="s">
        <v>1201</v>
      </c>
      <c r="U4137" s="1"/>
    </row>
    <row r="4138" ht="15.75" customHeight="1">
      <c r="A4138" s="1" t="s">
        <v>767</v>
      </c>
      <c r="B4138" s="1" t="s">
        <v>77</v>
      </c>
      <c r="C4138" s="1" t="s">
        <v>491</v>
      </c>
      <c r="U4138" s="1"/>
    </row>
    <row r="4139" ht="15.75" customHeight="1">
      <c r="A4139" s="1" t="s">
        <v>768</v>
      </c>
      <c r="B4139" s="1" t="s">
        <v>330</v>
      </c>
      <c r="C4139" s="1" t="s">
        <v>913</v>
      </c>
      <c r="U4139" s="1"/>
    </row>
    <row r="4140" ht="15.75" customHeight="1">
      <c r="A4140" s="1" t="s">
        <v>770</v>
      </c>
      <c r="B4140" s="1" t="s">
        <v>77</v>
      </c>
      <c r="C4140" s="1" t="s">
        <v>1447</v>
      </c>
      <c r="U4140" s="1"/>
    </row>
    <row r="4141" ht="15.75" customHeight="1">
      <c r="A4141" s="1" t="s">
        <v>772</v>
      </c>
      <c r="B4141" s="1" t="s">
        <v>29</v>
      </c>
      <c r="C4141" s="1" t="s">
        <v>1584</v>
      </c>
      <c r="U4141" s="1"/>
    </row>
    <row r="4142" ht="15.75" customHeight="1">
      <c r="A4142" s="1" t="s">
        <v>775</v>
      </c>
      <c r="B4142" s="1" t="s">
        <v>77</v>
      </c>
      <c r="C4142" s="1" t="s">
        <v>260</v>
      </c>
      <c r="U4142" s="1"/>
    </row>
    <row r="4143" ht="15.75" customHeight="1">
      <c r="A4143" s="1" t="s">
        <v>776</v>
      </c>
      <c r="B4143" s="1" t="s">
        <v>158</v>
      </c>
      <c r="C4143" s="1" t="s">
        <v>939</v>
      </c>
      <c r="U4143" s="1"/>
    </row>
    <row r="4144" ht="15.75" customHeight="1">
      <c r="A4144" s="1" t="s">
        <v>777</v>
      </c>
      <c r="B4144" s="1" t="s">
        <v>1071</v>
      </c>
      <c r="C4144" s="1" t="s">
        <v>1083</v>
      </c>
      <c r="U4144" s="1"/>
    </row>
    <row r="4145" ht="15.75" customHeight="1">
      <c r="A4145" s="1" t="s">
        <v>779</v>
      </c>
      <c r="B4145" s="1" t="s">
        <v>1848</v>
      </c>
      <c r="C4145" s="1" t="s">
        <v>2186</v>
      </c>
      <c r="U4145" s="1"/>
    </row>
    <row r="4146" ht="15.75" customHeight="1">
      <c r="A4146" s="1" t="s">
        <v>781</v>
      </c>
      <c r="B4146" s="1" t="s">
        <v>330</v>
      </c>
      <c r="C4146" s="1" t="s">
        <v>704</v>
      </c>
      <c r="U4146" s="1"/>
    </row>
    <row r="4147" ht="15.75" customHeight="1">
      <c r="A4147" s="1" t="s">
        <v>783</v>
      </c>
      <c r="B4147" s="1" t="s">
        <v>6</v>
      </c>
      <c r="C4147" s="1" t="s">
        <v>1117</v>
      </c>
      <c r="U4147" s="1"/>
    </row>
    <row r="4148" ht="15.75" customHeight="1">
      <c r="A4148" s="1" t="s">
        <v>786</v>
      </c>
      <c r="B4148" s="1" t="s">
        <v>158</v>
      </c>
      <c r="C4148" s="1" t="s">
        <v>1534</v>
      </c>
      <c r="U4148" s="1"/>
    </row>
    <row r="4149" ht="15.75" customHeight="1">
      <c r="A4149" s="1" t="s">
        <v>788</v>
      </c>
      <c r="B4149" s="1" t="s">
        <v>29</v>
      </c>
      <c r="C4149" s="1" t="s">
        <v>434</v>
      </c>
      <c r="U4149" s="1"/>
    </row>
    <row r="4150" ht="15.75" customHeight="1">
      <c r="A4150" s="1" t="s">
        <v>790</v>
      </c>
      <c r="B4150" s="1" t="s">
        <v>6</v>
      </c>
      <c r="C4150" s="1" t="s">
        <v>1117</v>
      </c>
      <c r="U4150" s="1"/>
    </row>
    <row r="4151" ht="15.75" customHeight="1">
      <c r="A4151" s="1" t="s">
        <v>791</v>
      </c>
      <c r="B4151" s="1" t="s">
        <v>1492</v>
      </c>
      <c r="C4151" s="1" t="s">
        <v>2315</v>
      </c>
      <c r="U4151" s="1"/>
    </row>
    <row r="4152" ht="15.75" customHeight="1">
      <c r="A4152" s="1" t="s">
        <v>793</v>
      </c>
      <c r="B4152" s="1" t="s">
        <v>158</v>
      </c>
      <c r="C4152" s="1" t="s">
        <v>534</v>
      </c>
      <c r="U4152" s="1"/>
    </row>
    <row r="4153" ht="15.75" customHeight="1">
      <c r="A4153" s="1" t="s">
        <v>794</v>
      </c>
      <c r="B4153" s="1" t="s">
        <v>403</v>
      </c>
      <c r="C4153" s="1" t="s">
        <v>624</v>
      </c>
      <c r="U4153" s="1"/>
    </row>
    <row r="4154" ht="15.75" customHeight="1">
      <c r="A4154" s="1" t="s">
        <v>795</v>
      </c>
      <c r="B4154" s="1" t="s">
        <v>77</v>
      </c>
      <c r="C4154" s="1" t="s">
        <v>2224</v>
      </c>
      <c r="U4154" s="1"/>
    </row>
    <row r="4155" ht="15.75" customHeight="1">
      <c r="A4155" s="1" t="s">
        <v>797</v>
      </c>
      <c r="B4155" s="1" t="s">
        <v>29</v>
      </c>
      <c r="C4155" s="1" t="s">
        <v>1138</v>
      </c>
      <c r="U4155" s="1"/>
    </row>
    <row r="4156" ht="15.75" customHeight="1">
      <c r="A4156" s="1" t="s">
        <v>799</v>
      </c>
      <c r="B4156" s="1" t="s">
        <v>378</v>
      </c>
      <c r="C4156" s="1" t="s">
        <v>2231</v>
      </c>
      <c r="U4156" s="1"/>
    </row>
    <row r="4157" ht="15.75" customHeight="1">
      <c r="A4157" s="1" t="s">
        <v>801</v>
      </c>
      <c r="B4157" s="1" t="s">
        <v>29</v>
      </c>
      <c r="C4157" s="1" t="s">
        <v>1499</v>
      </c>
      <c r="U4157" s="1"/>
    </row>
    <row r="4158" ht="15.75" customHeight="1">
      <c r="A4158" s="1" t="s">
        <v>803</v>
      </c>
      <c r="B4158" s="1" t="s">
        <v>77</v>
      </c>
      <c r="C4158" s="1" t="s">
        <v>1229</v>
      </c>
      <c r="U4158" s="1"/>
    </row>
    <row r="4159" ht="15.75" customHeight="1">
      <c r="A4159" s="1" t="s">
        <v>805</v>
      </c>
      <c r="B4159" s="1" t="s">
        <v>158</v>
      </c>
      <c r="C4159" s="1" t="s">
        <v>841</v>
      </c>
      <c r="U4159" s="1"/>
    </row>
    <row r="4160" ht="15.75" customHeight="1">
      <c r="A4160" s="1" t="s">
        <v>807</v>
      </c>
      <c r="B4160" s="1" t="s">
        <v>330</v>
      </c>
      <c r="C4160" s="1" t="s">
        <v>344</v>
      </c>
      <c r="U4160" s="1"/>
    </row>
    <row r="4161" ht="15.75" customHeight="1">
      <c r="A4161" s="1" t="s">
        <v>809</v>
      </c>
      <c r="B4161" s="1" t="s">
        <v>1400</v>
      </c>
      <c r="C4161" s="1" t="s">
        <v>2215</v>
      </c>
      <c r="U4161" s="1"/>
    </row>
    <row r="4162" ht="15.75" customHeight="1">
      <c r="A4162" s="1" t="s">
        <v>810</v>
      </c>
      <c r="B4162" s="1" t="s">
        <v>77</v>
      </c>
      <c r="C4162" s="1" t="s">
        <v>503</v>
      </c>
      <c r="U4162" s="1"/>
    </row>
    <row r="4163" ht="15.75" customHeight="1">
      <c r="A4163" s="1" t="s">
        <v>812</v>
      </c>
      <c r="B4163" s="1" t="s">
        <v>29</v>
      </c>
      <c r="C4163" s="1" t="s">
        <v>1132</v>
      </c>
      <c r="U4163" s="1"/>
    </row>
    <row r="4164" ht="15.75" customHeight="1">
      <c r="A4164" s="1" t="s">
        <v>814</v>
      </c>
      <c r="B4164" s="1" t="s">
        <v>29</v>
      </c>
      <c r="C4164" s="1" t="s">
        <v>438</v>
      </c>
      <c r="U4164" s="1"/>
    </row>
    <row r="4165" ht="15.75" customHeight="1">
      <c r="A4165" s="1" t="s">
        <v>815</v>
      </c>
      <c r="B4165" s="1" t="s">
        <v>330</v>
      </c>
      <c r="C4165" s="1" t="s">
        <v>2316</v>
      </c>
      <c r="U4165" s="1"/>
    </row>
    <row r="4166" ht="15.75" customHeight="1">
      <c r="A4166" s="1" t="s">
        <v>817</v>
      </c>
      <c r="B4166" s="1" t="s">
        <v>158</v>
      </c>
      <c r="C4166" s="1" t="s">
        <v>939</v>
      </c>
      <c r="U4166" s="1"/>
    </row>
    <row r="4167" ht="15.75" customHeight="1">
      <c r="A4167" s="1" t="s">
        <v>820</v>
      </c>
      <c r="B4167" s="1" t="s">
        <v>378</v>
      </c>
      <c r="C4167" s="1" t="s">
        <v>1462</v>
      </c>
      <c r="U4167" s="1"/>
    </row>
    <row r="4168" ht="15.75" customHeight="1">
      <c r="A4168" s="1" t="s">
        <v>822</v>
      </c>
      <c r="B4168" s="1" t="s">
        <v>158</v>
      </c>
      <c r="C4168" s="1" t="s">
        <v>1308</v>
      </c>
      <c r="U4168" s="1"/>
    </row>
    <row r="4169" ht="15.75" customHeight="1">
      <c r="A4169" s="1" t="s">
        <v>823</v>
      </c>
      <c r="B4169" s="1" t="s">
        <v>158</v>
      </c>
      <c r="C4169" s="1" t="s">
        <v>1317</v>
      </c>
      <c r="U4169" s="1"/>
    </row>
    <row r="4170" ht="15.75" customHeight="1">
      <c r="A4170" s="1" t="s">
        <v>825</v>
      </c>
      <c r="B4170" s="1" t="s">
        <v>158</v>
      </c>
      <c r="C4170" s="1" t="s">
        <v>180</v>
      </c>
      <c r="U4170" s="1"/>
    </row>
    <row r="4171" ht="15.75" customHeight="1">
      <c r="A4171" s="1" t="s">
        <v>827</v>
      </c>
      <c r="B4171" s="1" t="s">
        <v>403</v>
      </c>
      <c r="C4171" s="1" t="s">
        <v>624</v>
      </c>
      <c r="U4171" s="1"/>
    </row>
    <row r="4172" ht="15.75" customHeight="1">
      <c r="A4172" s="1" t="s">
        <v>829</v>
      </c>
      <c r="B4172" s="1" t="s">
        <v>330</v>
      </c>
      <c r="C4172" s="1" t="s">
        <v>372</v>
      </c>
      <c r="U4172" s="1"/>
    </row>
    <row r="4173" ht="15.75" customHeight="1">
      <c r="A4173" s="1" t="s">
        <v>830</v>
      </c>
      <c r="B4173" s="1" t="s">
        <v>77</v>
      </c>
      <c r="C4173" s="1" t="s">
        <v>2224</v>
      </c>
      <c r="U4173" s="1"/>
    </row>
    <row r="4174" ht="15.75" customHeight="1">
      <c r="A4174" s="1" t="s">
        <v>833</v>
      </c>
      <c r="B4174" s="1" t="s">
        <v>77</v>
      </c>
      <c r="C4174" s="1" t="s">
        <v>813</v>
      </c>
      <c r="U4174" s="1"/>
    </row>
    <row r="4175" ht="15.75" customHeight="1">
      <c r="A4175" s="1" t="s">
        <v>834</v>
      </c>
      <c r="B4175" s="1" t="s">
        <v>29</v>
      </c>
      <c r="C4175" s="1" t="s">
        <v>52</v>
      </c>
      <c r="U4175" s="1"/>
    </row>
    <row r="4176" ht="15.75" customHeight="1">
      <c r="A4176" s="1" t="s">
        <v>835</v>
      </c>
      <c r="B4176" s="1" t="s">
        <v>1400</v>
      </c>
      <c r="C4176" s="1" t="s">
        <v>1938</v>
      </c>
      <c r="U4176" s="1"/>
    </row>
    <row r="4177" ht="15.75" customHeight="1">
      <c r="A4177" s="1" t="s">
        <v>837</v>
      </c>
      <c r="B4177" s="1" t="s">
        <v>29</v>
      </c>
      <c r="C4177" s="1" t="s">
        <v>1586</v>
      </c>
      <c r="U4177" s="1"/>
    </row>
    <row r="4178" ht="15.75" customHeight="1">
      <c r="A4178" s="1" t="s">
        <v>838</v>
      </c>
      <c r="B4178" s="1" t="s">
        <v>29</v>
      </c>
      <c r="C4178" s="1" t="s">
        <v>1206</v>
      </c>
      <c r="U4178" s="1"/>
    </row>
    <row r="4179" ht="15.75" customHeight="1">
      <c r="A4179" s="1" t="s">
        <v>839</v>
      </c>
      <c r="B4179" s="1" t="s">
        <v>1071</v>
      </c>
      <c r="C4179" s="1" t="s">
        <v>1557</v>
      </c>
      <c r="U4179" s="1"/>
    </row>
    <row r="4180" ht="15.75" customHeight="1">
      <c r="A4180" s="1" t="s">
        <v>840</v>
      </c>
      <c r="B4180" s="1" t="s">
        <v>1848</v>
      </c>
      <c r="C4180" s="1" t="s">
        <v>2317</v>
      </c>
      <c r="U4180" s="1"/>
    </row>
    <row r="4181" ht="15.75" customHeight="1">
      <c r="A4181" s="1" t="s">
        <v>842</v>
      </c>
      <c r="B4181" s="1" t="s">
        <v>77</v>
      </c>
      <c r="C4181" s="1" t="s">
        <v>88</v>
      </c>
      <c r="U4181" s="1"/>
    </row>
    <row r="4182" ht="15.75" customHeight="1">
      <c r="A4182" s="1" t="s">
        <v>844</v>
      </c>
      <c r="B4182" s="1" t="s">
        <v>77</v>
      </c>
      <c r="C4182" s="1" t="s">
        <v>2224</v>
      </c>
      <c r="U4182" s="1"/>
    </row>
    <row r="4183" ht="15.75" customHeight="1">
      <c r="A4183" s="1" t="s">
        <v>846</v>
      </c>
      <c r="B4183" s="1" t="s">
        <v>158</v>
      </c>
      <c r="C4183" s="1" t="s">
        <v>2076</v>
      </c>
      <c r="U4183" s="1"/>
    </row>
    <row r="4184" ht="15.75" customHeight="1">
      <c r="A4184" s="1" t="s">
        <v>848</v>
      </c>
      <c r="B4184" s="1" t="s">
        <v>29</v>
      </c>
      <c r="C4184" s="1" t="s">
        <v>1138</v>
      </c>
      <c r="U4184" s="1"/>
    </row>
    <row r="4185" ht="15.75" customHeight="1">
      <c r="A4185" s="1" t="s">
        <v>850</v>
      </c>
      <c r="B4185" s="1" t="s">
        <v>29</v>
      </c>
      <c r="C4185" s="1" t="s">
        <v>1270</v>
      </c>
      <c r="U4185" s="1"/>
    </row>
    <row r="4186" ht="15.75" customHeight="1">
      <c r="A4186" s="1" t="s">
        <v>852</v>
      </c>
      <c r="B4186" s="1" t="s">
        <v>1848</v>
      </c>
      <c r="C4186" s="1" t="s">
        <v>2318</v>
      </c>
      <c r="U4186" s="1"/>
    </row>
    <row r="4187" ht="15.75" customHeight="1">
      <c r="A4187" s="1" t="s">
        <v>853</v>
      </c>
      <c r="B4187" s="1" t="s">
        <v>1425</v>
      </c>
      <c r="C4187" s="1" t="s">
        <v>2319</v>
      </c>
      <c r="U4187" s="1"/>
    </row>
    <row r="4188" ht="15.75" customHeight="1">
      <c r="A4188" s="1" t="s">
        <v>855</v>
      </c>
      <c r="B4188" s="1" t="s">
        <v>77</v>
      </c>
      <c r="C4188" s="1" t="s">
        <v>1288</v>
      </c>
      <c r="U4188" s="1"/>
    </row>
    <row r="4189" ht="15.75" customHeight="1">
      <c r="A4189" s="1" t="s">
        <v>857</v>
      </c>
      <c r="B4189" s="1" t="s">
        <v>1425</v>
      </c>
      <c r="C4189" s="1" t="s">
        <v>1838</v>
      </c>
      <c r="U4189" s="1"/>
    </row>
    <row r="4190" ht="15.75" customHeight="1">
      <c r="A4190" s="1" t="s">
        <v>858</v>
      </c>
      <c r="B4190" s="1" t="s">
        <v>77</v>
      </c>
      <c r="C4190" s="1" t="s">
        <v>936</v>
      </c>
      <c r="U4190" s="1"/>
    </row>
    <row r="4191" ht="15.75" customHeight="1">
      <c r="A4191" s="1" t="s">
        <v>860</v>
      </c>
      <c r="B4191" s="1" t="s">
        <v>29</v>
      </c>
      <c r="C4191" s="1" t="s">
        <v>782</v>
      </c>
      <c r="U4191" s="1"/>
    </row>
    <row r="4192" ht="15.75" customHeight="1">
      <c r="A4192" s="1" t="s">
        <v>862</v>
      </c>
      <c r="B4192" s="1" t="s">
        <v>77</v>
      </c>
      <c r="C4192" s="1" t="s">
        <v>802</v>
      </c>
      <c r="U4192" s="1"/>
    </row>
    <row r="4193" ht="15.75" customHeight="1">
      <c r="A4193" s="1" t="s">
        <v>863</v>
      </c>
      <c r="B4193" s="1" t="s">
        <v>1425</v>
      </c>
      <c r="C4193" s="1" t="s">
        <v>2307</v>
      </c>
      <c r="U4193" s="1"/>
    </row>
    <row r="4194" ht="15.75" customHeight="1">
      <c r="A4194" s="1" t="s">
        <v>865</v>
      </c>
      <c r="B4194" s="1" t="s">
        <v>330</v>
      </c>
      <c r="C4194" s="1" t="s">
        <v>1615</v>
      </c>
      <c r="U4194" s="1"/>
    </row>
    <row r="4195" ht="15.75" customHeight="1">
      <c r="A4195" s="1" t="s">
        <v>867</v>
      </c>
      <c r="B4195" s="1" t="s">
        <v>158</v>
      </c>
      <c r="C4195" s="1" t="s">
        <v>215</v>
      </c>
      <c r="U4195" s="1"/>
    </row>
    <row r="4196" ht="15.75" customHeight="1">
      <c r="A4196" s="1" t="s">
        <v>868</v>
      </c>
      <c r="B4196" s="1" t="s">
        <v>29</v>
      </c>
      <c r="C4196" s="1" t="s">
        <v>1130</v>
      </c>
      <c r="U4196" s="1"/>
    </row>
    <row r="4197" ht="15.75" customHeight="1">
      <c r="A4197" s="1" t="s">
        <v>869</v>
      </c>
      <c r="B4197" s="1" t="s">
        <v>378</v>
      </c>
      <c r="C4197" s="1" t="s">
        <v>2320</v>
      </c>
      <c r="U4197" s="1"/>
    </row>
    <row r="4198" ht="15.75" customHeight="1">
      <c r="A4198" s="1" t="s">
        <v>870</v>
      </c>
      <c r="B4198" s="1" t="s">
        <v>77</v>
      </c>
      <c r="C4198" s="1" t="s">
        <v>1151</v>
      </c>
      <c r="U4198" s="1"/>
    </row>
    <row r="4199" ht="15.75" customHeight="1">
      <c r="A4199" s="1" t="s">
        <v>873</v>
      </c>
      <c r="B4199" s="1" t="s">
        <v>997</v>
      </c>
      <c r="C4199" s="1" t="s">
        <v>999</v>
      </c>
      <c r="U4199" s="1"/>
    </row>
    <row r="4200" ht="15.75" customHeight="1">
      <c r="A4200" s="1" t="s">
        <v>875</v>
      </c>
      <c r="B4200" s="1" t="s">
        <v>29</v>
      </c>
      <c r="C4200" s="1" t="s">
        <v>1507</v>
      </c>
      <c r="U4200" s="1"/>
    </row>
    <row r="4201" ht="15.75" customHeight="1">
      <c r="A4201" s="1" t="s">
        <v>876</v>
      </c>
      <c r="B4201" s="1" t="s">
        <v>29</v>
      </c>
      <c r="C4201" s="1" t="s">
        <v>1129</v>
      </c>
      <c r="U4201" s="1"/>
    </row>
    <row r="4202" ht="15.75" customHeight="1">
      <c r="A4202" s="1" t="s">
        <v>878</v>
      </c>
      <c r="B4202" s="1" t="s">
        <v>378</v>
      </c>
      <c r="C4202" s="1" t="s">
        <v>1720</v>
      </c>
      <c r="U4202" s="1"/>
    </row>
    <row r="4203" ht="15.75" customHeight="1">
      <c r="A4203" s="1" t="s">
        <v>880</v>
      </c>
      <c r="B4203" s="1" t="s">
        <v>77</v>
      </c>
      <c r="C4203" s="1" t="s">
        <v>503</v>
      </c>
      <c r="U4203" s="1"/>
    </row>
    <row r="4204" ht="15.75" customHeight="1">
      <c r="A4204" s="1" t="s">
        <v>881</v>
      </c>
      <c r="B4204" s="1" t="s">
        <v>1410</v>
      </c>
      <c r="C4204" s="1" t="s">
        <v>2321</v>
      </c>
      <c r="U4204" s="1"/>
    </row>
    <row r="4205" ht="15.75" customHeight="1">
      <c r="A4205" s="1" t="s">
        <v>882</v>
      </c>
      <c r="B4205" s="1" t="s">
        <v>77</v>
      </c>
      <c r="C4205" s="1" t="s">
        <v>499</v>
      </c>
      <c r="U4205" s="1"/>
    </row>
    <row r="4206" ht="15.75" customHeight="1">
      <c r="A4206" s="1" t="s">
        <v>883</v>
      </c>
      <c r="B4206" s="1" t="s">
        <v>330</v>
      </c>
      <c r="C4206" s="1" t="s">
        <v>1542</v>
      </c>
      <c r="U4206" s="1"/>
    </row>
    <row r="4207" ht="15.75" customHeight="1">
      <c r="A4207" s="1" t="s">
        <v>884</v>
      </c>
      <c r="B4207" s="1" t="s">
        <v>158</v>
      </c>
      <c r="C4207" s="1" t="s">
        <v>2294</v>
      </c>
      <c r="U4207" s="1"/>
    </row>
    <row r="4208" ht="15.75" customHeight="1">
      <c r="A4208" s="1" t="s">
        <v>885</v>
      </c>
      <c r="B4208" s="1" t="s">
        <v>1748</v>
      </c>
      <c r="C4208" s="1" t="s">
        <v>2304</v>
      </c>
      <c r="U4208" s="1"/>
    </row>
    <row r="4209" ht="15.75" customHeight="1">
      <c r="A4209" s="1" t="s">
        <v>887</v>
      </c>
      <c r="B4209" s="1" t="s">
        <v>1748</v>
      </c>
      <c r="C4209" s="1" t="s">
        <v>2322</v>
      </c>
      <c r="U4209" s="1"/>
    </row>
    <row r="4210" ht="15.75" customHeight="1">
      <c r="A4210" s="1" t="s">
        <v>889</v>
      </c>
      <c r="B4210" s="1" t="s">
        <v>6</v>
      </c>
      <c r="C4210" s="1" t="s">
        <v>1117</v>
      </c>
      <c r="U4210" s="1"/>
    </row>
    <row r="4211" ht="15.75" customHeight="1">
      <c r="A4211" s="1" t="s">
        <v>890</v>
      </c>
      <c r="B4211" s="1" t="s">
        <v>403</v>
      </c>
      <c r="C4211" s="1" t="s">
        <v>2026</v>
      </c>
      <c r="U4211" s="1"/>
    </row>
    <row r="4212" ht="15.75" customHeight="1">
      <c r="A4212" s="1" t="s">
        <v>892</v>
      </c>
      <c r="B4212" s="1" t="s">
        <v>1071</v>
      </c>
      <c r="C4212" s="1" t="s">
        <v>2133</v>
      </c>
      <c r="U4212" s="1"/>
    </row>
    <row r="4213" ht="15.75" customHeight="1">
      <c r="A4213" s="1" t="s">
        <v>894</v>
      </c>
      <c r="B4213" s="1" t="s">
        <v>330</v>
      </c>
      <c r="C4213" s="1" t="s">
        <v>957</v>
      </c>
      <c r="U4213" s="1"/>
    </row>
    <row r="4214" ht="15.75" customHeight="1">
      <c r="A4214" s="1" t="s">
        <v>895</v>
      </c>
      <c r="B4214" s="1" t="s">
        <v>997</v>
      </c>
      <c r="C4214" s="1" t="s">
        <v>2201</v>
      </c>
      <c r="U4214" s="1"/>
    </row>
    <row r="4215" ht="15.75" customHeight="1">
      <c r="A4215" s="1" t="s">
        <v>897</v>
      </c>
      <c r="B4215" s="1" t="s">
        <v>158</v>
      </c>
      <c r="C4215" s="1" t="s">
        <v>2032</v>
      </c>
      <c r="U4215" s="1"/>
    </row>
    <row r="4216" ht="15.75" customHeight="1">
      <c r="A4216" s="1" t="s">
        <v>898</v>
      </c>
      <c r="B4216" s="1" t="s">
        <v>403</v>
      </c>
      <c r="C4216" s="1" t="s">
        <v>624</v>
      </c>
      <c r="U4216" s="1"/>
    </row>
    <row r="4217" ht="15.75" customHeight="1">
      <c r="A4217" s="1" t="s">
        <v>900</v>
      </c>
      <c r="B4217" s="1" t="s">
        <v>6</v>
      </c>
      <c r="C4217" s="1" t="s">
        <v>1119</v>
      </c>
      <c r="U4217" s="1"/>
    </row>
    <row r="4218" ht="15.75" customHeight="1">
      <c r="A4218" s="1" t="s">
        <v>901</v>
      </c>
      <c r="B4218" s="1" t="s">
        <v>1071</v>
      </c>
      <c r="C4218" s="1" t="s">
        <v>2238</v>
      </c>
      <c r="U4218" s="1"/>
    </row>
    <row r="4219" ht="15.75" customHeight="1">
      <c r="A4219" s="1" t="s">
        <v>902</v>
      </c>
      <c r="B4219" s="1" t="s">
        <v>77</v>
      </c>
      <c r="C4219" s="1" t="s">
        <v>1159</v>
      </c>
      <c r="U4219" s="1"/>
    </row>
    <row r="4220" ht="15.75" customHeight="1">
      <c r="A4220" s="1" t="s">
        <v>904</v>
      </c>
      <c r="B4220" s="1" t="s">
        <v>77</v>
      </c>
      <c r="C4220" s="1" t="s">
        <v>1288</v>
      </c>
      <c r="U4220" s="1"/>
    </row>
    <row r="4221" ht="15.75" customHeight="1">
      <c r="A4221" s="1" t="s">
        <v>905</v>
      </c>
      <c r="B4221" s="1" t="s">
        <v>158</v>
      </c>
      <c r="C4221" s="1" t="s">
        <v>2032</v>
      </c>
      <c r="U4221" s="1"/>
    </row>
    <row r="4222" ht="15.75" customHeight="1">
      <c r="A4222" s="1" t="s">
        <v>906</v>
      </c>
      <c r="B4222" s="1" t="s">
        <v>1071</v>
      </c>
      <c r="C4222" s="1" t="s">
        <v>2323</v>
      </c>
      <c r="U4222" s="1"/>
    </row>
    <row r="4223" ht="15.75" customHeight="1">
      <c r="A4223" s="1" t="s">
        <v>907</v>
      </c>
      <c r="B4223" s="1" t="s">
        <v>1748</v>
      </c>
      <c r="C4223" s="1" t="s">
        <v>2324</v>
      </c>
      <c r="U4223" s="1"/>
    </row>
    <row r="4224" ht="15.75" customHeight="1">
      <c r="A4224" s="1" t="s">
        <v>908</v>
      </c>
      <c r="B4224" s="1" t="s">
        <v>6</v>
      </c>
      <c r="C4224" s="1" t="s">
        <v>1497</v>
      </c>
      <c r="U4224" s="1"/>
    </row>
    <row r="4225" ht="15.75" customHeight="1">
      <c r="A4225" s="1" t="s">
        <v>909</v>
      </c>
      <c r="B4225" s="1" t="s">
        <v>6</v>
      </c>
      <c r="C4225" s="1" t="s">
        <v>761</v>
      </c>
      <c r="U4225" s="1"/>
    </row>
    <row r="4226" ht="15.75" customHeight="1">
      <c r="A4226" s="1" t="s">
        <v>911</v>
      </c>
      <c r="B4226" s="1" t="s">
        <v>77</v>
      </c>
      <c r="C4226" s="1" t="s">
        <v>1216</v>
      </c>
      <c r="U4226" s="1"/>
    </row>
    <row r="4227" ht="15.75" customHeight="1">
      <c r="A4227" s="1" t="s">
        <v>912</v>
      </c>
      <c r="B4227" s="1" t="s">
        <v>1410</v>
      </c>
      <c r="C4227" s="1" t="s">
        <v>2325</v>
      </c>
      <c r="U4227" s="1"/>
    </row>
    <row r="4228" ht="15.75" customHeight="1">
      <c r="A4228" s="1" t="s">
        <v>914</v>
      </c>
      <c r="B4228" s="1" t="s">
        <v>29</v>
      </c>
      <c r="C4228" s="1" t="s">
        <v>1270</v>
      </c>
      <c r="U4228" s="1"/>
    </row>
    <row r="4229" ht="15.75" customHeight="1">
      <c r="A4229" s="1" t="s">
        <v>915</v>
      </c>
      <c r="B4229" s="1" t="s">
        <v>158</v>
      </c>
      <c r="C4229" s="1" t="s">
        <v>1302</v>
      </c>
      <c r="U4229" s="1"/>
    </row>
  </sheetData>
  <conditionalFormatting sqref="U2:U4229">
    <cfRule type="cellIs" dxfId="0" priority="1" operator="equal">
      <formula>R2</formula>
    </cfRule>
  </conditionalFormatting>
  <hyperlinks>
    <hyperlink r:id="rId1" ref="R384"/>
    <hyperlink r:id="rId2" ref="U384"/>
    <hyperlink r:id="rId3" ref="R453"/>
    <hyperlink r:id="rId4" ref="U453"/>
  </hyperlinks>
  <printOptions/>
  <pageMargins bottom="1.0" footer="0.0" header="0.0" left="0.75" right="0.75" top="1.0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3</v>
      </c>
      <c r="B1" s="2" t="s">
        <v>4</v>
      </c>
    </row>
    <row r="2">
      <c r="A2" s="2" t="s">
        <v>9</v>
      </c>
      <c r="B2" s="2" t="s">
        <v>8</v>
      </c>
    </row>
    <row r="3">
      <c r="A3" s="2" t="s">
        <v>11</v>
      </c>
      <c r="B3" s="2" t="s">
        <v>8</v>
      </c>
    </row>
    <row r="4">
      <c r="A4" s="2" t="s">
        <v>13</v>
      </c>
      <c r="B4" s="2" t="s">
        <v>8</v>
      </c>
    </row>
    <row r="5">
      <c r="A5" s="2" t="s">
        <v>15</v>
      </c>
      <c r="B5" s="2" t="s">
        <v>8</v>
      </c>
    </row>
    <row r="6">
      <c r="A6" s="2" t="s">
        <v>17</v>
      </c>
      <c r="B6" s="2" t="s">
        <v>8</v>
      </c>
    </row>
    <row r="7">
      <c r="A7" s="2" t="s">
        <v>20</v>
      </c>
      <c r="B7" s="2" t="s">
        <v>19</v>
      </c>
    </row>
    <row r="8">
      <c r="A8" s="2" t="s">
        <v>23</v>
      </c>
      <c r="B8" s="2" t="s">
        <v>22</v>
      </c>
    </row>
    <row r="9">
      <c r="A9" s="2" t="s">
        <v>26</v>
      </c>
      <c r="B9" s="2" t="s">
        <v>25</v>
      </c>
    </row>
    <row r="10">
      <c r="A10" s="2" t="s">
        <v>28</v>
      </c>
      <c r="B10" s="2" t="s">
        <v>25</v>
      </c>
    </row>
    <row r="11">
      <c r="A11" s="2" t="s">
        <v>32</v>
      </c>
      <c r="B11" s="2" t="s">
        <v>31</v>
      </c>
    </row>
    <row r="12">
      <c r="A12" s="2" t="s">
        <v>34</v>
      </c>
      <c r="B12" s="2" t="s">
        <v>31</v>
      </c>
    </row>
    <row r="13">
      <c r="A13" s="2" t="s">
        <v>37</v>
      </c>
      <c r="B13" s="2" t="s">
        <v>36</v>
      </c>
    </row>
    <row r="14">
      <c r="A14" s="2" t="s">
        <v>40</v>
      </c>
      <c r="B14" s="2" t="s">
        <v>39</v>
      </c>
    </row>
    <row r="15">
      <c r="A15" s="2" t="s">
        <v>42</v>
      </c>
      <c r="B15" s="2" t="s">
        <v>31</v>
      </c>
    </row>
    <row r="16">
      <c r="A16" s="2" t="s">
        <v>44</v>
      </c>
      <c r="B16" s="2" t="s">
        <v>39</v>
      </c>
    </row>
    <row r="17">
      <c r="A17" s="2" t="s">
        <v>46</v>
      </c>
      <c r="B17" s="2" t="s">
        <v>36</v>
      </c>
    </row>
    <row r="18">
      <c r="A18" s="2" t="s">
        <v>48</v>
      </c>
      <c r="B18" s="2" t="s">
        <v>25</v>
      </c>
    </row>
    <row r="19">
      <c r="A19" s="2" t="s">
        <v>51</v>
      </c>
      <c r="B19" s="2" t="s">
        <v>50</v>
      </c>
    </row>
    <row r="20">
      <c r="A20" s="2" t="s">
        <v>54</v>
      </c>
      <c r="B20" s="2" t="s">
        <v>53</v>
      </c>
    </row>
    <row r="21">
      <c r="A21" s="2" t="s">
        <v>56</v>
      </c>
      <c r="B21" s="2" t="s">
        <v>39</v>
      </c>
    </row>
    <row r="22">
      <c r="A22" s="2" t="s">
        <v>58</v>
      </c>
      <c r="B22" s="2" t="s">
        <v>31</v>
      </c>
    </row>
    <row r="23">
      <c r="A23" s="2" t="s">
        <v>60</v>
      </c>
      <c r="B23" s="2" t="s">
        <v>39</v>
      </c>
    </row>
    <row r="24">
      <c r="A24" s="2" t="s">
        <v>62</v>
      </c>
      <c r="B24" s="2" t="s">
        <v>39</v>
      </c>
    </row>
    <row r="25">
      <c r="A25" s="2" t="s">
        <v>65</v>
      </c>
      <c r="B25" s="2" t="s">
        <v>64</v>
      </c>
    </row>
    <row r="26">
      <c r="A26" s="2" t="s">
        <v>67</v>
      </c>
      <c r="B26" s="2" t="s">
        <v>50</v>
      </c>
    </row>
    <row r="27">
      <c r="A27" s="2" t="s">
        <v>69</v>
      </c>
      <c r="B27" s="2" t="s">
        <v>31</v>
      </c>
    </row>
    <row r="28">
      <c r="A28" s="2" t="s">
        <v>71</v>
      </c>
      <c r="B28" s="2" t="s">
        <v>64</v>
      </c>
    </row>
    <row r="29">
      <c r="A29" s="2" t="s">
        <v>73</v>
      </c>
      <c r="B29" s="2" t="s">
        <v>64</v>
      </c>
    </row>
    <row r="30">
      <c r="A30" s="2" t="s">
        <v>76</v>
      </c>
      <c r="B30" s="2" t="s">
        <v>75</v>
      </c>
    </row>
    <row r="31">
      <c r="A31" s="2" t="s">
        <v>80</v>
      </c>
      <c r="B31" s="2" t="s">
        <v>79</v>
      </c>
    </row>
    <row r="32">
      <c r="A32" s="2" t="s">
        <v>83</v>
      </c>
      <c r="B32" s="2" t="s">
        <v>82</v>
      </c>
    </row>
    <row r="33">
      <c r="A33" s="2" t="s">
        <v>85</v>
      </c>
      <c r="B33" s="2" t="s">
        <v>64</v>
      </c>
    </row>
    <row r="34">
      <c r="A34" s="2" t="s">
        <v>87</v>
      </c>
      <c r="B34" s="2" t="s">
        <v>25</v>
      </c>
    </row>
    <row r="35">
      <c r="A35" s="2" t="s">
        <v>90</v>
      </c>
      <c r="B35" s="2" t="s">
        <v>89</v>
      </c>
    </row>
    <row r="36">
      <c r="A36" s="2" t="s">
        <v>93</v>
      </c>
      <c r="B36" s="2" t="s">
        <v>92</v>
      </c>
    </row>
    <row r="37">
      <c r="A37" s="2" t="s">
        <v>95</v>
      </c>
      <c r="B37" s="2" t="s">
        <v>25</v>
      </c>
    </row>
    <row r="38">
      <c r="A38" s="2" t="s">
        <v>97</v>
      </c>
      <c r="B38" s="2" t="s">
        <v>79</v>
      </c>
    </row>
    <row r="39">
      <c r="A39" s="2" t="s">
        <v>99</v>
      </c>
      <c r="B39" s="2" t="s">
        <v>89</v>
      </c>
    </row>
    <row r="40">
      <c r="A40" s="2" t="s">
        <v>102</v>
      </c>
      <c r="B40" s="2" t="s">
        <v>101</v>
      </c>
    </row>
    <row r="41">
      <c r="A41" s="2" t="s">
        <v>104</v>
      </c>
      <c r="B41" s="2" t="s">
        <v>79</v>
      </c>
    </row>
    <row r="42">
      <c r="A42" s="2" t="s">
        <v>106</v>
      </c>
      <c r="B42" s="2" t="s">
        <v>25</v>
      </c>
    </row>
    <row r="43">
      <c r="A43" s="2" t="s">
        <v>108</v>
      </c>
      <c r="B43" s="2" t="s">
        <v>64</v>
      </c>
    </row>
    <row r="44">
      <c r="A44" s="2" t="s">
        <v>111</v>
      </c>
      <c r="B44" s="2" t="s">
        <v>110</v>
      </c>
    </row>
    <row r="45">
      <c r="A45" s="2" t="s">
        <v>113</v>
      </c>
      <c r="B45" s="2" t="s">
        <v>112</v>
      </c>
    </row>
    <row r="46">
      <c r="A46" s="2" t="s">
        <v>115</v>
      </c>
      <c r="B46" s="2" t="s">
        <v>39</v>
      </c>
    </row>
    <row r="47">
      <c r="A47" s="2" t="s">
        <v>117</v>
      </c>
      <c r="B47" s="2" t="s">
        <v>31</v>
      </c>
    </row>
    <row r="48">
      <c r="A48" s="2" t="s">
        <v>119</v>
      </c>
      <c r="B48" s="2" t="s">
        <v>39</v>
      </c>
    </row>
    <row r="49">
      <c r="A49" s="2" t="s">
        <v>121</v>
      </c>
      <c r="B49" s="2" t="s">
        <v>64</v>
      </c>
    </row>
    <row r="50">
      <c r="A50" s="2" t="s">
        <v>123</v>
      </c>
      <c r="B50" s="2" t="s">
        <v>31</v>
      </c>
    </row>
    <row r="51">
      <c r="A51" s="2" t="s">
        <v>125</v>
      </c>
      <c r="B51" s="2" t="s">
        <v>64</v>
      </c>
    </row>
    <row r="52">
      <c r="A52" s="2" t="s">
        <v>127</v>
      </c>
      <c r="B52" s="2" t="s">
        <v>89</v>
      </c>
    </row>
    <row r="53">
      <c r="A53" s="2" t="s">
        <v>129</v>
      </c>
      <c r="B53" s="2" t="s">
        <v>19</v>
      </c>
    </row>
    <row r="54">
      <c r="A54" s="2" t="s">
        <v>131</v>
      </c>
      <c r="B54" s="2" t="s">
        <v>89</v>
      </c>
    </row>
    <row r="55">
      <c r="A55" s="2" t="s">
        <v>133</v>
      </c>
      <c r="B55" s="2" t="s">
        <v>82</v>
      </c>
    </row>
    <row r="56">
      <c r="A56" s="2" t="s">
        <v>135</v>
      </c>
      <c r="B56" s="2" t="s">
        <v>31</v>
      </c>
    </row>
    <row r="57">
      <c r="A57" s="2" t="s">
        <v>137</v>
      </c>
      <c r="B57" s="2" t="s">
        <v>39</v>
      </c>
    </row>
    <row r="58">
      <c r="A58" s="2" t="s">
        <v>140</v>
      </c>
      <c r="B58" s="2" t="s">
        <v>89</v>
      </c>
    </row>
    <row r="59">
      <c r="A59" s="2" t="s">
        <v>142</v>
      </c>
      <c r="B59" s="2" t="s">
        <v>25</v>
      </c>
    </row>
    <row r="60">
      <c r="A60" s="2" t="s">
        <v>145</v>
      </c>
      <c r="B60" s="2" t="s">
        <v>139</v>
      </c>
    </row>
    <row r="61">
      <c r="A61" s="2" t="s">
        <v>147</v>
      </c>
      <c r="B61" s="2" t="s">
        <v>36</v>
      </c>
    </row>
    <row r="62">
      <c r="A62" s="2" t="s">
        <v>150</v>
      </c>
      <c r="B62" s="2" t="s">
        <v>149</v>
      </c>
    </row>
    <row r="63">
      <c r="A63" s="2" t="s">
        <v>152</v>
      </c>
      <c r="B63" s="2" t="s">
        <v>75</v>
      </c>
    </row>
    <row r="64">
      <c r="A64" s="2" t="s">
        <v>154</v>
      </c>
      <c r="B64" s="2" t="s">
        <v>149</v>
      </c>
    </row>
    <row r="65">
      <c r="A65" s="2" t="s">
        <v>157</v>
      </c>
      <c r="B65" s="2" t="s">
        <v>92</v>
      </c>
    </row>
    <row r="66">
      <c r="A66" s="2" t="s">
        <v>160</v>
      </c>
      <c r="B66" s="2" t="s">
        <v>64</v>
      </c>
    </row>
    <row r="67">
      <c r="A67" s="2" t="s">
        <v>162</v>
      </c>
      <c r="B67" s="2" t="s">
        <v>156</v>
      </c>
    </row>
    <row r="68">
      <c r="A68" s="2" t="s">
        <v>164</v>
      </c>
      <c r="B68" s="2" t="s">
        <v>64</v>
      </c>
    </row>
    <row r="69">
      <c r="A69" s="2" t="s">
        <v>166</v>
      </c>
      <c r="B69" s="2" t="s">
        <v>64</v>
      </c>
    </row>
    <row r="70">
      <c r="A70" s="2" t="s">
        <v>168</v>
      </c>
      <c r="B70" s="2" t="s">
        <v>64</v>
      </c>
    </row>
    <row r="71">
      <c r="A71" s="2" t="s">
        <v>170</v>
      </c>
      <c r="B71" s="2" t="s">
        <v>31</v>
      </c>
    </row>
    <row r="72">
      <c r="A72" s="2" t="s">
        <v>172</v>
      </c>
      <c r="B72" s="2" t="s">
        <v>89</v>
      </c>
    </row>
    <row r="73">
      <c r="A73" s="2" t="s">
        <v>174</v>
      </c>
      <c r="B73" s="2" t="s">
        <v>8</v>
      </c>
    </row>
    <row r="74">
      <c r="A74" s="2" t="s">
        <v>176</v>
      </c>
      <c r="B74" s="2" t="s">
        <v>64</v>
      </c>
    </row>
    <row r="75">
      <c r="A75" s="2" t="s">
        <v>179</v>
      </c>
      <c r="B75" s="2" t="s">
        <v>39</v>
      </c>
    </row>
    <row r="76">
      <c r="A76" s="2" t="s">
        <v>181</v>
      </c>
      <c r="B76" s="2" t="s">
        <v>36</v>
      </c>
    </row>
    <row r="77">
      <c r="A77" s="2" t="s">
        <v>184</v>
      </c>
      <c r="B77" s="2" t="s">
        <v>31</v>
      </c>
    </row>
    <row r="78">
      <c r="A78" s="2" t="s">
        <v>186</v>
      </c>
      <c r="B78" s="2" t="s">
        <v>112</v>
      </c>
    </row>
    <row r="79">
      <c r="A79" s="2" t="s">
        <v>188</v>
      </c>
      <c r="B79" s="2" t="s">
        <v>31</v>
      </c>
    </row>
    <row r="80">
      <c r="A80" s="2" t="s">
        <v>191</v>
      </c>
      <c r="B80" s="2" t="s">
        <v>31</v>
      </c>
    </row>
    <row r="81">
      <c r="A81" s="2" t="s">
        <v>193</v>
      </c>
      <c r="B81" s="2" t="s">
        <v>64</v>
      </c>
    </row>
    <row r="82">
      <c r="A82" s="2" t="s">
        <v>195</v>
      </c>
      <c r="B82" s="2" t="s">
        <v>31</v>
      </c>
    </row>
    <row r="83">
      <c r="A83" s="2" t="s">
        <v>198</v>
      </c>
      <c r="B83" s="2" t="s">
        <v>89</v>
      </c>
    </row>
    <row r="84">
      <c r="A84" s="2" t="s">
        <v>200</v>
      </c>
      <c r="B84" s="2" t="s">
        <v>31</v>
      </c>
    </row>
    <row r="85">
      <c r="A85" s="2" t="s">
        <v>202</v>
      </c>
      <c r="B85" s="2" t="s">
        <v>178</v>
      </c>
    </row>
    <row r="86">
      <c r="A86" s="2" t="s">
        <v>204</v>
      </c>
      <c r="B86" s="2" t="s">
        <v>8</v>
      </c>
    </row>
    <row r="87">
      <c r="A87" s="2" t="s">
        <v>207</v>
      </c>
      <c r="B87" s="2" t="s">
        <v>183</v>
      </c>
    </row>
    <row r="88">
      <c r="A88" s="2" t="s">
        <v>209</v>
      </c>
      <c r="B88" s="2" t="s">
        <v>156</v>
      </c>
    </row>
    <row r="89">
      <c r="A89" s="2" t="s">
        <v>211</v>
      </c>
      <c r="B89" s="2" t="s">
        <v>31</v>
      </c>
    </row>
    <row r="90">
      <c r="A90" s="2" t="s">
        <v>214</v>
      </c>
      <c r="B90" s="2" t="s">
        <v>190</v>
      </c>
    </row>
    <row r="91">
      <c r="A91" s="2" t="s">
        <v>216</v>
      </c>
      <c r="B91" s="2" t="s">
        <v>31</v>
      </c>
    </row>
    <row r="92">
      <c r="A92" s="2" t="s">
        <v>218</v>
      </c>
      <c r="B92" s="2" t="s">
        <v>53</v>
      </c>
    </row>
    <row r="93">
      <c r="A93" s="2" t="s">
        <v>220</v>
      </c>
      <c r="B93" s="2" t="s">
        <v>197</v>
      </c>
    </row>
    <row r="94">
      <c r="A94" s="2" t="s">
        <v>222</v>
      </c>
      <c r="B94" s="2" t="s">
        <v>64</v>
      </c>
    </row>
    <row r="95">
      <c r="A95" s="2" t="s">
        <v>224</v>
      </c>
      <c r="B95" s="2" t="s">
        <v>112</v>
      </c>
    </row>
    <row r="96">
      <c r="A96" s="2" t="s">
        <v>226</v>
      </c>
      <c r="B96" s="2" t="s">
        <v>39</v>
      </c>
    </row>
    <row r="97">
      <c r="A97" s="2" t="s">
        <v>228</v>
      </c>
      <c r="B97" s="2" t="s">
        <v>206</v>
      </c>
    </row>
    <row r="98">
      <c r="A98" s="2" t="s">
        <v>230</v>
      </c>
      <c r="B98" s="2" t="s">
        <v>50</v>
      </c>
    </row>
    <row r="99">
      <c r="A99" s="2" t="s">
        <v>232</v>
      </c>
      <c r="B99" s="2" t="s">
        <v>92</v>
      </c>
    </row>
    <row r="100">
      <c r="A100" s="2" t="s">
        <v>234</v>
      </c>
      <c r="B100" s="2" t="s">
        <v>213</v>
      </c>
    </row>
    <row r="101">
      <c r="A101" s="2" t="s">
        <v>237</v>
      </c>
      <c r="B101" s="2" t="s">
        <v>64</v>
      </c>
    </row>
    <row r="102">
      <c r="A102" s="2" t="s">
        <v>240</v>
      </c>
      <c r="B102" s="2" t="s">
        <v>31</v>
      </c>
    </row>
    <row r="103">
      <c r="A103" s="2" t="s">
        <v>241</v>
      </c>
      <c r="B103" s="2" t="s">
        <v>64</v>
      </c>
    </row>
    <row r="104">
      <c r="A104" s="2" t="s">
        <v>244</v>
      </c>
      <c r="B104" s="2" t="s">
        <v>8</v>
      </c>
    </row>
    <row r="105">
      <c r="A105" s="2" t="s">
        <v>245</v>
      </c>
      <c r="B105" s="2" t="s">
        <v>36</v>
      </c>
    </row>
    <row r="106">
      <c r="A106" s="2" t="s">
        <v>246</v>
      </c>
      <c r="B106" s="2" t="s">
        <v>82</v>
      </c>
    </row>
    <row r="107">
      <c r="A107" s="2" t="s">
        <v>248</v>
      </c>
      <c r="B107" s="2" t="s">
        <v>149</v>
      </c>
    </row>
    <row r="108">
      <c r="A108" s="2" t="s">
        <v>250</v>
      </c>
      <c r="B108" s="2" t="s">
        <v>64</v>
      </c>
    </row>
    <row r="109">
      <c r="A109" s="2" t="s">
        <v>251</v>
      </c>
      <c r="B109" s="2" t="s">
        <v>64</v>
      </c>
    </row>
    <row r="110">
      <c r="A110" s="2" t="s">
        <v>252</v>
      </c>
      <c r="B110" s="2" t="s">
        <v>64</v>
      </c>
    </row>
    <row r="111">
      <c r="A111" s="2" t="s">
        <v>254</v>
      </c>
      <c r="B111" s="2" t="s">
        <v>243</v>
      </c>
    </row>
    <row r="112">
      <c r="A112" s="2" t="s">
        <v>256</v>
      </c>
      <c r="B112" s="2" t="s">
        <v>64</v>
      </c>
    </row>
    <row r="113">
      <c r="A113" s="2" t="s">
        <v>258</v>
      </c>
      <c r="B113" s="2" t="s">
        <v>64</v>
      </c>
    </row>
    <row r="114">
      <c r="A114" s="2" t="s">
        <v>259</v>
      </c>
      <c r="B114" s="2" t="s">
        <v>64</v>
      </c>
    </row>
    <row r="115">
      <c r="A115" s="2" t="s">
        <v>261</v>
      </c>
      <c r="B115" s="2" t="s">
        <v>249</v>
      </c>
    </row>
    <row r="116">
      <c r="A116" s="2" t="s">
        <v>263</v>
      </c>
      <c r="B116" s="2" t="s">
        <v>8</v>
      </c>
    </row>
    <row r="117">
      <c r="A117" s="2" t="s">
        <v>265</v>
      </c>
      <c r="B117" s="2" t="s">
        <v>92</v>
      </c>
    </row>
    <row r="118">
      <c r="A118" s="2" t="s">
        <v>266</v>
      </c>
      <c r="B118" s="2" t="s">
        <v>31</v>
      </c>
    </row>
    <row r="119">
      <c r="A119" s="2" t="s">
        <v>268</v>
      </c>
      <c r="B119" s="2" t="s">
        <v>213</v>
      </c>
    </row>
    <row r="120">
      <c r="A120" s="2" t="s">
        <v>269</v>
      </c>
      <c r="B120" s="2" t="s">
        <v>8</v>
      </c>
    </row>
    <row r="121">
      <c r="A121" s="2" t="s">
        <v>270</v>
      </c>
      <c r="B121" s="2" t="s">
        <v>31</v>
      </c>
    </row>
    <row r="122">
      <c r="A122" s="2" t="s">
        <v>272</v>
      </c>
      <c r="B122" s="2" t="s">
        <v>31</v>
      </c>
    </row>
    <row r="123">
      <c r="A123" s="2" t="s">
        <v>274</v>
      </c>
      <c r="B123" s="2" t="s">
        <v>31</v>
      </c>
    </row>
    <row r="124">
      <c r="A124" s="2" t="s">
        <v>276</v>
      </c>
      <c r="B124" s="2" t="s">
        <v>25</v>
      </c>
    </row>
    <row r="125">
      <c r="A125" s="2" t="s">
        <v>278</v>
      </c>
      <c r="B125" s="2" t="s">
        <v>64</v>
      </c>
    </row>
    <row r="126">
      <c r="A126" s="2" t="s">
        <v>279</v>
      </c>
      <c r="B126" s="2" t="s">
        <v>53</v>
      </c>
    </row>
    <row r="127">
      <c r="A127" s="2" t="s">
        <v>280</v>
      </c>
      <c r="B127" s="2" t="s">
        <v>264</v>
      </c>
    </row>
    <row r="128">
      <c r="A128" s="2" t="s">
        <v>282</v>
      </c>
      <c r="B128" s="2" t="s">
        <v>31</v>
      </c>
    </row>
    <row r="129">
      <c r="A129" s="2" t="s">
        <v>284</v>
      </c>
      <c r="B129" s="2" t="s">
        <v>8</v>
      </c>
    </row>
    <row r="130">
      <c r="A130" s="2" t="s">
        <v>286</v>
      </c>
      <c r="B130" s="2" t="s">
        <v>19</v>
      </c>
    </row>
    <row r="131">
      <c r="A131" s="2" t="s">
        <v>287</v>
      </c>
      <c r="B131" s="2" t="s">
        <v>267</v>
      </c>
    </row>
    <row r="132">
      <c r="A132" s="2" t="s">
        <v>288</v>
      </c>
      <c r="B132" s="2" t="s">
        <v>64</v>
      </c>
    </row>
    <row r="133">
      <c r="A133" s="2" t="s">
        <v>289</v>
      </c>
      <c r="B133" s="2" t="s">
        <v>89</v>
      </c>
    </row>
    <row r="134">
      <c r="A134" s="2" t="s">
        <v>291</v>
      </c>
      <c r="B134" s="2" t="s">
        <v>149</v>
      </c>
    </row>
    <row r="135">
      <c r="A135" s="2" t="s">
        <v>293</v>
      </c>
      <c r="B135" s="2" t="s">
        <v>31</v>
      </c>
    </row>
    <row r="136">
      <c r="A136" s="2" t="s">
        <v>294</v>
      </c>
      <c r="B136" s="2" t="s">
        <v>39</v>
      </c>
    </row>
    <row r="137">
      <c r="A137" s="2" t="s">
        <v>295</v>
      </c>
      <c r="B137" s="2" t="s">
        <v>92</v>
      </c>
    </row>
    <row r="138">
      <c r="A138" s="2" t="s">
        <v>296</v>
      </c>
      <c r="B138" s="2" t="s">
        <v>36</v>
      </c>
    </row>
    <row r="139">
      <c r="A139" s="2" t="s">
        <v>297</v>
      </c>
      <c r="B139" s="2" t="s">
        <v>89</v>
      </c>
    </row>
    <row r="140">
      <c r="A140" s="2" t="s">
        <v>298</v>
      </c>
      <c r="B140" s="2" t="s">
        <v>31</v>
      </c>
    </row>
    <row r="141">
      <c r="A141" s="2" t="s">
        <v>299</v>
      </c>
      <c r="B141" s="2" t="s">
        <v>89</v>
      </c>
    </row>
    <row r="142">
      <c r="A142" s="2" t="s">
        <v>300</v>
      </c>
      <c r="B142" s="2" t="s">
        <v>64</v>
      </c>
    </row>
    <row r="143">
      <c r="A143" s="2" t="s">
        <v>301</v>
      </c>
      <c r="B143" s="2" t="s">
        <v>31</v>
      </c>
    </row>
    <row r="144">
      <c r="A144" s="2" t="s">
        <v>303</v>
      </c>
      <c r="B144" s="2" t="s">
        <v>39</v>
      </c>
    </row>
    <row r="145">
      <c r="A145" s="2" t="s">
        <v>305</v>
      </c>
      <c r="B145" s="2" t="s">
        <v>64</v>
      </c>
    </row>
    <row r="146">
      <c r="A146" s="2" t="s">
        <v>307</v>
      </c>
      <c r="B146" s="2" t="s">
        <v>39</v>
      </c>
    </row>
    <row r="147">
      <c r="A147" s="2" t="s">
        <v>308</v>
      </c>
      <c r="B147" s="2" t="s">
        <v>39</v>
      </c>
    </row>
    <row r="148">
      <c r="A148" s="2" t="s">
        <v>310</v>
      </c>
      <c r="B148" s="2" t="s">
        <v>213</v>
      </c>
    </row>
    <row r="149">
      <c r="A149" s="2" t="s">
        <v>311</v>
      </c>
      <c r="B149" s="2" t="s">
        <v>312</v>
      </c>
    </row>
    <row r="150">
      <c r="A150" s="2" t="s">
        <v>313</v>
      </c>
      <c r="B150" s="2" t="s">
        <v>39</v>
      </c>
    </row>
    <row r="151">
      <c r="A151" s="2" t="s">
        <v>316</v>
      </c>
      <c r="B151" s="2" t="s">
        <v>53</v>
      </c>
    </row>
    <row r="152">
      <c r="A152" s="2" t="s">
        <v>317</v>
      </c>
      <c r="B152" s="2" t="s">
        <v>64</v>
      </c>
    </row>
    <row r="153">
      <c r="A153" s="2" t="s">
        <v>318</v>
      </c>
      <c r="B153" s="2" t="s">
        <v>319</v>
      </c>
    </row>
    <row r="154">
      <c r="A154" s="2" t="s">
        <v>321</v>
      </c>
      <c r="B154" s="2" t="s">
        <v>249</v>
      </c>
    </row>
    <row r="155">
      <c r="A155" s="2" t="s">
        <v>323</v>
      </c>
      <c r="B155" s="2" t="s">
        <v>89</v>
      </c>
    </row>
    <row r="156">
      <c r="A156" s="2" t="s">
        <v>325</v>
      </c>
      <c r="B156" s="2" t="s">
        <v>112</v>
      </c>
    </row>
    <row r="157">
      <c r="A157" s="2" t="s">
        <v>327</v>
      </c>
      <c r="B157" s="2" t="s">
        <v>50</v>
      </c>
    </row>
    <row r="158">
      <c r="A158" s="2" t="s">
        <v>329</v>
      </c>
      <c r="B158" s="2" t="s">
        <v>39</v>
      </c>
    </row>
    <row r="159">
      <c r="A159" s="2" t="s">
        <v>332</v>
      </c>
      <c r="B159" s="2" t="s">
        <v>19</v>
      </c>
    </row>
    <row r="160">
      <c r="A160" s="2" t="s">
        <v>334</v>
      </c>
      <c r="B160" s="2" t="s">
        <v>31</v>
      </c>
    </row>
    <row r="161">
      <c r="A161" s="2" t="s">
        <v>336</v>
      </c>
      <c r="B161" s="2" t="s">
        <v>8</v>
      </c>
    </row>
    <row r="162">
      <c r="A162" s="2" t="s">
        <v>338</v>
      </c>
      <c r="B162" s="2" t="s">
        <v>92</v>
      </c>
    </row>
    <row r="163">
      <c r="A163" s="2" t="s">
        <v>340</v>
      </c>
      <c r="B163" s="2" t="s">
        <v>341</v>
      </c>
    </row>
    <row r="164">
      <c r="A164" s="2" t="s">
        <v>343</v>
      </c>
      <c r="B164" s="2" t="s">
        <v>64</v>
      </c>
    </row>
    <row r="165">
      <c r="A165" s="2" t="s">
        <v>345</v>
      </c>
      <c r="B165" s="2" t="s">
        <v>64</v>
      </c>
    </row>
    <row r="166">
      <c r="A166" s="2" t="s">
        <v>347</v>
      </c>
      <c r="B166" s="2" t="s">
        <v>39</v>
      </c>
    </row>
    <row r="167">
      <c r="A167" s="2" t="s">
        <v>349</v>
      </c>
      <c r="B167" s="2" t="s">
        <v>19</v>
      </c>
    </row>
    <row r="168">
      <c r="A168" s="2" t="s">
        <v>351</v>
      </c>
      <c r="B168" s="2" t="s">
        <v>53</v>
      </c>
    </row>
    <row r="169">
      <c r="A169" s="2" t="s">
        <v>353</v>
      </c>
      <c r="B169" s="2" t="s">
        <v>8</v>
      </c>
    </row>
    <row r="170">
      <c r="A170" s="2" t="s">
        <v>355</v>
      </c>
      <c r="B170" s="2" t="s">
        <v>89</v>
      </c>
    </row>
    <row r="171">
      <c r="A171" s="2" t="s">
        <v>357</v>
      </c>
      <c r="B171" s="2" t="s">
        <v>22</v>
      </c>
    </row>
    <row r="172">
      <c r="A172" s="2" t="s">
        <v>359</v>
      </c>
      <c r="B172" s="2" t="s">
        <v>360</v>
      </c>
    </row>
    <row r="173">
      <c r="A173" s="2" t="s">
        <v>362</v>
      </c>
      <c r="B173" s="2" t="s">
        <v>363</v>
      </c>
    </row>
    <row r="174">
      <c r="A174" s="2" t="s">
        <v>365</v>
      </c>
      <c r="B174" s="2" t="s">
        <v>22</v>
      </c>
    </row>
    <row r="175">
      <c r="A175" s="2" t="s">
        <v>367</v>
      </c>
      <c r="B175" s="2" t="s">
        <v>19</v>
      </c>
    </row>
    <row r="176">
      <c r="A176" s="2" t="s">
        <v>369</v>
      </c>
      <c r="B176" s="2" t="s">
        <v>306</v>
      </c>
    </row>
    <row r="177">
      <c r="A177" s="2" t="s">
        <v>371</v>
      </c>
      <c r="B177" s="2" t="s">
        <v>8</v>
      </c>
    </row>
    <row r="178">
      <c r="A178" s="2" t="s">
        <v>373</v>
      </c>
      <c r="B178" s="2" t="s">
        <v>309</v>
      </c>
    </row>
    <row r="179">
      <c r="A179" s="2" t="s">
        <v>375</v>
      </c>
      <c r="B179" s="2" t="s">
        <v>75</v>
      </c>
    </row>
    <row r="180">
      <c r="A180" s="2" t="s">
        <v>377</v>
      </c>
      <c r="B180" s="2" t="s">
        <v>31</v>
      </c>
    </row>
    <row r="181">
      <c r="A181" s="2" t="s">
        <v>380</v>
      </c>
      <c r="B181" s="2" t="s">
        <v>315</v>
      </c>
    </row>
    <row r="182">
      <c r="A182" s="2" t="s">
        <v>382</v>
      </c>
      <c r="B182" s="2" t="s">
        <v>64</v>
      </c>
    </row>
    <row r="183">
      <c r="A183" s="2" t="s">
        <v>384</v>
      </c>
      <c r="B183" s="2" t="s">
        <v>82</v>
      </c>
    </row>
    <row r="184">
      <c r="A184" s="2" t="s">
        <v>386</v>
      </c>
      <c r="B184" s="2" t="s">
        <v>8</v>
      </c>
    </row>
    <row r="185">
      <c r="A185" s="2" t="s">
        <v>388</v>
      </c>
      <c r="B185" s="2" t="s">
        <v>89</v>
      </c>
    </row>
    <row r="186">
      <c r="A186" s="2" t="s">
        <v>390</v>
      </c>
      <c r="B186" s="2" t="s">
        <v>206</v>
      </c>
    </row>
    <row r="187">
      <c r="A187" s="2" t="s">
        <v>392</v>
      </c>
      <c r="B187" s="2" t="s">
        <v>22</v>
      </c>
    </row>
    <row r="188">
      <c r="A188" s="2" t="s">
        <v>394</v>
      </c>
      <c r="B188" s="2" t="s">
        <v>31</v>
      </c>
    </row>
    <row r="189">
      <c r="A189" s="2" t="s">
        <v>396</v>
      </c>
      <c r="B189" s="2" t="s">
        <v>64</v>
      </c>
    </row>
    <row r="190">
      <c r="A190" s="2" t="s">
        <v>398</v>
      </c>
      <c r="B190" s="2" t="s">
        <v>31</v>
      </c>
    </row>
    <row r="191">
      <c r="A191" s="2" t="s">
        <v>400</v>
      </c>
      <c r="B191" s="2" t="s">
        <v>190</v>
      </c>
    </row>
    <row r="192">
      <c r="A192" s="2" t="s">
        <v>402</v>
      </c>
      <c r="B192" s="2" t="s">
        <v>112</v>
      </c>
    </row>
    <row r="193">
      <c r="A193" s="2" t="s">
        <v>405</v>
      </c>
      <c r="B193" s="2" t="s">
        <v>39</v>
      </c>
    </row>
    <row r="194">
      <c r="A194" s="2" t="s">
        <v>407</v>
      </c>
      <c r="B194" s="2" t="s">
        <v>39</v>
      </c>
    </row>
    <row r="195">
      <c r="A195" s="2" t="s">
        <v>409</v>
      </c>
      <c r="B195" s="2" t="s">
        <v>315</v>
      </c>
    </row>
    <row r="196">
      <c r="A196" s="2" t="s">
        <v>411</v>
      </c>
      <c r="B196" s="2" t="s">
        <v>64</v>
      </c>
    </row>
    <row r="197">
      <c r="A197" s="2" t="s">
        <v>413</v>
      </c>
      <c r="B197" s="2" t="s">
        <v>82</v>
      </c>
    </row>
    <row r="198">
      <c r="A198" s="2" t="s">
        <v>415</v>
      </c>
      <c r="B198" s="2" t="s">
        <v>190</v>
      </c>
    </row>
    <row r="199">
      <c r="A199" s="2" t="s">
        <v>417</v>
      </c>
      <c r="B199" s="2" t="s">
        <v>22</v>
      </c>
    </row>
    <row r="200">
      <c r="A200" s="2" t="s">
        <v>419</v>
      </c>
      <c r="B200" s="2" t="s">
        <v>31</v>
      </c>
    </row>
    <row r="201">
      <c r="A201" s="2" t="s">
        <v>421</v>
      </c>
      <c r="B201" s="2" t="s">
        <v>156</v>
      </c>
    </row>
    <row r="202">
      <c r="A202" s="2" t="s">
        <v>424</v>
      </c>
      <c r="B202" s="2" t="s">
        <v>31</v>
      </c>
    </row>
    <row r="203">
      <c r="A203" s="2" t="s">
        <v>426</v>
      </c>
      <c r="B203" s="2" t="s">
        <v>249</v>
      </c>
    </row>
    <row r="204">
      <c r="A204" s="2" t="s">
        <v>428</v>
      </c>
      <c r="B204" s="2" t="s">
        <v>64</v>
      </c>
    </row>
    <row r="205">
      <c r="A205" s="2" t="s">
        <v>430</v>
      </c>
      <c r="B205" s="2" t="s">
        <v>431</v>
      </c>
    </row>
    <row r="206">
      <c r="A206" s="2" t="s">
        <v>433</v>
      </c>
      <c r="B206" s="2" t="s">
        <v>50</v>
      </c>
    </row>
    <row r="207">
      <c r="A207" s="2" t="s">
        <v>435</v>
      </c>
      <c r="B207" s="2" t="s">
        <v>39</v>
      </c>
    </row>
    <row r="208">
      <c r="A208" s="2" t="s">
        <v>437</v>
      </c>
      <c r="B208" s="2" t="s">
        <v>31</v>
      </c>
    </row>
    <row r="209">
      <c r="A209" s="2" t="s">
        <v>439</v>
      </c>
      <c r="B209" s="2" t="s">
        <v>19</v>
      </c>
    </row>
    <row r="210">
      <c r="A210" s="2" t="s">
        <v>441</v>
      </c>
      <c r="B210" s="2" t="s">
        <v>31</v>
      </c>
    </row>
    <row r="211">
      <c r="A211" s="2" t="s">
        <v>443</v>
      </c>
      <c r="B211" s="2" t="s">
        <v>92</v>
      </c>
    </row>
    <row r="212">
      <c r="A212" s="2" t="s">
        <v>445</v>
      </c>
      <c r="B212" s="2" t="s">
        <v>112</v>
      </c>
    </row>
    <row r="213">
      <c r="A213" s="2" t="s">
        <v>447</v>
      </c>
      <c r="B213" s="2" t="s">
        <v>64</v>
      </c>
    </row>
    <row r="214">
      <c r="A214" s="2" t="s">
        <v>449</v>
      </c>
      <c r="B214" s="2" t="s">
        <v>31</v>
      </c>
    </row>
    <row r="215">
      <c r="A215" s="2" t="s">
        <v>451</v>
      </c>
      <c r="B215" s="2" t="s">
        <v>31</v>
      </c>
    </row>
    <row r="216">
      <c r="A216" s="2" t="s">
        <v>453</v>
      </c>
      <c r="B216" s="2" t="s">
        <v>39</v>
      </c>
    </row>
    <row r="217">
      <c r="A217" s="2" t="s">
        <v>455</v>
      </c>
      <c r="B217" s="2" t="s">
        <v>39</v>
      </c>
    </row>
    <row r="218">
      <c r="A218" s="2" t="s">
        <v>457</v>
      </c>
      <c r="B218" s="2" t="s">
        <v>75</v>
      </c>
    </row>
    <row r="219">
      <c r="A219" s="2" t="s">
        <v>459</v>
      </c>
      <c r="B219" s="2" t="s">
        <v>25</v>
      </c>
    </row>
    <row r="220">
      <c r="A220" s="2" t="s">
        <v>461</v>
      </c>
      <c r="B220" s="2" t="s">
        <v>8</v>
      </c>
    </row>
    <row r="221">
      <c r="A221" s="2" t="s">
        <v>463</v>
      </c>
      <c r="B221" s="2" t="s">
        <v>19</v>
      </c>
    </row>
    <row r="222">
      <c r="A222" s="2" t="s">
        <v>465</v>
      </c>
      <c r="B222" s="2" t="s">
        <v>53</v>
      </c>
    </row>
    <row r="223">
      <c r="A223" s="2" t="s">
        <v>467</v>
      </c>
      <c r="B223" s="2" t="s">
        <v>8</v>
      </c>
    </row>
    <row r="224">
      <c r="A224" s="2" t="s">
        <v>469</v>
      </c>
      <c r="B224" s="2" t="s">
        <v>39</v>
      </c>
    </row>
    <row r="225">
      <c r="A225" s="2" t="s">
        <v>471</v>
      </c>
      <c r="B225" s="2" t="s">
        <v>31</v>
      </c>
    </row>
    <row r="226">
      <c r="A226" s="2" t="s">
        <v>473</v>
      </c>
      <c r="B226" s="2" t="s">
        <v>31</v>
      </c>
    </row>
    <row r="227">
      <c r="A227" s="2" t="s">
        <v>475</v>
      </c>
      <c r="B227" s="2" t="s">
        <v>92</v>
      </c>
    </row>
    <row r="228">
      <c r="A228" s="2" t="s">
        <v>477</v>
      </c>
      <c r="B228" s="2" t="s">
        <v>31</v>
      </c>
    </row>
    <row r="229">
      <c r="A229" s="2" t="s">
        <v>479</v>
      </c>
      <c r="B229" s="2" t="s">
        <v>89</v>
      </c>
    </row>
    <row r="230">
      <c r="A230" s="2" t="s">
        <v>481</v>
      </c>
      <c r="B230" s="2" t="s">
        <v>482</v>
      </c>
    </row>
    <row r="231">
      <c r="A231" s="2" t="s">
        <v>484</v>
      </c>
      <c r="B231" s="2" t="s">
        <v>89</v>
      </c>
    </row>
    <row r="232">
      <c r="A232" s="2" t="s">
        <v>486</v>
      </c>
      <c r="B232" s="2" t="s">
        <v>64</v>
      </c>
    </row>
    <row r="233">
      <c r="A233" s="2" t="s">
        <v>488</v>
      </c>
      <c r="B233" s="2" t="s">
        <v>19</v>
      </c>
    </row>
    <row r="234">
      <c r="A234" s="2" t="s">
        <v>490</v>
      </c>
      <c r="B234" s="2" t="s">
        <v>22</v>
      </c>
    </row>
    <row r="235">
      <c r="A235" s="2" t="s">
        <v>492</v>
      </c>
      <c r="B235" s="2" t="s">
        <v>31</v>
      </c>
    </row>
    <row r="236">
      <c r="A236" s="2" t="s">
        <v>494</v>
      </c>
      <c r="B236" s="2" t="s">
        <v>31</v>
      </c>
    </row>
    <row r="237">
      <c r="A237" s="2" t="s">
        <v>496</v>
      </c>
      <c r="B237" s="2" t="s">
        <v>31</v>
      </c>
    </row>
    <row r="238">
      <c r="A238" s="2" t="s">
        <v>498</v>
      </c>
      <c r="B238" s="2" t="s">
        <v>39</v>
      </c>
    </row>
    <row r="239">
      <c r="A239" s="2" t="s">
        <v>500</v>
      </c>
      <c r="B239" s="2" t="s">
        <v>149</v>
      </c>
    </row>
    <row r="240">
      <c r="A240" s="2" t="s">
        <v>502</v>
      </c>
      <c r="B240" s="2" t="s">
        <v>206</v>
      </c>
    </row>
    <row r="241">
      <c r="A241" s="2" t="s">
        <v>504</v>
      </c>
      <c r="B241" s="2" t="s">
        <v>149</v>
      </c>
    </row>
    <row r="242">
      <c r="A242" s="2" t="s">
        <v>506</v>
      </c>
      <c r="B242" s="2" t="s">
        <v>243</v>
      </c>
    </row>
    <row r="243">
      <c r="A243" s="2" t="s">
        <v>508</v>
      </c>
      <c r="B243" s="2" t="s">
        <v>22</v>
      </c>
    </row>
    <row r="244">
      <c r="A244" s="2" t="s">
        <v>510</v>
      </c>
      <c r="B244" s="2" t="s">
        <v>64</v>
      </c>
    </row>
    <row r="245">
      <c r="A245" s="2" t="s">
        <v>512</v>
      </c>
      <c r="B245" s="2" t="s">
        <v>31</v>
      </c>
    </row>
    <row r="246">
      <c r="A246" s="2" t="s">
        <v>514</v>
      </c>
      <c r="B246" s="2" t="s">
        <v>515</v>
      </c>
    </row>
    <row r="247">
      <c r="A247" s="2" t="s">
        <v>517</v>
      </c>
      <c r="B247" s="2" t="s">
        <v>31</v>
      </c>
    </row>
    <row r="248">
      <c r="A248" s="2" t="s">
        <v>519</v>
      </c>
      <c r="B248" s="2" t="s">
        <v>112</v>
      </c>
    </row>
    <row r="249">
      <c r="A249" s="2" t="s">
        <v>521</v>
      </c>
      <c r="B249" s="2" t="s">
        <v>64</v>
      </c>
    </row>
    <row r="250">
      <c r="A250" s="2" t="s">
        <v>523</v>
      </c>
      <c r="B250" s="2" t="s">
        <v>75</v>
      </c>
    </row>
    <row r="251">
      <c r="A251" s="2" t="s">
        <v>525</v>
      </c>
      <c r="B251" s="2" t="s">
        <v>206</v>
      </c>
    </row>
    <row r="252">
      <c r="A252" s="2" t="s">
        <v>527</v>
      </c>
      <c r="B252" s="2" t="s">
        <v>8</v>
      </c>
    </row>
    <row r="253">
      <c r="A253" s="2" t="s">
        <v>529</v>
      </c>
      <c r="B253" s="2" t="s">
        <v>19</v>
      </c>
    </row>
    <row r="254">
      <c r="A254" s="2" t="s">
        <v>531</v>
      </c>
      <c r="B254" s="2" t="s">
        <v>82</v>
      </c>
    </row>
    <row r="255">
      <c r="A255" s="2" t="s">
        <v>533</v>
      </c>
      <c r="B255" s="2" t="s">
        <v>22</v>
      </c>
    </row>
    <row r="256">
      <c r="A256" s="2" t="s">
        <v>535</v>
      </c>
      <c r="B256" s="2" t="s">
        <v>53</v>
      </c>
    </row>
    <row r="257">
      <c r="A257" s="2" t="s">
        <v>537</v>
      </c>
      <c r="B257" s="2" t="s">
        <v>79</v>
      </c>
    </row>
    <row r="258">
      <c r="A258" s="2" t="s">
        <v>539</v>
      </c>
      <c r="B258" s="2" t="s">
        <v>89</v>
      </c>
    </row>
    <row r="259">
      <c r="A259" s="2" t="s">
        <v>541</v>
      </c>
      <c r="B259" s="2" t="s">
        <v>178</v>
      </c>
    </row>
    <row r="260">
      <c r="A260" s="2" t="s">
        <v>543</v>
      </c>
      <c r="B260" s="2" t="s">
        <v>39</v>
      </c>
    </row>
    <row r="261">
      <c r="A261" s="2" t="s">
        <v>545</v>
      </c>
      <c r="B261" s="2" t="s">
        <v>75</v>
      </c>
    </row>
    <row r="262">
      <c r="A262" s="2" t="s">
        <v>547</v>
      </c>
      <c r="B262" s="2" t="s">
        <v>64</v>
      </c>
    </row>
    <row r="263">
      <c r="A263" s="2" t="s">
        <v>549</v>
      </c>
      <c r="B263" s="2" t="s">
        <v>8</v>
      </c>
    </row>
    <row r="264">
      <c r="A264" s="2" t="s">
        <v>551</v>
      </c>
      <c r="B264" s="2" t="s">
        <v>89</v>
      </c>
    </row>
    <row r="265">
      <c r="A265" s="2" t="s">
        <v>553</v>
      </c>
      <c r="B265" s="2" t="s">
        <v>264</v>
      </c>
    </row>
    <row r="266">
      <c r="A266" s="2" t="s">
        <v>555</v>
      </c>
      <c r="B266" s="2" t="s">
        <v>39</v>
      </c>
    </row>
    <row r="267">
      <c r="A267" s="2" t="s">
        <v>557</v>
      </c>
      <c r="B267" s="2" t="s">
        <v>243</v>
      </c>
    </row>
    <row r="268">
      <c r="A268" s="2" t="s">
        <v>559</v>
      </c>
      <c r="B268" s="2" t="s">
        <v>64</v>
      </c>
    </row>
    <row r="269">
      <c r="A269" s="2" t="s">
        <v>561</v>
      </c>
      <c r="B269" s="2" t="s">
        <v>64</v>
      </c>
    </row>
    <row r="270">
      <c r="A270" s="2" t="s">
        <v>563</v>
      </c>
      <c r="B270" s="2" t="s">
        <v>64</v>
      </c>
    </row>
    <row r="271">
      <c r="A271" s="2" t="s">
        <v>565</v>
      </c>
      <c r="B271" s="2" t="s">
        <v>178</v>
      </c>
    </row>
    <row r="272">
      <c r="A272" s="2" t="s">
        <v>567</v>
      </c>
      <c r="B272" s="2" t="s">
        <v>25</v>
      </c>
    </row>
    <row r="273">
      <c r="A273" s="2" t="s">
        <v>569</v>
      </c>
      <c r="B273" s="2" t="s">
        <v>19</v>
      </c>
    </row>
    <row r="274">
      <c r="A274" s="2" t="s">
        <v>571</v>
      </c>
      <c r="B274" s="2" t="s">
        <v>8</v>
      </c>
    </row>
    <row r="275">
      <c r="A275" s="2" t="s">
        <v>573</v>
      </c>
      <c r="B275" s="2" t="s">
        <v>64</v>
      </c>
    </row>
    <row r="276">
      <c r="A276" s="2" t="s">
        <v>575</v>
      </c>
      <c r="B276" s="2" t="s">
        <v>190</v>
      </c>
    </row>
    <row r="277">
      <c r="A277" s="2" t="s">
        <v>577</v>
      </c>
      <c r="B277" s="2" t="s">
        <v>89</v>
      </c>
    </row>
    <row r="278">
      <c r="A278" s="2" t="s">
        <v>579</v>
      </c>
      <c r="B278" s="2" t="s">
        <v>190</v>
      </c>
    </row>
    <row r="279">
      <c r="A279" s="2" t="s">
        <v>581</v>
      </c>
      <c r="B279" s="2" t="s">
        <v>582</v>
      </c>
    </row>
    <row r="280">
      <c r="A280" s="2" t="s">
        <v>584</v>
      </c>
      <c r="B280" s="2" t="s">
        <v>149</v>
      </c>
    </row>
    <row r="281">
      <c r="A281" s="2" t="s">
        <v>586</v>
      </c>
      <c r="B281" s="2" t="s">
        <v>39</v>
      </c>
    </row>
    <row r="282">
      <c r="A282" s="2" t="s">
        <v>588</v>
      </c>
      <c r="B282" s="2" t="s">
        <v>89</v>
      </c>
    </row>
    <row r="283">
      <c r="A283" s="2" t="s">
        <v>590</v>
      </c>
      <c r="B283" s="2" t="s">
        <v>112</v>
      </c>
    </row>
    <row r="284">
      <c r="A284" s="2" t="s">
        <v>592</v>
      </c>
      <c r="B284" s="2" t="s">
        <v>19</v>
      </c>
    </row>
    <row r="285">
      <c r="A285" s="2" t="s">
        <v>594</v>
      </c>
      <c r="B285" s="2" t="s">
        <v>178</v>
      </c>
    </row>
    <row r="286">
      <c r="A286" s="2" t="s">
        <v>596</v>
      </c>
      <c r="B286" s="2" t="s">
        <v>31</v>
      </c>
    </row>
    <row r="287">
      <c r="A287" s="2" t="s">
        <v>598</v>
      </c>
      <c r="B287" s="2" t="s">
        <v>178</v>
      </c>
    </row>
    <row r="288">
      <c r="A288" s="2" t="s">
        <v>600</v>
      </c>
      <c r="B288" s="2" t="s">
        <v>19</v>
      </c>
    </row>
    <row r="289">
      <c r="A289" s="2" t="s">
        <v>602</v>
      </c>
      <c r="B289" s="2" t="s">
        <v>36</v>
      </c>
    </row>
    <row r="290">
      <c r="A290" s="2" t="s">
        <v>604</v>
      </c>
      <c r="B290" s="2" t="s">
        <v>144</v>
      </c>
    </row>
    <row r="291">
      <c r="A291" s="2" t="s">
        <v>606</v>
      </c>
      <c r="B291" s="2" t="s">
        <v>53</v>
      </c>
    </row>
    <row r="292">
      <c r="A292" s="2" t="s">
        <v>608</v>
      </c>
      <c r="B292" s="2" t="s">
        <v>39</v>
      </c>
    </row>
    <row r="293">
      <c r="A293" s="2" t="s">
        <v>610</v>
      </c>
      <c r="B293" s="2" t="s">
        <v>267</v>
      </c>
    </row>
    <row r="294">
      <c r="A294" s="2" t="s">
        <v>612</v>
      </c>
      <c r="B294" s="2" t="s">
        <v>92</v>
      </c>
    </row>
    <row r="295">
      <c r="A295" s="2" t="s">
        <v>614</v>
      </c>
      <c r="B295" s="2" t="s">
        <v>31</v>
      </c>
    </row>
    <row r="296">
      <c r="A296" s="2" t="s">
        <v>616</v>
      </c>
      <c r="B296" s="2" t="s">
        <v>19</v>
      </c>
    </row>
    <row r="297">
      <c r="A297" s="2" t="s">
        <v>618</v>
      </c>
      <c r="B297" s="2" t="s">
        <v>31</v>
      </c>
    </row>
    <row r="298">
      <c r="A298" s="2" t="s">
        <v>620</v>
      </c>
      <c r="B298" s="2" t="s">
        <v>621</v>
      </c>
    </row>
    <row r="299">
      <c r="A299" s="2" t="s">
        <v>623</v>
      </c>
      <c r="B299" s="2" t="s">
        <v>25</v>
      </c>
    </row>
    <row r="300">
      <c r="A300" s="2" t="s">
        <v>625</v>
      </c>
      <c r="B300" s="2" t="s">
        <v>64</v>
      </c>
    </row>
    <row r="301">
      <c r="A301" s="2" t="s">
        <v>627</v>
      </c>
      <c r="B301" s="2" t="s">
        <v>213</v>
      </c>
    </row>
    <row r="302">
      <c r="A302" s="2" t="s">
        <v>629</v>
      </c>
      <c r="B302" s="2" t="s">
        <v>22</v>
      </c>
    </row>
    <row r="303">
      <c r="A303" s="2" t="s">
        <v>630</v>
      </c>
      <c r="B303" s="2" t="s">
        <v>178</v>
      </c>
    </row>
    <row r="304">
      <c r="A304" s="2" t="s">
        <v>631</v>
      </c>
      <c r="B304" s="2" t="s">
        <v>39</v>
      </c>
    </row>
    <row r="305">
      <c r="A305" s="2" t="s">
        <v>632</v>
      </c>
      <c r="B305" s="2" t="s">
        <v>82</v>
      </c>
    </row>
    <row r="306">
      <c r="A306" s="2" t="s">
        <v>633</v>
      </c>
      <c r="B306" s="2" t="s">
        <v>79</v>
      </c>
    </row>
    <row r="307">
      <c r="A307" s="2" t="s">
        <v>634</v>
      </c>
      <c r="B307" s="2" t="s">
        <v>31</v>
      </c>
    </row>
    <row r="308">
      <c r="A308" s="2" t="s">
        <v>635</v>
      </c>
      <c r="B308" s="2" t="s">
        <v>243</v>
      </c>
    </row>
    <row r="309">
      <c r="A309" s="2" t="s">
        <v>636</v>
      </c>
      <c r="B309" s="2" t="s">
        <v>22</v>
      </c>
    </row>
    <row r="310">
      <c r="A310" s="2" t="s">
        <v>637</v>
      </c>
      <c r="B310" s="2" t="s">
        <v>22</v>
      </c>
    </row>
    <row r="311">
      <c r="A311" s="2" t="s">
        <v>638</v>
      </c>
      <c r="B311" s="2" t="s">
        <v>31</v>
      </c>
    </row>
    <row r="312">
      <c r="A312" s="2" t="s">
        <v>639</v>
      </c>
      <c r="B312" s="2" t="s">
        <v>640</v>
      </c>
    </row>
    <row r="313">
      <c r="A313" s="2" t="s">
        <v>641</v>
      </c>
      <c r="B313" s="2" t="s">
        <v>64</v>
      </c>
    </row>
    <row r="314">
      <c r="A314" s="2" t="s">
        <v>642</v>
      </c>
      <c r="B314" s="2" t="s">
        <v>112</v>
      </c>
    </row>
    <row r="315">
      <c r="A315" s="2" t="s">
        <v>643</v>
      </c>
      <c r="B315" s="2" t="s">
        <v>236</v>
      </c>
    </row>
    <row r="316">
      <c r="A316" s="2" t="s">
        <v>644</v>
      </c>
      <c r="B316" s="2" t="s">
        <v>243</v>
      </c>
    </row>
    <row r="317">
      <c r="A317" s="2" t="s">
        <v>645</v>
      </c>
      <c r="B317" s="2" t="s">
        <v>249</v>
      </c>
    </row>
    <row r="318">
      <c r="A318" s="2" t="s">
        <v>646</v>
      </c>
      <c r="B318" s="2" t="s">
        <v>341</v>
      </c>
    </row>
    <row r="319">
      <c r="A319" s="2" t="s">
        <v>647</v>
      </c>
      <c r="B319" s="2" t="s">
        <v>53</v>
      </c>
    </row>
    <row r="320">
      <c r="A320" s="2" t="s">
        <v>648</v>
      </c>
      <c r="B320" s="2" t="s">
        <v>92</v>
      </c>
    </row>
    <row r="321">
      <c r="A321" s="2" t="s">
        <v>649</v>
      </c>
      <c r="B321" s="2" t="s">
        <v>53</v>
      </c>
    </row>
    <row r="322">
      <c r="A322" s="2" t="s">
        <v>650</v>
      </c>
      <c r="B322" s="2" t="s">
        <v>482</v>
      </c>
    </row>
    <row r="323">
      <c r="A323" s="2" t="s">
        <v>651</v>
      </c>
      <c r="B323" s="2" t="s">
        <v>36</v>
      </c>
    </row>
    <row r="324">
      <c r="A324" s="2" t="s">
        <v>652</v>
      </c>
      <c r="B324" s="2" t="s">
        <v>64</v>
      </c>
    </row>
    <row r="325">
      <c r="A325" s="2" t="s">
        <v>653</v>
      </c>
      <c r="B325" s="2" t="s">
        <v>31</v>
      </c>
    </row>
    <row r="326">
      <c r="A326" s="2" t="s">
        <v>654</v>
      </c>
      <c r="B326" s="2" t="s">
        <v>82</v>
      </c>
    </row>
    <row r="327">
      <c r="A327" s="2" t="s">
        <v>655</v>
      </c>
      <c r="B327" s="2" t="s">
        <v>89</v>
      </c>
    </row>
    <row r="328">
      <c r="A328" s="2" t="s">
        <v>656</v>
      </c>
      <c r="B328" s="2" t="s">
        <v>25</v>
      </c>
    </row>
    <row r="329">
      <c r="A329" s="2" t="s">
        <v>657</v>
      </c>
      <c r="B329" s="2" t="s">
        <v>82</v>
      </c>
    </row>
    <row r="330">
      <c r="A330" s="2" t="s">
        <v>658</v>
      </c>
      <c r="B330" s="2" t="s">
        <v>19</v>
      </c>
    </row>
    <row r="331">
      <c r="A331" s="2" t="s">
        <v>659</v>
      </c>
      <c r="B331" s="2" t="s">
        <v>31</v>
      </c>
    </row>
    <row r="332">
      <c r="A332" s="2" t="s">
        <v>660</v>
      </c>
      <c r="B332" s="2" t="s">
        <v>31</v>
      </c>
    </row>
    <row r="333">
      <c r="A333" s="2" t="s">
        <v>661</v>
      </c>
      <c r="B333" s="2" t="s">
        <v>149</v>
      </c>
    </row>
    <row r="334">
      <c r="A334" s="2" t="s">
        <v>662</v>
      </c>
      <c r="B334" s="2" t="s">
        <v>112</v>
      </c>
    </row>
    <row r="335">
      <c r="A335" s="2" t="s">
        <v>663</v>
      </c>
      <c r="B335" s="2" t="s">
        <v>64</v>
      </c>
    </row>
    <row r="336">
      <c r="A336" s="2" t="s">
        <v>664</v>
      </c>
      <c r="B336" s="2" t="s">
        <v>22</v>
      </c>
    </row>
    <row r="337">
      <c r="A337" s="2" t="s">
        <v>665</v>
      </c>
      <c r="B337" s="2" t="s">
        <v>82</v>
      </c>
    </row>
    <row r="338">
      <c r="A338" s="2" t="s">
        <v>666</v>
      </c>
      <c r="B338" s="2" t="s">
        <v>64</v>
      </c>
    </row>
    <row r="339">
      <c r="A339" s="2" t="s">
        <v>667</v>
      </c>
      <c r="B339" s="2" t="s">
        <v>39</v>
      </c>
    </row>
    <row r="340">
      <c r="A340" s="2" t="s">
        <v>668</v>
      </c>
      <c r="B340" s="2" t="s">
        <v>53</v>
      </c>
    </row>
    <row r="341">
      <c r="A341" s="2" t="s">
        <v>669</v>
      </c>
      <c r="B341" s="2" t="s">
        <v>190</v>
      </c>
    </row>
    <row r="342">
      <c r="A342" s="2" t="s">
        <v>670</v>
      </c>
      <c r="B342" s="2" t="s">
        <v>64</v>
      </c>
    </row>
    <row r="343">
      <c r="A343" s="2" t="s">
        <v>671</v>
      </c>
      <c r="B343" s="2" t="s">
        <v>64</v>
      </c>
    </row>
    <row r="344">
      <c r="A344" s="2" t="s">
        <v>672</v>
      </c>
      <c r="B344" s="2" t="s">
        <v>64</v>
      </c>
    </row>
    <row r="345">
      <c r="A345" s="2" t="s">
        <v>673</v>
      </c>
      <c r="B345" s="2" t="s">
        <v>31</v>
      </c>
    </row>
    <row r="346">
      <c r="A346" s="2" t="s">
        <v>674</v>
      </c>
      <c r="B346" s="2" t="s">
        <v>89</v>
      </c>
    </row>
    <row r="347">
      <c r="A347" s="2" t="s">
        <v>675</v>
      </c>
      <c r="B347" s="2" t="s">
        <v>31</v>
      </c>
    </row>
    <row r="348">
      <c r="A348" s="2" t="s">
        <v>676</v>
      </c>
      <c r="B348" s="2" t="s">
        <v>75</v>
      </c>
    </row>
    <row r="349">
      <c r="A349" s="2" t="s">
        <v>677</v>
      </c>
      <c r="B349" s="2" t="s">
        <v>31</v>
      </c>
    </row>
    <row r="350">
      <c r="A350" s="2" t="s">
        <v>678</v>
      </c>
      <c r="B350" s="2" t="s">
        <v>53</v>
      </c>
    </row>
    <row r="351">
      <c r="A351" s="2" t="s">
        <v>679</v>
      </c>
      <c r="B351" s="2" t="s">
        <v>190</v>
      </c>
    </row>
    <row r="352">
      <c r="A352" s="2" t="s">
        <v>680</v>
      </c>
      <c r="B352" s="2" t="s">
        <v>19</v>
      </c>
    </row>
    <row r="353">
      <c r="A353" s="2" t="s">
        <v>681</v>
      </c>
      <c r="B353" s="2" t="s">
        <v>8</v>
      </c>
    </row>
    <row r="354">
      <c r="A354" s="2" t="s">
        <v>682</v>
      </c>
      <c r="B354" s="2" t="s">
        <v>39</v>
      </c>
    </row>
    <row r="355">
      <c r="A355" s="2" t="s">
        <v>683</v>
      </c>
      <c r="B355" s="2" t="s">
        <v>89</v>
      </c>
    </row>
    <row r="356">
      <c r="A356" s="2" t="s">
        <v>684</v>
      </c>
      <c r="B356" s="2" t="s">
        <v>39</v>
      </c>
    </row>
    <row r="357">
      <c r="A357" s="2" t="s">
        <v>685</v>
      </c>
      <c r="B357" s="2" t="s">
        <v>82</v>
      </c>
    </row>
    <row r="358">
      <c r="A358" s="2" t="s">
        <v>687</v>
      </c>
      <c r="B358" s="2" t="s">
        <v>31</v>
      </c>
    </row>
    <row r="359">
      <c r="A359" s="2" t="s">
        <v>688</v>
      </c>
      <c r="B359" s="2" t="s">
        <v>31</v>
      </c>
    </row>
    <row r="360">
      <c r="A360" s="2" t="s">
        <v>689</v>
      </c>
      <c r="B360" s="2" t="s">
        <v>39</v>
      </c>
    </row>
    <row r="361">
      <c r="A361" s="2" t="s">
        <v>691</v>
      </c>
      <c r="B361" s="2" t="s">
        <v>82</v>
      </c>
    </row>
    <row r="362">
      <c r="A362" s="2" t="s">
        <v>693</v>
      </c>
      <c r="B362" s="2" t="s">
        <v>92</v>
      </c>
    </row>
    <row r="363">
      <c r="A363" s="2" t="s">
        <v>695</v>
      </c>
      <c r="B363" s="2" t="s">
        <v>190</v>
      </c>
    </row>
    <row r="364">
      <c r="A364" s="2" t="s">
        <v>697</v>
      </c>
      <c r="B364" s="2" t="s">
        <v>64</v>
      </c>
    </row>
    <row r="365">
      <c r="A365" s="2" t="s">
        <v>698</v>
      </c>
      <c r="B365" s="2" t="s">
        <v>64</v>
      </c>
    </row>
    <row r="366">
      <c r="A366" s="2" t="s">
        <v>700</v>
      </c>
      <c r="B366" s="2" t="s">
        <v>31</v>
      </c>
    </row>
    <row r="367">
      <c r="A367" s="2" t="s">
        <v>701</v>
      </c>
      <c r="B367" s="2" t="s">
        <v>19</v>
      </c>
    </row>
    <row r="368">
      <c r="A368" s="2" t="s">
        <v>703</v>
      </c>
      <c r="B368" s="2" t="s">
        <v>482</v>
      </c>
    </row>
    <row r="369">
      <c r="A369" s="2" t="s">
        <v>705</v>
      </c>
      <c r="B369" s="2" t="s">
        <v>31</v>
      </c>
    </row>
    <row r="370">
      <c r="A370" s="2" t="s">
        <v>707</v>
      </c>
      <c r="B370" s="2" t="s">
        <v>190</v>
      </c>
    </row>
    <row r="371">
      <c r="A371" s="2" t="s">
        <v>709</v>
      </c>
      <c r="B371" s="2" t="s">
        <v>8</v>
      </c>
    </row>
    <row r="372">
      <c r="A372" s="2" t="s">
        <v>711</v>
      </c>
      <c r="B372" s="2" t="s">
        <v>8</v>
      </c>
    </row>
    <row r="373">
      <c r="A373" s="2" t="s">
        <v>712</v>
      </c>
      <c r="B373" s="2" t="s">
        <v>64</v>
      </c>
    </row>
    <row r="374">
      <c r="A374" s="2" t="s">
        <v>714</v>
      </c>
      <c r="B374" s="2" t="s">
        <v>89</v>
      </c>
    </row>
    <row r="375">
      <c r="A375" s="2" t="s">
        <v>716</v>
      </c>
      <c r="B375" s="2" t="s">
        <v>190</v>
      </c>
    </row>
    <row r="376">
      <c r="A376" s="2" t="s">
        <v>718</v>
      </c>
      <c r="B376" s="2" t="s">
        <v>64</v>
      </c>
    </row>
    <row r="377">
      <c r="A377" s="2" t="s">
        <v>720</v>
      </c>
      <c r="B377" s="2" t="s">
        <v>19</v>
      </c>
    </row>
    <row r="378">
      <c r="A378" s="2" t="s">
        <v>722</v>
      </c>
      <c r="B378" s="2" t="s">
        <v>31</v>
      </c>
    </row>
    <row r="379">
      <c r="A379" s="2" t="s">
        <v>724</v>
      </c>
      <c r="B379" s="2" t="s">
        <v>249</v>
      </c>
    </row>
    <row r="380">
      <c r="A380" s="2" t="s">
        <v>726</v>
      </c>
      <c r="B380" s="2" t="s">
        <v>19</v>
      </c>
    </row>
    <row r="381">
      <c r="A381" s="2" t="s">
        <v>727</v>
      </c>
      <c r="B381" s="2" t="s">
        <v>82</v>
      </c>
    </row>
    <row r="382">
      <c r="A382" s="2" t="s">
        <v>729</v>
      </c>
      <c r="B382" s="2" t="s">
        <v>25</v>
      </c>
    </row>
    <row r="383">
      <c r="A383" s="2" t="s">
        <v>730</v>
      </c>
      <c r="B383" s="2" t="s">
        <v>22</v>
      </c>
    </row>
    <row r="384">
      <c r="A384" s="4" t="s">
        <v>732</v>
      </c>
      <c r="B384" s="2" t="s">
        <v>31</v>
      </c>
    </row>
    <row r="385">
      <c r="A385" s="2" t="s">
        <v>733</v>
      </c>
      <c r="B385" s="2" t="s">
        <v>64</v>
      </c>
    </row>
    <row r="386">
      <c r="A386" s="2" t="s">
        <v>735</v>
      </c>
      <c r="B386" s="2" t="s">
        <v>64</v>
      </c>
    </row>
    <row r="387">
      <c r="A387" s="2" t="s">
        <v>736</v>
      </c>
      <c r="B387" s="2" t="s">
        <v>92</v>
      </c>
    </row>
    <row r="388">
      <c r="A388" s="2" t="s">
        <v>738</v>
      </c>
      <c r="B388" s="2" t="s">
        <v>79</v>
      </c>
    </row>
    <row r="389">
      <c r="A389" s="2" t="s">
        <v>739</v>
      </c>
      <c r="B389" s="2" t="s">
        <v>64</v>
      </c>
    </row>
    <row r="390">
      <c r="A390" s="2" t="s">
        <v>741</v>
      </c>
      <c r="B390" s="2" t="s">
        <v>82</v>
      </c>
    </row>
    <row r="391">
      <c r="A391" s="2" t="s">
        <v>742</v>
      </c>
      <c r="B391" s="2" t="s">
        <v>183</v>
      </c>
    </row>
    <row r="392">
      <c r="A392" s="2" t="s">
        <v>743</v>
      </c>
      <c r="B392" s="2" t="s">
        <v>92</v>
      </c>
    </row>
    <row r="393">
      <c r="A393" s="2" t="s">
        <v>744</v>
      </c>
      <c r="B393" s="2" t="s">
        <v>31</v>
      </c>
    </row>
    <row r="394">
      <c r="A394" s="2" t="s">
        <v>746</v>
      </c>
      <c r="B394" s="2" t="s">
        <v>39</v>
      </c>
    </row>
    <row r="395">
      <c r="A395" s="2" t="s">
        <v>748</v>
      </c>
      <c r="B395" s="2" t="s">
        <v>8</v>
      </c>
    </row>
    <row r="396">
      <c r="A396" s="2" t="s">
        <v>749</v>
      </c>
      <c r="B396" s="2" t="s">
        <v>64</v>
      </c>
    </row>
    <row r="397">
      <c r="A397" s="2" t="s">
        <v>751</v>
      </c>
      <c r="B397" s="2" t="s">
        <v>110</v>
      </c>
    </row>
    <row r="398">
      <c r="A398" s="2" t="s">
        <v>752</v>
      </c>
      <c r="B398" s="2" t="s">
        <v>249</v>
      </c>
    </row>
    <row r="399">
      <c r="A399" s="2" t="s">
        <v>753</v>
      </c>
      <c r="B399" s="2" t="s">
        <v>315</v>
      </c>
    </row>
    <row r="400">
      <c r="A400" s="2" t="s">
        <v>755</v>
      </c>
      <c r="B400" s="2" t="s">
        <v>64</v>
      </c>
    </row>
    <row r="401">
      <c r="A401" s="2" t="s">
        <v>757</v>
      </c>
      <c r="B401" s="2" t="s">
        <v>8</v>
      </c>
    </row>
    <row r="402">
      <c r="A402" s="2" t="s">
        <v>759</v>
      </c>
      <c r="B402" s="2" t="s">
        <v>64</v>
      </c>
    </row>
    <row r="403">
      <c r="A403" s="2" t="s">
        <v>760</v>
      </c>
      <c r="B403" s="2" t="s">
        <v>8</v>
      </c>
    </row>
    <row r="404">
      <c r="A404" s="2" t="s">
        <v>762</v>
      </c>
      <c r="B404" s="2" t="s">
        <v>22</v>
      </c>
    </row>
    <row r="405">
      <c r="A405" s="2" t="s">
        <v>764</v>
      </c>
      <c r="B405" s="2" t="s">
        <v>31</v>
      </c>
    </row>
    <row r="406">
      <c r="A406" s="2" t="s">
        <v>765</v>
      </c>
      <c r="B406" s="2" t="s">
        <v>25</v>
      </c>
    </row>
    <row r="407">
      <c r="A407" s="2" t="s">
        <v>767</v>
      </c>
      <c r="B407" s="2" t="s">
        <v>341</v>
      </c>
    </row>
    <row r="408">
      <c r="A408" s="2" t="s">
        <v>768</v>
      </c>
      <c r="B408" s="2" t="s">
        <v>39</v>
      </c>
    </row>
    <row r="409">
      <c r="A409" s="2" t="s">
        <v>770</v>
      </c>
      <c r="B409" s="2" t="s">
        <v>149</v>
      </c>
    </row>
    <row r="410">
      <c r="A410" s="2" t="s">
        <v>772</v>
      </c>
      <c r="B410" s="2" t="s">
        <v>773</v>
      </c>
    </row>
    <row r="411">
      <c r="A411" s="2" t="s">
        <v>775</v>
      </c>
      <c r="B411" s="2" t="s">
        <v>31</v>
      </c>
    </row>
    <row r="412">
      <c r="A412" s="2" t="s">
        <v>776</v>
      </c>
      <c r="B412" s="2" t="s">
        <v>22</v>
      </c>
    </row>
    <row r="413">
      <c r="A413" s="2" t="s">
        <v>777</v>
      </c>
      <c r="B413" s="2" t="s">
        <v>8</v>
      </c>
    </row>
    <row r="414">
      <c r="A414" s="2" t="s">
        <v>779</v>
      </c>
      <c r="B414" s="2" t="s">
        <v>64</v>
      </c>
    </row>
    <row r="415">
      <c r="A415" s="2" t="s">
        <v>781</v>
      </c>
      <c r="B415" s="2" t="s">
        <v>39</v>
      </c>
    </row>
    <row r="416">
      <c r="A416" s="2" t="s">
        <v>783</v>
      </c>
      <c r="B416" s="2" t="s">
        <v>784</v>
      </c>
    </row>
    <row r="417">
      <c r="A417" s="2" t="s">
        <v>786</v>
      </c>
      <c r="B417" s="2" t="s">
        <v>31</v>
      </c>
    </row>
    <row r="418">
      <c r="A418" s="2" t="s">
        <v>788</v>
      </c>
      <c r="B418" s="2" t="s">
        <v>363</v>
      </c>
    </row>
    <row r="419">
      <c r="A419" s="2" t="s">
        <v>790</v>
      </c>
      <c r="B419" s="2" t="s">
        <v>19</v>
      </c>
    </row>
    <row r="420">
      <c r="A420" s="2" t="s">
        <v>791</v>
      </c>
      <c r="B420" s="2" t="s">
        <v>31</v>
      </c>
    </row>
    <row r="421">
      <c r="A421" s="2" t="s">
        <v>793</v>
      </c>
      <c r="B421" s="2" t="s">
        <v>31</v>
      </c>
    </row>
    <row r="422">
      <c r="A422" s="2" t="s">
        <v>794</v>
      </c>
      <c r="B422" s="2" t="s">
        <v>31</v>
      </c>
    </row>
    <row r="423">
      <c r="A423" s="2" t="s">
        <v>795</v>
      </c>
      <c r="B423" s="2" t="s">
        <v>796</v>
      </c>
    </row>
    <row r="424">
      <c r="A424" s="2" t="s">
        <v>797</v>
      </c>
      <c r="B424" s="2" t="s">
        <v>31</v>
      </c>
    </row>
    <row r="425">
      <c r="A425" s="2" t="s">
        <v>799</v>
      </c>
      <c r="B425" s="2" t="s">
        <v>112</v>
      </c>
    </row>
    <row r="426">
      <c r="A426" s="2" t="s">
        <v>801</v>
      </c>
      <c r="B426" s="2" t="s">
        <v>89</v>
      </c>
    </row>
    <row r="427">
      <c r="A427" s="2" t="s">
        <v>803</v>
      </c>
      <c r="B427" s="2" t="s">
        <v>82</v>
      </c>
    </row>
    <row r="428">
      <c r="A428" s="2" t="s">
        <v>805</v>
      </c>
      <c r="B428" s="2" t="s">
        <v>8</v>
      </c>
    </row>
    <row r="429">
      <c r="A429" s="2" t="s">
        <v>807</v>
      </c>
      <c r="B429" s="2" t="s">
        <v>31</v>
      </c>
    </row>
    <row r="430">
      <c r="A430" s="2" t="s">
        <v>809</v>
      </c>
      <c r="B430" s="2" t="s">
        <v>39</v>
      </c>
    </row>
    <row r="431">
      <c r="A431" s="2" t="s">
        <v>810</v>
      </c>
      <c r="B431" s="2" t="s">
        <v>64</v>
      </c>
    </row>
    <row r="432">
      <c r="A432" s="2" t="s">
        <v>812</v>
      </c>
      <c r="B432" s="2" t="s">
        <v>39</v>
      </c>
    </row>
    <row r="433">
      <c r="A433" s="2" t="s">
        <v>814</v>
      </c>
      <c r="B433" s="2" t="s">
        <v>360</v>
      </c>
    </row>
    <row r="434">
      <c r="A434" s="2" t="s">
        <v>815</v>
      </c>
      <c r="B434" s="2" t="s">
        <v>89</v>
      </c>
    </row>
    <row r="435">
      <c r="A435" s="2" t="s">
        <v>817</v>
      </c>
      <c r="B435" s="2" t="s">
        <v>818</v>
      </c>
    </row>
    <row r="436">
      <c r="A436" s="2" t="s">
        <v>820</v>
      </c>
      <c r="B436" s="2" t="s">
        <v>8</v>
      </c>
    </row>
    <row r="437">
      <c r="A437" s="2" t="s">
        <v>822</v>
      </c>
      <c r="B437" s="2" t="s">
        <v>19</v>
      </c>
    </row>
    <row r="438">
      <c r="A438" s="2" t="s">
        <v>823</v>
      </c>
      <c r="B438" s="2" t="s">
        <v>110</v>
      </c>
    </row>
    <row r="439">
      <c r="A439" s="2" t="s">
        <v>825</v>
      </c>
      <c r="B439" s="2" t="s">
        <v>8</v>
      </c>
    </row>
    <row r="440">
      <c r="A440" s="2" t="s">
        <v>827</v>
      </c>
      <c r="B440" s="2" t="s">
        <v>31</v>
      </c>
    </row>
    <row r="441">
      <c r="A441" s="2" t="s">
        <v>829</v>
      </c>
      <c r="B441" s="2" t="s">
        <v>64</v>
      </c>
    </row>
    <row r="442">
      <c r="A442" s="2" t="s">
        <v>830</v>
      </c>
      <c r="B442" s="2" t="s">
        <v>831</v>
      </c>
    </row>
    <row r="443">
      <c r="A443" s="2" t="s">
        <v>833</v>
      </c>
      <c r="B443" s="2" t="s">
        <v>19</v>
      </c>
    </row>
    <row r="444">
      <c r="A444" s="2" t="s">
        <v>834</v>
      </c>
      <c r="B444" s="2" t="s">
        <v>79</v>
      </c>
    </row>
    <row r="445">
      <c r="A445" s="2" t="s">
        <v>835</v>
      </c>
      <c r="B445" s="2" t="s">
        <v>31</v>
      </c>
    </row>
    <row r="446">
      <c r="A446" s="2" t="s">
        <v>837</v>
      </c>
      <c r="B446" s="2" t="s">
        <v>64</v>
      </c>
    </row>
    <row r="447">
      <c r="A447" s="2" t="s">
        <v>838</v>
      </c>
      <c r="B447" s="2" t="s">
        <v>8</v>
      </c>
    </row>
    <row r="448">
      <c r="A448" s="2" t="s">
        <v>839</v>
      </c>
      <c r="B448" s="2" t="s">
        <v>39</v>
      </c>
    </row>
    <row r="449">
      <c r="A449" s="2" t="s">
        <v>840</v>
      </c>
      <c r="B449" s="2" t="s">
        <v>31</v>
      </c>
    </row>
    <row r="450">
      <c r="A450" s="2" t="s">
        <v>842</v>
      </c>
      <c r="B450" s="2" t="s">
        <v>64</v>
      </c>
    </row>
    <row r="451">
      <c r="A451" s="2" t="s">
        <v>844</v>
      </c>
      <c r="B451" s="2" t="s">
        <v>845</v>
      </c>
    </row>
    <row r="452">
      <c r="A452" s="2" t="s">
        <v>846</v>
      </c>
      <c r="B452" s="2" t="s">
        <v>89</v>
      </c>
    </row>
    <row r="453">
      <c r="A453" s="4" t="s">
        <v>848</v>
      </c>
      <c r="B453" s="2" t="s">
        <v>50</v>
      </c>
    </row>
    <row r="454">
      <c r="A454" s="2" t="s">
        <v>850</v>
      </c>
      <c r="B454" s="2" t="s">
        <v>249</v>
      </c>
    </row>
    <row r="455">
      <c r="A455" s="2" t="s">
        <v>852</v>
      </c>
      <c r="B455" s="2" t="s">
        <v>82</v>
      </c>
    </row>
    <row r="456">
      <c r="A456" s="2" t="s">
        <v>853</v>
      </c>
      <c r="B456" s="2" t="s">
        <v>25</v>
      </c>
    </row>
    <row r="457">
      <c r="A457" s="2" t="s">
        <v>855</v>
      </c>
      <c r="B457" s="2" t="s">
        <v>315</v>
      </c>
    </row>
    <row r="458">
      <c r="A458" s="2" t="s">
        <v>857</v>
      </c>
      <c r="B458" s="2" t="s">
        <v>19</v>
      </c>
    </row>
    <row r="459">
      <c r="A459" s="2" t="s">
        <v>858</v>
      </c>
      <c r="B459" s="2" t="s">
        <v>213</v>
      </c>
    </row>
    <row r="460">
      <c r="A460" s="2" t="s">
        <v>860</v>
      </c>
      <c r="B460" s="2" t="s">
        <v>149</v>
      </c>
    </row>
    <row r="461">
      <c r="A461" s="2" t="s">
        <v>862</v>
      </c>
      <c r="B461" s="2" t="s">
        <v>31</v>
      </c>
    </row>
    <row r="462">
      <c r="A462" s="2" t="s">
        <v>863</v>
      </c>
      <c r="B462" s="2" t="s">
        <v>39</v>
      </c>
    </row>
    <row r="463">
      <c r="A463" s="2" t="s">
        <v>865</v>
      </c>
      <c r="B463" s="2" t="s">
        <v>190</v>
      </c>
    </row>
    <row r="464">
      <c r="A464" s="2" t="s">
        <v>867</v>
      </c>
      <c r="B464" s="2" t="s">
        <v>112</v>
      </c>
    </row>
    <row r="465">
      <c r="A465" s="2" t="s">
        <v>868</v>
      </c>
      <c r="B465" s="2" t="s">
        <v>249</v>
      </c>
    </row>
    <row r="466">
      <c r="A466" s="2" t="s">
        <v>869</v>
      </c>
      <c r="B466" s="2" t="s">
        <v>64</v>
      </c>
    </row>
    <row r="467">
      <c r="A467" s="2" t="s">
        <v>870</v>
      </c>
      <c r="B467" s="2" t="s">
        <v>871</v>
      </c>
    </row>
    <row r="468">
      <c r="A468" s="2" t="s">
        <v>873</v>
      </c>
      <c r="B468" s="2" t="s">
        <v>39</v>
      </c>
    </row>
    <row r="469">
      <c r="A469" s="2" t="s">
        <v>875</v>
      </c>
      <c r="B469" s="2" t="s">
        <v>64</v>
      </c>
    </row>
    <row r="470">
      <c r="A470" s="2" t="s">
        <v>876</v>
      </c>
      <c r="B470" s="2" t="s">
        <v>877</v>
      </c>
    </row>
    <row r="471">
      <c r="A471" s="2" t="s">
        <v>878</v>
      </c>
      <c r="B471" s="2" t="s">
        <v>190</v>
      </c>
    </row>
    <row r="472">
      <c r="A472" s="2" t="s">
        <v>880</v>
      </c>
      <c r="B472" s="2" t="s">
        <v>312</v>
      </c>
    </row>
    <row r="473">
      <c r="A473" s="2" t="s">
        <v>881</v>
      </c>
      <c r="B473" s="2" t="s">
        <v>31</v>
      </c>
    </row>
    <row r="474">
      <c r="A474" s="2" t="s">
        <v>882</v>
      </c>
      <c r="B474" s="2" t="s">
        <v>183</v>
      </c>
    </row>
    <row r="475">
      <c r="A475" s="2" t="s">
        <v>883</v>
      </c>
      <c r="B475" s="2" t="s">
        <v>31</v>
      </c>
    </row>
    <row r="476">
      <c r="A476" s="2" t="s">
        <v>884</v>
      </c>
      <c r="B476" s="2" t="s">
        <v>139</v>
      </c>
    </row>
    <row r="477">
      <c r="A477" s="2" t="s">
        <v>885</v>
      </c>
      <c r="B477" s="2" t="s">
        <v>39</v>
      </c>
    </row>
    <row r="478">
      <c r="A478" s="2" t="s">
        <v>887</v>
      </c>
      <c r="B478" s="2" t="s">
        <v>341</v>
      </c>
    </row>
    <row r="479">
      <c r="A479" s="2" t="s">
        <v>889</v>
      </c>
      <c r="B479" s="2" t="s">
        <v>31</v>
      </c>
    </row>
    <row r="480">
      <c r="A480" s="2" t="s">
        <v>890</v>
      </c>
      <c r="B480" s="2" t="s">
        <v>64</v>
      </c>
    </row>
    <row r="481">
      <c r="A481" s="2" t="s">
        <v>892</v>
      </c>
      <c r="B481" s="2" t="s">
        <v>31</v>
      </c>
    </row>
    <row r="482">
      <c r="A482" s="2" t="s">
        <v>894</v>
      </c>
      <c r="B482" s="2" t="s">
        <v>50</v>
      </c>
    </row>
    <row r="483">
      <c r="A483" s="2" t="s">
        <v>895</v>
      </c>
      <c r="B483" s="2" t="s">
        <v>236</v>
      </c>
    </row>
    <row r="484">
      <c r="A484" s="2" t="s">
        <v>897</v>
      </c>
      <c r="B484" s="2" t="s">
        <v>39</v>
      </c>
    </row>
    <row r="485">
      <c r="A485" s="2" t="s">
        <v>898</v>
      </c>
      <c r="B485" s="2" t="s">
        <v>31</v>
      </c>
    </row>
    <row r="486">
      <c r="A486" s="2" t="s">
        <v>900</v>
      </c>
      <c r="B486" s="2" t="s">
        <v>39</v>
      </c>
    </row>
    <row r="487">
      <c r="A487" s="2" t="s">
        <v>901</v>
      </c>
      <c r="B487" s="2" t="s">
        <v>31</v>
      </c>
    </row>
    <row r="488">
      <c r="A488" s="2" t="s">
        <v>902</v>
      </c>
      <c r="B488" s="2" t="s">
        <v>267</v>
      </c>
    </row>
    <row r="489">
      <c r="A489" s="2" t="s">
        <v>904</v>
      </c>
      <c r="B489" s="2" t="s">
        <v>360</v>
      </c>
    </row>
    <row r="490">
      <c r="A490" s="2" t="s">
        <v>905</v>
      </c>
      <c r="B490" s="2" t="s">
        <v>39</v>
      </c>
    </row>
    <row r="491">
      <c r="A491" s="2" t="s">
        <v>906</v>
      </c>
      <c r="B491" s="2" t="s">
        <v>110</v>
      </c>
    </row>
    <row r="492">
      <c r="A492" s="2" t="s">
        <v>907</v>
      </c>
      <c r="B492" s="2" t="s">
        <v>89</v>
      </c>
    </row>
    <row r="493">
      <c r="A493" s="2" t="s">
        <v>908</v>
      </c>
      <c r="B493" s="2" t="s">
        <v>82</v>
      </c>
    </row>
    <row r="494">
      <c r="A494" s="2" t="s">
        <v>909</v>
      </c>
      <c r="B494" s="2" t="s">
        <v>79</v>
      </c>
    </row>
    <row r="495">
      <c r="A495" s="2" t="s">
        <v>911</v>
      </c>
      <c r="B495" s="2" t="s">
        <v>53</v>
      </c>
    </row>
    <row r="496">
      <c r="A496" s="2" t="s">
        <v>912</v>
      </c>
      <c r="B496" s="2" t="s">
        <v>190</v>
      </c>
    </row>
    <row r="497">
      <c r="A497" s="2" t="s">
        <v>914</v>
      </c>
      <c r="B497" s="2" t="s">
        <v>249</v>
      </c>
    </row>
    <row r="498">
      <c r="A498" s="2" t="s">
        <v>915</v>
      </c>
      <c r="B498" s="2" t="s">
        <v>36</v>
      </c>
    </row>
  </sheetData>
  <conditionalFormatting sqref="A2:A498">
    <cfRule type="cellIs" dxfId="0" priority="1" operator="equal">
      <formula>#REF!</formula>
    </cfRule>
  </conditionalFormatting>
  <hyperlinks>
    <hyperlink r:id="rId1" ref="A384"/>
    <hyperlink r:id="rId2" ref="A45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s="2" t="s">
        <v>2326</v>
      </c>
      <c r="C1" s="5" t="s">
        <v>2327</v>
      </c>
      <c r="D1" s="6" t="s">
        <v>2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>
      <c r="A2" s="1" t="s">
        <v>9</v>
      </c>
      <c r="B2" s="1" t="str">
        <f>VLOOKUP(A2,Institutions!A:B,2,False)</f>
        <v>Denmark</v>
      </c>
      <c r="C2" s="8">
        <v>45292.0</v>
      </c>
      <c r="D2" s="1" t="s">
        <v>1495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>
      <c r="A3" s="1" t="s">
        <v>9</v>
      </c>
      <c r="B3" s="1" t="str">
        <f>VLOOKUP(A3,Institutions!A:B,2,False)</f>
        <v>Denmark</v>
      </c>
      <c r="C3" s="8">
        <v>45292.0</v>
      </c>
      <c r="D3" s="1" t="s">
        <v>1116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>
      <c r="A4" s="1" t="s">
        <v>9</v>
      </c>
      <c r="B4" s="1" t="str">
        <f>VLOOKUP(A4,Institutions!A:B,2,False)</f>
        <v>Denmark</v>
      </c>
      <c r="C4" s="8">
        <v>45292.0</v>
      </c>
      <c r="D4" s="1" t="s">
        <v>1123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>
      <c r="A5" s="1" t="s">
        <v>9</v>
      </c>
      <c r="B5" s="1" t="str">
        <f>VLOOKUP(A5,Institutions!A:B,2,False)</f>
        <v>Denmark</v>
      </c>
      <c r="C5" s="8">
        <v>45292.0</v>
      </c>
      <c r="D5" s="1" t="s">
        <v>1771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>
      <c r="A6" s="1" t="s">
        <v>9</v>
      </c>
      <c r="B6" s="1" t="str">
        <f>VLOOKUP(A6,Institutions!A:B,2,False)</f>
        <v>Denmark</v>
      </c>
      <c r="C6" s="8">
        <v>44927.0</v>
      </c>
      <c r="D6" s="1" t="s">
        <v>1500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>
      <c r="A7" s="1" t="s">
        <v>9</v>
      </c>
      <c r="B7" s="1" t="str">
        <f>VLOOKUP(A7,Institutions!A:B,2,False)</f>
        <v>Denmark</v>
      </c>
      <c r="C7" s="8">
        <v>44927.0</v>
      </c>
      <c r="D7" s="1" t="s">
        <v>38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>
      <c r="A8" s="1" t="s">
        <v>9</v>
      </c>
      <c r="B8" s="1" t="str">
        <f>VLOOKUP(A8,Institutions!A:B,2,False)</f>
        <v>Denmark</v>
      </c>
      <c r="C8" s="8">
        <v>44927.0</v>
      </c>
      <c r="D8" s="1" t="s">
        <v>1193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>
      <c r="A9" s="1" t="s">
        <v>9</v>
      </c>
      <c r="B9" s="1" t="str">
        <f>VLOOKUP(A9,Institutions!A:B,2,False)</f>
        <v>Denmark</v>
      </c>
      <c r="C9" s="8">
        <v>44927.0</v>
      </c>
      <c r="D9" s="1" t="s">
        <v>1267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>
      <c r="A10" s="1" t="s">
        <v>9</v>
      </c>
      <c r="B10" s="1" t="str">
        <f>VLOOKUP(A10,Institutions!A:B,2,False)</f>
        <v>Denmark</v>
      </c>
      <c r="C10" s="8">
        <v>44927.0</v>
      </c>
      <c r="D10" s="1" t="s">
        <v>1132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>
      <c r="A11" s="1" t="s">
        <v>9</v>
      </c>
      <c r="B11" s="1" t="str">
        <f>VLOOKUP(A11,Institutions!A:B,2,False)</f>
        <v>Denmark</v>
      </c>
      <c r="C11" s="8">
        <v>44927.0</v>
      </c>
      <c r="D11" s="1" t="s">
        <v>1135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>
      <c r="A12" s="1" t="s">
        <v>9</v>
      </c>
      <c r="B12" s="1" t="str">
        <f>VLOOKUP(A12,Institutions!A:B,2,False)</f>
        <v>Denmark</v>
      </c>
      <c r="C12" s="8">
        <v>44927.0</v>
      </c>
      <c r="D12" s="1" t="s">
        <v>456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>
      <c r="A13" s="1" t="s">
        <v>9</v>
      </c>
      <c r="B13" s="1" t="str">
        <f>VLOOKUP(A13,Institutions!A:B,2,False)</f>
        <v>Denmark</v>
      </c>
      <c r="C13" s="8">
        <v>44927.0</v>
      </c>
      <c r="D13" s="1" t="s">
        <v>924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>
      <c r="A14" s="1" t="s">
        <v>9</v>
      </c>
      <c r="B14" s="1" t="str">
        <f>VLOOKUP(A14,Institutions!A:B,2,False)</f>
        <v>Denmark</v>
      </c>
      <c r="C14" s="8">
        <v>44927.0</v>
      </c>
      <c r="D14" s="1" t="s">
        <v>74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>
      <c r="A15" s="1" t="s">
        <v>9</v>
      </c>
      <c r="B15" s="1" t="str">
        <f>VLOOKUP(A15,Institutions!A:B,2,False)</f>
        <v>Denmark</v>
      </c>
      <c r="C15" s="8">
        <v>44562.0</v>
      </c>
      <c r="D15" s="1" t="s">
        <v>1772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>
      <c r="A16" s="1" t="s">
        <v>9</v>
      </c>
      <c r="B16" s="1" t="str">
        <f>VLOOKUP(A16,Institutions!A:B,2,False)</f>
        <v>Denmark</v>
      </c>
      <c r="C16" s="8">
        <v>44562.0</v>
      </c>
      <c r="D16" s="1" t="s">
        <v>1153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>
      <c r="A17" s="1" t="s">
        <v>9</v>
      </c>
      <c r="B17" s="1" t="str">
        <f>VLOOKUP(A17,Institutions!A:B,2,False)</f>
        <v>Denmark</v>
      </c>
      <c r="C17" s="8">
        <v>44562.0</v>
      </c>
      <c r="D17" s="1" t="s">
        <v>1284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>
      <c r="A18" s="1" t="s">
        <v>9</v>
      </c>
      <c r="B18" s="1" t="str">
        <f>VLOOKUP(A18,Institutions!A:B,2,False)</f>
        <v>Denmark</v>
      </c>
      <c r="C18" s="8">
        <v>44562.0</v>
      </c>
      <c r="D18" s="1" t="s">
        <v>103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>
      <c r="A19" s="1" t="s">
        <v>9</v>
      </c>
      <c r="B19" s="1" t="str">
        <f>VLOOKUP(A19,Institutions!A:B,2,False)</f>
        <v>Denmark</v>
      </c>
      <c r="C19" s="8">
        <v>44562.0</v>
      </c>
      <c r="D19" s="1" t="s">
        <v>1211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>
      <c r="A20" s="1" t="s">
        <v>9</v>
      </c>
      <c r="B20" s="1" t="str">
        <f>VLOOKUP(A20,Institutions!A:B,2,False)</f>
        <v>Denmark</v>
      </c>
      <c r="C20" s="8">
        <v>44562.0</v>
      </c>
      <c r="D20" s="1" t="s">
        <v>929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>
      <c r="A21" s="1" t="s">
        <v>9</v>
      </c>
      <c r="B21" s="1" t="str">
        <f>VLOOKUP(A21,Institutions!A:B,2,False)</f>
        <v>Denmark</v>
      </c>
      <c r="C21" s="8">
        <v>44562.0</v>
      </c>
      <c r="D21" s="1" t="s">
        <v>116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>
      <c r="A22" s="1" t="s">
        <v>9</v>
      </c>
      <c r="B22" s="1" t="str">
        <f>VLOOKUP(A22,Institutions!A:B,2,False)</f>
        <v>Denmark</v>
      </c>
      <c r="C22" s="8">
        <v>44562.0</v>
      </c>
      <c r="D22" s="1" t="s">
        <v>1518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>
      <c r="A23" s="1" t="s">
        <v>9</v>
      </c>
      <c r="B23" s="1" t="str">
        <f>VLOOKUP(A23,Institutions!A:B,2,False)</f>
        <v>Denmark</v>
      </c>
      <c r="C23" s="8">
        <v>44562.0</v>
      </c>
      <c r="D23" s="1" t="s">
        <v>1167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>
      <c r="A24" s="1" t="s">
        <v>9</v>
      </c>
      <c r="B24" s="1" t="str">
        <f>VLOOKUP(A24,Institutions!A:B,2,False)</f>
        <v>Denmark</v>
      </c>
      <c r="C24" s="8">
        <v>44562.0</v>
      </c>
      <c r="D24" s="1" t="s">
        <v>153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>
      <c r="A25" s="1" t="s">
        <v>9</v>
      </c>
      <c r="B25" s="1" t="str">
        <f>VLOOKUP(A25,Institutions!A:B,2,False)</f>
        <v>Denmark</v>
      </c>
      <c r="C25" s="8">
        <v>44197.0</v>
      </c>
      <c r="D25" s="1" t="s">
        <v>1171</v>
      </c>
    </row>
    <row r="26">
      <c r="A26" s="1" t="s">
        <v>9</v>
      </c>
      <c r="B26" s="1" t="str">
        <f>VLOOKUP(A26,Institutions!A:B,2,False)</f>
        <v>Denmark</v>
      </c>
      <c r="C26" s="8">
        <v>44197.0</v>
      </c>
      <c r="D26" s="1" t="s">
        <v>841</v>
      </c>
    </row>
    <row r="27">
      <c r="A27" s="1" t="s">
        <v>9</v>
      </c>
      <c r="B27" s="1" t="str">
        <f>VLOOKUP(A27,Institutions!A:B,2,False)</f>
        <v>Denmark</v>
      </c>
      <c r="C27" s="8">
        <v>44197.0</v>
      </c>
      <c r="D27" s="1" t="s">
        <v>1176</v>
      </c>
    </row>
    <row r="28">
      <c r="A28" s="1" t="s">
        <v>9</v>
      </c>
      <c r="B28" s="1" t="str">
        <f>VLOOKUP(A28,Institutions!A:B,2,False)</f>
        <v>Denmark</v>
      </c>
      <c r="C28" s="8">
        <v>44197.0</v>
      </c>
      <c r="D28" s="1" t="s">
        <v>524</v>
      </c>
    </row>
    <row r="29">
      <c r="A29" s="1" t="s">
        <v>9</v>
      </c>
      <c r="B29" s="1" t="str">
        <f>VLOOKUP(A29,Institutions!A:B,2,False)</f>
        <v>Denmark</v>
      </c>
      <c r="C29" s="8">
        <v>44197.0</v>
      </c>
      <c r="D29" s="1" t="s">
        <v>194</v>
      </c>
    </row>
    <row r="30">
      <c r="A30" s="1" t="s">
        <v>9</v>
      </c>
      <c r="B30" s="1" t="str">
        <f>VLOOKUP(A30,Institutions!A:B,2,False)</f>
        <v>Denmark</v>
      </c>
      <c r="C30" s="8">
        <v>44197.0</v>
      </c>
      <c r="D30" s="1" t="s">
        <v>1184</v>
      </c>
    </row>
    <row r="31">
      <c r="A31" s="1" t="s">
        <v>9</v>
      </c>
      <c r="B31" s="1" t="str">
        <f>VLOOKUP(A31,Institutions!A:B,2,False)</f>
        <v>Denmark</v>
      </c>
      <c r="C31" s="8">
        <v>44197.0</v>
      </c>
      <c r="D31" s="1" t="s">
        <v>199</v>
      </c>
    </row>
    <row r="32">
      <c r="A32" s="1" t="s">
        <v>9</v>
      </c>
      <c r="B32" s="1" t="str">
        <f>VLOOKUP(A32,Institutions!A:B,2,False)</f>
        <v>Denmark</v>
      </c>
      <c r="C32" s="8">
        <v>44197.0</v>
      </c>
      <c r="D32" s="1" t="s">
        <v>1312</v>
      </c>
    </row>
    <row r="33">
      <c r="A33" s="1" t="s">
        <v>9</v>
      </c>
      <c r="B33" s="1" t="str">
        <f>VLOOKUP(A33,Institutions!A:B,2,False)</f>
        <v>Denmark</v>
      </c>
      <c r="C33" s="8">
        <v>44197.0</v>
      </c>
      <c r="D33" s="1" t="s">
        <v>1613</v>
      </c>
    </row>
    <row r="34">
      <c r="A34" s="1" t="s">
        <v>9</v>
      </c>
      <c r="B34" s="1" t="str">
        <f>VLOOKUP(A34,Institutions!A:B,2,False)</f>
        <v>Denmark</v>
      </c>
      <c r="C34" s="8">
        <v>44197.0</v>
      </c>
      <c r="D34" s="1" t="s">
        <v>221</v>
      </c>
    </row>
    <row r="35">
      <c r="A35" s="1" t="s">
        <v>9</v>
      </c>
      <c r="B35" s="1" t="str">
        <f>VLOOKUP(A35,Institutions!A:B,2,False)</f>
        <v>Denmark</v>
      </c>
      <c r="C35" s="8">
        <v>44197.0</v>
      </c>
      <c r="D35" s="1" t="s">
        <v>1450</v>
      </c>
    </row>
    <row r="36">
      <c r="A36" s="1" t="s">
        <v>9</v>
      </c>
      <c r="B36" s="1" t="str">
        <f>VLOOKUP(A36,Institutions!A:B,2,False)</f>
        <v>Denmark</v>
      </c>
      <c r="C36" s="8">
        <v>44197.0</v>
      </c>
      <c r="D36" s="1" t="s">
        <v>235</v>
      </c>
    </row>
    <row r="37">
      <c r="A37" s="1" t="s">
        <v>9</v>
      </c>
      <c r="B37" s="1" t="str">
        <f>VLOOKUP(A37,Institutions!A:B,2,False)</f>
        <v>Denmark</v>
      </c>
      <c r="C37" s="8">
        <v>43831.0</v>
      </c>
      <c r="D37" s="1" t="s">
        <v>1714</v>
      </c>
    </row>
    <row r="38">
      <c r="A38" s="1" t="s">
        <v>9</v>
      </c>
      <c r="B38" s="1" t="str">
        <f>VLOOKUP(A38,Institutions!A:B,2,False)</f>
        <v>Denmark</v>
      </c>
      <c r="C38" s="8">
        <v>43831.0</v>
      </c>
      <c r="D38" s="1" t="s">
        <v>540</v>
      </c>
    </row>
    <row r="39">
      <c r="A39" s="1" t="s">
        <v>9</v>
      </c>
      <c r="B39" s="1" t="str">
        <f>VLOOKUP(A39,Institutions!A:B,2,False)</f>
        <v>Denmark</v>
      </c>
      <c r="C39" s="8">
        <v>43831.0</v>
      </c>
      <c r="D39" s="1" t="s">
        <v>1453</v>
      </c>
    </row>
    <row r="40">
      <c r="A40" s="1" t="s">
        <v>9</v>
      </c>
      <c r="B40" s="1" t="str">
        <f>VLOOKUP(A40,Institutions!A:B,2,False)</f>
        <v>Denmark</v>
      </c>
      <c r="C40" s="8">
        <v>43831.0</v>
      </c>
      <c r="D40" s="1" t="s">
        <v>1031</v>
      </c>
    </row>
    <row r="41">
      <c r="A41" s="1" t="s">
        <v>9</v>
      </c>
      <c r="B41" s="1" t="str">
        <f>VLOOKUP(A41,Institutions!A:B,2,False)</f>
        <v>Denmark</v>
      </c>
      <c r="C41" s="8">
        <v>43831.0</v>
      </c>
      <c r="D41" s="1" t="s">
        <v>1545</v>
      </c>
    </row>
    <row r="42">
      <c r="A42" s="1" t="s">
        <v>9</v>
      </c>
      <c r="B42" s="1" t="str">
        <f>VLOOKUP(A42,Institutions!A:B,2,False)</f>
        <v>Denmark</v>
      </c>
      <c r="C42" s="8">
        <v>43831.0</v>
      </c>
      <c r="D42" s="1" t="s">
        <v>1457</v>
      </c>
    </row>
    <row r="43">
      <c r="A43" s="1" t="s">
        <v>9</v>
      </c>
      <c r="B43" s="1" t="str">
        <f>VLOOKUP(A43,Institutions!A:B,2,False)</f>
        <v>Denmark</v>
      </c>
      <c r="C43" s="8">
        <v>43831.0</v>
      </c>
      <c r="D43" s="1" t="s">
        <v>913</v>
      </c>
    </row>
    <row r="44">
      <c r="A44" s="1" t="s">
        <v>9</v>
      </c>
      <c r="B44" s="1" t="str">
        <f>VLOOKUP(A44,Institutions!A:B,2,False)</f>
        <v>Denmark</v>
      </c>
      <c r="C44" s="8">
        <v>43831.0</v>
      </c>
      <c r="D44" s="1" t="s">
        <v>570</v>
      </c>
    </row>
    <row r="45">
      <c r="A45" s="1" t="s">
        <v>9</v>
      </c>
      <c r="B45" s="1" t="str">
        <f>VLOOKUP(A45,Institutions!A:B,2,False)</f>
        <v>Denmark</v>
      </c>
      <c r="C45" s="8">
        <v>43466.0</v>
      </c>
      <c r="D45" s="1" t="s">
        <v>1033</v>
      </c>
    </row>
    <row r="46">
      <c r="A46" s="1" t="s">
        <v>9</v>
      </c>
      <c r="B46" s="1" t="str">
        <f>VLOOKUP(A46,Institutions!A:B,2,False)</f>
        <v>Denmark</v>
      </c>
      <c r="C46" s="8">
        <v>43466.0</v>
      </c>
      <c r="D46" s="1" t="s">
        <v>1773</v>
      </c>
    </row>
    <row r="47">
      <c r="A47" s="1" t="s">
        <v>9</v>
      </c>
      <c r="B47" s="1" t="str">
        <f>VLOOKUP(A47,Institutions!A:B,2,False)</f>
        <v>Denmark</v>
      </c>
      <c r="C47" s="8">
        <v>43466.0</v>
      </c>
      <c r="D47" s="1" t="s">
        <v>1774</v>
      </c>
    </row>
    <row r="48">
      <c r="A48" s="1" t="s">
        <v>9</v>
      </c>
      <c r="B48" s="1" t="str">
        <f>VLOOKUP(A48,Institutions!A:B,2,False)</f>
        <v>Denmark</v>
      </c>
      <c r="C48" s="8">
        <v>43466.0</v>
      </c>
      <c r="D48" s="1" t="s">
        <v>1775</v>
      </c>
    </row>
    <row r="49">
      <c r="A49" s="1" t="s">
        <v>9</v>
      </c>
      <c r="B49" s="1" t="str">
        <f>VLOOKUP(A49,Institutions!A:B,2,False)</f>
        <v>Denmark</v>
      </c>
      <c r="C49" s="8">
        <v>43466.0</v>
      </c>
      <c r="D49" s="1" t="s">
        <v>1038</v>
      </c>
    </row>
    <row r="50">
      <c r="A50" s="1" t="s">
        <v>9</v>
      </c>
      <c r="B50" s="1" t="str">
        <f>VLOOKUP(A50,Institutions!A:B,2,False)</f>
        <v>Denmark</v>
      </c>
      <c r="C50" s="8">
        <v>43466.0</v>
      </c>
      <c r="D50" s="1" t="s">
        <v>605</v>
      </c>
    </row>
    <row r="51">
      <c r="A51" s="1" t="s">
        <v>9</v>
      </c>
      <c r="B51" s="1" t="str">
        <f>VLOOKUP(A51,Institutions!A:B,2,False)</f>
        <v>Denmark</v>
      </c>
      <c r="C51" s="8">
        <v>43101.0</v>
      </c>
      <c r="D51" s="1" t="s">
        <v>1776</v>
      </c>
    </row>
    <row r="52">
      <c r="A52" s="1" t="s">
        <v>9</v>
      </c>
      <c r="B52" s="1" t="str">
        <f>VLOOKUP(A52,Institutions!A:B,2,False)</f>
        <v>Denmark</v>
      </c>
      <c r="C52" s="8">
        <v>43101.0</v>
      </c>
      <c r="D52" s="1" t="s">
        <v>1777</v>
      </c>
    </row>
    <row r="53">
      <c r="A53" s="1" t="s">
        <v>9</v>
      </c>
      <c r="B53" s="1" t="str">
        <f>VLOOKUP(A53,Institutions!A:B,2,False)</f>
        <v>Denmark</v>
      </c>
      <c r="C53" s="8">
        <v>43101.0</v>
      </c>
      <c r="D53" s="1" t="s">
        <v>1635</v>
      </c>
    </row>
    <row r="54">
      <c r="A54" s="1" t="s">
        <v>9</v>
      </c>
      <c r="B54" s="1" t="str">
        <f>VLOOKUP(A54,Institutions!A:B,2,False)</f>
        <v>Denmark</v>
      </c>
      <c r="C54" s="8">
        <v>43101.0</v>
      </c>
      <c r="D54" s="1" t="s">
        <v>1778</v>
      </c>
    </row>
    <row r="55">
      <c r="A55" s="1" t="s">
        <v>9</v>
      </c>
      <c r="B55" s="1" t="str">
        <f>VLOOKUP(A55,Institutions!A:B,2,False)</f>
        <v>Denmark</v>
      </c>
      <c r="C55" s="8">
        <v>43101.0</v>
      </c>
      <c r="D55" s="1" t="s">
        <v>1779</v>
      </c>
    </row>
    <row r="56">
      <c r="A56" s="1" t="s">
        <v>9</v>
      </c>
      <c r="B56" s="1" t="str">
        <f>VLOOKUP(A56,Institutions!A:B,2,False)</f>
        <v>Denmark</v>
      </c>
      <c r="C56" s="8">
        <v>43101.0</v>
      </c>
      <c r="D56" s="1" t="s">
        <v>1474</v>
      </c>
    </row>
    <row r="57">
      <c r="A57" s="1" t="s">
        <v>9</v>
      </c>
      <c r="B57" s="1" t="str">
        <f>VLOOKUP(A57,Institutions!A:B,2,False)</f>
        <v>Denmark</v>
      </c>
      <c r="C57" s="8">
        <v>43101.0</v>
      </c>
      <c r="D57" s="1" t="s">
        <v>1780</v>
      </c>
    </row>
    <row r="58">
      <c r="A58" s="1" t="s">
        <v>9</v>
      </c>
      <c r="B58" s="1" t="str">
        <f>VLOOKUP(A58,Institutions!A:B,2,False)</f>
        <v>Denmark</v>
      </c>
      <c r="C58" s="8">
        <v>42736.0</v>
      </c>
      <c r="D58" s="1" t="s">
        <v>1781</v>
      </c>
    </row>
    <row r="59">
      <c r="A59" s="1" t="s">
        <v>9</v>
      </c>
      <c r="B59" s="1" t="str">
        <f>VLOOKUP(A59,Institutions!A:B,2,False)</f>
        <v>Denmark</v>
      </c>
      <c r="C59" s="8">
        <v>42736.0</v>
      </c>
      <c r="D59" s="1" t="s">
        <v>1782</v>
      </c>
    </row>
    <row r="60">
      <c r="A60" s="1" t="s">
        <v>9</v>
      </c>
      <c r="B60" s="1" t="str">
        <f>VLOOKUP(A60,Institutions!A:B,2,False)</f>
        <v>Denmark</v>
      </c>
      <c r="C60" s="8">
        <v>42736.0</v>
      </c>
      <c r="D60" s="1" t="s">
        <v>1061</v>
      </c>
    </row>
    <row r="61">
      <c r="A61" s="1" t="s">
        <v>9</v>
      </c>
      <c r="B61" s="1" t="str">
        <f>VLOOKUP(A61,Institutions!A:B,2,False)</f>
        <v>Denmark</v>
      </c>
      <c r="C61" s="8">
        <v>42736.0</v>
      </c>
      <c r="D61" s="1" t="s">
        <v>1783</v>
      </c>
    </row>
    <row r="62">
      <c r="A62" s="1" t="s">
        <v>9</v>
      </c>
      <c r="B62" s="1" t="str">
        <f>VLOOKUP(A62,Institutions!A:B,2,False)</f>
        <v>Denmark</v>
      </c>
      <c r="C62" s="8">
        <v>42736.0</v>
      </c>
      <c r="D62" s="1" t="s">
        <v>1784</v>
      </c>
    </row>
    <row r="63">
      <c r="A63" s="1" t="s">
        <v>9</v>
      </c>
      <c r="B63" s="1" t="str">
        <f>VLOOKUP(A63,Institutions!A:B,2,False)</f>
        <v>Denmark</v>
      </c>
      <c r="C63" s="8">
        <v>42370.0</v>
      </c>
      <c r="D63" s="1" t="s">
        <v>1785</v>
      </c>
    </row>
    <row r="64">
      <c r="A64" s="1" t="s">
        <v>9</v>
      </c>
      <c r="B64" s="1" t="str">
        <f>VLOOKUP(A64,Institutions!A:B,2,False)</f>
        <v>Denmark</v>
      </c>
      <c r="C64" s="8">
        <v>42370.0</v>
      </c>
      <c r="D64" s="1" t="s">
        <v>1786</v>
      </c>
    </row>
    <row r="65">
      <c r="A65" s="1" t="s">
        <v>9</v>
      </c>
      <c r="B65" s="1" t="str">
        <f>VLOOKUP(A65,Institutions!A:B,2,False)</f>
        <v>Denmark</v>
      </c>
      <c r="C65" s="8">
        <v>42370.0</v>
      </c>
      <c r="D65" s="1" t="s">
        <v>1091</v>
      </c>
    </row>
    <row r="66">
      <c r="A66" s="1" t="s">
        <v>9</v>
      </c>
      <c r="B66" s="1" t="str">
        <f>VLOOKUP(A66,Institutions!A:B,2,False)</f>
        <v>Denmark</v>
      </c>
      <c r="C66" s="8">
        <v>42005.0</v>
      </c>
      <c r="D66" s="1" t="s">
        <v>1787</v>
      </c>
    </row>
    <row r="67">
      <c r="A67" s="1" t="s">
        <v>9</v>
      </c>
      <c r="B67" s="1" t="str">
        <f>VLOOKUP(A67,Institutions!A:B,2,False)</f>
        <v>Denmark</v>
      </c>
      <c r="C67" s="8">
        <v>42005.0</v>
      </c>
      <c r="D67" s="1" t="s">
        <v>1788</v>
      </c>
    </row>
    <row r="68">
      <c r="A68" s="1" t="s">
        <v>9</v>
      </c>
      <c r="B68" s="1" t="str">
        <f>VLOOKUP(A68,Institutions!A:B,2,False)</f>
        <v>Denmark</v>
      </c>
      <c r="C68" s="8">
        <v>42005.0</v>
      </c>
      <c r="D68" s="1" t="s">
        <v>1789</v>
      </c>
    </row>
    <row r="69">
      <c r="A69" s="1" t="s">
        <v>9</v>
      </c>
      <c r="B69" s="1" t="str">
        <f>VLOOKUP(A69,Institutions!A:B,2,False)</f>
        <v>Denmark</v>
      </c>
      <c r="C69" s="8">
        <v>42005.0</v>
      </c>
      <c r="D69" s="1" t="s">
        <v>1790</v>
      </c>
    </row>
    <row r="70">
      <c r="A70" s="1" t="s">
        <v>9</v>
      </c>
      <c r="B70" s="1" t="str">
        <f>VLOOKUP(A70,Institutions!A:B,2,False)</f>
        <v>Denmark</v>
      </c>
      <c r="C70" s="8">
        <v>42005.0</v>
      </c>
      <c r="D70" s="1" t="s">
        <v>1791</v>
      </c>
    </row>
    <row r="71">
      <c r="A71" s="1" t="s">
        <v>9</v>
      </c>
      <c r="B71" s="1" t="str">
        <f>VLOOKUP(A71,Institutions!A:B,2,False)</f>
        <v>Denmark</v>
      </c>
      <c r="C71" s="8">
        <v>42005.0</v>
      </c>
      <c r="D71" s="1" t="s">
        <v>1386</v>
      </c>
    </row>
    <row r="72">
      <c r="A72" s="1" t="s">
        <v>9</v>
      </c>
      <c r="B72" s="1" t="str">
        <f>VLOOKUP(A72,Institutions!A:B,2,False)</f>
        <v>Denmark</v>
      </c>
      <c r="C72" s="8">
        <v>42005.0</v>
      </c>
      <c r="D72" s="1" t="s">
        <v>1792</v>
      </c>
    </row>
    <row r="73">
      <c r="A73" s="1" t="s">
        <v>9</v>
      </c>
      <c r="B73" s="1" t="str">
        <f>VLOOKUP(A73,Institutions!A:B,2,False)</f>
        <v>Denmark</v>
      </c>
      <c r="C73" s="8">
        <v>41640.0</v>
      </c>
      <c r="D73" s="1" t="s">
        <v>1793</v>
      </c>
    </row>
    <row r="74">
      <c r="A74" s="1" t="s">
        <v>9</v>
      </c>
      <c r="B74" s="1" t="str">
        <f>VLOOKUP(A74,Institutions!A:B,2,False)</f>
        <v>Denmark</v>
      </c>
      <c r="C74" s="8">
        <v>41640.0</v>
      </c>
      <c r="D74" s="1" t="s">
        <v>1794</v>
      </c>
    </row>
    <row r="75">
      <c r="A75" s="1" t="s">
        <v>9</v>
      </c>
      <c r="B75" s="1" t="str">
        <f>VLOOKUP(A75,Institutions!A:B,2,False)</f>
        <v>Denmark</v>
      </c>
      <c r="C75" s="8">
        <v>41640.0</v>
      </c>
      <c r="D75" s="1" t="s">
        <v>1795</v>
      </c>
    </row>
    <row r="76">
      <c r="A76" s="1" t="s">
        <v>9</v>
      </c>
      <c r="B76" s="1" t="str">
        <f>VLOOKUP(A76,Institutions!A:B,2,False)</f>
        <v>Denmark</v>
      </c>
      <c r="C76" s="8">
        <v>41640.0</v>
      </c>
      <c r="D76" s="1" t="s">
        <v>1796</v>
      </c>
    </row>
    <row r="77">
      <c r="A77" s="1" t="s">
        <v>9</v>
      </c>
      <c r="B77" s="1" t="str">
        <f>VLOOKUP(A77,Institutions!A:B,2,False)</f>
        <v>Denmark</v>
      </c>
      <c r="C77" s="8">
        <v>41640.0</v>
      </c>
      <c r="D77" s="1" t="s">
        <v>1797</v>
      </c>
    </row>
    <row r="78">
      <c r="A78" s="1" t="s">
        <v>9</v>
      </c>
      <c r="B78" s="1" t="str">
        <f>VLOOKUP(A78,Institutions!A:B,2,False)</f>
        <v>Denmark</v>
      </c>
      <c r="C78" s="8">
        <v>41640.0</v>
      </c>
      <c r="D78" s="1" t="s">
        <v>1798</v>
      </c>
    </row>
    <row r="79">
      <c r="A79" s="1" t="s">
        <v>9</v>
      </c>
      <c r="B79" s="1" t="str">
        <f>VLOOKUP(A79,Institutions!A:B,2,False)</f>
        <v>Denmark</v>
      </c>
      <c r="C79" s="8">
        <v>41640.0</v>
      </c>
      <c r="D79" s="1" t="s">
        <v>1799</v>
      </c>
    </row>
    <row r="80">
      <c r="A80" s="1" t="s">
        <v>9</v>
      </c>
      <c r="B80" s="1" t="str">
        <f>VLOOKUP(A80,Institutions!A:B,2,False)</f>
        <v>Denmark</v>
      </c>
      <c r="C80" s="8">
        <v>41640.0</v>
      </c>
      <c r="D80" s="1" t="s">
        <v>1800</v>
      </c>
    </row>
    <row r="81">
      <c r="A81" s="1" t="s">
        <v>9</v>
      </c>
      <c r="B81" s="1" t="str">
        <f>VLOOKUP(A81,Institutions!A:B,2,False)</f>
        <v>Denmark</v>
      </c>
      <c r="C81" s="8">
        <v>41640.0</v>
      </c>
      <c r="D81" s="1" t="s">
        <v>1801</v>
      </c>
    </row>
    <row r="82">
      <c r="A82" s="1" t="s">
        <v>9</v>
      </c>
      <c r="B82" s="1" t="str">
        <f>VLOOKUP(A82,Institutions!A:B,2,False)</f>
        <v>Denmark</v>
      </c>
      <c r="C82" s="8">
        <v>41275.0</v>
      </c>
      <c r="D82" s="1" t="s">
        <v>1802</v>
      </c>
    </row>
    <row r="83">
      <c r="A83" s="1" t="s">
        <v>9</v>
      </c>
      <c r="B83" s="1" t="str">
        <f>VLOOKUP(A83,Institutions!A:B,2,False)</f>
        <v>Denmark</v>
      </c>
      <c r="C83" s="8">
        <v>41275.0</v>
      </c>
      <c r="D83" s="1" t="s">
        <v>1803</v>
      </c>
    </row>
    <row r="84">
      <c r="A84" s="1" t="s">
        <v>9</v>
      </c>
      <c r="B84" s="1" t="str">
        <f>VLOOKUP(A84,Institutions!A:B,2,False)</f>
        <v>Denmark</v>
      </c>
      <c r="C84" s="8">
        <v>41275.0</v>
      </c>
      <c r="D84" s="1" t="s">
        <v>1804</v>
      </c>
    </row>
    <row r="85">
      <c r="A85" s="1" t="s">
        <v>9</v>
      </c>
      <c r="B85" s="1" t="str">
        <f>VLOOKUP(A85,Institutions!A:B,2,False)</f>
        <v>Denmark</v>
      </c>
      <c r="C85" s="8">
        <v>41275.0</v>
      </c>
      <c r="D85" s="1" t="s">
        <v>1805</v>
      </c>
    </row>
    <row r="86">
      <c r="A86" s="1" t="s">
        <v>9</v>
      </c>
      <c r="B86" s="1" t="str">
        <f>VLOOKUP(A86,Institutions!A:B,2,False)</f>
        <v>Denmark</v>
      </c>
      <c r="C86" s="8">
        <v>41275.0</v>
      </c>
      <c r="D86" s="1" t="s">
        <v>1806</v>
      </c>
    </row>
    <row r="87">
      <c r="A87" s="1" t="s">
        <v>9</v>
      </c>
      <c r="B87" s="1" t="str">
        <f>VLOOKUP(A87,Institutions!A:B,2,False)</f>
        <v>Denmark</v>
      </c>
      <c r="C87" s="8">
        <v>41275.0</v>
      </c>
      <c r="D87" s="1" t="s">
        <v>1807</v>
      </c>
    </row>
    <row r="88">
      <c r="A88" s="1" t="s">
        <v>9</v>
      </c>
      <c r="B88" s="1" t="str">
        <f>VLOOKUP(A88,Institutions!A:B,2,False)</f>
        <v>Denmark</v>
      </c>
      <c r="C88" s="8">
        <v>41275.0</v>
      </c>
      <c r="D88" s="1" t="s">
        <v>1808</v>
      </c>
    </row>
    <row r="89">
      <c r="A89" s="1" t="s">
        <v>9</v>
      </c>
      <c r="B89" s="1" t="str">
        <f>VLOOKUP(A89,Institutions!A:B,2,False)</f>
        <v>Denmark</v>
      </c>
      <c r="C89" s="8">
        <v>41275.0</v>
      </c>
      <c r="D89" s="1" t="s">
        <v>1809</v>
      </c>
    </row>
    <row r="90">
      <c r="A90" s="1" t="s">
        <v>9</v>
      </c>
      <c r="B90" s="1" t="str">
        <f>VLOOKUP(A90,Institutions!A:B,2,False)</f>
        <v>Denmark</v>
      </c>
      <c r="C90" s="8">
        <v>41275.0</v>
      </c>
      <c r="D90" s="1" t="s">
        <v>1810</v>
      </c>
    </row>
    <row r="91">
      <c r="A91" s="1" t="s">
        <v>9</v>
      </c>
      <c r="B91" s="1" t="str">
        <f>VLOOKUP(A91,Institutions!A:B,2,False)</f>
        <v>Denmark</v>
      </c>
      <c r="C91" s="8">
        <v>41275.0</v>
      </c>
      <c r="D91" s="1" t="s">
        <v>1811</v>
      </c>
    </row>
    <row r="92">
      <c r="A92" s="1" t="s">
        <v>9</v>
      </c>
      <c r="B92" s="1" t="str">
        <f>VLOOKUP(A92,Institutions!A:B,2,False)</f>
        <v>Denmark</v>
      </c>
      <c r="C92" s="8">
        <v>40909.0</v>
      </c>
      <c r="D92" s="1" t="s">
        <v>1812</v>
      </c>
    </row>
    <row r="93">
      <c r="A93" s="1" t="s">
        <v>9</v>
      </c>
      <c r="B93" s="1" t="str">
        <f>VLOOKUP(A93,Institutions!A:B,2,False)</f>
        <v>Denmark</v>
      </c>
      <c r="C93" s="8">
        <v>40909.0</v>
      </c>
      <c r="D93" s="1" t="s">
        <v>1813</v>
      </c>
    </row>
    <row r="94">
      <c r="A94" s="1" t="s">
        <v>9</v>
      </c>
      <c r="B94" s="1" t="str">
        <f>VLOOKUP(A94,Institutions!A:B,2,False)</f>
        <v>Denmark</v>
      </c>
      <c r="C94" s="8">
        <v>40909.0</v>
      </c>
      <c r="D94" s="1" t="s">
        <v>1814</v>
      </c>
    </row>
    <row r="95">
      <c r="A95" s="1" t="s">
        <v>9</v>
      </c>
      <c r="B95" s="1" t="str">
        <f>VLOOKUP(A95,Institutions!A:B,2,False)</f>
        <v>Denmark</v>
      </c>
      <c r="C95" s="8">
        <v>40909.0</v>
      </c>
      <c r="D95" s="1" t="s">
        <v>1741</v>
      </c>
    </row>
    <row r="96">
      <c r="A96" s="1" t="s">
        <v>9</v>
      </c>
      <c r="B96" s="1" t="str">
        <f>VLOOKUP(A96,Institutions!A:B,2,False)</f>
        <v>Denmark</v>
      </c>
      <c r="C96" s="8">
        <v>40909.0</v>
      </c>
      <c r="D96" s="1" t="s">
        <v>1815</v>
      </c>
    </row>
    <row r="97">
      <c r="A97" s="1" t="s">
        <v>9</v>
      </c>
      <c r="B97" s="1" t="str">
        <f>VLOOKUP(A97,Institutions!A:B,2,False)</f>
        <v>Denmark</v>
      </c>
      <c r="C97" s="8">
        <v>40909.0</v>
      </c>
      <c r="D97" s="1" t="s">
        <v>1816</v>
      </c>
    </row>
    <row r="98">
      <c r="A98" s="1" t="s">
        <v>9</v>
      </c>
      <c r="B98" s="1" t="str">
        <f>VLOOKUP(A98,Institutions!A:B,2,False)</f>
        <v>Denmark</v>
      </c>
      <c r="C98" s="8">
        <v>40909.0</v>
      </c>
      <c r="D98" s="1" t="s">
        <v>1817</v>
      </c>
    </row>
    <row r="99">
      <c r="A99" s="1" t="s">
        <v>9</v>
      </c>
      <c r="B99" s="1" t="str">
        <f>VLOOKUP(A99,Institutions!A:B,2,False)</f>
        <v>Denmark</v>
      </c>
      <c r="C99" s="8">
        <v>40544.0</v>
      </c>
      <c r="D99" s="1" t="s">
        <v>1818</v>
      </c>
    </row>
    <row r="100">
      <c r="A100" s="1" t="s">
        <v>9</v>
      </c>
      <c r="B100" s="1" t="str">
        <f>VLOOKUP(A100,Institutions!A:B,2,False)</f>
        <v>Denmark</v>
      </c>
      <c r="C100" s="8">
        <v>40544.0</v>
      </c>
      <c r="D100" s="1" t="s">
        <v>1819</v>
      </c>
    </row>
    <row r="101">
      <c r="A101" s="1" t="s">
        <v>9</v>
      </c>
      <c r="B101" s="1" t="str">
        <f>VLOOKUP(A101,Institutions!A:B,2,False)</f>
        <v>Denmark</v>
      </c>
      <c r="C101" s="8">
        <v>40544.0</v>
      </c>
      <c r="D101" s="1" t="s">
        <v>1820</v>
      </c>
    </row>
    <row r="102">
      <c r="A102" s="1" t="s">
        <v>11</v>
      </c>
      <c r="B102" s="1" t="str">
        <f>VLOOKUP(A102,Institutions!A:B,2,False)</f>
        <v>Denmark</v>
      </c>
      <c r="C102" s="8">
        <v>45292.0</v>
      </c>
      <c r="D102" s="1" t="s">
        <v>1111</v>
      </c>
    </row>
    <row r="103">
      <c r="A103" s="1" t="s">
        <v>11</v>
      </c>
      <c r="B103" s="1" t="str">
        <f>VLOOKUP(A103,Institutions!A:B,2,False)</f>
        <v>Denmark</v>
      </c>
      <c r="C103" s="8">
        <v>45292.0</v>
      </c>
      <c r="D103" s="1" t="s">
        <v>1582</v>
      </c>
    </row>
    <row r="104">
      <c r="A104" s="1" t="s">
        <v>11</v>
      </c>
      <c r="B104" s="1" t="str">
        <f>VLOOKUP(A104,Institutions!A:B,2,False)</f>
        <v>Denmark</v>
      </c>
      <c r="C104" s="8">
        <v>45292.0</v>
      </c>
      <c r="D104" s="1" t="s">
        <v>24</v>
      </c>
    </row>
    <row r="105">
      <c r="A105" s="1" t="s">
        <v>11</v>
      </c>
      <c r="B105" s="1" t="str">
        <f>VLOOKUP(A105,Institutions!A:B,2,False)</f>
        <v>Denmark</v>
      </c>
      <c r="C105" s="8">
        <v>44927.0</v>
      </c>
      <c r="D105" s="1" t="s">
        <v>1587</v>
      </c>
    </row>
    <row r="106">
      <c r="A106" s="1" t="s">
        <v>11</v>
      </c>
      <c r="B106" s="1" t="str">
        <f>VLOOKUP(A106,Institutions!A:B,2,False)</f>
        <v>Denmark</v>
      </c>
      <c r="C106" s="8">
        <v>44927.0</v>
      </c>
      <c r="D106" s="1" t="s">
        <v>774</v>
      </c>
    </row>
    <row r="107">
      <c r="A107" s="1" t="s">
        <v>11</v>
      </c>
      <c r="B107" s="1" t="str">
        <f>VLOOKUP(A107,Institutions!A:B,2,False)</f>
        <v>Denmark</v>
      </c>
      <c r="C107" s="8">
        <v>44927.0</v>
      </c>
      <c r="D107" s="1" t="s">
        <v>1503</v>
      </c>
    </row>
    <row r="108">
      <c r="A108" s="1" t="s">
        <v>11</v>
      </c>
      <c r="B108" s="1" t="str">
        <f>VLOOKUP(A108,Institutions!A:B,2,False)</f>
        <v>Denmark</v>
      </c>
      <c r="C108" s="8">
        <v>44927.0</v>
      </c>
      <c r="D108" s="1" t="s">
        <v>923</v>
      </c>
    </row>
    <row r="109">
      <c r="A109" s="1" t="s">
        <v>11</v>
      </c>
      <c r="B109" s="1" t="str">
        <f>VLOOKUP(A109,Institutions!A:B,2,False)</f>
        <v>Denmark</v>
      </c>
      <c r="C109" s="8">
        <v>44927.0</v>
      </c>
      <c r="D109" s="1" t="s">
        <v>1506</v>
      </c>
    </row>
    <row r="110">
      <c r="A110" s="1" t="s">
        <v>11</v>
      </c>
      <c r="B110" s="1" t="str">
        <f>VLOOKUP(A110,Institutions!A:B,2,False)</f>
        <v>Denmark</v>
      </c>
      <c r="C110" s="8">
        <v>44927.0</v>
      </c>
      <c r="D110" s="1" t="s">
        <v>1507</v>
      </c>
    </row>
    <row r="111">
      <c r="A111" s="1" t="s">
        <v>11</v>
      </c>
      <c r="B111" s="1" t="str">
        <f>VLOOKUP(A111,Institutions!A:B,2,False)</f>
        <v>Denmark</v>
      </c>
      <c r="C111" s="8">
        <v>44927.0</v>
      </c>
      <c r="D111" s="1" t="s">
        <v>1270</v>
      </c>
    </row>
    <row r="112">
      <c r="A112" s="1" t="s">
        <v>11</v>
      </c>
      <c r="B112" s="1" t="str">
        <f>VLOOKUP(A112,Institutions!A:B,2,False)</f>
        <v>Denmark</v>
      </c>
      <c r="C112" s="8">
        <v>44927.0</v>
      </c>
      <c r="D112" s="1" t="s">
        <v>1509</v>
      </c>
    </row>
    <row r="113">
      <c r="A113" s="1" t="s">
        <v>11</v>
      </c>
      <c r="B113" s="1" t="str">
        <f>VLOOKUP(A113,Institutions!A:B,2,False)</f>
        <v>Denmark</v>
      </c>
      <c r="C113" s="8">
        <v>44562.0</v>
      </c>
      <c r="D113" s="1" t="s">
        <v>1441</v>
      </c>
    </row>
    <row r="114">
      <c r="A114" s="1" t="s">
        <v>11</v>
      </c>
      <c r="B114" s="1" t="str">
        <f>VLOOKUP(A114,Institutions!A:B,2,False)</f>
        <v>Denmark</v>
      </c>
      <c r="C114" s="8">
        <v>44562.0</v>
      </c>
      <c r="D114" s="1" t="s">
        <v>1289</v>
      </c>
    </row>
    <row r="115">
      <c r="A115" s="1" t="s">
        <v>11</v>
      </c>
      <c r="B115" s="1" t="str">
        <f>VLOOKUP(A115,Institutions!A:B,2,False)</f>
        <v>Denmark</v>
      </c>
      <c r="C115" s="8">
        <v>44562.0</v>
      </c>
      <c r="D115" s="1" t="s">
        <v>1290</v>
      </c>
    </row>
    <row r="116">
      <c r="A116" s="1" t="s">
        <v>11</v>
      </c>
      <c r="B116" s="1" t="str">
        <f>VLOOKUP(A116,Institutions!A:B,2,False)</f>
        <v>Denmark</v>
      </c>
      <c r="C116" s="8">
        <v>44562.0</v>
      </c>
      <c r="D116" s="1" t="s">
        <v>1696</v>
      </c>
    </row>
    <row r="117">
      <c r="A117" s="1" t="s">
        <v>11</v>
      </c>
      <c r="B117" s="1" t="str">
        <f>VLOOKUP(A117,Institutions!A:B,2,False)</f>
        <v>Denmark</v>
      </c>
      <c r="C117" s="8">
        <v>44562.0</v>
      </c>
      <c r="D117" s="1" t="s">
        <v>1444</v>
      </c>
    </row>
    <row r="118">
      <c r="A118" s="1" t="s">
        <v>11</v>
      </c>
      <c r="B118" s="1" t="str">
        <f>VLOOKUP(A118,Institutions!A:B,2,False)</f>
        <v>Denmark</v>
      </c>
      <c r="C118" s="8">
        <v>44562.0</v>
      </c>
      <c r="D118" s="1" t="s">
        <v>1821</v>
      </c>
    </row>
    <row r="119">
      <c r="A119" s="1" t="s">
        <v>11</v>
      </c>
      <c r="B119" s="1" t="str">
        <f>VLOOKUP(A119,Institutions!A:B,2,False)</f>
        <v>Denmark</v>
      </c>
      <c r="C119" s="8">
        <v>44197.0</v>
      </c>
      <c r="D119" s="1" t="s">
        <v>159</v>
      </c>
    </row>
    <row r="120">
      <c r="A120" s="1" t="s">
        <v>11</v>
      </c>
      <c r="B120" s="1" t="str">
        <f>VLOOKUP(A120,Institutions!A:B,2,False)</f>
        <v>Denmark</v>
      </c>
      <c r="C120" s="8">
        <v>44197.0</v>
      </c>
      <c r="D120" s="1" t="s">
        <v>163</v>
      </c>
    </row>
    <row r="121">
      <c r="A121" s="1" t="s">
        <v>11</v>
      </c>
      <c r="B121" s="1" t="str">
        <f>VLOOKUP(A121,Institutions!A:B,2,False)</f>
        <v>Denmark</v>
      </c>
      <c r="C121" s="8">
        <v>44197.0</v>
      </c>
      <c r="D121" s="1" t="s">
        <v>1528</v>
      </c>
    </row>
    <row r="122">
      <c r="A122" s="1" t="s">
        <v>11</v>
      </c>
      <c r="B122" s="1" t="str">
        <f>VLOOKUP(A122,Institutions!A:B,2,False)</f>
        <v>Denmark</v>
      </c>
      <c r="C122" s="8">
        <v>44197.0</v>
      </c>
      <c r="D122" s="1" t="s">
        <v>1707</v>
      </c>
    </row>
    <row r="123">
      <c r="A123" s="1" t="s">
        <v>11</v>
      </c>
      <c r="B123" s="1" t="str">
        <f>VLOOKUP(A123,Institutions!A:B,2,False)</f>
        <v>Denmark</v>
      </c>
      <c r="C123" s="8">
        <v>44197.0</v>
      </c>
      <c r="D123" s="1" t="s">
        <v>1450</v>
      </c>
    </row>
    <row r="124">
      <c r="A124" s="1" t="s">
        <v>11</v>
      </c>
      <c r="B124" s="1" t="str">
        <f>VLOOKUP(A124,Institutions!A:B,2,False)</f>
        <v>Denmark</v>
      </c>
      <c r="C124" s="8">
        <v>43831.0</v>
      </c>
      <c r="D124" s="1" t="s">
        <v>1822</v>
      </c>
    </row>
    <row r="125">
      <c r="A125" s="1" t="s">
        <v>11</v>
      </c>
      <c r="B125" s="1" t="str">
        <f>VLOOKUP(A125,Institutions!A:B,2,False)</f>
        <v>Denmark</v>
      </c>
      <c r="C125" s="8">
        <v>43831.0</v>
      </c>
      <c r="D125" s="1" t="s">
        <v>893</v>
      </c>
    </row>
    <row r="126">
      <c r="A126" s="1" t="s">
        <v>11</v>
      </c>
      <c r="B126" s="1" t="str">
        <f>VLOOKUP(A126,Institutions!A:B,2,False)</f>
        <v>Denmark</v>
      </c>
      <c r="C126" s="8">
        <v>43831.0</v>
      </c>
      <c r="D126" s="1" t="s">
        <v>1030</v>
      </c>
    </row>
    <row r="127">
      <c r="A127" s="1" t="s">
        <v>11</v>
      </c>
      <c r="B127" s="1" t="str">
        <f>VLOOKUP(A127,Institutions!A:B,2,False)</f>
        <v>Denmark</v>
      </c>
      <c r="C127" s="8">
        <v>43831.0</v>
      </c>
      <c r="D127" s="1" t="s">
        <v>1619</v>
      </c>
    </row>
    <row r="128">
      <c r="A128" s="1" t="s">
        <v>11</v>
      </c>
      <c r="B128" s="1" t="str">
        <f>VLOOKUP(A128,Institutions!A:B,2,False)</f>
        <v>Denmark</v>
      </c>
      <c r="C128" s="8">
        <v>43831.0</v>
      </c>
      <c r="D128" s="1" t="s">
        <v>899</v>
      </c>
    </row>
    <row r="129">
      <c r="A129" s="1" t="s">
        <v>11</v>
      </c>
      <c r="B129" s="1" t="str">
        <f>VLOOKUP(A129,Institutions!A:B,2,False)</f>
        <v>Denmark</v>
      </c>
      <c r="C129" s="8">
        <v>43831.0</v>
      </c>
      <c r="D129" s="1" t="s">
        <v>1545</v>
      </c>
    </row>
    <row r="130">
      <c r="A130" s="1" t="s">
        <v>11</v>
      </c>
      <c r="B130" s="1" t="str">
        <f>VLOOKUP(A130,Institutions!A:B,2,False)</f>
        <v>Denmark</v>
      </c>
      <c r="C130" s="8">
        <v>43466.0</v>
      </c>
      <c r="D130" s="1" t="s">
        <v>1719</v>
      </c>
    </row>
    <row r="131">
      <c r="A131" s="1" t="s">
        <v>11</v>
      </c>
      <c r="B131" s="1" t="str">
        <f>VLOOKUP(A131,Institutions!A:B,2,False)</f>
        <v>Denmark</v>
      </c>
      <c r="C131" s="8">
        <v>43466.0</v>
      </c>
      <c r="D131" s="1" t="s">
        <v>597</v>
      </c>
    </row>
    <row r="132">
      <c r="A132" s="1" t="s">
        <v>11</v>
      </c>
      <c r="B132" s="1" t="str">
        <f>VLOOKUP(A132,Institutions!A:B,2,False)</f>
        <v>Denmark</v>
      </c>
      <c r="C132" s="8">
        <v>43466.0</v>
      </c>
      <c r="D132" s="1" t="s">
        <v>1040</v>
      </c>
    </row>
    <row r="133">
      <c r="A133" s="1" t="s">
        <v>11</v>
      </c>
      <c r="B133" s="1" t="str">
        <f>VLOOKUP(A133,Institutions!A:B,2,False)</f>
        <v>Denmark</v>
      </c>
      <c r="C133" s="8">
        <v>43101.0</v>
      </c>
      <c r="D133" s="1" t="s">
        <v>1823</v>
      </c>
    </row>
    <row r="134">
      <c r="A134" s="1" t="s">
        <v>11</v>
      </c>
      <c r="B134" s="1" t="str">
        <f>VLOOKUP(A134,Institutions!A:B,2,False)</f>
        <v>Denmark</v>
      </c>
      <c r="C134" s="8">
        <v>43101.0</v>
      </c>
      <c r="D134" s="1" t="s">
        <v>1824</v>
      </c>
    </row>
    <row r="135">
      <c r="A135" s="1" t="s">
        <v>11</v>
      </c>
      <c r="B135" s="1" t="str">
        <f>VLOOKUP(A135,Institutions!A:B,2,False)</f>
        <v>Denmark</v>
      </c>
      <c r="C135" s="8">
        <v>43101.0</v>
      </c>
      <c r="D135" s="1" t="s">
        <v>1567</v>
      </c>
    </row>
    <row r="136">
      <c r="A136" s="1" t="s">
        <v>11</v>
      </c>
      <c r="B136" s="1" t="str">
        <f>VLOOKUP(A136,Institutions!A:B,2,False)</f>
        <v>Denmark</v>
      </c>
      <c r="C136" s="8">
        <v>42736.0</v>
      </c>
      <c r="D136" s="1" t="s">
        <v>1825</v>
      </c>
    </row>
    <row r="137">
      <c r="A137" s="1" t="s">
        <v>11</v>
      </c>
      <c r="B137" s="1" t="str">
        <f>VLOOKUP(A137,Institutions!A:B,2,False)</f>
        <v>Denmark</v>
      </c>
      <c r="C137" s="8">
        <v>42370.0</v>
      </c>
      <c r="D137" s="1" t="s">
        <v>1077</v>
      </c>
    </row>
    <row r="138">
      <c r="A138" s="1" t="s">
        <v>11</v>
      </c>
      <c r="B138" s="1" t="str">
        <f>VLOOKUP(A138,Institutions!A:B,2,False)</f>
        <v>Denmark</v>
      </c>
      <c r="C138" s="8">
        <v>42370.0</v>
      </c>
      <c r="D138" s="1" t="s">
        <v>1557</v>
      </c>
    </row>
    <row r="139">
      <c r="A139" s="1" t="s">
        <v>11</v>
      </c>
      <c r="B139" s="1" t="str">
        <f>VLOOKUP(A139,Institutions!A:B,2,False)</f>
        <v>Denmark</v>
      </c>
      <c r="C139" s="8">
        <v>42005.0</v>
      </c>
      <c r="D139" s="1" t="s">
        <v>1098</v>
      </c>
    </row>
    <row r="140">
      <c r="A140" s="1" t="s">
        <v>11</v>
      </c>
      <c r="B140" s="1" t="str">
        <f>VLOOKUP(A140,Institutions!A:B,2,False)</f>
        <v>Denmark</v>
      </c>
      <c r="C140" s="8">
        <v>42005.0</v>
      </c>
      <c r="D140" s="1" t="s">
        <v>1826</v>
      </c>
    </row>
    <row r="141">
      <c r="A141" s="1" t="s">
        <v>11</v>
      </c>
      <c r="B141" s="1" t="str">
        <f>VLOOKUP(A141,Institutions!A:B,2,False)</f>
        <v>Denmark</v>
      </c>
      <c r="C141" s="8">
        <v>42005.0</v>
      </c>
      <c r="D141" s="1" t="s">
        <v>1827</v>
      </c>
    </row>
    <row r="142">
      <c r="A142" s="1" t="s">
        <v>11</v>
      </c>
      <c r="B142" s="1" t="str">
        <f>VLOOKUP(A142,Institutions!A:B,2,False)</f>
        <v>Denmark</v>
      </c>
      <c r="C142" s="8">
        <v>41640.0</v>
      </c>
      <c r="D142" s="1" t="s">
        <v>1828</v>
      </c>
    </row>
    <row r="143">
      <c r="A143" s="1" t="s">
        <v>11</v>
      </c>
      <c r="B143" s="1" t="str">
        <f>VLOOKUP(A143,Institutions!A:B,2,False)</f>
        <v>Denmark</v>
      </c>
      <c r="C143" s="8">
        <v>41640.0</v>
      </c>
      <c r="D143" s="1" t="s">
        <v>1829</v>
      </c>
    </row>
    <row r="144">
      <c r="A144" s="1" t="s">
        <v>11</v>
      </c>
      <c r="B144" s="1" t="str">
        <f>VLOOKUP(A144,Institutions!A:B,2,False)</f>
        <v>Denmark</v>
      </c>
      <c r="C144" s="8">
        <v>41640.0</v>
      </c>
      <c r="D144" s="1" t="s">
        <v>1795</v>
      </c>
    </row>
    <row r="145">
      <c r="A145" s="1" t="s">
        <v>11</v>
      </c>
      <c r="B145" s="1" t="str">
        <f>VLOOKUP(A145,Institutions!A:B,2,False)</f>
        <v>Denmark</v>
      </c>
      <c r="C145" s="8">
        <v>41640.0</v>
      </c>
      <c r="D145" s="1" t="s">
        <v>1830</v>
      </c>
    </row>
    <row r="146">
      <c r="A146" s="1" t="s">
        <v>11</v>
      </c>
      <c r="B146" s="1" t="str">
        <f>VLOOKUP(A146,Institutions!A:B,2,False)</f>
        <v>Denmark</v>
      </c>
      <c r="C146" s="8">
        <v>41275.0</v>
      </c>
      <c r="D146" s="1" t="s">
        <v>1831</v>
      </c>
    </row>
    <row r="147">
      <c r="A147" s="1" t="s">
        <v>11</v>
      </c>
      <c r="B147" s="1" t="str">
        <f>VLOOKUP(A147,Institutions!A:B,2,False)</f>
        <v>Denmark</v>
      </c>
      <c r="C147" s="8">
        <v>41275.0</v>
      </c>
      <c r="D147" s="1" t="s">
        <v>1832</v>
      </c>
    </row>
    <row r="148">
      <c r="A148" s="1" t="s">
        <v>11</v>
      </c>
      <c r="B148" s="1" t="str">
        <f>VLOOKUP(A148,Institutions!A:B,2,False)</f>
        <v>Denmark</v>
      </c>
      <c r="C148" s="8">
        <v>41275.0</v>
      </c>
      <c r="D148" s="1" t="s">
        <v>1833</v>
      </c>
    </row>
    <row r="149">
      <c r="A149" s="1" t="s">
        <v>11</v>
      </c>
      <c r="B149" s="1" t="str">
        <f>VLOOKUP(A149,Institutions!A:B,2,False)</f>
        <v>Denmark</v>
      </c>
      <c r="C149" s="8">
        <v>41275.0</v>
      </c>
      <c r="D149" s="1" t="s">
        <v>1834</v>
      </c>
    </row>
    <row r="150">
      <c r="A150" s="1" t="s">
        <v>11</v>
      </c>
      <c r="B150" s="1" t="str">
        <f>VLOOKUP(A150,Institutions!A:B,2,False)</f>
        <v>Denmark</v>
      </c>
      <c r="C150" s="8">
        <v>41275.0</v>
      </c>
      <c r="D150" s="1" t="s">
        <v>1835</v>
      </c>
    </row>
    <row r="151">
      <c r="A151" s="1" t="s">
        <v>11</v>
      </c>
      <c r="B151" s="1" t="str">
        <f>VLOOKUP(A151,Institutions!A:B,2,False)</f>
        <v>Denmark</v>
      </c>
      <c r="C151" s="8">
        <v>41275.0</v>
      </c>
      <c r="D151" s="1" t="s">
        <v>1836</v>
      </c>
    </row>
    <row r="152">
      <c r="A152" s="1" t="s">
        <v>11</v>
      </c>
      <c r="B152" s="1" t="str">
        <f>VLOOKUP(A152,Institutions!A:B,2,False)</f>
        <v>Denmark</v>
      </c>
      <c r="C152" s="8">
        <v>40909.0</v>
      </c>
      <c r="D152" s="1" t="s">
        <v>1837</v>
      </c>
    </row>
    <row r="153">
      <c r="A153" s="1" t="s">
        <v>11</v>
      </c>
      <c r="B153" s="1" t="str">
        <f>VLOOKUP(A153,Institutions!A:B,2,False)</f>
        <v>Denmark</v>
      </c>
      <c r="C153" s="8">
        <v>40909.0</v>
      </c>
      <c r="D153" s="1" t="s">
        <v>1838</v>
      </c>
    </row>
    <row r="154">
      <c r="A154" s="1" t="s">
        <v>11</v>
      </c>
      <c r="B154" s="1" t="str">
        <f>VLOOKUP(A154,Institutions!A:B,2,False)</f>
        <v>Denmark</v>
      </c>
      <c r="C154" s="8">
        <v>40909.0</v>
      </c>
      <c r="D154" s="1" t="s">
        <v>1839</v>
      </c>
    </row>
    <row r="155">
      <c r="A155" s="1" t="s">
        <v>11</v>
      </c>
      <c r="B155" s="1" t="str">
        <f>VLOOKUP(A155,Institutions!A:B,2,False)</f>
        <v>Denmark</v>
      </c>
      <c r="C155" s="8">
        <v>40909.0</v>
      </c>
      <c r="D155" s="1" t="s">
        <v>1840</v>
      </c>
    </row>
    <row r="156">
      <c r="A156" s="1" t="s">
        <v>11</v>
      </c>
      <c r="B156" s="1" t="str">
        <f>VLOOKUP(A156,Institutions!A:B,2,False)</f>
        <v>Denmark</v>
      </c>
      <c r="C156" s="8">
        <v>40909.0</v>
      </c>
      <c r="D156" s="1" t="s">
        <v>1841</v>
      </c>
    </row>
    <row r="157">
      <c r="A157" s="1" t="s">
        <v>11</v>
      </c>
      <c r="B157" s="1" t="str">
        <f>VLOOKUP(A157,Institutions!A:B,2,False)</f>
        <v>Denmark</v>
      </c>
      <c r="C157" s="8">
        <v>40909.0</v>
      </c>
      <c r="D157" s="1" t="s">
        <v>1842</v>
      </c>
    </row>
    <row r="158">
      <c r="A158" s="1" t="s">
        <v>11</v>
      </c>
      <c r="B158" s="1" t="str">
        <f>VLOOKUP(A158,Institutions!A:B,2,False)</f>
        <v>Denmark</v>
      </c>
      <c r="C158" s="8">
        <v>40909.0</v>
      </c>
      <c r="D158" s="1" t="s">
        <v>1843</v>
      </c>
    </row>
    <row r="159">
      <c r="A159" s="1" t="s">
        <v>11</v>
      </c>
      <c r="B159" s="1" t="str">
        <f>VLOOKUP(A159,Institutions!A:B,2,False)</f>
        <v>Denmark</v>
      </c>
      <c r="C159" s="8">
        <v>40909.0</v>
      </c>
      <c r="D159" s="1" t="s">
        <v>1844</v>
      </c>
    </row>
    <row r="160">
      <c r="A160" s="1" t="s">
        <v>11</v>
      </c>
      <c r="B160" s="1" t="str">
        <f>VLOOKUP(A160,Institutions!A:B,2,False)</f>
        <v>Denmark</v>
      </c>
      <c r="C160" s="8">
        <v>40544.0</v>
      </c>
      <c r="D160" s="1" t="s">
        <v>1845</v>
      </c>
    </row>
    <row r="161">
      <c r="A161" s="1" t="s">
        <v>11</v>
      </c>
      <c r="B161" s="1" t="str">
        <f>VLOOKUP(A161,Institutions!A:B,2,False)</f>
        <v>Denmark</v>
      </c>
      <c r="C161" s="8">
        <v>40544.0</v>
      </c>
      <c r="D161" s="1" t="s">
        <v>1846</v>
      </c>
    </row>
    <row r="162">
      <c r="A162" s="1" t="s">
        <v>11</v>
      </c>
      <c r="B162" s="1" t="str">
        <f>VLOOKUP(A162,Institutions!A:B,2,False)</f>
        <v>Denmark</v>
      </c>
      <c r="C162" s="8">
        <v>40544.0</v>
      </c>
      <c r="D162" s="1" t="s">
        <v>1847</v>
      </c>
    </row>
    <row r="163">
      <c r="A163" s="1" t="s">
        <v>11</v>
      </c>
      <c r="B163" s="1" t="str">
        <f>VLOOKUP(A163,Institutions!A:B,2,False)</f>
        <v>Denmark</v>
      </c>
      <c r="C163" s="8">
        <v>40179.0</v>
      </c>
      <c r="D163" s="1" t="s">
        <v>1849</v>
      </c>
    </row>
    <row r="164">
      <c r="A164" s="1" t="s">
        <v>11</v>
      </c>
      <c r="B164" s="1" t="str">
        <f>VLOOKUP(A164,Institutions!A:B,2,False)</f>
        <v>Denmark</v>
      </c>
      <c r="C164" s="8">
        <v>40179.0</v>
      </c>
      <c r="D164" s="1" t="s">
        <v>1850</v>
      </c>
    </row>
    <row r="165">
      <c r="A165" s="1" t="s">
        <v>11</v>
      </c>
      <c r="B165" s="1" t="str">
        <f>VLOOKUP(A165,Institutions!A:B,2,False)</f>
        <v>Denmark</v>
      </c>
      <c r="C165" s="8">
        <v>40179.0</v>
      </c>
      <c r="D165" s="1" t="s">
        <v>1851</v>
      </c>
    </row>
    <row r="166">
      <c r="A166" s="1" t="s">
        <v>11</v>
      </c>
      <c r="B166" s="1" t="str">
        <f>VLOOKUP(A166,Institutions!A:B,2,False)</f>
        <v>Denmark</v>
      </c>
      <c r="C166" s="8">
        <v>40179.0</v>
      </c>
      <c r="D166" s="1" t="s">
        <v>1852</v>
      </c>
    </row>
    <row r="167">
      <c r="A167" s="1" t="s">
        <v>11</v>
      </c>
      <c r="B167" s="1" t="str">
        <f>VLOOKUP(A167,Institutions!A:B,2,False)</f>
        <v>Denmark</v>
      </c>
      <c r="C167" s="8">
        <v>39814.0</v>
      </c>
      <c r="D167" s="1" t="s">
        <v>1853</v>
      </c>
    </row>
    <row r="168">
      <c r="A168" s="1" t="s">
        <v>11</v>
      </c>
      <c r="B168" s="1" t="str">
        <f>VLOOKUP(A168,Institutions!A:B,2,False)</f>
        <v>Denmark</v>
      </c>
      <c r="C168" s="8">
        <v>38353.0</v>
      </c>
      <c r="D168" s="1" t="s">
        <v>1854</v>
      </c>
    </row>
    <row r="169">
      <c r="A169" s="1" t="s">
        <v>13</v>
      </c>
      <c r="B169" s="1" t="str">
        <f>VLOOKUP(A169,Institutions!A:B,2,False)</f>
        <v>Denmark</v>
      </c>
      <c r="C169" s="8">
        <v>45292.0</v>
      </c>
      <c r="D169" s="1" t="s">
        <v>1116</v>
      </c>
    </row>
    <row r="170">
      <c r="A170" s="1" t="s">
        <v>13</v>
      </c>
      <c r="B170" s="1" t="str">
        <f>VLOOKUP(A170,Institutions!A:B,2,False)</f>
        <v>Denmark</v>
      </c>
      <c r="C170" s="8">
        <v>44927.0</v>
      </c>
      <c r="D170" s="1" t="s">
        <v>1499</v>
      </c>
    </row>
    <row r="171">
      <c r="A171" s="1" t="s">
        <v>13</v>
      </c>
      <c r="B171" s="1" t="str">
        <f>VLOOKUP(A171,Institutions!A:B,2,False)</f>
        <v>Denmark</v>
      </c>
      <c r="C171" s="8">
        <v>44927.0</v>
      </c>
      <c r="D171" s="1" t="s">
        <v>780</v>
      </c>
    </row>
    <row r="172">
      <c r="A172" s="1" t="s">
        <v>13</v>
      </c>
      <c r="B172" s="1" t="str">
        <f>VLOOKUP(A172,Institutions!A:B,2,False)</f>
        <v>Denmark</v>
      </c>
      <c r="C172" s="8">
        <v>44927.0</v>
      </c>
      <c r="D172" s="1" t="s">
        <v>1437</v>
      </c>
    </row>
    <row r="173">
      <c r="A173" s="1" t="s">
        <v>13</v>
      </c>
      <c r="B173" s="1" t="str">
        <f>VLOOKUP(A173,Institutions!A:B,2,False)</f>
        <v>Denmark</v>
      </c>
      <c r="C173" s="8">
        <v>44927.0</v>
      </c>
      <c r="D173" s="1" t="s">
        <v>1200</v>
      </c>
    </row>
    <row r="174">
      <c r="A174" s="1" t="s">
        <v>13</v>
      </c>
      <c r="B174" s="1" t="str">
        <f>VLOOKUP(A174,Institutions!A:B,2,False)</f>
        <v>Denmark</v>
      </c>
      <c r="C174" s="8">
        <v>44927.0</v>
      </c>
      <c r="D174" s="1" t="s">
        <v>1202</v>
      </c>
    </row>
    <row r="175">
      <c r="A175" s="1" t="s">
        <v>13</v>
      </c>
      <c r="B175" s="1" t="str">
        <f>VLOOKUP(A175,Institutions!A:B,2,False)</f>
        <v>Denmark</v>
      </c>
      <c r="C175" s="8">
        <v>44562.0</v>
      </c>
      <c r="D175" s="1" t="s">
        <v>1515</v>
      </c>
    </row>
    <row r="176">
      <c r="A176" s="1" t="s">
        <v>13</v>
      </c>
      <c r="B176" s="1" t="str">
        <f>VLOOKUP(A176,Institutions!A:B,2,False)</f>
        <v>Denmark</v>
      </c>
      <c r="C176" s="8">
        <v>44562.0</v>
      </c>
      <c r="D176" s="1" t="s">
        <v>1442</v>
      </c>
    </row>
    <row r="177">
      <c r="A177" s="1" t="s">
        <v>13</v>
      </c>
      <c r="B177" s="1" t="str">
        <f>VLOOKUP(A177,Institutions!A:B,2,False)</f>
        <v>Denmark</v>
      </c>
      <c r="C177" s="8">
        <v>44562.0</v>
      </c>
      <c r="D177" s="1" t="s">
        <v>1519</v>
      </c>
    </row>
    <row r="178">
      <c r="A178" s="1" t="s">
        <v>13</v>
      </c>
      <c r="B178" s="1" t="str">
        <f>VLOOKUP(A178,Institutions!A:B,2,False)</f>
        <v>Denmark</v>
      </c>
      <c r="C178" s="8">
        <v>44562.0</v>
      </c>
      <c r="D178" s="1" t="s">
        <v>124</v>
      </c>
    </row>
    <row r="179">
      <c r="A179" s="1" t="s">
        <v>13</v>
      </c>
      <c r="B179" s="1" t="str">
        <f>VLOOKUP(A179,Institutions!A:B,2,False)</f>
        <v>Denmark</v>
      </c>
      <c r="C179" s="8">
        <v>44562.0</v>
      </c>
      <c r="D179" s="1" t="s">
        <v>130</v>
      </c>
    </row>
    <row r="180">
      <c r="A180" s="1" t="s">
        <v>13</v>
      </c>
      <c r="B180" s="1" t="str">
        <f>VLOOKUP(A180,Institutions!A:B,2,False)</f>
        <v>Denmark</v>
      </c>
      <c r="C180" s="8">
        <v>44197.0</v>
      </c>
      <c r="D180" s="1" t="s">
        <v>1018</v>
      </c>
    </row>
    <row r="181">
      <c r="A181" s="1" t="s">
        <v>13</v>
      </c>
      <c r="B181" s="1" t="str">
        <f>VLOOKUP(A181,Institutions!A:B,2,False)</f>
        <v>Denmark</v>
      </c>
      <c r="C181" s="8">
        <v>44197.0</v>
      </c>
      <c r="D181" s="1" t="s">
        <v>841</v>
      </c>
    </row>
    <row r="182">
      <c r="A182" s="1" t="s">
        <v>13</v>
      </c>
      <c r="B182" s="1" t="str">
        <f>VLOOKUP(A182,Institutions!A:B,2,False)</f>
        <v>Denmark</v>
      </c>
      <c r="C182" s="8">
        <v>44197.0</v>
      </c>
      <c r="D182" s="1" t="s">
        <v>1535</v>
      </c>
    </row>
    <row r="183">
      <c r="A183" s="1" t="s">
        <v>13</v>
      </c>
      <c r="B183" s="1" t="str">
        <f>VLOOKUP(A183,Institutions!A:B,2,False)</f>
        <v>Denmark</v>
      </c>
      <c r="C183" s="8">
        <v>44197.0</v>
      </c>
      <c r="D183" s="1" t="s">
        <v>1537</v>
      </c>
    </row>
    <row r="184">
      <c r="A184" s="1" t="s">
        <v>13</v>
      </c>
      <c r="B184" s="1" t="str">
        <f>VLOOKUP(A184,Institutions!A:B,2,False)</f>
        <v>Denmark</v>
      </c>
      <c r="C184" s="8">
        <v>43466.0</v>
      </c>
      <c r="D184" s="1" t="s">
        <v>1037</v>
      </c>
    </row>
    <row r="185">
      <c r="A185" s="1" t="s">
        <v>13</v>
      </c>
      <c r="B185" s="1" t="str">
        <f>VLOOKUP(A185,Institutions!A:B,2,False)</f>
        <v>Denmark</v>
      </c>
      <c r="C185" s="8">
        <v>43466.0</v>
      </c>
      <c r="D185" s="1" t="s">
        <v>393</v>
      </c>
    </row>
    <row r="186">
      <c r="A186" s="1" t="s">
        <v>13</v>
      </c>
      <c r="B186" s="1" t="str">
        <f>VLOOKUP(A186,Institutions!A:B,2,False)</f>
        <v>Denmark</v>
      </c>
      <c r="C186" s="8">
        <v>43466.0</v>
      </c>
      <c r="D186" s="1" t="s">
        <v>976</v>
      </c>
    </row>
    <row r="187">
      <c r="A187" s="1" t="s">
        <v>13</v>
      </c>
      <c r="B187" s="1" t="str">
        <f>VLOOKUP(A187,Institutions!A:B,2,False)</f>
        <v>Denmark</v>
      </c>
      <c r="C187" s="8">
        <v>43101.0</v>
      </c>
      <c r="D187" s="1" t="s">
        <v>984</v>
      </c>
    </row>
    <row r="188">
      <c r="A188" s="1" t="s">
        <v>13</v>
      </c>
      <c r="B188" s="1" t="str">
        <f>VLOOKUP(A188,Institutions!A:B,2,False)</f>
        <v>Denmark</v>
      </c>
      <c r="C188" s="8">
        <v>43101.0</v>
      </c>
      <c r="D188" s="1" t="s">
        <v>1855</v>
      </c>
    </row>
    <row r="189">
      <c r="A189" s="1" t="s">
        <v>13</v>
      </c>
      <c r="B189" s="1" t="str">
        <f>VLOOKUP(A189,Institutions!A:B,2,False)</f>
        <v>Denmark</v>
      </c>
      <c r="C189" s="8">
        <v>43101.0</v>
      </c>
      <c r="D189" s="1" t="s">
        <v>1856</v>
      </c>
    </row>
    <row r="190">
      <c r="A190" s="1" t="s">
        <v>13</v>
      </c>
      <c r="B190" s="1" t="str">
        <f>VLOOKUP(A190,Institutions!A:B,2,False)</f>
        <v>Denmark</v>
      </c>
      <c r="C190" s="8">
        <v>42736.0</v>
      </c>
      <c r="D190" s="1" t="s">
        <v>1857</v>
      </c>
    </row>
    <row r="191">
      <c r="A191" s="1" t="s">
        <v>13</v>
      </c>
      <c r="B191" s="1" t="str">
        <f>VLOOKUP(A191,Institutions!A:B,2,False)</f>
        <v>Denmark</v>
      </c>
      <c r="C191" s="8">
        <v>42370.0</v>
      </c>
      <c r="D191" s="1" t="s">
        <v>1858</v>
      </c>
    </row>
    <row r="192">
      <c r="A192" s="1" t="s">
        <v>13</v>
      </c>
      <c r="B192" s="1" t="str">
        <f>VLOOKUP(A192,Institutions!A:B,2,False)</f>
        <v>Denmark</v>
      </c>
      <c r="C192" s="8">
        <v>42370.0</v>
      </c>
      <c r="D192" s="1" t="s">
        <v>1859</v>
      </c>
    </row>
    <row r="193">
      <c r="A193" s="1" t="s">
        <v>13</v>
      </c>
      <c r="B193" s="1" t="str">
        <f>VLOOKUP(A193,Institutions!A:B,2,False)</f>
        <v>Denmark</v>
      </c>
      <c r="C193" s="8">
        <v>42370.0</v>
      </c>
      <c r="D193" s="1" t="s">
        <v>1785</v>
      </c>
    </row>
    <row r="194">
      <c r="A194" s="1" t="s">
        <v>13</v>
      </c>
      <c r="B194" s="1" t="str">
        <f>VLOOKUP(A194,Institutions!A:B,2,False)</f>
        <v>Denmark</v>
      </c>
      <c r="C194" s="8">
        <v>42370.0</v>
      </c>
      <c r="D194" s="1" t="s">
        <v>1860</v>
      </c>
    </row>
    <row r="195">
      <c r="A195" s="1" t="s">
        <v>13</v>
      </c>
      <c r="B195" s="1" t="str">
        <f>VLOOKUP(A195,Institutions!A:B,2,False)</f>
        <v>Denmark</v>
      </c>
      <c r="C195" s="8">
        <v>42370.0</v>
      </c>
      <c r="D195" s="1" t="s">
        <v>1079</v>
      </c>
    </row>
    <row r="196">
      <c r="A196" s="1" t="s">
        <v>13</v>
      </c>
      <c r="B196" s="1" t="str">
        <f>VLOOKUP(A196,Institutions!A:B,2,False)</f>
        <v>Denmark</v>
      </c>
      <c r="C196" s="8">
        <v>42370.0</v>
      </c>
      <c r="D196" s="1" t="s">
        <v>1861</v>
      </c>
    </row>
    <row r="197">
      <c r="A197" s="1" t="s">
        <v>13</v>
      </c>
      <c r="B197" s="1" t="str">
        <f>VLOOKUP(A197,Institutions!A:B,2,False)</f>
        <v>Denmark</v>
      </c>
      <c r="C197" s="8">
        <v>42370.0</v>
      </c>
      <c r="D197" s="1" t="s">
        <v>1862</v>
      </c>
    </row>
    <row r="198">
      <c r="A198" s="1" t="s">
        <v>13</v>
      </c>
      <c r="B198" s="1" t="str">
        <f>VLOOKUP(A198,Institutions!A:B,2,False)</f>
        <v>Denmark</v>
      </c>
      <c r="C198" s="8">
        <v>42370.0</v>
      </c>
      <c r="D198" s="1" t="s">
        <v>1863</v>
      </c>
    </row>
    <row r="199">
      <c r="A199" s="1" t="s">
        <v>13</v>
      </c>
      <c r="B199" s="1" t="str">
        <f>VLOOKUP(A199,Institutions!A:B,2,False)</f>
        <v>Denmark</v>
      </c>
      <c r="C199" s="8">
        <v>42005.0</v>
      </c>
      <c r="D199" s="1" t="s">
        <v>1735</v>
      </c>
    </row>
    <row r="200">
      <c r="A200" s="1" t="s">
        <v>13</v>
      </c>
      <c r="B200" s="1" t="str">
        <f>VLOOKUP(A200,Institutions!A:B,2,False)</f>
        <v>Denmark</v>
      </c>
      <c r="C200" s="8">
        <v>41640.0</v>
      </c>
      <c r="D200" s="1" t="s">
        <v>1829</v>
      </c>
    </row>
    <row r="201">
      <c r="A201" s="1" t="s">
        <v>13</v>
      </c>
      <c r="B201" s="1" t="str">
        <f>VLOOKUP(A201,Institutions!A:B,2,False)</f>
        <v>Denmark</v>
      </c>
      <c r="C201" s="8">
        <v>41640.0</v>
      </c>
      <c r="D201" s="1" t="s">
        <v>1833</v>
      </c>
    </row>
    <row r="202">
      <c r="A202" s="1" t="s">
        <v>13</v>
      </c>
      <c r="B202" s="1" t="str">
        <f>VLOOKUP(A202,Institutions!A:B,2,False)</f>
        <v>Denmark</v>
      </c>
      <c r="C202" s="8">
        <v>41640.0</v>
      </c>
      <c r="D202" s="1" t="s">
        <v>1864</v>
      </c>
    </row>
    <row r="203">
      <c r="A203" s="1" t="s">
        <v>13</v>
      </c>
      <c r="B203" s="1" t="str">
        <f>VLOOKUP(A203,Institutions!A:B,2,False)</f>
        <v>Denmark</v>
      </c>
      <c r="C203" s="8">
        <v>41640.0</v>
      </c>
      <c r="D203" s="1" t="s">
        <v>1865</v>
      </c>
    </row>
    <row r="204">
      <c r="A204" s="1" t="s">
        <v>13</v>
      </c>
      <c r="B204" s="1" t="str">
        <f>VLOOKUP(A204,Institutions!A:B,2,False)</f>
        <v>Denmark</v>
      </c>
      <c r="C204" s="8">
        <v>41640.0</v>
      </c>
      <c r="D204" s="1" t="s">
        <v>1866</v>
      </c>
    </row>
    <row r="205">
      <c r="A205" s="1" t="s">
        <v>13</v>
      </c>
      <c r="B205" s="1" t="str">
        <f>VLOOKUP(A205,Institutions!A:B,2,False)</f>
        <v>Denmark</v>
      </c>
      <c r="C205" s="8">
        <v>41275.0</v>
      </c>
      <c r="D205" s="1" t="s">
        <v>1867</v>
      </c>
    </row>
    <row r="206">
      <c r="A206" s="1" t="s">
        <v>13</v>
      </c>
      <c r="B206" s="1" t="str">
        <f>VLOOKUP(A206,Institutions!A:B,2,False)</f>
        <v>Denmark</v>
      </c>
      <c r="C206" s="8">
        <v>41275.0</v>
      </c>
      <c r="D206" s="1" t="s">
        <v>1833</v>
      </c>
    </row>
    <row r="207">
      <c r="A207" s="1" t="s">
        <v>13</v>
      </c>
      <c r="B207" s="1" t="str">
        <f>VLOOKUP(A207,Institutions!A:B,2,False)</f>
        <v>Denmark</v>
      </c>
      <c r="C207" s="8">
        <v>41275.0</v>
      </c>
      <c r="D207" s="1" t="s">
        <v>1868</v>
      </c>
    </row>
    <row r="208">
      <c r="A208" s="1" t="s">
        <v>13</v>
      </c>
      <c r="B208" s="1" t="str">
        <f>VLOOKUP(A208,Institutions!A:B,2,False)</f>
        <v>Denmark</v>
      </c>
      <c r="C208" s="8">
        <v>41275.0</v>
      </c>
      <c r="D208" s="1" t="s">
        <v>1811</v>
      </c>
    </row>
    <row r="209">
      <c r="A209" s="1" t="s">
        <v>13</v>
      </c>
      <c r="B209" s="1" t="str">
        <f>VLOOKUP(A209,Institutions!A:B,2,False)</f>
        <v>Denmark</v>
      </c>
      <c r="C209" s="8">
        <v>40909.0</v>
      </c>
      <c r="D209" s="1" t="s">
        <v>1869</v>
      </c>
    </row>
    <row r="210">
      <c r="A210" s="1" t="s">
        <v>13</v>
      </c>
      <c r="B210" s="1" t="str">
        <f>VLOOKUP(A210,Institutions!A:B,2,False)</f>
        <v>Denmark</v>
      </c>
      <c r="C210" s="8">
        <v>40909.0</v>
      </c>
      <c r="D210" s="1" t="s">
        <v>1870</v>
      </c>
    </row>
    <row r="211">
      <c r="A211" s="1" t="s">
        <v>13</v>
      </c>
      <c r="B211" s="1" t="str">
        <f>VLOOKUP(A211,Institutions!A:B,2,False)</f>
        <v>Denmark</v>
      </c>
      <c r="C211" s="8">
        <v>40179.0</v>
      </c>
      <c r="D211" s="1" t="s">
        <v>1871</v>
      </c>
    </row>
    <row r="212">
      <c r="A212" s="1" t="s">
        <v>13</v>
      </c>
      <c r="B212" s="1" t="str">
        <f>VLOOKUP(A212,Institutions!A:B,2,False)</f>
        <v>Denmark</v>
      </c>
      <c r="C212" s="8">
        <v>40179.0</v>
      </c>
      <c r="D212" s="1" t="s">
        <v>1741</v>
      </c>
    </row>
    <row r="213">
      <c r="A213" s="1" t="s">
        <v>13</v>
      </c>
      <c r="B213" s="1" t="str">
        <f>VLOOKUP(A213,Institutions!A:B,2,False)</f>
        <v>Denmark</v>
      </c>
      <c r="C213" s="8">
        <v>40179.0</v>
      </c>
      <c r="D213" s="1" t="s">
        <v>1872</v>
      </c>
    </row>
    <row r="214">
      <c r="A214" s="1" t="s">
        <v>13</v>
      </c>
      <c r="B214" s="1" t="str">
        <f>VLOOKUP(A214,Institutions!A:B,2,False)</f>
        <v>Denmark</v>
      </c>
      <c r="C214" s="8">
        <v>40179.0</v>
      </c>
      <c r="D214" s="1" t="s">
        <v>1873</v>
      </c>
    </row>
    <row r="215">
      <c r="A215" s="1" t="s">
        <v>13</v>
      </c>
      <c r="B215" s="1" t="str">
        <f>VLOOKUP(A215,Institutions!A:B,2,False)</f>
        <v>Denmark</v>
      </c>
      <c r="C215" s="8">
        <v>39814.0</v>
      </c>
      <c r="D215" s="1" t="s">
        <v>1874</v>
      </c>
    </row>
    <row r="216">
      <c r="A216" s="1" t="s">
        <v>13</v>
      </c>
      <c r="B216" s="1" t="str">
        <f>VLOOKUP(A216,Institutions!A:B,2,False)</f>
        <v>Denmark</v>
      </c>
      <c r="C216" s="8">
        <v>39814.0</v>
      </c>
      <c r="D216" s="1" t="s">
        <v>1875</v>
      </c>
    </row>
    <row r="217">
      <c r="A217" s="1" t="s">
        <v>13</v>
      </c>
      <c r="B217" s="1" t="str">
        <f>VLOOKUP(A217,Institutions!A:B,2,False)</f>
        <v>Denmark</v>
      </c>
      <c r="C217" s="8">
        <v>39814.0</v>
      </c>
      <c r="D217" s="1" t="s">
        <v>1876</v>
      </c>
    </row>
    <row r="218">
      <c r="A218" s="1" t="s">
        <v>13</v>
      </c>
      <c r="B218" s="1" t="str">
        <f>VLOOKUP(A218,Institutions!A:B,2,False)</f>
        <v>Denmark</v>
      </c>
      <c r="C218" s="8">
        <v>39814.0</v>
      </c>
      <c r="D218" s="1" t="s">
        <v>1877</v>
      </c>
    </row>
    <row r="219">
      <c r="A219" s="1" t="s">
        <v>13</v>
      </c>
      <c r="B219" s="1" t="str">
        <f>VLOOKUP(A219,Institutions!A:B,2,False)</f>
        <v>Denmark</v>
      </c>
      <c r="C219" s="8">
        <v>39814.0</v>
      </c>
      <c r="D219" s="1" t="s">
        <v>1878</v>
      </c>
    </row>
    <row r="220">
      <c r="A220" s="1" t="s">
        <v>13</v>
      </c>
      <c r="B220" s="1" t="str">
        <f>VLOOKUP(A220,Institutions!A:B,2,False)</f>
        <v>Denmark</v>
      </c>
      <c r="C220" s="8">
        <v>39814.0</v>
      </c>
      <c r="D220" s="1" t="s">
        <v>1879</v>
      </c>
    </row>
    <row r="221">
      <c r="A221" s="1" t="s">
        <v>13</v>
      </c>
      <c r="B221" s="1" t="str">
        <f>VLOOKUP(A221,Institutions!A:B,2,False)</f>
        <v>Denmark</v>
      </c>
      <c r="C221" s="8">
        <v>39814.0</v>
      </c>
      <c r="D221" s="1" t="s">
        <v>1880</v>
      </c>
    </row>
    <row r="222">
      <c r="A222" s="1" t="s">
        <v>13</v>
      </c>
      <c r="B222" s="1" t="str">
        <f>VLOOKUP(A222,Institutions!A:B,2,False)</f>
        <v>Denmark</v>
      </c>
      <c r="C222" s="8">
        <v>39448.0</v>
      </c>
      <c r="D222" s="1" t="s">
        <v>1881</v>
      </c>
    </row>
    <row r="223">
      <c r="A223" s="1" t="s">
        <v>13</v>
      </c>
      <c r="B223" s="1" t="str">
        <f>VLOOKUP(A223,Institutions!A:B,2,False)</f>
        <v>Denmark</v>
      </c>
      <c r="C223" s="8">
        <v>39448.0</v>
      </c>
      <c r="D223" s="1" t="s">
        <v>1882</v>
      </c>
    </row>
    <row r="224">
      <c r="A224" s="1" t="s">
        <v>13</v>
      </c>
      <c r="B224" s="1" t="str">
        <f>VLOOKUP(A224,Institutions!A:B,2,False)</f>
        <v>Denmark</v>
      </c>
      <c r="C224" s="8">
        <v>39083.0</v>
      </c>
      <c r="D224" s="1" t="s">
        <v>1884</v>
      </c>
    </row>
    <row r="225">
      <c r="A225" s="1" t="s">
        <v>13</v>
      </c>
      <c r="B225" s="1" t="str">
        <f>VLOOKUP(A225,Institutions!A:B,2,False)</f>
        <v>Denmark</v>
      </c>
      <c r="C225" s="8">
        <v>39083.0</v>
      </c>
      <c r="D225" s="1" t="s">
        <v>1885</v>
      </c>
    </row>
    <row r="226">
      <c r="A226" s="1" t="s">
        <v>13</v>
      </c>
      <c r="B226" s="1" t="str">
        <f>VLOOKUP(A226,Institutions!A:B,2,False)</f>
        <v>Denmark</v>
      </c>
      <c r="C226" s="8">
        <v>39083.0</v>
      </c>
      <c r="D226" s="1" t="s">
        <v>1886</v>
      </c>
    </row>
    <row r="227">
      <c r="A227" s="1" t="s">
        <v>13</v>
      </c>
      <c r="B227" s="1" t="str">
        <f>VLOOKUP(A227,Institutions!A:B,2,False)</f>
        <v>Denmark</v>
      </c>
      <c r="C227" s="8">
        <v>39083.0</v>
      </c>
      <c r="D227" s="1" t="s">
        <v>1887</v>
      </c>
    </row>
    <row r="228">
      <c r="A228" s="1" t="s">
        <v>13</v>
      </c>
      <c r="B228" s="1" t="str">
        <f>VLOOKUP(A228,Institutions!A:B,2,False)</f>
        <v>Denmark</v>
      </c>
      <c r="C228" s="8">
        <v>38718.0</v>
      </c>
      <c r="D228" s="1" t="s">
        <v>1889</v>
      </c>
    </row>
    <row r="229">
      <c r="A229" s="1" t="s">
        <v>13</v>
      </c>
      <c r="B229" s="1" t="str">
        <f>VLOOKUP(A229,Institutions!A:B,2,False)</f>
        <v>Denmark</v>
      </c>
      <c r="C229" s="8">
        <v>38718.0</v>
      </c>
      <c r="D229" s="1" t="s">
        <v>1890</v>
      </c>
    </row>
    <row r="230">
      <c r="A230" s="1" t="s">
        <v>13</v>
      </c>
      <c r="B230" s="1" t="str">
        <f>VLOOKUP(A230,Institutions!A:B,2,False)</f>
        <v>Denmark</v>
      </c>
      <c r="C230" s="8">
        <v>38353.0</v>
      </c>
      <c r="D230" s="1" t="s">
        <v>1891</v>
      </c>
    </row>
    <row r="231">
      <c r="A231" s="1" t="s">
        <v>15</v>
      </c>
      <c r="B231" s="1" t="str">
        <f>VLOOKUP(A231,Institutions!A:B,2,False)</f>
        <v>Denmark</v>
      </c>
      <c r="C231" s="8">
        <v>45292.0</v>
      </c>
      <c r="D231" s="1" t="s">
        <v>7</v>
      </c>
    </row>
    <row r="232">
      <c r="A232" s="1" t="s">
        <v>15</v>
      </c>
      <c r="B232" s="1" t="str">
        <f>VLOOKUP(A232,Institutions!A:B,2,False)</f>
        <v>Denmark</v>
      </c>
      <c r="C232" s="8">
        <v>45292.0</v>
      </c>
      <c r="D232" s="1" t="s">
        <v>1111</v>
      </c>
    </row>
    <row r="233">
      <c r="A233" s="1" t="s">
        <v>15</v>
      </c>
      <c r="B233" s="1" t="str">
        <f>VLOOKUP(A233,Institutions!A:B,2,False)</f>
        <v>Denmark</v>
      </c>
      <c r="C233" s="8">
        <v>45292.0</v>
      </c>
      <c r="D233" s="1" t="s">
        <v>27</v>
      </c>
    </row>
    <row r="234">
      <c r="A234" s="1" t="s">
        <v>15</v>
      </c>
      <c r="B234" s="1" t="str">
        <f>VLOOKUP(A234,Institutions!A:B,2,False)</f>
        <v>Denmark</v>
      </c>
      <c r="C234" s="8">
        <v>44927.0</v>
      </c>
      <c r="D234" s="1" t="s">
        <v>1189</v>
      </c>
    </row>
    <row r="235">
      <c r="A235" s="1" t="s">
        <v>15</v>
      </c>
      <c r="B235" s="1" t="str">
        <f>VLOOKUP(A235,Institutions!A:B,2,False)</f>
        <v>Denmark</v>
      </c>
      <c r="C235" s="8">
        <v>44927.0</v>
      </c>
      <c r="D235" s="1" t="s">
        <v>1191</v>
      </c>
    </row>
    <row r="236">
      <c r="A236" s="1" t="s">
        <v>15</v>
      </c>
      <c r="B236" s="1" t="str">
        <f>VLOOKUP(A236,Institutions!A:B,2,False)</f>
        <v>Denmark</v>
      </c>
      <c r="C236" s="8">
        <v>44927.0</v>
      </c>
      <c r="D236" s="1" t="s">
        <v>442</v>
      </c>
    </row>
    <row r="237">
      <c r="A237" s="1" t="s">
        <v>15</v>
      </c>
      <c r="B237" s="1" t="str">
        <f>VLOOKUP(A237,Institutions!A:B,2,False)</f>
        <v>Denmark</v>
      </c>
      <c r="C237" s="8">
        <v>44927.0</v>
      </c>
      <c r="D237" s="1" t="s">
        <v>47</v>
      </c>
    </row>
    <row r="238">
      <c r="A238" s="1" t="s">
        <v>15</v>
      </c>
      <c r="B238" s="1" t="str">
        <f>VLOOKUP(A238,Institutions!A:B,2,False)</f>
        <v>Denmark</v>
      </c>
      <c r="C238" s="8">
        <v>44927.0</v>
      </c>
      <c r="D238" s="1" t="s">
        <v>1200</v>
      </c>
    </row>
    <row r="239">
      <c r="A239" s="1" t="s">
        <v>15</v>
      </c>
      <c r="B239" s="1" t="str">
        <f>VLOOKUP(A239,Institutions!A:B,2,False)</f>
        <v>Denmark</v>
      </c>
      <c r="C239" s="8">
        <v>44562.0</v>
      </c>
      <c r="D239" s="1" t="s">
        <v>474</v>
      </c>
    </row>
    <row r="240">
      <c r="A240" s="1" t="s">
        <v>15</v>
      </c>
      <c r="B240" s="1" t="str">
        <f>VLOOKUP(A240,Institutions!A:B,2,False)</f>
        <v>Denmark</v>
      </c>
      <c r="C240" s="8">
        <v>44562.0</v>
      </c>
      <c r="D240" s="1" t="s">
        <v>478</v>
      </c>
    </row>
    <row r="241">
      <c r="A241" s="1" t="s">
        <v>15</v>
      </c>
      <c r="B241" s="1" t="str">
        <f>VLOOKUP(A241,Institutions!A:B,2,False)</f>
        <v>Denmark</v>
      </c>
      <c r="C241" s="8">
        <v>44562.0</v>
      </c>
      <c r="D241" s="1" t="s">
        <v>1213</v>
      </c>
    </row>
    <row r="242">
      <c r="A242" s="1" t="s">
        <v>15</v>
      </c>
      <c r="B242" s="1" t="str">
        <f>VLOOKUP(A242,Institutions!A:B,2,False)</f>
        <v>Denmark</v>
      </c>
      <c r="C242" s="8">
        <v>44562.0</v>
      </c>
      <c r="D242" s="1" t="s">
        <v>808</v>
      </c>
    </row>
    <row r="243">
      <c r="A243" s="1" t="s">
        <v>15</v>
      </c>
      <c r="B243" s="1" t="str">
        <f>VLOOKUP(A243,Institutions!A:B,2,False)</f>
        <v>Denmark</v>
      </c>
      <c r="C243" s="8">
        <v>44562.0</v>
      </c>
      <c r="D243" s="1" t="s">
        <v>811</v>
      </c>
    </row>
    <row r="244">
      <c r="A244" s="1" t="s">
        <v>15</v>
      </c>
      <c r="B244" s="1" t="str">
        <f>VLOOKUP(A244,Institutions!A:B,2,False)</f>
        <v>Denmark</v>
      </c>
      <c r="C244" s="8">
        <v>44562.0</v>
      </c>
      <c r="D244" s="1" t="s">
        <v>497</v>
      </c>
    </row>
    <row r="245">
      <c r="A245" s="1" t="s">
        <v>15</v>
      </c>
      <c r="B245" s="1" t="str">
        <f>VLOOKUP(A245,Institutions!A:B,2,False)</f>
        <v>Denmark</v>
      </c>
      <c r="C245" s="8">
        <v>44562.0</v>
      </c>
      <c r="D245" s="1" t="s">
        <v>1225</v>
      </c>
    </row>
    <row r="246">
      <c r="A246" s="1" t="s">
        <v>15</v>
      </c>
      <c r="B246" s="1" t="str">
        <f>VLOOKUP(A246,Institutions!A:B,2,False)</f>
        <v>Denmark</v>
      </c>
      <c r="C246" s="8">
        <v>44562.0</v>
      </c>
      <c r="D246" s="1" t="s">
        <v>501</v>
      </c>
    </row>
    <row r="247">
      <c r="A247" s="1" t="s">
        <v>15</v>
      </c>
      <c r="B247" s="1" t="str">
        <f>VLOOKUP(A247,Institutions!A:B,2,False)</f>
        <v>Denmark</v>
      </c>
      <c r="C247" s="8">
        <v>44562.0</v>
      </c>
      <c r="D247" s="1" t="s">
        <v>1228</v>
      </c>
    </row>
    <row r="248">
      <c r="A248" s="1" t="s">
        <v>15</v>
      </c>
      <c r="B248" s="1" t="str">
        <f>VLOOKUP(A248,Institutions!A:B,2,False)</f>
        <v>Denmark</v>
      </c>
      <c r="C248" s="8">
        <v>44197.0</v>
      </c>
      <c r="D248" s="1" t="s">
        <v>159</v>
      </c>
    </row>
    <row r="249">
      <c r="A249" s="1" t="s">
        <v>15</v>
      </c>
      <c r="B249" s="1" t="str">
        <f>VLOOKUP(A249,Institutions!A:B,2,False)</f>
        <v>Denmark</v>
      </c>
      <c r="C249" s="8">
        <v>44197.0</v>
      </c>
      <c r="D249" s="1" t="s">
        <v>1230</v>
      </c>
    </row>
    <row r="250">
      <c r="A250" s="1" t="s">
        <v>15</v>
      </c>
      <c r="B250" s="1" t="str">
        <f>VLOOKUP(A250,Institutions!A:B,2,False)</f>
        <v>Denmark</v>
      </c>
      <c r="C250" s="8">
        <v>44197.0</v>
      </c>
      <c r="D250" s="1" t="s">
        <v>163</v>
      </c>
    </row>
    <row r="251">
      <c r="A251" s="1" t="s">
        <v>15</v>
      </c>
      <c r="B251" s="1" t="str">
        <f>VLOOKUP(A251,Institutions!A:B,2,False)</f>
        <v>Denmark</v>
      </c>
      <c r="C251" s="8">
        <v>44197.0</v>
      </c>
      <c r="D251" s="1" t="s">
        <v>841</v>
      </c>
    </row>
    <row r="252">
      <c r="A252" s="1" t="s">
        <v>15</v>
      </c>
      <c r="B252" s="1" t="str">
        <f>VLOOKUP(A252,Institutions!A:B,2,False)</f>
        <v>Denmark</v>
      </c>
      <c r="C252" s="8">
        <v>44197.0</v>
      </c>
      <c r="D252" s="1" t="s">
        <v>520</v>
      </c>
    </row>
    <row r="253">
      <c r="A253" s="1" t="s">
        <v>15</v>
      </c>
      <c r="B253" s="1" t="str">
        <f>VLOOKUP(A253,Institutions!A:B,2,False)</f>
        <v>Denmark</v>
      </c>
      <c r="C253" s="8">
        <v>44197.0</v>
      </c>
      <c r="D253" s="1" t="s">
        <v>1235</v>
      </c>
    </row>
    <row r="254">
      <c r="A254" s="1" t="s">
        <v>15</v>
      </c>
      <c r="B254" s="1" t="str">
        <f>VLOOKUP(A254,Institutions!A:B,2,False)</f>
        <v>Denmark</v>
      </c>
      <c r="C254" s="8">
        <v>44197.0</v>
      </c>
      <c r="D254" s="1" t="s">
        <v>1239</v>
      </c>
    </row>
    <row r="255">
      <c r="A255" s="1" t="s">
        <v>15</v>
      </c>
      <c r="B255" s="1" t="str">
        <f>VLOOKUP(A255,Institutions!A:B,2,False)</f>
        <v>Denmark</v>
      </c>
      <c r="C255" s="8">
        <v>44197.0</v>
      </c>
      <c r="D255" s="1" t="s">
        <v>1241</v>
      </c>
    </row>
    <row r="256">
      <c r="A256" s="1" t="s">
        <v>15</v>
      </c>
      <c r="B256" s="1" t="str">
        <f>VLOOKUP(A256,Institutions!A:B,2,False)</f>
        <v>Denmark</v>
      </c>
      <c r="C256" s="8">
        <v>43831.0</v>
      </c>
      <c r="D256" s="1" t="s">
        <v>1243</v>
      </c>
    </row>
    <row r="257">
      <c r="A257" s="1" t="s">
        <v>15</v>
      </c>
      <c r="B257" s="1" t="str">
        <f>VLOOKUP(A257,Institutions!A:B,2,False)</f>
        <v>Denmark</v>
      </c>
      <c r="C257" s="8">
        <v>43831.0</v>
      </c>
      <c r="D257" s="1" t="s">
        <v>1453</v>
      </c>
    </row>
    <row r="258">
      <c r="A258" s="1" t="s">
        <v>15</v>
      </c>
      <c r="B258" s="1" t="str">
        <f>VLOOKUP(A258,Institutions!A:B,2,False)</f>
        <v>Denmark</v>
      </c>
      <c r="C258" s="8">
        <v>43831.0</v>
      </c>
      <c r="D258" s="1" t="s">
        <v>893</v>
      </c>
    </row>
    <row r="259">
      <c r="A259" s="1" t="s">
        <v>15</v>
      </c>
      <c r="B259" s="1" t="str">
        <f>VLOOKUP(A259,Institutions!A:B,2,False)</f>
        <v>Denmark</v>
      </c>
      <c r="C259" s="8">
        <v>43831.0</v>
      </c>
      <c r="D259" s="1" t="s">
        <v>1030</v>
      </c>
    </row>
    <row r="260">
      <c r="A260" s="1" t="s">
        <v>15</v>
      </c>
      <c r="B260" s="1" t="str">
        <f>VLOOKUP(A260,Institutions!A:B,2,False)</f>
        <v>Denmark</v>
      </c>
      <c r="C260" s="8">
        <v>43831.0</v>
      </c>
      <c r="D260" s="1" t="s">
        <v>891</v>
      </c>
    </row>
    <row r="261">
      <c r="A261" s="1" t="s">
        <v>15</v>
      </c>
      <c r="B261" s="1" t="str">
        <f>VLOOKUP(A261,Institutions!A:B,2,False)</f>
        <v>Denmark</v>
      </c>
      <c r="C261" s="8">
        <v>43831.0</v>
      </c>
      <c r="D261" s="1" t="s">
        <v>1892</v>
      </c>
    </row>
    <row r="262">
      <c r="A262" s="1" t="s">
        <v>15</v>
      </c>
      <c r="B262" s="1" t="str">
        <f>VLOOKUP(A262,Institutions!A:B,2,False)</f>
        <v>Denmark</v>
      </c>
      <c r="C262" s="8">
        <v>43831.0</v>
      </c>
      <c r="D262" s="1" t="s">
        <v>1545</v>
      </c>
    </row>
    <row r="263">
      <c r="A263" s="1" t="s">
        <v>15</v>
      </c>
      <c r="B263" s="1" t="str">
        <f>VLOOKUP(A263,Institutions!A:B,2,False)</f>
        <v>Denmark</v>
      </c>
      <c r="C263" s="8">
        <v>43831.0</v>
      </c>
      <c r="D263" s="1" t="s">
        <v>1457</v>
      </c>
    </row>
    <row r="264">
      <c r="A264" s="1" t="s">
        <v>15</v>
      </c>
      <c r="B264" s="1" t="str">
        <f>VLOOKUP(A264,Institutions!A:B,2,False)</f>
        <v>Denmark</v>
      </c>
      <c r="C264" s="8">
        <v>43831.0</v>
      </c>
      <c r="D264" s="1" t="s">
        <v>1458</v>
      </c>
    </row>
    <row r="265">
      <c r="A265" s="1" t="s">
        <v>15</v>
      </c>
      <c r="B265" s="1" t="str">
        <f>VLOOKUP(A265,Institutions!A:B,2,False)</f>
        <v>Denmark</v>
      </c>
      <c r="C265" s="8">
        <v>43466.0</v>
      </c>
      <c r="D265" s="1" t="s">
        <v>597</v>
      </c>
    </row>
    <row r="266">
      <c r="A266" s="1" t="s">
        <v>15</v>
      </c>
      <c r="B266" s="1" t="str">
        <f>VLOOKUP(A266,Institutions!A:B,2,False)</f>
        <v>Denmark</v>
      </c>
      <c r="C266" s="8">
        <v>43466.0</v>
      </c>
      <c r="D266" s="1" t="s">
        <v>599</v>
      </c>
    </row>
    <row r="267">
      <c r="A267" s="1" t="s">
        <v>15</v>
      </c>
      <c r="B267" s="1" t="str">
        <f>VLOOKUP(A267,Institutions!A:B,2,False)</f>
        <v>Denmark</v>
      </c>
      <c r="C267" s="8">
        <v>43466.0</v>
      </c>
      <c r="D267" s="1" t="s">
        <v>1893</v>
      </c>
    </row>
    <row r="268">
      <c r="A268" s="1" t="s">
        <v>15</v>
      </c>
      <c r="B268" s="1" t="str">
        <f>VLOOKUP(A268,Institutions!A:B,2,False)</f>
        <v>Denmark</v>
      </c>
      <c r="C268" s="8">
        <v>43466.0</v>
      </c>
      <c r="D268" s="1" t="s">
        <v>1894</v>
      </c>
    </row>
    <row r="269">
      <c r="A269" s="1" t="s">
        <v>15</v>
      </c>
      <c r="B269" s="1" t="str">
        <f>VLOOKUP(A269,Institutions!A:B,2,False)</f>
        <v>Denmark</v>
      </c>
      <c r="C269" s="8">
        <v>43466.0</v>
      </c>
      <c r="D269" s="1" t="s">
        <v>1895</v>
      </c>
    </row>
    <row r="270">
      <c r="A270" s="1" t="s">
        <v>15</v>
      </c>
      <c r="B270" s="1" t="str">
        <f>VLOOKUP(A270,Institutions!A:B,2,False)</f>
        <v>Denmark</v>
      </c>
      <c r="C270" s="8">
        <v>43466.0</v>
      </c>
      <c r="D270" s="1" t="s">
        <v>1040</v>
      </c>
    </row>
    <row r="271">
      <c r="A271" s="1" t="s">
        <v>15</v>
      </c>
      <c r="B271" s="1" t="str">
        <f>VLOOKUP(A271,Institutions!A:B,2,False)</f>
        <v>Denmark</v>
      </c>
      <c r="C271" s="8">
        <v>43466.0</v>
      </c>
      <c r="D271" s="1" t="s">
        <v>609</v>
      </c>
    </row>
    <row r="272">
      <c r="A272" s="1" t="s">
        <v>15</v>
      </c>
      <c r="B272" s="1" t="str">
        <f>VLOOKUP(A272,Institutions!A:B,2,False)</f>
        <v>Denmark</v>
      </c>
      <c r="C272" s="8">
        <v>43101.0</v>
      </c>
      <c r="D272" s="1" t="s">
        <v>1896</v>
      </c>
    </row>
    <row r="273">
      <c r="A273" s="1" t="s">
        <v>15</v>
      </c>
      <c r="B273" s="1" t="str">
        <f>VLOOKUP(A273,Institutions!A:B,2,False)</f>
        <v>Denmark</v>
      </c>
      <c r="C273" s="8">
        <v>42736.0</v>
      </c>
      <c r="D273" s="1" t="s">
        <v>1825</v>
      </c>
    </row>
    <row r="274">
      <c r="A274" s="1" t="s">
        <v>15</v>
      </c>
      <c r="B274" s="1" t="str">
        <f>VLOOKUP(A274,Institutions!A:B,2,False)</f>
        <v>Denmark</v>
      </c>
      <c r="C274" s="8">
        <v>42736.0</v>
      </c>
      <c r="D274" s="1" t="s">
        <v>1063</v>
      </c>
    </row>
    <row r="275">
      <c r="A275" s="1" t="s">
        <v>15</v>
      </c>
      <c r="B275" s="1" t="str">
        <f>VLOOKUP(A275,Institutions!A:B,2,False)</f>
        <v>Denmark</v>
      </c>
      <c r="C275" s="8">
        <v>42736.0</v>
      </c>
      <c r="D275" s="1" t="s">
        <v>1897</v>
      </c>
    </row>
    <row r="276">
      <c r="A276" s="1" t="s">
        <v>15</v>
      </c>
      <c r="B276" s="1" t="str">
        <f>VLOOKUP(A276,Institutions!A:B,2,False)</f>
        <v>Denmark</v>
      </c>
      <c r="C276" s="8">
        <v>42370.0</v>
      </c>
      <c r="D276" s="1" t="s">
        <v>1080</v>
      </c>
    </row>
    <row r="277">
      <c r="A277" s="1" t="s">
        <v>15</v>
      </c>
      <c r="B277" s="1" t="str">
        <f>VLOOKUP(A277,Institutions!A:B,2,False)</f>
        <v>Denmark</v>
      </c>
      <c r="C277" s="8">
        <v>42005.0</v>
      </c>
      <c r="D277" s="1" t="s">
        <v>1826</v>
      </c>
    </row>
    <row r="278">
      <c r="A278" s="1" t="s">
        <v>15</v>
      </c>
      <c r="B278" s="1" t="str">
        <f>VLOOKUP(A278,Institutions!A:B,2,False)</f>
        <v>Denmark</v>
      </c>
      <c r="C278" s="8">
        <v>42005.0</v>
      </c>
      <c r="D278" s="1" t="s">
        <v>1827</v>
      </c>
    </row>
    <row r="279">
      <c r="A279" s="1" t="s">
        <v>15</v>
      </c>
      <c r="B279" s="1" t="str">
        <f>VLOOKUP(A279,Institutions!A:B,2,False)</f>
        <v>Denmark</v>
      </c>
      <c r="C279" s="8">
        <v>41640.0</v>
      </c>
      <c r="D279" s="1" t="s">
        <v>1898</v>
      </c>
    </row>
    <row r="280">
      <c r="A280" s="1" t="s">
        <v>15</v>
      </c>
      <c r="B280" s="1" t="str">
        <f>VLOOKUP(A280,Institutions!A:B,2,False)</f>
        <v>Denmark</v>
      </c>
      <c r="C280" s="8">
        <v>41640.0</v>
      </c>
      <c r="D280" s="1" t="s">
        <v>1800</v>
      </c>
    </row>
    <row r="281">
      <c r="A281" s="1" t="s">
        <v>15</v>
      </c>
      <c r="B281" s="1" t="str">
        <f>VLOOKUP(A281,Institutions!A:B,2,False)</f>
        <v>Denmark</v>
      </c>
      <c r="C281" s="8">
        <v>41640.0</v>
      </c>
      <c r="D281" s="1" t="s">
        <v>1899</v>
      </c>
    </row>
    <row r="282">
      <c r="A282" s="1" t="s">
        <v>15</v>
      </c>
      <c r="B282" s="1" t="str">
        <f>VLOOKUP(A282,Institutions!A:B,2,False)</f>
        <v>Denmark</v>
      </c>
      <c r="C282" s="8">
        <v>41275.0</v>
      </c>
      <c r="D282" s="1" t="s">
        <v>1831</v>
      </c>
    </row>
    <row r="283">
      <c r="A283" s="1" t="s">
        <v>15</v>
      </c>
      <c r="B283" s="1" t="str">
        <f>VLOOKUP(A283,Institutions!A:B,2,False)</f>
        <v>Denmark</v>
      </c>
      <c r="C283" s="8">
        <v>40909.0</v>
      </c>
      <c r="D283" s="1" t="s">
        <v>1741</v>
      </c>
    </row>
    <row r="284">
      <c r="A284" s="1" t="s">
        <v>15</v>
      </c>
      <c r="B284" s="1" t="str">
        <f>VLOOKUP(A284,Institutions!A:B,2,False)</f>
        <v>Denmark</v>
      </c>
      <c r="C284" s="8">
        <v>40179.0</v>
      </c>
      <c r="D284" s="1" t="s">
        <v>1741</v>
      </c>
    </row>
    <row r="285">
      <c r="A285" s="1" t="s">
        <v>15</v>
      </c>
      <c r="B285" s="1" t="str">
        <f>VLOOKUP(A285,Institutions!A:B,2,False)</f>
        <v>Denmark</v>
      </c>
      <c r="C285" s="8">
        <v>40179.0</v>
      </c>
      <c r="D285" s="1" t="s">
        <v>1873</v>
      </c>
    </row>
    <row r="286">
      <c r="A286" s="1" t="s">
        <v>15</v>
      </c>
      <c r="B286" s="1" t="str">
        <f>VLOOKUP(A286,Institutions!A:B,2,False)</f>
        <v>Denmark</v>
      </c>
      <c r="C286" s="8">
        <v>40179.0</v>
      </c>
      <c r="D286" s="1" t="s">
        <v>1900</v>
      </c>
    </row>
    <row r="287">
      <c r="A287" s="1" t="s">
        <v>15</v>
      </c>
      <c r="B287" s="1" t="str">
        <f>VLOOKUP(A287,Institutions!A:B,2,False)</f>
        <v>Denmark</v>
      </c>
      <c r="C287" s="8">
        <v>39814.0</v>
      </c>
      <c r="D287" s="1" t="s">
        <v>1901</v>
      </c>
    </row>
    <row r="288">
      <c r="A288" s="1" t="s">
        <v>15</v>
      </c>
      <c r="B288" s="1" t="str">
        <f>VLOOKUP(A288,Institutions!A:B,2,False)</f>
        <v>Denmark</v>
      </c>
      <c r="C288" s="8">
        <v>39814.0</v>
      </c>
      <c r="D288" s="1" t="s">
        <v>1902</v>
      </c>
    </row>
    <row r="289">
      <c r="A289" s="1" t="s">
        <v>15</v>
      </c>
      <c r="B289" s="1" t="str">
        <f>VLOOKUP(A289,Institutions!A:B,2,False)</f>
        <v>Denmark</v>
      </c>
      <c r="C289" s="8">
        <v>39448.0</v>
      </c>
      <c r="D289" s="1" t="s">
        <v>1903</v>
      </c>
    </row>
    <row r="290">
      <c r="A290" s="1" t="s">
        <v>17</v>
      </c>
      <c r="B290" s="1" t="str">
        <f>VLOOKUP(A290,Institutions!A:B,2,False)</f>
        <v>Denmark</v>
      </c>
      <c r="C290" s="8">
        <v>45292.0</v>
      </c>
      <c r="D290" s="1" t="s">
        <v>14</v>
      </c>
    </row>
    <row r="291">
      <c r="A291" s="1" t="s">
        <v>17</v>
      </c>
      <c r="B291" s="1" t="str">
        <f>VLOOKUP(A291,Institutions!A:B,2,False)</f>
        <v>Denmark</v>
      </c>
      <c r="C291" s="8">
        <v>44927.0</v>
      </c>
      <c r="D291" s="1" t="s">
        <v>1204</v>
      </c>
    </row>
    <row r="292">
      <c r="A292" s="1" t="s">
        <v>17</v>
      </c>
      <c r="B292" s="1" t="str">
        <f>VLOOKUP(A292,Institutions!A:B,2,False)</f>
        <v>Denmark</v>
      </c>
      <c r="C292" s="8">
        <v>44562.0</v>
      </c>
      <c r="D292" s="1" t="s">
        <v>78</v>
      </c>
    </row>
    <row r="293">
      <c r="A293" s="1" t="s">
        <v>17</v>
      </c>
      <c r="B293" s="1" t="str">
        <f>VLOOKUP(A293,Institutions!A:B,2,False)</f>
        <v>Denmark</v>
      </c>
      <c r="C293" s="8">
        <v>44562.0</v>
      </c>
      <c r="D293" s="1" t="s">
        <v>91</v>
      </c>
    </row>
    <row r="294">
      <c r="A294" s="1" t="s">
        <v>17</v>
      </c>
      <c r="B294" s="1" t="str">
        <f>VLOOKUP(A294,Institutions!A:B,2,False)</f>
        <v>Denmark</v>
      </c>
      <c r="C294" s="8">
        <v>44562.0</v>
      </c>
      <c r="D294" s="1" t="s">
        <v>126</v>
      </c>
    </row>
    <row r="295">
      <c r="A295" s="1" t="s">
        <v>17</v>
      </c>
      <c r="B295" s="1" t="str">
        <f>VLOOKUP(A295,Institutions!A:B,2,False)</f>
        <v>Denmark</v>
      </c>
      <c r="C295" s="8">
        <v>44562.0</v>
      </c>
      <c r="D295" s="1" t="s">
        <v>493</v>
      </c>
    </row>
    <row r="296">
      <c r="A296" s="1" t="s">
        <v>17</v>
      </c>
      <c r="B296" s="1" t="str">
        <f>VLOOKUP(A296,Institutions!A:B,2,False)</f>
        <v>Denmark</v>
      </c>
      <c r="C296" s="8">
        <v>44562.0</v>
      </c>
      <c r="D296" s="1" t="s">
        <v>935</v>
      </c>
    </row>
    <row r="297">
      <c r="A297" s="1" t="s">
        <v>17</v>
      </c>
      <c r="B297" s="1" t="str">
        <f>VLOOKUP(A297,Institutions!A:B,2,False)</f>
        <v>Denmark</v>
      </c>
      <c r="C297" s="8">
        <v>44197.0</v>
      </c>
      <c r="D297" s="1" t="s">
        <v>939</v>
      </c>
    </row>
    <row r="298">
      <c r="A298" s="1" t="s">
        <v>17</v>
      </c>
      <c r="B298" s="1" t="str">
        <f>VLOOKUP(A298,Institutions!A:B,2,False)</f>
        <v>Denmark</v>
      </c>
      <c r="C298" s="8">
        <v>44197.0</v>
      </c>
      <c r="D298" s="1" t="s">
        <v>536</v>
      </c>
    </row>
    <row r="299">
      <c r="A299" s="1" t="s">
        <v>17</v>
      </c>
      <c r="B299" s="1" t="str">
        <f>VLOOKUP(A299,Institutions!A:B,2,False)</f>
        <v>Denmark</v>
      </c>
      <c r="C299" s="8">
        <v>43466.0</v>
      </c>
      <c r="D299" s="1" t="s">
        <v>599</v>
      </c>
    </row>
    <row r="300">
      <c r="A300" s="1" t="s">
        <v>17</v>
      </c>
      <c r="B300" s="1" t="str">
        <f>VLOOKUP(A300,Institutions!A:B,2,False)</f>
        <v>Denmark</v>
      </c>
      <c r="C300" s="8">
        <v>43101.0</v>
      </c>
      <c r="D300" s="1" t="s">
        <v>1044</v>
      </c>
    </row>
    <row r="301">
      <c r="A301" s="1" t="s">
        <v>17</v>
      </c>
      <c r="B301" s="1" t="str">
        <f>VLOOKUP(A301,Institutions!A:B,2,False)</f>
        <v>Denmark</v>
      </c>
      <c r="C301" s="8">
        <v>43101.0</v>
      </c>
      <c r="D301" s="1" t="s">
        <v>1049</v>
      </c>
    </row>
    <row r="302">
      <c r="A302" s="1" t="s">
        <v>17</v>
      </c>
      <c r="B302" s="1" t="str">
        <f>VLOOKUP(A302,Institutions!A:B,2,False)</f>
        <v>Denmark</v>
      </c>
      <c r="C302" s="8">
        <v>42736.0</v>
      </c>
      <c r="D302" s="1" t="s">
        <v>1001</v>
      </c>
    </row>
    <row r="303">
      <c r="A303" s="1" t="s">
        <v>17</v>
      </c>
      <c r="B303" s="1" t="str">
        <f>VLOOKUP(A303,Institutions!A:B,2,False)</f>
        <v>Denmark</v>
      </c>
      <c r="C303" s="8">
        <v>42736.0</v>
      </c>
      <c r="D303" s="1" t="s">
        <v>1055</v>
      </c>
    </row>
    <row r="304">
      <c r="A304" s="1" t="s">
        <v>17</v>
      </c>
      <c r="B304" s="1" t="str">
        <f>VLOOKUP(A304,Institutions!A:B,2,False)</f>
        <v>Denmark</v>
      </c>
      <c r="C304" s="8">
        <v>42370.0</v>
      </c>
      <c r="D304" s="1" t="s">
        <v>1904</v>
      </c>
    </row>
    <row r="305">
      <c r="A305" s="1" t="s">
        <v>17</v>
      </c>
      <c r="B305" s="1" t="str">
        <f>VLOOKUP(A305,Institutions!A:B,2,False)</f>
        <v>Denmark</v>
      </c>
      <c r="C305" s="8">
        <v>42370.0</v>
      </c>
      <c r="D305" s="1" t="s">
        <v>1073</v>
      </c>
    </row>
    <row r="306">
      <c r="A306" s="1" t="s">
        <v>17</v>
      </c>
      <c r="B306" s="1" t="str">
        <f>VLOOKUP(A306,Institutions!A:B,2,False)</f>
        <v>Denmark</v>
      </c>
      <c r="C306" s="8">
        <v>42370.0</v>
      </c>
      <c r="D306" s="1" t="s">
        <v>1905</v>
      </c>
    </row>
    <row r="307">
      <c r="A307" s="1" t="s">
        <v>17</v>
      </c>
      <c r="B307" s="1" t="str">
        <f>VLOOKUP(A307,Institutions!A:B,2,False)</f>
        <v>Denmark</v>
      </c>
      <c r="C307" s="8">
        <v>42005.0</v>
      </c>
      <c r="D307" s="1" t="s">
        <v>1906</v>
      </c>
    </row>
    <row r="308">
      <c r="A308" s="1" t="s">
        <v>17</v>
      </c>
      <c r="B308" s="1" t="str">
        <f>VLOOKUP(A308,Institutions!A:B,2,False)</f>
        <v>Denmark</v>
      </c>
      <c r="C308" s="8">
        <v>42005.0</v>
      </c>
      <c r="D308" s="1" t="s">
        <v>1907</v>
      </c>
    </row>
    <row r="309">
      <c r="A309" s="1" t="s">
        <v>17</v>
      </c>
      <c r="B309" s="1" t="str">
        <f>VLOOKUP(A309,Institutions!A:B,2,False)</f>
        <v>Denmark</v>
      </c>
      <c r="C309" s="8">
        <v>41640.0</v>
      </c>
      <c r="D309" s="1" t="s">
        <v>1908</v>
      </c>
    </row>
    <row r="310">
      <c r="A310" s="1" t="s">
        <v>17</v>
      </c>
      <c r="B310" s="1" t="str">
        <f>VLOOKUP(A310,Institutions!A:B,2,False)</f>
        <v>Denmark</v>
      </c>
      <c r="C310" s="8">
        <v>41640.0</v>
      </c>
      <c r="D310" s="1" t="s">
        <v>1865</v>
      </c>
    </row>
    <row r="311">
      <c r="A311" s="1" t="s">
        <v>17</v>
      </c>
      <c r="B311" s="1" t="str">
        <f>VLOOKUP(A311,Institutions!A:B,2,False)</f>
        <v>Denmark</v>
      </c>
      <c r="C311" s="8">
        <v>41640.0</v>
      </c>
      <c r="D311" s="1" t="s">
        <v>1909</v>
      </c>
    </row>
    <row r="312">
      <c r="A312" s="1" t="s">
        <v>17</v>
      </c>
      <c r="B312" s="1" t="str">
        <f>VLOOKUP(A312,Institutions!A:B,2,False)</f>
        <v>Denmark</v>
      </c>
      <c r="C312" s="8">
        <v>41275.0</v>
      </c>
      <c r="D312" s="1" t="s">
        <v>1910</v>
      </c>
    </row>
    <row r="313">
      <c r="A313" s="1" t="s">
        <v>17</v>
      </c>
      <c r="B313" s="1" t="str">
        <f>VLOOKUP(A313,Institutions!A:B,2,False)</f>
        <v>Denmark</v>
      </c>
      <c r="C313" s="8">
        <v>41275.0</v>
      </c>
      <c r="D313" s="1" t="s">
        <v>1811</v>
      </c>
    </row>
    <row r="314">
      <c r="A314" s="1" t="s">
        <v>17</v>
      </c>
      <c r="B314" s="1" t="str">
        <f>VLOOKUP(A314,Institutions!A:B,2,False)</f>
        <v>Denmark</v>
      </c>
      <c r="C314" s="8">
        <v>40909.0</v>
      </c>
      <c r="D314" s="1" t="s">
        <v>1911</v>
      </c>
    </row>
    <row r="315">
      <c r="A315" s="1" t="s">
        <v>17</v>
      </c>
      <c r="B315" s="1" t="str">
        <f>VLOOKUP(A315,Institutions!A:B,2,False)</f>
        <v>Denmark</v>
      </c>
      <c r="C315" s="8">
        <v>40909.0</v>
      </c>
      <c r="D315" s="1" t="s">
        <v>1912</v>
      </c>
    </row>
    <row r="316">
      <c r="A316" s="1" t="s">
        <v>17</v>
      </c>
      <c r="B316" s="1" t="str">
        <f>VLOOKUP(A316,Institutions!A:B,2,False)</f>
        <v>Denmark</v>
      </c>
      <c r="C316" s="8">
        <v>40909.0</v>
      </c>
      <c r="D316" s="1" t="s">
        <v>1913</v>
      </c>
    </row>
    <row r="317">
      <c r="A317" s="1" t="s">
        <v>17</v>
      </c>
      <c r="B317" s="1" t="str">
        <f>VLOOKUP(A317,Institutions!A:B,2,False)</f>
        <v>Denmark</v>
      </c>
      <c r="C317" s="8">
        <v>40909.0</v>
      </c>
      <c r="D317" s="1" t="s">
        <v>1914</v>
      </c>
    </row>
    <row r="318">
      <c r="A318" s="1" t="s">
        <v>17</v>
      </c>
      <c r="B318" s="1" t="str">
        <f>VLOOKUP(A318,Institutions!A:B,2,False)</f>
        <v>Denmark</v>
      </c>
      <c r="C318" s="8">
        <v>40544.0</v>
      </c>
      <c r="D318" s="1" t="s">
        <v>1819</v>
      </c>
    </row>
    <row r="319">
      <c r="A319" s="1" t="s">
        <v>17</v>
      </c>
      <c r="B319" s="1" t="str">
        <f>VLOOKUP(A319,Institutions!A:B,2,False)</f>
        <v>Denmark</v>
      </c>
      <c r="C319" s="8">
        <v>40544.0</v>
      </c>
      <c r="D319" s="1" t="s">
        <v>1915</v>
      </c>
    </row>
    <row r="320">
      <c r="A320" s="1" t="s">
        <v>17</v>
      </c>
      <c r="B320" s="1" t="str">
        <f>VLOOKUP(A320,Institutions!A:B,2,False)</f>
        <v>Denmark</v>
      </c>
      <c r="C320" s="8">
        <v>40544.0</v>
      </c>
      <c r="D320" s="1" t="s">
        <v>1916</v>
      </c>
    </row>
    <row r="321">
      <c r="A321" s="1" t="s">
        <v>17</v>
      </c>
      <c r="B321" s="1" t="str">
        <f>VLOOKUP(A321,Institutions!A:B,2,False)</f>
        <v>Denmark</v>
      </c>
      <c r="C321" s="8">
        <v>40544.0</v>
      </c>
      <c r="D321" s="1" t="s">
        <v>1917</v>
      </c>
    </row>
    <row r="322">
      <c r="A322" s="1" t="s">
        <v>17</v>
      </c>
      <c r="B322" s="1" t="str">
        <f>VLOOKUP(A322,Institutions!A:B,2,False)</f>
        <v>Denmark</v>
      </c>
      <c r="C322" s="8">
        <v>40544.0</v>
      </c>
      <c r="D322" s="1" t="s">
        <v>1918</v>
      </c>
    </row>
    <row r="323">
      <c r="A323" s="1" t="s">
        <v>17</v>
      </c>
      <c r="B323" s="1" t="str">
        <f>VLOOKUP(A323,Institutions!A:B,2,False)</f>
        <v>Denmark</v>
      </c>
      <c r="C323" s="8">
        <v>40544.0</v>
      </c>
      <c r="D323" s="1" t="s">
        <v>1919</v>
      </c>
    </row>
    <row r="324">
      <c r="A324" s="1" t="s">
        <v>17</v>
      </c>
      <c r="B324" s="1" t="str">
        <f>VLOOKUP(A324,Institutions!A:B,2,False)</f>
        <v>Denmark</v>
      </c>
      <c r="C324" s="8">
        <v>40179.0</v>
      </c>
      <c r="D324" s="1" t="s">
        <v>1871</v>
      </c>
    </row>
    <row r="325">
      <c r="A325" s="1" t="s">
        <v>17</v>
      </c>
      <c r="B325" s="1" t="str">
        <f>VLOOKUP(A325,Institutions!A:B,2,False)</f>
        <v>Denmark</v>
      </c>
      <c r="C325" s="8">
        <v>40179.0</v>
      </c>
      <c r="D325" s="1" t="s">
        <v>1872</v>
      </c>
    </row>
    <row r="326">
      <c r="A326" s="1" t="s">
        <v>17</v>
      </c>
      <c r="B326" s="1" t="str">
        <f>VLOOKUP(A326,Institutions!A:B,2,False)</f>
        <v>Denmark</v>
      </c>
      <c r="C326" s="8">
        <v>40179.0</v>
      </c>
      <c r="D326" s="1" t="s">
        <v>1920</v>
      </c>
    </row>
    <row r="327">
      <c r="A327" s="1" t="s">
        <v>17</v>
      </c>
      <c r="B327" s="1" t="str">
        <f>VLOOKUP(A327,Institutions!A:B,2,False)</f>
        <v>Denmark</v>
      </c>
      <c r="C327" s="8">
        <v>40179.0</v>
      </c>
      <c r="D327" s="1" t="s">
        <v>1921</v>
      </c>
    </row>
    <row r="328">
      <c r="A328" s="1" t="s">
        <v>17</v>
      </c>
      <c r="B328" s="1" t="str">
        <f>VLOOKUP(A328,Institutions!A:B,2,False)</f>
        <v>Denmark</v>
      </c>
      <c r="C328" s="8">
        <v>39814.0</v>
      </c>
      <c r="D328" s="1" t="s">
        <v>1875</v>
      </c>
    </row>
    <row r="329">
      <c r="A329" s="1" t="s">
        <v>17</v>
      </c>
      <c r="B329" s="1" t="str">
        <f>VLOOKUP(A329,Institutions!A:B,2,False)</f>
        <v>Denmark</v>
      </c>
      <c r="C329" s="8">
        <v>39814.0</v>
      </c>
      <c r="D329" s="1" t="s">
        <v>1922</v>
      </c>
    </row>
    <row r="330">
      <c r="A330" s="1" t="s">
        <v>17</v>
      </c>
      <c r="B330" s="1" t="str">
        <f>VLOOKUP(A330,Institutions!A:B,2,False)</f>
        <v>Denmark</v>
      </c>
      <c r="C330" s="8">
        <v>39814.0</v>
      </c>
      <c r="D330" s="1" t="s">
        <v>1923</v>
      </c>
    </row>
    <row r="331">
      <c r="A331" s="1" t="s">
        <v>17</v>
      </c>
      <c r="B331" s="1" t="str">
        <f>VLOOKUP(A331,Institutions!A:B,2,False)</f>
        <v>Denmark</v>
      </c>
      <c r="C331" s="8">
        <v>39814.0</v>
      </c>
      <c r="D331" s="1" t="s">
        <v>1877</v>
      </c>
    </row>
    <row r="332">
      <c r="A332" s="1" t="s">
        <v>17</v>
      </c>
      <c r="B332" s="1" t="str">
        <f>VLOOKUP(A332,Institutions!A:B,2,False)</f>
        <v>Denmark</v>
      </c>
      <c r="C332" s="8">
        <v>39814.0</v>
      </c>
      <c r="D332" s="1" t="s">
        <v>1924</v>
      </c>
    </row>
    <row r="333">
      <c r="A333" s="1" t="s">
        <v>17</v>
      </c>
      <c r="B333" s="1" t="str">
        <f>VLOOKUP(A333,Institutions!A:B,2,False)</f>
        <v>Denmark</v>
      </c>
      <c r="C333" s="8">
        <v>39814.0</v>
      </c>
      <c r="D333" s="1" t="s">
        <v>1878</v>
      </c>
    </row>
    <row r="334">
      <c r="A334" s="1" t="s">
        <v>17</v>
      </c>
      <c r="B334" s="1" t="str">
        <f>VLOOKUP(A334,Institutions!A:B,2,False)</f>
        <v>Denmark</v>
      </c>
      <c r="C334" s="8">
        <v>39814.0</v>
      </c>
      <c r="D334" s="1" t="s">
        <v>1925</v>
      </c>
    </row>
    <row r="335">
      <c r="A335" s="1" t="s">
        <v>17</v>
      </c>
      <c r="B335" s="1" t="str">
        <f>VLOOKUP(A335,Institutions!A:B,2,False)</f>
        <v>Denmark</v>
      </c>
      <c r="C335" s="8">
        <v>39814.0</v>
      </c>
      <c r="D335" s="1" t="s">
        <v>1880</v>
      </c>
    </row>
    <row r="336">
      <c r="A336" s="1" t="s">
        <v>17</v>
      </c>
      <c r="B336" s="1" t="str">
        <f>VLOOKUP(A336,Institutions!A:B,2,False)</f>
        <v>Denmark</v>
      </c>
      <c r="C336" s="8">
        <v>39448.0</v>
      </c>
      <c r="D336" s="1" t="s">
        <v>1881</v>
      </c>
    </row>
    <row r="337">
      <c r="A337" s="1" t="s">
        <v>17</v>
      </c>
      <c r="B337" s="1" t="str">
        <f>VLOOKUP(A337,Institutions!A:B,2,False)</f>
        <v>Denmark</v>
      </c>
      <c r="C337" s="8">
        <v>39448.0</v>
      </c>
      <c r="D337" s="1" t="s">
        <v>1926</v>
      </c>
    </row>
    <row r="338">
      <c r="A338" s="1" t="s">
        <v>17</v>
      </c>
      <c r="B338" s="1" t="str">
        <f>VLOOKUP(A338,Institutions!A:B,2,False)</f>
        <v>Denmark</v>
      </c>
      <c r="C338" s="8">
        <v>39448.0</v>
      </c>
      <c r="D338" s="1" t="s">
        <v>1882</v>
      </c>
    </row>
    <row r="339">
      <c r="A339" s="1" t="s">
        <v>17</v>
      </c>
      <c r="B339" s="1" t="str">
        <f>VLOOKUP(A339,Institutions!A:B,2,False)</f>
        <v>Denmark</v>
      </c>
      <c r="C339" s="8">
        <v>39083.0</v>
      </c>
      <c r="D339" s="1" t="s">
        <v>1885</v>
      </c>
    </row>
    <row r="340">
      <c r="A340" s="1" t="s">
        <v>17</v>
      </c>
      <c r="B340" s="1" t="str">
        <f>VLOOKUP(A340,Institutions!A:B,2,False)</f>
        <v>Denmark</v>
      </c>
      <c r="C340" s="8">
        <v>39083.0</v>
      </c>
      <c r="D340" s="1" t="s">
        <v>1886</v>
      </c>
    </row>
    <row r="341">
      <c r="A341" s="1" t="s">
        <v>17</v>
      </c>
      <c r="B341" s="1" t="str">
        <f>VLOOKUP(A341,Institutions!A:B,2,False)</f>
        <v>Denmark</v>
      </c>
      <c r="C341" s="8">
        <v>39083.0</v>
      </c>
      <c r="D341" s="1" t="s">
        <v>1887</v>
      </c>
    </row>
    <row r="342">
      <c r="A342" s="1" t="s">
        <v>17</v>
      </c>
      <c r="B342" s="1" t="str">
        <f>VLOOKUP(A342,Institutions!A:B,2,False)</f>
        <v>Denmark</v>
      </c>
      <c r="C342" s="8">
        <v>38718.0</v>
      </c>
      <c r="D342" s="1" t="s">
        <v>1927</v>
      </c>
    </row>
    <row r="343">
      <c r="A343" s="1" t="s">
        <v>17</v>
      </c>
      <c r="B343" s="1" t="str">
        <f>VLOOKUP(A343,Institutions!A:B,2,False)</f>
        <v>Denmark</v>
      </c>
      <c r="C343" s="8">
        <v>38718.0</v>
      </c>
      <c r="D343" s="1" t="s">
        <v>1889</v>
      </c>
    </row>
    <row r="344">
      <c r="A344" s="1" t="s">
        <v>17</v>
      </c>
      <c r="B344" s="1" t="str">
        <f>VLOOKUP(A344,Institutions!A:B,2,False)</f>
        <v>Denmark</v>
      </c>
      <c r="C344" s="8">
        <v>38718.0</v>
      </c>
      <c r="D344" s="1" t="s">
        <v>1890</v>
      </c>
    </row>
    <row r="345">
      <c r="A345" s="1" t="s">
        <v>17</v>
      </c>
      <c r="B345" s="1" t="str">
        <f>VLOOKUP(A345,Institutions!A:B,2,False)</f>
        <v>Denmark</v>
      </c>
      <c r="C345" s="8">
        <v>37257.0</v>
      </c>
      <c r="D345" s="1" t="s">
        <v>1929</v>
      </c>
    </row>
    <row r="346">
      <c r="A346" s="1" t="s">
        <v>17</v>
      </c>
      <c r="B346" s="1" t="str">
        <f>VLOOKUP(A346,Institutions!A:B,2,False)</f>
        <v>Denmark</v>
      </c>
      <c r="C346" s="8">
        <v>37257.0</v>
      </c>
      <c r="D346" s="1" t="s">
        <v>1930</v>
      </c>
    </row>
    <row r="347">
      <c r="A347" s="1" t="s">
        <v>20</v>
      </c>
      <c r="B347" s="1" t="str">
        <f>VLOOKUP(A347,Institutions!A:B,2,False)</f>
        <v>France</v>
      </c>
      <c r="C347" s="8">
        <v>44927.0</v>
      </c>
      <c r="D347" s="1" t="s">
        <v>1259</v>
      </c>
    </row>
    <row r="348">
      <c r="A348" s="1" t="s">
        <v>20</v>
      </c>
      <c r="B348" s="1" t="str">
        <f>VLOOKUP(A348,Institutions!A:B,2,False)</f>
        <v>France</v>
      </c>
      <c r="C348" s="8">
        <v>44927.0</v>
      </c>
      <c r="D348" s="1" t="s">
        <v>1276</v>
      </c>
    </row>
    <row r="349">
      <c r="A349" s="1" t="s">
        <v>20</v>
      </c>
      <c r="B349" s="1" t="str">
        <f>VLOOKUP(A349,Institutions!A:B,2,False)</f>
        <v>France</v>
      </c>
      <c r="C349" s="8">
        <v>44562.0</v>
      </c>
      <c r="D349" s="1" t="s">
        <v>1281</v>
      </c>
    </row>
    <row r="350">
      <c r="A350" s="1" t="s">
        <v>20</v>
      </c>
      <c r="B350" s="1" t="str">
        <f>VLOOKUP(A350,Institutions!A:B,2,False)</f>
        <v>France</v>
      </c>
      <c r="C350" s="8">
        <v>44197.0</v>
      </c>
      <c r="D350" s="1" t="s">
        <v>1613</v>
      </c>
    </row>
    <row r="351">
      <c r="A351" s="1" t="s">
        <v>20</v>
      </c>
      <c r="B351" s="1" t="str">
        <f>VLOOKUP(A351,Institutions!A:B,2,False)</f>
        <v>France</v>
      </c>
      <c r="C351" s="8">
        <v>44197.0</v>
      </c>
      <c r="D351" s="1" t="s">
        <v>1931</v>
      </c>
    </row>
    <row r="352">
      <c r="A352" s="1" t="s">
        <v>20</v>
      </c>
      <c r="B352" s="1" t="str">
        <f>VLOOKUP(A352,Institutions!A:B,2,False)</f>
        <v>France</v>
      </c>
      <c r="C352" s="8">
        <v>43831.0</v>
      </c>
      <c r="D352" s="1" t="s">
        <v>1616</v>
      </c>
    </row>
    <row r="353">
      <c r="A353" s="1" t="s">
        <v>20</v>
      </c>
      <c r="B353" s="1" t="str">
        <f>VLOOKUP(A353,Institutions!A:B,2,False)</f>
        <v>France</v>
      </c>
      <c r="C353" s="8">
        <v>43831.0</v>
      </c>
      <c r="D353" s="1" t="s">
        <v>1031</v>
      </c>
    </row>
    <row r="354">
      <c r="A354" s="1" t="s">
        <v>20</v>
      </c>
      <c r="B354" s="1" t="str">
        <f>VLOOKUP(A354,Institutions!A:B,2,False)</f>
        <v>France</v>
      </c>
      <c r="C354" s="8">
        <v>43466.0</v>
      </c>
      <c r="D354" s="1" t="s">
        <v>1337</v>
      </c>
    </row>
    <row r="355">
      <c r="A355" s="1" t="s">
        <v>20</v>
      </c>
      <c r="B355" s="1" t="str">
        <f>VLOOKUP(A355,Institutions!A:B,2,False)</f>
        <v>France</v>
      </c>
      <c r="C355" s="8">
        <v>43101.0</v>
      </c>
      <c r="D355" s="1" t="s">
        <v>1932</v>
      </c>
    </row>
    <row r="356">
      <c r="A356" s="1" t="s">
        <v>20</v>
      </c>
      <c r="B356" s="1" t="str">
        <f>VLOOKUP(A356,Institutions!A:B,2,False)</f>
        <v>France</v>
      </c>
      <c r="C356" s="8">
        <v>43101.0</v>
      </c>
      <c r="D356" s="1" t="s">
        <v>1933</v>
      </c>
    </row>
    <row r="357">
      <c r="A357" s="1" t="s">
        <v>20</v>
      </c>
      <c r="B357" s="1" t="str">
        <f>VLOOKUP(A357,Institutions!A:B,2,False)</f>
        <v>France</v>
      </c>
      <c r="C357" s="8">
        <v>43101.0</v>
      </c>
      <c r="D357" s="1" t="s">
        <v>1635</v>
      </c>
    </row>
    <row r="358">
      <c r="A358" s="1" t="s">
        <v>20</v>
      </c>
      <c r="B358" s="1" t="str">
        <f>VLOOKUP(A358,Institutions!A:B,2,False)</f>
        <v>France</v>
      </c>
      <c r="C358" s="8">
        <v>42736.0</v>
      </c>
      <c r="D358" s="1" t="s">
        <v>1934</v>
      </c>
    </row>
    <row r="359">
      <c r="A359" s="1" t="s">
        <v>20</v>
      </c>
      <c r="B359" s="1" t="str">
        <f>VLOOKUP(A359,Institutions!A:B,2,False)</f>
        <v>France</v>
      </c>
      <c r="C359" s="8">
        <v>42370.0</v>
      </c>
      <c r="D359" s="1" t="s">
        <v>1075</v>
      </c>
    </row>
    <row r="360">
      <c r="A360" s="1" t="s">
        <v>20</v>
      </c>
      <c r="B360" s="1" t="str">
        <f>VLOOKUP(A360,Institutions!A:B,2,False)</f>
        <v>France</v>
      </c>
      <c r="C360" s="8">
        <v>42005.0</v>
      </c>
      <c r="D360" s="1" t="s">
        <v>1094</v>
      </c>
    </row>
    <row r="361">
      <c r="A361" s="1" t="s">
        <v>20</v>
      </c>
      <c r="B361" s="1" t="str">
        <f>VLOOKUP(A361,Institutions!A:B,2,False)</f>
        <v>France</v>
      </c>
      <c r="C361" s="8">
        <v>42005.0</v>
      </c>
      <c r="D361" s="1" t="s">
        <v>1935</v>
      </c>
    </row>
    <row r="362">
      <c r="A362" s="1" t="s">
        <v>20</v>
      </c>
      <c r="B362" s="1" t="str">
        <f>VLOOKUP(A362,Institutions!A:B,2,False)</f>
        <v>France</v>
      </c>
      <c r="C362" s="8">
        <v>41640.0</v>
      </c>
      <c r="D362" s="1" t="s">
        <v>1828</v>
      </c>
    </row>
    <row r="363">
      <c r="A363" s="1" t="s">
        <v>20</v>
      </c>
      <c r="B363" s="1" t="str">
        <f>VLOOKUP(A363,Institutions!A:B,2,False)</f>
        <v>France</v>
      </c>
      <c r="C363" s="8">
        <v>41640.0</v>
      </c>
      <c r="D363" s="1" t="s">
        <v>1936</v>
      </c>
    </row>
    <row r="364">
      <c r="A364" s="1" t="s">
        <v>20</v>
      </c>
      <c r="B364" s="1" t="str">
        <f>VLOOKUP(A364,Institutions!A:B,2,False)</f>
        <v>France</v>
      </c>
      <c r="C364" s="8">
        <v>41640.0</v>
      </c>
      <c r="D364" s="1" t="s">
        <v>1829</v>
      </c>
    </row>
    <row r="365">
      <c r="A365" s="1" t="s">
        <v>20</v>
      </c>
      <c r="B365" s="1" t="str">
        <f>VLOOKUP(A365,Institutions!A:B,2,False)</f>
        <v>France</v>
      </c>
      <c r="C365" s="8">
        <v>41640.0</v>
      </c>
      <c r="D365" s="1" t="s">
        <v>1937</v>
      </c>
    </row>
    <row r="366">
      <c r="A366" s="1" t="s">
        <v>20</v>
      </c>
      <c r="B366" s="1" t="str">
        <f>VLOOKUP(A366,Institutions!A:B,2,False)</f>
        <v>France</v>
      </c>
      <c r="C366" s="8">
        <v>41640.0</v>
      </c>
      <c r="D366" s="1" t="s">
        <v>1938</v>
      </c>
    </row>
    <row r="367">
      <c r="A367" s="1" t="s">
        <v>20</v>
      </c>
      <c r="B367" s="1" t="str">
        <f>VLOOKUP(A367,Institutions!A:B,2,False)</f>
        <v>France</v>
      </c>
      <c r="C367" s="8">
        <v>41640.0</v>
      </c>
      <c r="D367" s="1" t="s">
        <v>1833</v>
      </c>
    </row>
    <row r="368">
      <c r="A368" s="1" t="s">
        <v>20</v>
      </c>
      <c r="B368" s="1" t="str">
        <f>VLOOKUP(A368,Institutions!A:B,2,False)</f>
        <v>France</v>
      </c>
      <c r="C368" s="8">
        <v>41640.0</v>
      </c>
      <c r="D368" s="1" t="s">
        <v>1939</v>
      </c>
    </row>
    <row r="369">
      <c r="A369" s="1" t="s">
        <v>20</v>
      </c>
      <c r="B369" s="1" t="str">
        <f>VLOOKUP(A369,Institutions!A:B,2,False)</f>
        <v>France</v>
      </c>
      <c r="C369" s="8">
        <v>41640.0</v>
      </c>
      <c r="D369" s="1" t="s">
        <v>1830</v>
      </c>
    </row>
    <row r="370">
      <c r="A370" s="1" t="s">
        <v>20</v>
      </c>
      <c r="B370" s="1" t="str">
        <f>VLOOKUP(A370,Institutions!A:B,2,False)</f>
        <v>France</v>
      </c>
      <c r="C370" s="8">
        <v>41640.0</v>
      </c>
      <c r="D370" s="1" t="s">
        <v>1940</v>
      </c>
    </row>
    <row r="371">
      <c r="A371" s="1" t="s">
        <v>20</v>
      </c>
      <c r="B371" s="1" t="str">
        <f>VLOOKUP(A371,Institutions!A:B,2,False)</f>
        <v>France</v>
      </c>
      <c r="C371" s="8">
        <v>41275.0</v>
      </c>
      <c r="D371" s="1" t="s">
        <v>1832</v>
      </c>
    </row>
    <row r="372">
      <c r="A372" s="1" t="s">
        <v>20</v>
      </c>
      <c r="B372" s="1" t="str">
        <f>VLOOKUP(A372,Institutions!A:B,2,False)</f>
        <v>France</v>
      </c>
      <c r="C372" s="8">
        <v>41275.0</v>
      </c>
      <c r="D372" s="1" t="s">
        <v>1941</v>
      </c>
    </row>
    <row r="373">
      <c r="A373" s="1" t="s">
        <v>20</v>
      </c>
      <c r="B373" s="1" t="str">
        <f>VLOOKUP(A373,Institutions!A:B,2,False)</f>
        <v>France</v>
      </c>
      <c r="C373" s="8">
        <v>41275.0</v>
      </c>
      <c r="D373" s="1" t="s">
        <v>1942</v>
      </c>
    </row>
    <row r="374">
      <c r="A374" s="1" t="s">
        <v>20</v>
      </c>
      <c r="B374" s="1" t="str">
        <f>VLOOKUP(A374,Institutions!A:B,2,False)</f>
        <v>France</v>
      </c>
      <c r="C374" s="8">
        <v>41275.0</v>
      </c>
      <c r="D374" s="1" t="s">
        <v>1834</v>
      </c>
    </row>
    <row r="375">
      <c r="A375" s="1" t="s">
        <v>20</v>
      </c>
      <c r="B375" s="1" t="str">
        <f>VLOOKUP(A375,Institutions!A:B,2,False)</f>
        <v>France</v>
      </c>
      <c r="C375" s="8">
        <v>41275.0</v>
      </c>
      <c r="D375" s="1" t="s">
        <v>1943</v>
      </c>
    </row>
    <row r="376">
      <c r="A376" s="1" t="s">
        <v>20</v>
      </c>
      <c r="B376" s="1" t="str">
        <f>VLOOKUP(A376,Institutions!A:B,2,False)</f>
        <v>France</v>
      </c>
      <c r="C376" s="8">
        <v>40909.0</v>
      </c>
      <c r="D376" s="1" t="s">
        <v>1837</v>
      </c>
    </row>
    <row r="377">
      <c r="A377" s="1" t="s">
        <v>20</v>
      </c>
      <c r="B377" s="1" t="str">
        <f>VLOOKUP(A377,Institutions!A:B,2,False)</f>
        <v>France</v>
      </c>
      <c r="C377" s="8">
        <v>40909.0</v>
      </c>
      <c r="D377" s="1" t="s">
        <v>1838</v>
      </c>
    </row>
    <row r="378">
      <c r="A378" s="1" t="s">
        <v>20</v>
      </c>
      <c r="B378" s="1" t="str">
        <f>VLOOKUP(A378,Institutions!A:B,2,False)</f>
        <v>France</v>
      </c>
      <c r="C378" s="8">
        <v>40544.0</v>
      </c>
      <c r="D378" s="1" t="s">
        <v>1944</v>
      </c>
    </row>
    <row r="379">
      <c r="A379" s="1" t="s">
        <v>20</v>
      </c>
      <c r="B379" s="1" t="str">
        <f>VLOOKUP(A379,Institutions!A:B,2,False)</f>
        <v>France</v>
      </c>
      <c r="C379" s="8">
        <v>40544.0</v>
      </c>
      <c r="D379" s="1" t="s">
        <v>1945</v>
      </c>
    </row>
    <row r="380">
      <c r="A380" s="1" t="s">
        <v>20</v>
      </c>
      <c r="B380" s="1" t="str">
        <f>VLOOKUP(A380,Institutions!A:B,2,False)</f>
        <v>France</v>
      </c>
      <c r="C380" s="8">
        <v>40544.0</v>
      </c>
      <c r="D380" s="1" t="s">
        <v>1946</v>
      </c>
    </row>
    <row r="381">
      <c r="A381" s="1" t="s">
        <v>20</v>
      </c>
      <c r="B381" s="1" t="str">
        <f>VLOOKUP(A381,Institutions!A:B,2,False)</f>
        <v>France</v>
      </c>
      <c r="C381" s="8">
        <v>40544.0</v>
      </c>
      <c r="D381" s="1" t="s">
        <v>1845</v>
      </c>
    </row>
    <row r="382">
      <c r="A382" s="1" t="s">
        <v>20</v>
      </c>
      <c r="B382" s="1" t="str">
        <f>VLOOKUP(A382,Institutions!A:B,2,False)</f>
        <v>France</v>
      </c>
      <c r="C382" s="8">
        <v>40544.0</v>
      </c>
      <c r="D382" s="1" t="s">
        <v>1846</v>
      </c>
    </row>
    <row r="383">
      <c r="A383" s="1" t="s">
        <v>20</v>
      </c>
      <c r="B383" s="1" t="str">
        <f>VLOOKUP(A383,Institutions!A:B,2,False)</f>
        <v>France</v>
      </c>
      <c r="C383" s="8">
        <v>40544.0</v>
      </c>
      <c r="D383" s="1" t="s">
        <v>1947</v>
      </c>
    </row>
    <row r="384">
      <c r="A384" s="1" t="s">
        <v>20</v>
      </c>
      <c r="B384" s="1" t="str">
        <f>VLOOKUP(A384,Institutions!A:B,2,False)</f>
        <v>France</v>
      </c>
      <c r="C384" s="8">
        <v>40179.0</v>
      </c>
      <c r="D384" s="1" t="s">
        <v>1849</v>
      </c>
    </row>
    <row r="385">
      <c r="A385" s="1" t="s">
        <v>20</v>
      </c>
      <c r="B385" s="1" t="str">
        <f>VLOOKUP(A385,Institutions!A:B,2,False)</f>
        <v>France</v>
      </c>
      <c r="C385" s="8">
        <v>40179.0</v>
      </c>
      <c r="D385" s="1" t="s">
        <v>1850</v>
      </c>
    </row>
    <row r="386">
      <c r="A386" s="1" t="s">
        <v>20</v>
      </c>
      <c r="B386" s="1" t="str">
        <f>VLOOKUP(A386,Institutions!A:B,2,False)</f>
        <v>France</v>
      </c>
      <c r="C386" s="8">
        <v>40179.0</v>
      </c>
      <c r="D386" s="1" t="s">
        <v>1948</v>
      </c>
    </row>
    <row r="387">
      <c r="A387" s="1" t="s">
        <v>20</v>
      </c>
      <c r="B387" s="1" t="str">
        <f>VLOOKUP(A387,Institutions!A:B,2,False)</f>
        <v>France</v>
      </c>
      <c r="C387" s="8">
        <v>40179.0</v>
      </c>
      <c r="D387" s="1" t="s">
        <v>1949</v>
      </c>
    </row>
    <row r="388">
      <c r="A388" s="1" t="s">
        <v>20</v>
      </c>
      <c r="B388" s="1" t="str">
        <f>VLOOKUP(A388,Institutions!A:B,2,False)</f>
        <v>France</v>
      </c>
      <c r="C388" s="8">
        <v>40179.0</v>
      </c>
      <c r="D388" s="1" t="s">
        <v>1851</v>
      </c>
    </row>
    <row r="389">
      <c r="A389" s="1" t="s">
        <v>20</v>
      </c>
      <c r="B389" s="1" t="str">
        <f>VLOOKUP(A389,Institutions!A:B,2,False)</f>
        <v>France</v>
      </c>
      <c r="C389" s="8">
        <v>40179.0</v>
      </c>
      <c r="D389" s="1" t="s">
        <v>1852</v>
      </c>
    </row>
    <row r="390">
      <c r="A390" s="1" t="s">
        <v>20</v>
      </c>
      <c r="B390" s="1" t="str">
        <f>VLOOKUP(A390,Institutions!A:B,2,False)</f>
        <v>France</v>
      </c>
      <c r="C390" s="8">
        <v>39814.0</v>
      </c>
      <c r="D390" s="1" t="s">
        <v>1950</v>
      </c>
    </row>
    <row r="391">
      <c r="A391" s="1" t="s">
        <v>23</v>
      </c>
      <c r="B391" s="1" t="str">
        <f>VLOOKUP(A391,Institutions!A:B,2,False)</f>
        <v>Canada</v>
      </c>
      <c r="C391" s="8">
        <v>44927.0</v>
      </c>
      <c r="D391" s="1" t="s">
        <v>1259</v>
      </c>
    </row>
    <row r="392">
      <c r="A392" s="1" t="s">
        <v>23</v>
      </c>
      <c r="B392" s="1" t="str">
        <f>VLOOKUP(A392,Institutions!A:B,2,False)</f>
        <v>Canada</v>
      </c>
      <c r="C392" s="8">
        <v>43466.0</v>
      </c>
      <c r="D392" s="1" t="s">
        <v>1632</v>
      </c>
    </row>
    <row r="393">
      <c r="A393" s="1" t="s">
        <v>23</v>
      </c>
      <c r="B393" s="1" t="str">
        <f>VLOOKUP(A393,Institutions!A:B,2,False)</f>
        <v>Canada</v>
      </c>
      <c r="C393" s="8">
        <v>42736.0</v>
      </c>
      <c r="D393" s="1" t="s">
        <v>1641</v>
      </c>
    </row>
    <row r="394">
      <c r="A394" s="1" t="s">
        <v>23</v>
      </c>
      <c r="B394" s="1" t="str">
        <f>VLOOKUP(A394,Institutions!A:B,2,False)</f>
        <v>Canada</v>
      </c>
      <c r="C394" s="8">
        <v>42005.0</v>
      </c>
      <c r="D394" s="1" t="s">
        <v>1951</v>
      </c>
    </row>
    <row r="395">
      <c r="A395" s="1" t="s">
        <v>23</v>
      </c>
      <c r="B395" s="1" t="str">
        <f>VLOOKUP(A395,Institutions!A:B,2,False)</f>
        <v>Canada</v>
      </c>
      <c r="C395" s="8">
        <v>42005.0</v>
      </c>
      <c r="D395" s="1" t="s">
        <v>1952</v>
      </c>
    </row>
    <row r="396">
      <c r="A396" s="1" t="s">
        <v>23</v>
      </c>
      <c r="B396" s="1" t="str">
        <f>VLOOKUP(A396,Institutions!A:B,2,False)</f>
        <v>Canada</v>
      </c>
      <c r="C396" s="8">
        <v>41640.0</v>
      </c>
      <c r="D396" s="1" t="s">
        <v>1953</v>
      </c>
    </row>
    <row r="397">
      <c r="A397" s="1" t="s">
        <v>23</v>
      </c>
      <c r="B397" s="1" t="str">
        <f>VLOOKUP(A397,Institutions!A:B,2,False)</f>
        <v>Canada</v>
      </c>
      <c r="C397" s="8">
        <v>41640.0</v>
      </c>
      <c r="D397" s="1" t="s">
        <v>1954</v>
      </c>
    </row>
    <row r="398">
      <c r="A398" s="1" t="s">
        <v>23</v>
      </c>
      <c r="B398" s="1" t="str">
        <f>VLOOKUP(A398,Institutions!A:B,2,False)</f>
        <v>Canada</v>
      </c>
      <c r="C398" s="8">
        <v>41640.0</v>
      </c>
      <c r="D398" s="1" t="s">
        <v>1955</v>
      </c>
    </row>
    <row r="399">
      <c r="A399" s="1" t="s">
        <v>23</v>
      </c>
      <c r="B399" s="1" t="str">
        <f>VLOOKUP(A399,Institutions!A:B,2,False)</f>
        <v>Canada</v>
      </c>
      <c r="C399" s="8">
        <v>41640.0</v>
      </c>
      <c r="D399" s="1" t="s">
        <v>1956</v>
      </c>
    </row>
    <row r="400">
      <c r="A400" s="1" t="s">
        <v>23</v>
      </c>
      <c r="B400" s="1" t="str">
        <f>VLOOKUP(A400,Institutions!A:B,2,False)</f>
        <v>Canada</v>
      </c>
      <c r="C400" s="8">
        <v>41275.0</v>
      </c>
      <c r="D400" s="1" t="s">
        <v>1957</v>
      </c>
    </row>
    <row r="401">
      <c r="A401" s="1" t="s">
        <v>23</v>
      </c>
      <c r="B401" s="1" t="str">
        <f>VLOOKUP(A401,Institutions!A:B,2,False)</f>
        <v>Canada</v>
      </c>
      <c r="C401" s="8">
        <v>41275.0</v>
      </c>
      <c r="D401" s="1" t="s">
        <v>1958</v>
      </c>
    </row>
    <row r="402">
      <c r="A402" s="1" t="s">
        <v>23</v>
      </c>
      <c r="B402" s="1" t="str">
        <f>VLOOKUP(A402,Institutions!A:B,2,False)</f>
        <v>Canada</v>
      </c>
      <c r="C402" s="8">
        <v>41275.0</v>
      </c>
      <c r="D402" s="1" t="s">
        <v>1959</v>
      </c>
    </row>
    <row r="403">
      <c r="A403" s="1" t="s">
        <v>23</v>
      </c>
      <c r="B403" s="1" t="str">
        <f>VLOOKUP(A403,Institutions!A:B,2,False)</f>
        <v>Canada</v>
      </c>
      <c r="C403" s="8">
        <v>41275.0</v>
      </c>
      <c r="D403" s="1" t="s">
        <v>1960</v>
      </c>
    </row>
    <row r="404">
      <c r="A404" s="1" t="s">
        <v>23</v>
      </c>
      <c r="B404" s="1" t="str">
        <f>VLOOKUP(A404,Institutions!A:B,2,False)</f>
        <v>Canada</v>
      </c>
      <c r="C404" s="8">
        <v>41275.0</v>
      </c>
      <c r="D404" s="1" t="s">
        <v>1961</v>
      </c>
    </row>
    <row r="405">
      <c r="A405" s="1" t="s">
        <v>23</v>
      </c>
      <c r="B405" s="1" t="str">
        <f>VLOOKUP(A405,Institutions!A:B,2,False)</f>
        <v>Canada</v>
      </c>
      <c r="C405" s="8">
        <v>41275.0</v>
      </c>
      <c r="D405" s="1" t="s">
        <v>1962</v>
      </c>
    </row>
    <row r="406">
      <c r="A406" s="1" t="s">
        <v>23</v>
      </c>
      <c r="B406" s="1" t="str">
        <f>VLOOKUP(A406,Institutions!A:B,2,False)</f>
        <v>Canada</v>
      </c>
      <c r="C406" s="8">
        <v>41275.0</v>
      </c>
      <c r="D406" s="1" t="s">
        <v>1963</v>
      </c>
    </row>
    <row r="407">
      <c r="A407" s="1" t="s">
        <v>23</v>
      </c>
      <c r="B407" s="1" t="str">
        <f>VLOOKUP(A407,Institutions!A:B,2,False)</f>
        <v>Canada</v>
      </c>
      <c r="C407" s="8">
        <v>41275.0</v>
      </c>
      <c r="D407" s="1" t="s">
        <v>1964</v>
      </c>
    </row>
    <row r="408">
      <c r="A408" s="1" t="s">
        <v>23</v>
      </c>
      <c r="B408" s="1" t="str">
        <f>VLOOKUP(A408,Institutions!A:B,2,False)</f>
        <v>Canada</v>
      </c>
      <c r="C408" s="8">
        <v>40909.0</v>
      </c>
      <c r="D408" s="1" t="s">
        <v>1965</v>
      </c>
    </row>
    <row r="409">
      <c r="A409" s="1" t="s">
        <v>23</v>
      </c>
      <c r="B409" s="1" t="str">
        <f>VLOOKUP(A409,Institutions!A:B,2,False)</f>
        <v>Canada</v>
      </c>
      <c r="C409" s="8">
        <v>40909.0</v>
      </c>
      <c r="D409" s="1" t="s">
        <v>1966</v>
      </c>
    </row>
    <row r="410">
      <c r="A410" s="1" t="s">
        <v>23</v>
      </c>
      <c r="B410" s="1" t="str">
        <f>VLOOKUP(A410,Institutions!A:B,2,False)</f>
        <v>Canada</v>
      </c>
      <c r="C410" s="8">
        <v>40909.0</v>
      </c>
      <c r="D410" s="1" t="s">
        <v>1954</v>
      </c>
    </row>
    <row r="411">
      <c r="A411" s="1" t="s">
        <v>23</v>
      </c>
      <c r="B411" s="1" t="str">
        <f>VLOOKUP(A411,Institutions!A:B,2,False)</f>
        <v>Canada</v>
      </c>
      <c r="C411" s="8">
        <v>40909.0</v>
      </c>
      <c r="D411" s="1" t="s">
        <v>1967</v>
      </c>
    </row>
    <row r="412">
      <c r="A412" s="1" t="s">
        <v>23</v>
      </c>
      <c r="B412" s="1" t="str">
        <f>VLOOKUP(A412,Institutions!A:B,2,False)</f>
        <v>Canada</v>
      </c>
      <c r="C412" s="8">
        <v>40909.0</v>
      </c>
      <c r="D412" s="1" t="s">
        <v>1962</v>
      </c>
    </row>
    <row r="413">
      <c r="A413" s="1" t="s">
        <v>23</v>
      </c>
      <c r="B413" s="1" t="str">
        <f>VLOOKUP(A413,Institutions!A:B,2,False)</f>
        <v>Canada</v>
      </c>
      <c r="C413" s="8">
        <v>40544.0</v>
      </c>
      <c r="D413" s="1" t="s">
        <v>1944</v>
      </c>
    </row>
    <row r="414">
      <c r="A414" s="1" t="s">
        <v>23</v>
      </c>
      <c r="B414" s="1" t="str">
        <f>VLOOKUP(A414,Institutions!A:B,2,False)</f>
        <v>Canada</v>
      </c>
      <c r="C414" s="8">
        <v>40544.0</v>
      </c>
      <c r="D414" s="1" t="s">
        <v>1968</v>
      </c>
    </row>
    <row r="415">
      <c r="A415" s="1" t="s">
        <v>23</v>
      </c>
      <c r="B415" s="1" t="str">
        <f>VLOOKUP(A415,Institutions!A:B,2,False)</f>
        <v>Canada</v>
      </c>
      <c r="C415" s="8">
        <v>40179.0</v>
      </c>
      <c r="D415" s="1" t="s">
        <v>1969</v>
      </c>
    </row>
    <row r="416">
      <c r="A416" s="1" t="s">
        <v>23</v>
      </c>
      <c r="B416" s="1" t="str">
        <f>VLOOKUP(A416,Institutions!A:B,2,False)</f>
        <v>Canada</v>
      </c>
      <c r="C416" s="8">
        <v>40179.0</v>
      </c>
      <c r="D416" s="1" t="s">
        <v>1970</v>
      </c>
    </row>
    <row r="417">
      <c r="A417" s="1" t="s">
        <v>23</v>
      </c>
      <c r="B417" s="1" t="str">
        <f>VLOOKUP(A417,Institutions!A:B,2,False)</f>
        <v>Canada</v>
      </c>
      <c r="C417" s="8">
        <v>40179.0</v>
      </c>
      <c r="D417" s="1" t="s">
        <v>1971</v>
      </c>
    </row>
    <row r="418">
      <c r="A418" s="1" t="s">
        <v>23</v>
      </c>
      <c r="B418" s="1" t="str">
        <f>VLOOKUP(A418,Institutions!A:B,2,False)</f>
        <v>Canada</v>
      </c>
      <c r="C418" s="8">
        <v>40179.0</v>
      </c>
      <c r="D418" s="1" t="s">
        <v>1972</v>
      </c>
    </row>
    <row r="419">
      <c r="A419" s="1" t="s">
        <v>23</v>
      </c>
      <c r="B419" s="1" t="str">
        <f>VLOOKUP(A419,Institutions!A:B,2,False)</f>
        <v>Canada</v>
      </c>
      <c r="C419" s="8">
        <v>39814.0</v>
      </c>
      <c r="D419" s="1" t="s">
        <v>1973</v>
      </c>
    </row>
    <row r="420">
      <c r="A420" s="1" t="s">
        <v>23</v>
      </c>
      <c r="B420" s="1" t="str">
        <f>VLOOKUP(A420,Institutions!A:B,2,False)</f>
        <v>Canada</v>
      </c>
      <c r="C420" s="8">
        <v>39448.0</v>
      </c>
      <c r="D420" s="1" t="s">
        <v>1974</v>
      </c>
    </row>
    <row r="421">
      <c r="A421" s="1" t="s">
        <v>23</v>
      </c>
      <c r="B421" s="1" t="str">
        <f>VLOOKUP(A421,Institutions!A:B,2,False)</f>
        <v>Canada</v>
      </c>
      <c r="C421" s="8">
        <v>39448.0</v>
      </c>
      <c r="D421" s="1" t="s">
        <v>1975</v>
      </c>
    </row>
    <row r="422">
      <c r="A422" s="1" t="s">
        <v>26</v>
      </c>
      <c r="B422" s="1" t="str">
        <f>VLOOKUP(A422,Institutions!A:B,2,False)</f>
        <v>Sweden</v>
      </c>
      <c r="C422" s="8">
        <v>44927.0</v>
      </c>
      <c r="D422" s="1" t="s">
        <v>57</v>
      </c>
    </row>
    <row r="423">
      <c r="A423" s="1" t="s">
        <v>26</v>
      </c>
      <c r="B423" s="1" t="str">
        <f>VLOOKUP(A423,Institutions!A:B,2,False)</f>
        <v>Sweden</v>
      </c>
      <c r="C423" s="8">
        <v>44927.0</v>
      </c>
      <c r="D423" s="1" t="s">
        <v>1144</v>
      </c>
    </row>
    <row r="424">
      <c r="A424" s="1" t="s">
        <v>26</v>
      </c>
      <c r="B424" s="1" t="str">
        <f>VLOOKUP(A424,Institutions!A:B,2,False)</f>
        <v>Sweden</v>
      </c>
      <c r="C424" s="8">
        <v>44562.0</v>
      </c>
      <c r="D424" s="1" t="s">
        <v>84</v>
      </c>
    </row>
    <row r="425">
      <c r="A425" s="1" t="s">
        <v>26</v>
      </c>
      <c r="B425" s="1" t="str">
        <f>VLOOKUP(A425,Institutions!A:B,2,False)</f>
        <v>Sweden</v>
      </c>
      <c r="C425" s="8">
        <v>44562.0</v>
      </c>
      <c r="D425" s="1" t="s">
        <v>1159</v>
      </c>
    </row>
    <row r="426">
      <c r="A426" s="1" t="s">
        <v>26</v>
      </c>
      <c r="B426" s="1" t="str">
        <f>VLOOKUP(A426,Institutions!A:B,2,False)</f>
        <v>Sweden</v>
      </c>
      <c r="C426" s="8">
        <v>44562.0</v>
      </c>
      <c r="D426" s="1" t="s">
        <v>118</v>
      </c>
    </row>
    <row r="427">
      <c r="A427" s="1" t="s">
        <v>26</v>
      </c>
      <c r="B427" s="1" t="str">
        <f>VLOOKUP(A427,Institutions!A:B,2,False)</f>
        <v>Sweden</v>
      </c>
      <c r="C427" s="8">
        <v>44562.0</v>
      </c>
      <c r="D427" s="1" t="s">
        <v>128</v>
      </c>
    </row>
    <row r="428">
      <c r="A428" s="1" t="s">
        <v>26</v>
      </c>
      <c r="B428" s="1" t="str">
        <f>VLOOKUP(A428,Institutions!A:B,2,False)</f>
        <v>Sweden</v>
      </c>
      <c r="C428" s="8">
        <v>44562.0</v>
      </c>
      <c r="D428" s="1" t="s">
        <v>136</v>
      </c>
    </row>
    <row r="429">
      <c r="A429" s="1" t="s">
        <v>26</v>
      </c>
      <c r="B429" s="1" t="str">
        <f>VLOOKUP(A429,Institutions!A:B,2,False)</f>
        <v>Sweden</v>
      </c>
      <c r="C429" s="8">
        <v>44562.0</v>
      </c>
      <c r="D429" s="1" t="s">
        <v>146</v>
      </c>
    </row>
    <row r="430">
      <c r="A430" s="1" t="s">
        <v>26</v>
      </c>
      <c r="B430" s="1" t="str">
        <f>VLOOKUP(A430,Institutions!A:B,2,False)</f>
        <v>Sweden</v>
      </c>
      <c r="C430" s="8">
        <v>44197.0</v>
      </c>
      <c r="D430" s="1" t="s">
        <v>159</v>
      </c>
    </row>
    <row r="431">
      <c r="A431" s="1" t="s">
        <v>26</v>
      </c>
      <c r="B431" s="1" t="str">
        <f>VLOOKUP(A431,Institutions!A:B,2,False)</f>
        <v>Sweden</v>
      </c>
      <c r="C431" s="8">
        <v>44197.0</v>
      </c>
      <c r="D431" s="1" t="s">
        <v>163</v>
      </c>
    </row>
    <row r="432">
      <c r="A432" s="1" t="s">
        <v>26</v>
      </c>
      <c r="B432" s="1" t="str">
        <f>VLOOKUP(A432,Institutions!A:B,2,False)</f>
        <v>Sweden</v>
      </c>
      <c r="C432" s="8">
        <v>44197.0</v>
      </c>
      <c r="D432" s="1" t="s">
        <v>1178</v>
      </c>
    </row>
    <row r="433">
      <c r="A433" s="1" t="s">
        <v>26</v>
      </c>
      <c r="B433" s="1" t="str">
        <f>VLOOKUP(A433,Institutions!A:B,2,False)</f>
        <v>Sweden</v>
      </c>
      <c r="C433" s="8">
        <v>44197.0</v>
      </c>
      <c r="D433" s="1" t="s">
        <v>173</v>
      </c>
    </row>
    <row r="434">
      <c r="A434" s="1" t="s">
        <v>26</v>
      </c>
      <c r="B434" s="1" t="str">
        <f>VLOOKUP(A434,Institutions!A:B,2,False)</f>
        <v>Sweden</v>
      </c>
      <c r="C434" s="8">
        <v>44197.0</v>
      </c>
      <c r="D434" s="1" t="s">
        <v>219</v>
      </c>
    </row>
    <row r="435">
      <c r="A435" s="1" t="s">
        <v>26</v>
      </c>
      <c r="B435" s="1" t="str">
        <f>VLOOKUP(A435,Institutions!A:B,2,False)</f>
        <v>Sweden</v>
      </c>
      <c r="C435" s="8">
        <v>43831.0</v>
      </c>
      <c r="D435" s="1" t="s">
        <v>692</v>
      </c>
    </row>
    <row r="436">
      <c r="A436" s="1" t="s">
        <v>26</v>
      </c>
      <c r="B436" s="1" t="str">
        <f>VLOOKUP(A436,Institutions!A:B,2,False)</f>
        <v>Sweden</v>
      </c>
      <c r="C436" s="8">
        <v>43831.0</v>
      </c>
      <c r="D436" s="1" t="s">
        <v>694</v>
      </c>
    </row>
    <row r="437">
      <c r="A437" s="1" t="s">
        <v>26</v>
      </c>
      <c r="B437" s="1" t="str">
        <f>VLOOKUP(A437,Institutions!A:B,2,False)</f>
        <v>Sweden</v>
      </c>
      <c r="C437" s="8">
        <v>43831.0</v>
      </c>
      <c r="D437" s="1" t="s">
        <v>696</v>
      </c>
    </row>
    <row r="438">
      <c r="A438" s="1" t="s">
        <v>26</v>
      </c>
      <c r="B438" s="1" t="str">
        <f>VLOOKUP(A438,Institutions!A:B,2,False)</f>
        <v>Sweden</v>
      </c>
      <c r="C438" s="8">
        <v>43831.0</v>
      </c>
      <c r="D438" s="1" t="s">
        <v>708</v>
      </c>
    </row>
    <row r="439">
      <c r="A439" s="1" t="s">
        <v>26</v>
      </c>
      <c r="B439" s="1" t="str">
        <f>VLOOKUP(A439,Institutions!A:B,2,False)</f>
        <v>Sweden</v>
      </c>
      <c r="C439" s="8">
        <v>43831.0</v>
      </c>
      <c r="D439" s="1" t="s">
        <v>704</v>
      </c>
    </row>
    <row r="440">
      <c r="A440" s="1" t="s">
        <v>26</v>
      </c>
      <c r="B440" s="1" t="str">
        <f>VLOOKUP(A440,Institutions!A:B,2,False)</f>
        <v>Sweden</v>
      </c>
      <c r="C440" s="8">
        <v>43831.0</v>
      </c>
      <c r="D440" s="1" t="s">
        <v>1545</v>
      </c>
    </row>
    <row r="441">
      <c r="A441" s="1" t="s">
        <v>26</v>
      </c>
      <c r="B441" s="1" t="str">
        <f>VLOOKUP(A441,Institutions!A:B,2,False)</f>
        <v>Sweden</v>
      </c>
      <c r="C441" s="8">
        <v>43831.0</v>
      </c>
      <c r="D441" s="1" t="s">
        <v>721</v>
      </c>
    </row>
    <row r="442">
      <c r="A442" s="1" t="s">
        <v>26</v>
      </c>
      <c r="B442" s="1" t="str">
        <f>VLOOKUP(A442,Institutions!A:B,2,False)</f>
        <v>Sweden</v>
      </c>
      <c r="C442" s="8">
        <v>43831.0</v>
      </c>
      <c r="D442" s="1" t="s">
        <v>725</v>
      </c>
    </row>
    <row r="443">
      <c r="A443" s="1" t="s">
        <v>26</v>
      </c>
      <c r="B443" s="1" t="str">
        <f>VLOOKUP(A443,Institutions!A:B,2,False)</f>
        <v>Sweden</v>
      </c>
      <c r="C443" s="8">
        <v>43466.0</v>
      </c>
      <c r="D443" s="1" t="s">
        <v>734</v>
      </c>
    </row>
    <row r="444">
      <c r="A444" s="1" t="s">
        <v>26</v>
      </c>
      <c r="B444" s="1" t="str">
        <f>VLOOKUP(A444,Institutions!A:B,2,False)</f>
        <v>Sweden</v>
      </c>
      <c r="C444" s="8">
        <v>43466.0</v>
      </c>
      <c r="D444" s="1" t="s">
        <v>1469</v>
      </c>
    </row>
    <row r="445">
      <c r="A445" s="1" t="s">
        <v>26</v>
      </c>
      <c r="B445" s="1" t="str">
        <f>VLOOKUP(A445,Institutions!A:B,2,False)</f>
        <v>Sweden</v>
      </c>
      <c r="C445" s="8">
        <v>43101.0</v>
      </c>
      <c r="D445" s="1" t="s">
        <v>1976</v>
      </c>
    </row>
    <row r="446">
      <c r="A446" s="1" t="s">
        <v>26</v>
      </c>
      <c r="B446" s="1" t="str">
        <f>VLOOKUP(A446,Institutions!A:B,2,False)</f>
        <v>Sweden</v>
      </c>
      <c r="C446" s="8">
        <v>43101.0</v>
      </c>
      <c r="D446" s="1" t="s">
        <v>750</v>
      </c>
    </row>
    <row r="447">
      <c r="A447" s="1" t="s">
        <v>26</v>
      </c>
      <c r="B447" s="1" t="str">
        <f>VLOOKUP(A447,Institutions!A:B,2,False)</f>
        <v>Sweden</v>
      </c>
      <c r="C447" s="8">
        <v>42370.0</v>
      </c>
      <c r="D447" s="1" t="s">
        <v>1088</v>
      </c>
    </row>
    <row r="448">
      <c r="A448" s="1" t="s">
        <v>28</v>
      </c>
      <c r="B448" s="1" t="str">
        <f>VLOOKUP(A448,Institutions!A:B,2,False)</f>
        <v>Sweden</v>
      </c>
      <c r="C448" s="8">
        <v>44927.0</v>
      </c>
      <c r="D448" s="1" t="s">
        <v>1199</v>
      </c>
    </row>
    <row r="449">
      <c r="A449" s="1" t="s">
        <v>28</v>
      </c>
      <c r="B449" s="1" t="str">
        <f>VLOOKUP(A449,Institutions!A:B,2,False)</f>
        <v>Sweden</v>
      </c>
      <c r="C449" s="8">
        <v>44197.0</v>
      </c>
      <c r="D449" s="1" t="s">
        <v>1537</v>
      </c>
    </row>
    <row r="450">
      <c r="A450" s="1" t="s">
        <v>28</v>
      </c>
      <c r="B450" s="1" t="str">
        <f>VLOOKUP(A450,Institutions!A:B,2,False)</f>
        <v>Sweden</v>
      </c>
      <c r="C450" s="8">
        <v>43466.0</v>
      </c>
      <c r="D450" s="1" t="s">
        <v>572</v>
      </c>
    </row>
    <row r="451">
      <c r="A451" s="1" t="s">
        <v>28</v>
      </c>
      <c r="B451" s="1" t="str">
        <f>VLOOKUP(A451,Institutions!A:B,2,False)</f>
        <v>Sweden</v>
      </c>
      <c r="C451" s="8">
        <v>43101.0</v>
      </c>
      <c r="D451" s="1" t="s">
        <v>979</v>
      </c>
    </row>
    <row r="452">
      <c r="A452" s="1" t="s">
        <v>28</v>
      </c>
      <c r="B452" s="1" t="str">
        <f>VLOOKUP(A452,Institutions!A:B,2,False)</f>
        <v>Sweden</v>
      </c>
      <c r="C452" s="8">
        <v>43101.0</v>
      </c>
      <c r="D452" s="1" t="s">
        <v>622</v>
      </c>
    </row>
    <row r="453">
      <c r="A453" s="1" t="s">
        <v>28</v>
      </c>
      <c r="B453" s="1" t="str">
        <f>VLOOKUP(A453,Institutions!A:B,2,False)</f>
        <v>Sweden</v>
      </c>
      <c r="C453" s="8">
        <v>43101.0</v>
      </c>
      <c r="D453" s="1" t="s">
        <v>1977</v>
      </c>
    </row>
    <row r="454">
      <c r="A454" s="1" t="s">
        <v>28</v>
      </c>
      <c r="B454" s="1" t="str">
        <f>VLOOKUP(A454,Institutions!A:B,2,False)</f>
        <v>Sweden</v>
      </c>
      <c r="C454" s="8">
        <v>42736.0</v>
      </c>
      <c r="D454" s="1" t="s">
        <v>999</v>
      </c>
    </row>
    <row r="455">
      <c r="A455" s="1" t="s">
        <v>28</v>
      </c>
      <c r="B455" s="1" t="str">
        <f>VLOOKUP(A455,Institutions!A:B,2,False)</f>
        <v>Sweden</v>
      </c>
      <c r="C455" s="8">
        <v>42370.0</v>
      </c>
      <c r="D455" s="1" t="s">
        <v>1978</v>
      </c>
    </row>
    <row r="456">
      <c r="A456" s="1" t="s">
        <v>28</v>
      </c>
      <c r="B456" s="1" t="str">
        <f>VLOOKUP(A456,Institutions!A:B,2,False)</f>
        <v>Sweden</v>
      </c>
      <c r="C456" s="8">
        <v>42005.0</v>
      </c>
      <c r="D456" s="1" t="s">
        <v>1979</v>
      </c>
    </row>
    <row r="457">
      <c r="A457" s="1" t="s">
        <v>28</v>
      </c>
      <c r="B457" s="1" t="str">
        <f>VLOOKUP(A457,Institutions!A:B,2,False)</f>
        <v>Sweden</v>
      </c>
      <c r="C457" s="8">
        <v>42005.0</v>
      </c>
      <c r="D457" s="1" t="s">
        <v>1980</v>
      </c>
    </row>
    <row r="458">
      <c r="A458" s="1" t="s">
        <v>28</v>
      </c>
      <c r="B458" s="1" t="str">
        <f>VLOOKUP(A458,Institutions!A:B,2,False)</f>
        <v>Sweden</v>
      </c>
      <c r="C458" s="8">
        <v>41640.0</v>
      </c>
      <c r="D458" s="1" t="s">
        <v>1981</v>
      </c>
    </row>
    <row r="459">
      <c r="A459" s="1" t="s">
        <v>28</v>
      </c>
      <c r="B459" s="1" t="str">
        <f>VLOOKUP(A459,Institutions!A:B,2,False)</f>
        <v>Sweden</v>
      </c>
      <c r="C459" s="8">
        <v>41640.0</v>
      </c>
      <c r="D459" s="1" t="s">
        <v>1982</v>
      </c>
    </row>
    <row r="460">
      <c r="A460" s="1" t="s">
        <v>28</v>
      </c>
      <c r="B460" s="1" t="str">
        <f>VLOOKUP(A460,Institutions!A:B,2,False)</f>
        <v>Sweden</v>
      </c>
      <c r="C460" s="8">
        <v>41640.0</v>
      </c>
      <c r="D460" s="1" t="s">
        <v>1983</v>
      </c>
    </row>
    <row r="461">
      <c r="A461" s="1" t="s">
        <v>28</v>
      </c>
      <c r="B461" s="1" t="str">
        <f>VLOOKUP(A461,Institutions!A:B,2,False)</f>
        <v>Sweden</v>
      </c>
      <c r="C461" s="8">
        <v>41640.0</v>
      </c>
      <c r="D461" s="1" t="s">
        <v>1984</v>
      </c>
    </row>
    <row r="462">
      <c r="A462" s="1" t="s">
        <v>28</v>
      </c>
      <c r="B462" s="1" t="str">
        <f>VLOOKUP(A462,Institutions!A:B,2,False)</f>
        <v>Sweden</v>
      </c>
      <c r="C462" s="8">
        <v>41275.0</v>
      </c>
      <c r="D462" s="1" t="s">
        <v>1985</v>
      </c>
    </row>
    <row r="463">
      <c r="A463" s="1" t="s">
        <v>28</v>
      </c>
      <c r="B463" s="1" t="str">
        <f>VLOOKUP(A463,Institutions!A:B,2,False)</f>
        <v>Sweden</v>
      </c>
      <c r="C463" s="8">
        <v>40544.0</v>
      </c>
      <c r="D463" s="1" t="s">
        <v>1986</v>
      </c>
    </row>
    <row r="464">
      <c r="A464" s="1" t="s">
        <v>28</v>
      </c>
      <c r="B464" s="1" t="str">
        <f>VLOOKUP(A464,Institutions!A:B,2,False)</f>
        <v>Sweden</v>
      </c>
      <c r="C464" s="8">
        <v>40179.0</v>
      </c>
      <c r="D464" s="1" t="s">
        <v>1986</v>
      </c>
    </row>
    <row r="465">
      <c r="A465" s="1" t="s">
        <v>28</v>
      </c>
      <c r="B465" s="1" t="str">
        <f>VLOOKUP(A465,Institutions!A:B,2,False)</f>
        <v>Sweden</v>
      </c>
      <c r="C465" s="8">
        <v>40179.0</v>
      </c>
      <c r="D465" s="1" t="s">
        <v>1987</v>
      </c>
    </row>
    <row r="466">
      <c r="A466" s="1" t="s">
        <v>28</v>
      </c>
      <c r="B466" s="1" t="str">
        <f>VLOOKUP(A466,Institutions!A:B,2,False)</f>
        <v>Sweden</v>
      </c>
      <c r="C466" s="8">
        <v>40179.0</v>
      </c>
      <c r="D466" s="1" t="s">
        <v>1988</v>
      </c>
    </row>
    <row r="467">
      <c r="A467" s="1" t="s">
        <v>28</v>
      </c>
      <c r="B467" s="1" t="str">
        <f>VLOOKUP(A467,Institutions!A:B,2,False)</f>
        <v>Sweden</v>
      </c>
      <c r="C467" s="8">
        <v>40179.0</v>
      </c>
      <c r="D467" s="1" t="s">
        <v>1989</v>
      </c>
    </row>
    <row r="468">
      <c r="A468" s="1" t="s">
        <v>28</v>
      </c>
      <c r="B468" s="1" t="str">
        <f>VLOOKUP(A468,Institutions!A:B,2,False)</f>
        <v>Sweden</v>
      </c>
      <c r="C468" s="8">
        <v>39814.0</v>
      </c>
      <c r="D468" s="1" t="s">
        <v>1990</v>
      </c>
    </row>
    <row r="469">
      <c r="A469" s="1" t="s">
        <v>28</v>
      </c>
      <c r="B469" s="1" t="str">
        <f>VLOOKUP(A469,Institutions!A:B,2,False)</f>
        <v>Sweden</v>
      </c>
      <c r="C469" s="8">
        <v>39814.0</v>
      </c>
      <c r="D469" s="1" t="s">
        <v>1991</v>
      </c>
    </row>
    <row r="470">
      <c r="A470" s="1" t="s">
        <v>28</v>
      </c>
      <c r="B470" s="1" t="str">
        <f>VLOOKUP(A470,Institutions!A:B,2,False)</f>
        <v>Sweden</v>
      </c>
      <c r="C470" s="8">
        <v>39448.0</v>
      </c>
      <c r="D470" s="1" t="s">
        <v>1992</v>
      </c>
    </row>
    <row r="471">
      <c r="A471" s="1" t="s">
        <v>28</v>
      </c>
      <c r="B471" s="1" t="str">
        <f>VLOOKUP(A471,Institutions!A:B,2,False)</f>
        <v>Sweden</v>
      </c>
      <c r="C471" s="8">
        <v>39448.0</v>
      </c>
      <c r="D471" s="1" t="s">
        <v>1993</v>
      </c>
    </row>
    <row r="472">
      <c r="A472" s="1" t="s">
        <v>28</v>
      </c>
      <c r="B472" s="1" t="str">
        <f>VLOOKUP(A472,Institutions!A:B,2,False)</f>
        <v>Sweden</v>
      </c>
      <c r="C472" s="8">
        <v>39448.0</v>
      </c>
      <c r="D472" s="1" t="s">
        <v>1994</v>
      </c>
    </row>
    <row r="473">
      <c r="A473" s="1" t="s">
        <v>28</v>
      </c>
      <c r="B473" s="1" t="str">
        <f>VLOOKUP(A473,Institutions!A:B,2,False)</f>
        <v>Sweden</v>
      </c>
      <c r="C473" s="8">
        <v>39448.0</v>
      </c>
      <c r="D473" s="1" t="s">
        <v>1995</v>
      </c>
    </row>
    <row r="474">
      <c r="A474" s="1" t="s">
        <v>32</v>
      </c>
      <c r="B474" s="1" t="str">
        <f>VLOOKUP(A474,Institutions!A:B,2,False)</f>
        <v>United States</v>
      </c>
      <c r="C474" s="8">
        <v>45292.0</v>
      </c>
      <c r="D474" s="1" t="s">
        <v>1117</v>
      </c>
    </row>
    <row r="475">
      <c r="A475" s="1" t="s">
        <v>32</v>
      </c>
      <c r="B475" s="1" t="str">
        <f>VLOOKUP(A475,Institutions!A:B,2,False)</f>
        <v>United States</v>
      </c>
      <c r="C475" s="8">
        <v>44562.0</v>
      </c>
      <c r="D475" s="1" t="s">
        <v>932</v>
      </c>
    </row>
    <row r="476">
      <c r="A476" s="1" t="s">
        <v>32</v>
      </c>
      <c r="B476" s="1" t="str">
        <f>VLOOKUP(A476,Institutions!A:B,2,False)</f>
        <v>United States</v>
      </c>
      <c r="C476" s="8">
        <v>44562.0</v>
      </c>
      <c r="D476" s="1" t="s">
        <v>503</v>
      </c>
    </row>
    <row r="477">
      <c r="A477" s="1" t="s">
        <v>32</v>
      </c>
      <c r="B477" s="1" t="str">
        <f>VLOOKUP(A477,Institutions!A:B,2,False)</f>
        <v>United States</v>
      </c>
      <c r="C477" s="8">
        <v>44562.0</v>
      </c>
      <c r="D477" s="1" t="s">
        <v>1605</v>
      </c>
    </row>
    <row r="478">
      <c r="A478" s="1" t="s">
        <v>32</v>
      </c>
      <c r="B478" s="1" t="str">
        <f>VLOOKUP(A478,Institutions!A:B,2,False)</f>
        <v>United States</v>
      </c>
      <c r="C478" s="8">
        <v>43831.0</v>
      </c>
      <c r="D478" s="1" t="s">
        <v>568</v>
      </c>
    </row>
    <row r="479">
      <c r="A479" s="1" t="s">
        <v>32</v>
      </c>
      <c r="B479" s="1" t="str">
        <f>VLOOKUP(A479,Institutions!A:B,2,False)</f>
        <v>United States</v>
      </c>
      <c r="C479" s="8">
        <v>43831.0</v>
      </c>
      <c r="D479" s="1" t="s">
        <v>570</v>
      </c>
    </row>
    <row r="480">
      <c r="A480" s="1" t="s">
        <v>32</v>
      </c>
      <c r="B480" s="1" t="str">
        <f>VLOOKUP(A480,Institutions!A:B,2,False)</f>
        <v>United States</v>
      </c>
      <c r="C480" s="8">
        <v>43466.0</v>
      </c>
      <c r="D480" s="1" t="s">
        <v>1627</v>
      </c>
    </row>
    <row r="481">
      <c r="A481" s="1" t="s">
        <v>32</v>
      </c>
      <c r="B481" s="1" t="str">
        <f>VLOOKUP(A481,Institutions!A:B,2,False)</f>
        <v>United States</v>
      </c>
      <c r="C481" s="8">
        <v>43466.0</v>
      </c>
      <c r="D481" s="1" t="s">
        <v>970</v>
      </c>
    </row>
    <row r="482">
      <c r="A482" s="1" t="s">
        <v>32</v>
      </c>
      <c r="B482" s="1" t="str">
        <f>VLOOKUP(A482,Institutions!A:B,2,False)</f>
        <v>United States</v>
      </c>
      <c r="C482" s="8">
        <v>43101.0</v>
      </c>
      <c r="D482" s="1" t="s">
        <v>1637</v>
      </c>
    </row>
    <row r="483">
      <c r="A483" s="1" t="s">
        <v>32</v>
      </c>
      <c r="B483" s="1" t="str">
        <f>VLOOKUP(A483,Institutions!A:B,2,False)</f>
        <v>United States</v>
      </c>
      <c r="C483" s="8">
        <v>42005.0</v>
      </c>
      <c r="D483" s="1" t="s">
        <v>1996</v>
      </c>
    </row>
    <row r="484">
      <c r="A484" s="1" t="s">
        <v>32</v>
      </c>
      <c r="B484" s="1" t="str">
        <f>VLOOKUP(A484,Institutions!A:B,2,False)</f>
        <v>United States</v>
      </c>
      <c r="C484" s="8">
        <v>41640.0</v>
      </c>
      <c r="D484" s="1" t="s">
        <v>1737</v>
      </c>
    </row>
    <row r="485">
      <c r="A485" s="1" t="s">
        <v>32</v>
      </c>
      <c r="B485" s="1" t="str">
        <f>VLOOKUP(A485,Institutions!A:B,2,False)</f>
        <v>United States</v>
      </c>
      <c r="C485" s="8">
        <v>41275.0</v>
      </c>
      <c r="D485" s="1" t="s">
        <v>1997</v>
      </c>
    </row>
    <row r="486">
      <c r="A486" s="1" t="s">
        <v>32</v>
      </c>
      <c r="B486" s="1" t="str">
        <f>VLOOKUP(A486,Institutions!A:B,2,False)</f>
        <v>United States</v>
      </c>
      <c r="C486" s="8">
        <v>41275.0</v>
      </c>
      <c r="D486" s="1" t="s">
        <v>1960</v>
      </c>
    </row>
    <row r="487">
      <c r="A487" s="1" t="s">
        <v>32</v>
      </c>
      <c r="B487" s="1" t="str">
        <f>VLOOKUP(A487,Institutions!A:B,2,False)</f>
        <v>United States</v>
      </c>
      <c r="C487" s="8">
        <v>40909.0</v>
      </c>
      <c r="D487" s="1" t="s">
        <v>1998</v>
      </c>
    </row>
    <row r="488">
      <c r="A488" s="1" t="s">
        <v>32</v>
      </c>
      <c r="B488" s="1" t="str">
        <f>VLOOKUP(A488,Institutions!A:B,2,False)</f>
        <v>United States</v>
      </c>
      <c r="C488" s="8">
        <v>40909.0</v>
      </c>
      <c r="D488" s="1" t="s">
        <v>1999</v>
      </c>
    </row>
    <row r="489">
      <c r="A489" s="1" t="s">
        <v>32</v>
      </c>
      <c r="B489" s="1" t="str">
        <f>VLOOKUP(A489,Institutions!A:B,2,False)</f>
        <v>United States</v>
      </c>
      <c r="C489" s="8">
        <v>40909.0</v>
      </c>
      <c r="D489" s="1" t="s">
        <v>2000</v>
      </c>
    </row>
    <row r="490">
      <c r="A490" s="1" t="s">
        <v>32</v>
      </c>
      <c r="B490" s="1" t="str">
        <f>VLOOKUP(A490,Institutions!A:B,2,False)</f>
        <v>United States</v>
      </c>
      <c r="C490" s="8">
        <v>40544.0</v>
      </c>
      <c r="D490" s="1" t="s">
        <v>2001</v>
      </c>
    </row>
    <row r="491">
      <c r="A491" s="1" t="s">
        <v>32</v>
      </c>
      <c r="B491" s="1" t="str">
        <f>VLOOKUP(A491,Institutions!A:B,2,False)</f>
        <v>United States</v>
      </c>
      <c r="C491" s="8">
        <v>39448.0</v>
      </c>
      <c r="D491" s="1" t="s">
        <v>2002</v>
      </c>
    </row>
    <row r="492">
      <c r="A492" s="1" t="s">
        <v>32</v>
      </c>
      <c r="B492" s="1" t="str">
        <f>VLOOKUP(A492,Institutions!A:B,2,False)</f>
        <v>United States</v>
      </c>
      <c r="C492" s="8">
        <v>38353.0</v>
      </c>
      <c r="D492" s="1" t="s">
        <v>2003</v>
      </c>
    </row>
    <row r="493">
      <c r="A493" s="1" t="s">
        <v>32</v>
      </c>
      <c r="B493" s="1" t="str">
        <f>VLOOKUP(A493,Institutions!A:B,2,False)</f>
        <v>United States</v>
      </c>
      <c r="C493" s="8">
        <v>38353.0</v>
      </c>
      <c r="D493" s="1" t="s">
        <v>2004</v>
      </c>
    </row>
    <row r="494">
      <c r="A494" s="1" t="s">
        <v>32</v>
      </c>
      <c r="B494" s="1" t="str">
        <f>VLOOKUP(A494,Institutions!A:B,2,False)</f>
        <v>United States</v>
      </c>
      <c r="C494" s="8">
        <v>37987.0</v>
      </c>
      <c r="D494" s="1" t="s">
        <v>2006</v>
      </c>
    </row>
    <row r="495">
      <c r="A495" s="1" t="s">
        <v>32</v>
      </c>
      <c r="B495" s="1" t="str">
        <f>VLOOKUP(A495,Institutions!A:B,2,False)</f>
        <v>United States</v>
      </c>
      <c r="C495" s="8">
        <v>37622.0</v>
      </c>
      <c r="D495" s="1" t="s">
        <v>2008</v>
      </c>
    </row>
    <row r="496">
      <c r="A496" s="1" t="s">
        <v>32</v>
      </c>
      <c r="B496" s="1" t="str">
        <f>VLOOKUP(A496,Institutions!A:B,2,False)</f>
        <v>United States</v>
      </c>
      <c r="C496" s="8">
        <v>37622.0</v>
      </c>
      <c r="D496" s="1" t="s">
        <v>2009</v>
      </c>
    </row>
    <row r="497">
      <c r="A497" s="1" t="s">
        <v>32</v>
      </c>
      <c r="B497" s="1" t="str">
        <f>VLOOKUP(A497,Institutions!A:B,2,False)</f>
        <v>United States</v>
      </c>
      <c r="C497" s="8">
        <v>37622.0</v>
      </c>
      <c r="D497" s="1" t="s">
        <v>2010</v>
      </c>
    </row>
    <row r="498">
      <c r="A498" s="1" t="s">
        <v>34</v>
      </c>
      <c r="B498" s="1" t="str">
        <f>VLOOKUP(A498,Institutions!A:B,2,False)</f>
        <v>United States</v>
      </c>
      <c r="C498" s="8">
        <v>44927.0</v>
      </c>
      <c r="D498" s="1" t="s">
        <v>436</v>
      </c>
    </row>
    <row r="499">
      <c r="A499" s="1" t="s">
        <v>34</v>
      </c>
      <c r="B499" s="1" t="str">
        <f>VLOOKUP(A499,Institutions!A:B,2,False)</f>
        <v>United States</v>
      </c>
      <c r="C499" s="8">
        <v>44927.0</v>
      </c>
      <c r="D499" s="1" t="s">
        <v>1435</v>
      </c>
    </row>
    <row r="500">
      <c r="A500" s="1" t="s">
        <v>34</v>
      </c>
      <c r="B500" s="1" t="str">
        <f>VLOOKUP(A500,Institutions!A:B,2,False)</f>
        <v>United States</v>
      </c>
      <c r="C500" s="8">
        <v>44927.0</v>
      </c>
      <c r="D500" s="1" t="s">
        <v>1259</v>
      </c>
    </row>
    <row r="501">
      <c r="A501" s="1" t="s">
        <v>34</v>
      </c>
      <c r="B501" s="1" t="str">
        <f>VLOOKUP(A501,Institutions!A:B,2,False)</f>
        <v>United States</v>
      </c>
      <c r="C501" s="8">
        <v>44927.0</v>
      </c>
      <c r="D501" s="1" t="s">
        <v>1270</v>
      </c>
    </row>
    <row r="502">
      <c r="A502" s="1" t="s">
        <v>34</v>
      </c>
      <c r="B502" s="1" t="str">
        <f>VLOOKUP(A502,Institutions!A:B,2,False)</f>
        <v>United States</v>
      </c>
      <c r="C502" s="8">
        <v>44927.0</v>
      </c>
      <c r="D502" s="1" t="s">
        <v>1013</v>
      </c>
    </row>
    <row r="503">
      <c r="A503" s="1" t="s">
        <v>34</v>
      </c>
      <c r="B503" s="1" t="str">
        <f>VLOOKUP(A503,Institutions!A:B,2,False)</f>
        <v>United States</v>
      </c>
      <c r="C503" s="8">
        <v>44927.0</v>
      </c>
      <c r="D503" s="1" t="s">
        <v>460</v>
      </c>
    </row>
    <row r="504">
      <c r="A504" s="1" t="s">
        <v>34</v>
      </c>
      <c r="B504" s="1" t="str">
        <f>VLOOKUP(A504,Institutions!A:B,2,False)</f>
        <v>United States</v>
      </c>
      <c r="C504" s="8">
        <v>44562.0</v>
      </c>
      <c r="D504" s="1" t="s">
        <v>466</v>
      </c>
    </row>
    <row r="505">
      <c r="A505" s="1" t="s">
        <v>34</v>
      </c>
      <c r="B505" s="1" t="str">
        <f>VLOOKUP(A505,Institutions!A:B,2,False)</f>
        <v>United States</v>
      </c>
      <c r="C505" s="8">
        <v>44562.0</v>
      </c>
      <c r="D505" s="1" t="s">
        <v>1281</v>
      </c>
    </row>
    <row r="506">
      <c r="A506" s="1" t="s">
        <v>34</v>
      </c>
      <c r="B506" s="1" t="str">
        <f>VLOOKUP(A506,Institutions!A:B,2,False)</f>
        <v>United States</v>
      </c>
      <c r="C506" s="8">
        <v>44197.0</v>
      </c>
      <c r="D506" s="1" t="s">
        <v>1231</v>
      </c>
    </row>
    <row r="507">
      <c r="A507" s="1" t="s">
        <v>34</v>
      </c>
      <c r="B507" s="1" t="str">
        <f>VLOOKUP(A507,Institutions!A:B,2,False)</f>
        <v>United States</v>
      </c>
      <c r="C507" s="8">
        <v>44197.0</v>
      </c>
      <c r="D507" s="1" t="s">
        <v>534</v>
      </c>
    </row>
    <row r="508">
      <c r="A508" s="1" t="s">
        <v>34</v>
      </c>
      <c r="B508" s="1" t="str">
        <f>VLOOKUP(A508,Institutions!A:B,2,False)</f>
        <v>United States</v>
      </c>
      <c r="C508" s="8">
        <v>43466.0</v>
      </c>
      <c r="D508" s="1" t="s">
        <v>1340</v>
      </c>
    </row>
    <row r="509">
      <c r="A509" s="1" t="s">
        <v>34</v>
      </c>
      <c r="B509" s="1" t="str">
        <f>VLOOKUP(A509,Institutions!A:B,2,False)</f>
        <v>United States</v>
      </c>
      <c r="C509" s="8">
        <v>43101.0</v>
      </c>
      <c r="D509" s="1" t="s">
        <v>2011</v>
      </c>
    </row>
    <row r="510">
      <c r="A510" s="1" t="s">
        <v>34</v>
      </c>
      <c r="B510" s="1" t="str">
        <f>VLOOKUP(A510,Institutions!A:B,2,False)</f>
        <v>United States</v>
      </c>
      <c r="C510" s="8">
        <v>43101.0</v>
      </c>
      <c r="D510" s="1" t="s">
        <v>2012</v>
      </c>
    </row>
    <row r="511">
      <c r="A511" s="1" t="s">
        <v>34</v>
      </c>
      <c r="B511" s="1" t="str">
        <f>VLOOKUP(A511,Institutions!A:B,2,False)</f>
        <v>United States</v>
      </c>
      <c r="C511" s="8">
        <v>43101.0</v>
      </c>
      <c r="D511" s="1" t="s">
        <v>1562</v>
      </c>
    </row>
    <row r="512">
      <c r="A512" s="1" t="s">
        <v>34</v>
      </c>
      <c r="B512" s="1" t="str">
        <f>VLOOKUP(A512,Institutions!A:B,2,False)</f>
        <v>United States</v>
      </c>
      <c r="C512" s="8">
        <v>43101.0</v>
      </c>
      <c r="D512" s="1" t="s">
        <v>2013</v>
      </c>
    </row>
    <row r="513">
      <c r="A513" s="1" t="s">
        <v>34</v>
      </c>
      <c r="B513" s="1" t="str">
        <f>VLOOKUP(A513,Institutions!A:B,2,False)</f>
        <v>United States</v>
      </c>
      <c r="C513" s="8">
        <v>42736.0</v>
      </c>
      <c r="D513" s="1" t="s">
        <v>1572</v>
      </c>
    </row>
    <row r="514">
      <c r="A514" s="1" t="s">
        <v>34</v>
      </c>
      <c r="B514" s="1" t="str">
        <f>VLOOKUP(A514,Institutions!A:B,2,False)</f>
        <v>United States</v>
      </c>
      <c r="C514" s="8">
        <v>42736.0</v>
      </c>
      <c r="D514" s="1" t="s">
        <v>2014</v>
      </c>
    </row>
    <row r="515">
      <c r="A515" s="1" t="s">
        <v>34</v>
      </c>
      <c r="B515" s="1" t="str">
        <f>VLOOKUP(A515,Institutions!A:B,2,False)</f>
        <v>United States</v>
      </c>
      <c r="C515" s="8">
        <v>42370.0</v>
      </c>
      <c r="D515" s="1" t="s">
        <v>1078</v>
      </c>
    </row>
    <row r="516">
      <c r="A516" s="1" t="s">
        <v>34</v>
      </c>
      <c r="B516" s="1" t="str">
        <f>VLOOKUP(A516,Institutions!A:B,2,False)</f>
        <v>United States</v>
      </c>
      <c r="C516" s="8">
        <v>42370.0</v>
      </c>
      <c r="D516" s="1" t="s">
        <v>2015</v>
      </c>
    </row>
    <row r="517">
      <c r="A517" s="1" t="s">
        <v>34</v>
      </c>
      <c r="B517" s="1" t="str">
        <f>VLOOKUP(A517,Institutions!A:B,2,False)</f>
        <v>United States</v>
      </c>
      <c r="C517" s="8">
        <v>42005.0</v>
      </c>
      <c r="D517" s="1" t="s">
        <v>2016</v>
      </c>
    </row>
    <row r="518">
      <c r="A518" s="1" t="s">
        <v>34</v>
      </c>
      <c r="B518" s="1" t="str">
        <f>VLOOKUP(A518,Institutions!A:B,2,False)</f>
        <v>United States</v>
      </c>
      <c r="C518" s="8">
        <v>41640.0</v>
      </c>
      <c r="D518" s="1" t="s">
        <v>1482</v>
      </c>
    </row>
    <row r="519">
      <c r="A519" s="1" t="s">
        <v>34</v>
      </c>
      <c r="B519" s="1" t="str">
        <f>VLOOKUP(A519,Institutions!A:B,2,False)</f>
        <v>United States</v>
      </c>
      <c r="C519" s="8">
        <v>41640.0</v>
      </c>
      <c r="D519" s="1" t="s">
        <v>2017</v>
      </c>
    </row>
    <row r="520">
      <c r="A520" s="1" t="s">
        <v>37</v>
      </c>
      <c r="B520" s="1" t="str">
        <f>VLOOKUP(A520,Institutions!A:B,2,False)</f>
        <v>Netherlands</v>
      </c>
      <c r="C520" s="8">
        <v>44197.0</v>
      </c>
      <c r="D520" s="1" t="s">
        <v>1174</v>
      </c>
    </row>
    <row r="521">
      <c r="A521" s="1" t="s">
        <v>37</v>
      </c>
      <c r="B521" s="1" t="str">
        <f>VLOOKUP(A521,Institutions!A:B,2,False)</f>
        <v>Netherlands</v>
      </c>
      <c r="C521" s="8">
        <v>44197.0</v>
      </c>
      <c r="D521" s="1" t="s">
        <v>1175</v>
      </c>
    </row>
    <row r="522">
      <c r="A522" s="1" t="s">
        <v>37</v>
      </c>
      <c r="B522" s="1" t="str">
        <f>VLOOKUP(A522,Institutions!A:B,2,False)</f>
        <v>Netherlands</v>
      </c>
      <c r="C522" s="8">
        <v>44197.0</v>
      </c>
      <c r="D522" s="1" t="s">
        <v>1186</v>
      </c>
    </row>
    <row r="523">
      <c r="A523" s="1" t="s">
        <v>37</v>
      </c>
      <c r="B523" s="1" t="str">
        <f>VLOOKUP(A523,Institutions!A:B,2,False)</f>
        <v>Netherlands</v>
      </c>
      <c r="C523" s="8">
        <v>44197.0</v>
      </c>
      <c r="D523" s="1" t="s">
        <v>2018</v>
      </c>
    </row>
    <row r="524">
      <c r="A524" s="1" t="s">
        <v>37</v>
      </c>
      <c r="B524" s="1" t="str">
        <f>VLOOKUP(A524,Institutions!A:B,2,False)</f>
        <v>Netherlands</v>
      </c>
      <c r="C524" s="8">
        <v>44197.0</v>
      </c>
      <c r="D524" s="1" t="s">
        <v>2019</v>
      </c>
    </row>
    <row r="525">
      <c r="A525" s="1" t="s">
        <v>37</v>
      </c>
      <c r="B525" s="1" t="str">
        <f>VLOOKUP(A525,Institutions!A:B,2,False)</f>
        <v>Netherlands</v>
      </c>
      <c r="C525" s="8">
        <v>44197.0</v>
      </c>
      <c r="D525" s="1" t="s">
        <v>1931</v>
      </c>
    </row>
    <row r="526">
      <c r="A526" s="1" t="s">
        <v>37</v>
      </c>
      <c r="B526" s="1" t="str">
        <f>VLOOKUP(A526,Institutions!A:B,2,False)</f>
        <v>Netherlands</v>
      </c>
      <c r="C526" s="8">
        <v>43831.0</v>
      </c>
      <c r="D526" s="1" t="s">
        <v>952</v>
      </c>
    </row>
    <row r="527">
      <c r="A527" s="1" t="s">
        <v>37</v>
      </c>
      <c r="B527" s="1" t="str">
        <f>VLOOKUP(A527,Institutions!A:B,2,False)</f>
        <v>Netherlands</v>
      </c>
      <c r="C527" s="8">
        <v>43831.0</v>
      </c>
      <c r="D527" s="1" t="s">
        <v>2020</v>
      </c>
    </row>
    <row r="528">
      <c r="A528" s="1" t="s">
        <v>37</v>
      </c>
      <c r="B528" s="1" t="str">
        <f>VLOOKUP(A528,Institutions!A:B,2,False)</f>
        <v>Netherlands</v>
      </c>
      <c r="C528" s="8">
        <v>43831.0</v>
      </c>
      <c r="D528" s="1" t="s">
        <v>2021</v>
      </c>
    </row>
    <row r="529">
      <c r="A529" s="1" t="s">
        <v>37</v>
      </c>
      <c r="B529" s="1" t="str">
        <f>VLOOKUP(A529,Institutions!A:B,2,False)</f>
        <v>Netherlands</v>
      </c>
      <c r="C529" s="8">
        <v>43831.0</v>
      </c>
      <c r="D529" s="1" t="s">
        <v>2022</v>
      </c>
    </row>
    <row r="530">
      <c r="A530" s="1" t="s">
        <v>37</v>
      </c>
      <c r="B530" s="1" t="str">
        <f>VLOOKUP(A530,Institutions!A:B,2,False)</f>
        <v>Netherlands</v>
      </c>
      <c r="C530" s="8">
        <v>43831.0</v>
      </c>
      <c r="D530" s="1" t="s">
        <v>2023</v>
      </c>
    </row>
    <row r="531">
      <c r="A531" s="1" t="s">
        <v>37</v>
      </c>
      <c r="B531" s="1" t="str">
        <f>VLOOKUP(A531,Institutions!A:B,2,False)</f>
        <v>Netherlands</v>
      </c>
      <c r="C531" s="8">
        <v>43466.0</v>
      </c>
      <c r="D531" s="1" t="s">
        <v>2024</v>
      </c>
    </row>
    <row r="532">
      <c r="A532" s="1" t="s">
        <v>37</v>
      </c>
      <c r="B532" s="1" t="str">
        <f>VLOOKUP(A532,Institutions!A:B,2,False)</f>
        <v>Netherlands</v>
      </c>
      <c r="C532" s="8">
        <v>43101.0</v>
      </c>
      <c r="D532" s="1" t="s">
        <v>2025</v>
      </c>
    </row>
    <row r="533">
      <c r="A533" s="1" t="s">
        <v>37</v>
      </c>
      <c r="B533" s="1" t="str">
        <f>VLOOKUP(A533,Institutions!A:B,2,False)</f>
        <v>Netherlands</v>
      </c>
      <c r="C533" s="8">
        <v>43101.0</v>
      </c>
      <c r="D533" s="1" t="s">
        <v>2026</v>
      </c>
    </row>
    <row r="534">
      <c r="A534" s="1" t="s">
        <v>37</v>
      </c>
      <c r="B534" s="1" t="str">
        <f>VLOOKUP(A534,Institutions!A:B,2,False)</f>
        <v>Netherlands</v>
      </c>
      <c r="C534" s="8">
        <v>43101.0</v>
      </c>
      <c r="D534" s="1" t="s">
        <v>2027</v>
      </c>
    </row>
    <row r="535">
      <c r="A535" s="1" t="s">
        <v>37</v>
      </c>
      <c r="B535" s="1" t="str">
        <f>VLOOKUP(A535,Institutions!A:B,2,False)</f>
        <v>Netherlands</v>
      </c>
      <c r="C535" s="8">
        <v>42736.0</v>
      </c>
      <c r="D535" s="1" t="s">
        <v>1781</v>
      </c>
    </row>
    <row r="536">
      <c r="A536" s="1" t="s">
        <v>37</v>
      </c>
      <c r="B536" s="1" t="str">
        <f>VLOOKUP(A536,Institutions!A:B,2,False)</f>
        <v>Netherlands</v>
      </c>
      <c r="C536" s="8">
        <v>42736.0</v>
      </c>
      <c r="D536" s="1" t="s">
        <v>1784</v>
      </c>
    </row>
    <row r="537">
      <c r="A537" s="1" t="s">
        <v>37</v>
      </c>
      <c r="B537" s="1" t="str">
        <f>VLOOKUP(A537,Institutions!A:B,2,False)</f>
        <v>Netherlands</v>
      </c>
      <c r="C537" s="8">
        <v>40544.0</v>
      </c>
      <c r="D537" s="1" t="s">
        <v>2028</v>
      </c>
    </row>
    <row r="538">
      <c r="A538" s="1" t="s">
        <v>37</v>
      </c>
      <c r="B538" s="1" t="str">
        <f>VLOOKUP(A538,Institutions!A:B,2,False)</f>
        <v>Netherlands</v>
      </c>
      <c r="C538" s="8">
        <v>40544.0</v>
      </c>
      <c r="D538" s="1" t="s">
        <v>2029</v>
      </c>
    </row>
    <row r="539">
      <c r="A539" s="1" t="s">
        <v>37</v>
      </c>
      <c r="B539" s="1" t="str">
        <f>VLOOKUP(A539,Institutions!A:B,2,False)</f>
        <v>Netherlands</v>
      </c>
      <c r="C539" s="8">
        <v>40179.0</v>
      </c>
      <c r="D539" s="1" t="s">
        <v>2030</v>
      </c>
    </row>
    <row r="540">
      <c r="A540" s="1" t="s">
        <v>37</v>
      </c>
      <c r="B540" s="1" t="str">
        <f>VLOOKUP(A540,Institutions!A:B,2,False)</f>
        <v>Netherlands</v>
      </c>
      <c r="C540" s="8">
        <v>40179.0</v>
      </c>
      <c r="D540" s="1" t="s">
        <v>2031</v>
      </c>
    </row>
    <row r="541">
      <c r="A541" s="1" t="s">
        <v>40</v>
      </c>
      <c r="B541" s="1" t="str">
        <f>VLOOKUP(A541,Institutions!A:B,2,False)</f>
        <v>United Kingdom</v>
      </c>
      <c r="C541" s="8">
        <v>44927.0</v>
      </c>
      <c r="D541" s="1" t="s">
        <v>1200</v>
      </c>
    </row>
    <row r="542">
      <c r="A542" s="1" t="s">
        <v>40</v>
      </c>
      <c r="B542" s="1" t="str">
        <f>VLOOKUP(A542,Institutions!A:B,2,False)</f>
        <v>United Kingdom</v>
      </c>
      <c r="C542" s="8">
        <v>44927.0</v>
      </c>
      <c r="D542" s="1" t="s">
        <v>1269</v>
      </c>
    </row>
    <row r="543">
      <c r="A543" s="1" t="s">
        <v>40</v>
      </c>
      <c r="B543" s="1" t="str">
        <f>VLOOKUP(A543,Institutions!A:B,2,False)</f>
        <v>United Kingdom</v>
      </c>
      <c r="C543" s="8">
        <v>44927.0</v>
      </c>
      <c r="D543" s="1" t="s">
        <v>1140</v>
      </c>
    </row>
    <row r="544">
      <c r="A544" s="1" t="s">
        <v>40</v>
      </c>
      <c r="B544" s="1" t="str">
        <f>VLOOKUP(A544,Institutions!A:B,2,False)</f>
        <v>United Kingdom</v>
      </c>
      <c r="C544" s="8">
        <v>44927.0</v>
      </c>
      <c r="D544" s="1" t="s">
        <v>1150</v>
      </c>
    </row>
    <row r="545">
      <c r="A545" s="1" t="s">
        <v>40</v>
      </c>
      <c r="B545" s="1" t="str">
        <f>VLOOKUP(A545,Institutions!A:B,2,False)</f>
        <v>United Kingdom</v>
      </c>
      <c r="C545" s="8">
        <v>44562.0</v>
      </c>
      <c r="D545" s="1" t="s">
        <v>1216</v>
      </c>
    </row>
    <row r="546">
      <c r="A546" s="1" t="s">
        <v>40</v>
      </c>
      <c r="B546" s="1" t="str">
        <f>VLOOKUP(A546,Institutions!A:B,2,False)</f>
        <v>United Kingdom</v>
      </c>
      <c r="C546" s="8">
        <v>44197.0</v>
      </c>
      <c r="D546" s="1" t="s">
        <v>1172</v>
      </c>
    </row>
    <row r="547">
      <c r="A547" s="1" t="s">
        <v>40</v>
      </c>
      <c r="B547" s="1" t="str">
        <f>VLOOKUP(A547,Institutions!A:B,2,False)</f>
        <v>United Kingdom</v>
      </c>
      <c r="C547" s="8">
        <v>44197.0</v>
      </c>
      <c r="D547" s="1" t="s">
        <v>1185</v>
      </c>
    </row>
    <row r="548">
      <c r="A548" s="1" t="s">
        <v>40</v>
      </c>
      <c r="B548" s="1" t="str">
        <f>VLOOKUP(A548,Institutions!A:B,2,False)</f>
        <v>United Kingdom</v>
      </c>
      <c r="C548" s="8">
        <v>44197.0</v>
      </c>
      <c r="D548" s="1" t="s">
        <v>2032</v>
      </c>
    </row>
    <row r="549">
      <c r="A549" s="1" t="s">
        <v>40</v>
      </c>
      <c r="B549" s="1" t="str">
        <f>VLOOKUP(A549,Institutions!A:B,2,False)</f>
        <v>United Kingdom</v>
      </c>
      <c r="C549" s="8">
        <v>44197.0</v>
      </c>
      <c r="D549" s="1" t="s">
        <v>1312</v>
      </c>
    </row>
    <row r="550">
      <c r="A550" s="1" t="s">
        <v>40</v>
      </c>
      <c r="B550" s="1" t="str">
        <f>VLOOKUP(A550,Institutions!A:B,2,False)</f>
        <v>United Kingdom</v>
      </c>
      <c r="C550" s="8">
        <v>44197.0</v>
      </c>
      <c r="D550" s="1" t="s">
        <v>2033</v>
      </c>
    </row>
    <row r="551">
      <c r="A551" s="1" t="s">
        <v>40</v>
      </c>
      <c r="B551" s="1" t="str">
        <f>VLOOKUP(A551,Institutions!A:B,2,False)</f>
        <v>United Kingdom</v>
      </c>
      <c r="C551" s="8">
        <v>44197.0</v>
      </c>
      <c r="D551" s="1" t="s">
        <v>2034</v>
      </c>
    </row>
    <row r="552">
      <c r="A552" s="1" t="s">
        <v>40</v>
      </c>
      <c r="B552" s="1" t="str">
        <f>VLOOKUP(A552,Institutions!A:B,2,False)</f>
        <v>United Kingdom</v>
      </c>
      <c r="C552" s="8">
        <v>43101.0</v>
      </c>
      <c r="D552" s="1" t="s">
        <v>1634</v>
      </c>
    </row>
    <row r="553">
      <c r="A553" s="1" t="s">
        <v>40</v>
      </c>
      <c r="B553" s="1" t="str">
        <f>VLOOKUP(A553,Institutions!A:B,2,False)</f>
        <v>United Kingdom</v>
      </c>
      <c r="C553" s="8">
        <v>42370.0</v>
      </c>
      <c r="D553" s="1" t="s">
        <v>1073</v>
      </c>
    </row>
    <row r="554">
      <c r="A554" s="1" t="s">
        <v>40</v>
      </c>
      <c r="B554" s="1" t="str">
        <f>VLOOKUP(A554,Institutions!A:B,2,False)</f>
        <v>United Kingdom</v>
      </c>
      <c r="C554" s="8">
        <v>41640.0</v>
      </c>
      <c r="D554" s="1" t="s">
        <v>1898</v>
      </c>
    </row>
    <row r="555">
      <c r="A555" s="1" t="s">
        <v>40</v>
      </c>
      <c r="B555" s="1" t="str">
        <f>VLOOKUP(A555,Institutions!A:B,2,False)</f>
        <v>United Kingdom</v>
      </c>
      <c r="C555" s="8">
        <v>41640.0</v>
      </c>
      <c r="D555" s="1" t="s">
        <v>2035</v>
      </c>
    </row>
    <row r="556">
      <c r="A556" s="1" t="s">
        <v>40</v>
      </c>
      <c r="B556" s="1" t="str">
        <f>VLOOKUP(A556,Institutions!A:B,2,False)</f>
        <v>United Kingdom</v>
      </c>
      <c r="C556" s="8">
        <v>40909.0</v>
      </c>
      <c r="D556" s="1" t="s">
        <v>2036</v>
      </c>
    </row>
    <row r="557">
      <c r="A557" s="1" t="s">
        <v>40</v>
      </c>
      <c r="B557" s="1" t="str">
        <f>VLOOKUP(A557,Institutions!A:B,2,False)</f>
        <v>United Kingdom</v>
      </c>
      <c r="C557" s="8">
        <v>40179.0</v>
      </c>
      <c r="D557" s="1" t="s">
        <v>2037</v>
      </c>
    </row>
    <row r="558">
      <c r="A558" s="1" t="s">
        <v>40</v>
      </c>
      <c r="B558" s="1" t="str">
        <f>VLOOKUP(A558,Institutions!A:B,2,False)</f>
        <v>United Kingdom</v>
      </c>
      <c r="C558" s="8">
        <v>39448.0</v>
      </c>
      <c r="D558" s="1" t="s">
        <v>2038</v>
      </c>
    </row>
    <row r="559">
      <c r="A559" s="1" t="s">
        <v>40</v>
      </c>
      <c r="B559" s="1" t="str">
        <f>VLOOKUP(A559,Institutions!A:B,2,False)</f>
        <v>United Kingdom</v>
      </c>
      <c r="C559" s="8">
        <v>39083.0</v>
      </c>
      <c r="D559" s="1" t="s">
        <v>2039</v>
      </c>
    </row>
    <row r="560">
      <c r="A560" s="1" t="s">
        <v>40</v>
      </c>
      <c r="B560" s="1" t="str">
        <f>VLOOKUP(A560,Institutions!A:B,2,False)</f>
        <v>United Kingdom</v>
      </c>
      <c r="C560" s="8">
        <v>39083.0</v>
      </c>
      <c r="D560" s="1" t="s">
        <v>2040</v>
      </c>
    </row>
    <row r="561">
      <c r="A561" s="1" t="s">
        <v>40</v>
      </c>
      <c r="B561" s="1" t="str">
        <f>VLOOKUP(A561,Institutions!A:B,2,False)</f>
        <v>United Kingdom</v>
      </c>
      <c r="C561" s="8">
        <v>38718.0</v>
      </c>
      <c r="D561" s="1" t="s">
        <v>2041</v>
      </c>
    </row>
    <row r="562">
      <c r="A562" s="1" t="s">
        <v>42</v>
      </c>
      <c r="B562" s="1" t="str">
        <f>VLOOKUP(A562,Institutions!A:B,2,False)</f>
        <v>United States</v>
      </c>
      <c r="C562" s="8">
        <v>45292.0</v>
      </c>
      <c r="D562" s="1" t="s">
        <v>1119</v>
      </c>
    </row>
    <row r="563">
      <c r="A563" s="1" t="s">
        <v>42</v>
      </c>
      <c r="B563" s="1" t="str">
        <f>VLOOKUP(A563,Institutions!A:B,2,False)</f>
        <v>United States</v>
      </c>
      <c r="C563" s="8">
        <v>44927.0</v>
      </c>
      <c r="D563" s="1" t="s">
        <v>1127</v>
      </c>
    </row>
    <row r="564">
      <c r="A564" s="1" t="s">
        <v>42</v>
      </c>
      <c r="B564" s="1" t="str">
        <f>VLOOKUP(A564,Institutions!A:B,2,False)</f>
        <v>United States</v>
      </c>
      <c r="C564" s="8">
        <v>44927.0</v>
      </c>
      <c r="D564" s="1" t="s">
        <v>1259</v>
      </c>
    </row>
    <row r="565">
      <c r="A565" s="1" t="s">
        <v>42</v>
      </c>
      <c r="B565" s="1" t="str">
        <f>VLOOKUP(A565,Institutions!A:B,2,False)</f>
        <v>United States</v>
      </c>
      <c r="C565" s="8">
        <v>44927.0</v>
      </c>
      <c r="D565" s="1" t="s">
        <v>1132</v>
      </c>
    </row>
    <row r="566">
      <c r="A566" s="1" t="s">
        <v>42</v>
      </c>
      <c r="B566" s="1" t="str">
        <f>VLOOKUP(A566,Institutions!A:B,2,False)</f>
        <v>United States</v>
      </c>
      <c r="C566" s="8">
        <v>44562.0</v>
      </c>
      <c r="D566" s="1" t="s">
        <v>1281</v>
      </c>
    </row>
    <row r="567">
      <c r="A567" s="1" t="s">
        <v>42</v>
      </c>
      <c r="B567" s="1" t="str">
        <f>VLOOKUP(A567,Institutions!A:B,2,False)</f>
        <v>United States</v>
      </c>
      <c r="C567" s="8">
        <v>44562.0</v>
      </c>
      <c r="D567" s="1" t="s">
        <v>493</v>
      </c>
    </row>
    <row r="568">
      <c r="A568" s="1" t="s">
        <v>42</v>
      </c>
      <c r="B568" s="1" t="str">
        <f>VLOOKUP(A568,Institutions!A:B,2,False)</f>
        <v>United States</v>
      </c>
      <c r="C568" s="8">
        <v>44197.0</v>
      </c>
      <c r="D568" s="1" t="s">
        <v>536</v>
      </c>
    </row>
    <row r="569">
      <c r="A569" s="1" t="s">
        <v>42</v>
      </c>
      <c r="B569" s="1" t="str">
        <f>VLOOKUP(A569,Institutions!A:B,2,False)</f>
        <v>United States</v>
      </c>
      <c r="C569" s="8">
        <v>43831.0</v>
      </c>
      <c r="D569" s="1" t="s">
        <v>702</v>
      </c>
    </row>
    <row r="570">
      <c r="A570" s="1" t="s">
        <v>42</v>
      </c>
      <c r="B570" s="1" t="str">
        <f>VLOOKUP(A570,Institutions!A:B,2,False)</f>
        <v>United States</v>
      </c>
      <c r="C570" s="8">
        <v>43101.0</v>
      </c>
      <c r="D570" s="1" t="s">
        <v>1776</v>
      </c>
    </row>
    <row r="571">
      <c r="A571" s="1" t="s">
        <v>42</v>
      </c>
      <c r="B571" s="1" t="str">
        <f>VLOOKUP(A571,Institutions!A:B,2,False)</f>
        <v>United States</v>
      </c>
      <c r="C571" s="8">
        <v>42736.0</v>
      </c>
      <c r="D571" s="1" t="s">
        <v>1354</v>
      </c>
    </row>
    <row r="572">
      <c r="A572" s="1" t="s">
        <v>42</v>
      </c>
      <c r="B572" s="1" t="str">
        <f>VLOOKUP(A572,Institutions!A:B,2,False)</f>
        <v>United States</v>
      </c>
      <c r="C572" s="8">
        <v>42736.0</v>
      </c>
      <c r="D572" s="1" t="s">
        <v>2042</v>
      </c>
    </row>
    <row r="573">
      <c r="A573" s="1" t="s">
        <v>42</v>
      </c>
      <c r="B573" s="1" t="str">
        <f>VLOOKUP(A573,Institutions!A:B,2,False)</f>
        <v>United States</v>
      </c>
      <c r="C573" s="8">
        <v>40909.0</v>
      </c>
      <c r="D573" s="1" t="s">
        <v>2043</v>
      </c>
    </row>
    <row r="574">
      <c r="A574" s="1" t="s">
        <v>42</v>
      </c>
      <c r="B574" s="1" t="str">
        <f>VLOOKUP(A574,Institutions!A:B,2,False)</f>
        <v>United States</v>
      </c>
      <c r="C574" s="8">
        <v>40544.0</v>
      </c>
      <c r="D574" s="1" t="s">
        <v>2044</v>
      </c>
    </row>
    <row r="575">
      <c r="A575" s="1" t="s">
        <v>42</v>
      </c>
      <c r="B575" s="1" t="str">
        <f>VLOOKUP(A575,Institutions!A:B,2,False)</f>
        <v>United States</v>
      </c>
      <c r="C575" s="8">
        <v>39814.0</v>
      </c>
      <c r="D575" s="1" t="s">
        <v>2045</v>
      </c>
    </row>
    <row r="576">
      <c r="A576" s="1" t="s">
        <v>42</v>
      </c>
      <c r="B576" s="1" t="str">
        <f>VLOOKUP(A576,Institutions!A:B,2,False)</f>
        <v>United States</v>
      </c>
      <c r="C576" s="8">
        <v>39814.0</v>
      </c>
      <c r="D576" s="1" t="s">
        <v>2046</v>
      </c>
    </row>
    <row r="577">
      <c r="A577" s="1" t="s">
        <v>42</v>
      </c>
      <c r="B577" s="1" t="str">
        <f>VLOOKUP(A577,Institutions!A:B,2,False)</f>
        <v>United States</v>
      </c>
      <c r="C577" s="8">
        <v>39814.0</v>
      </c>
      <c r="D577" s="1" t="s">
        <v>2047</v>
      </c>
    </row>
    <row r="578">
      <c r="A578" s="1" t="s">
        <v>42</v>
      </c>
      <c r="B578" s="1" t="str">
        <f>VLOOKUP(A578,Institutions!A:B,2,False)</f>
        <v>United States</v>
      </c>
      <c r="C578" s="8">
        <v>39814.0</v>
      </c>
      <c r="D578" s="1" t="s">
        <v>2048</v>
      </c>
    </row>
    <row r="579">
      <c r="A579" s="1" t="s">
        <v>42</v>
      </c>
      <c r="B579" s="1" t="str">
        <f>VLOOKUP(A579,Institutions!A:B,2,False)</f>
        <v>United States</v>
      </c>
      <c r="C579" s="8">
        <v>39814.0</v>
      </c>
      <c r="D579" s="1" t="s">
        <v>2049</v>
      </c>
    </row>
    <row r="580">
      <c r="A580" s="1" t="s">
        <v>42</v>
      </c>
      <c r="B580" s="1" t="str">
        <f>VLOOKUP(A580,Institutions!A:B,2,False)</f>
        <v>United States</v>
      </c>
      <c r="C580" s="8">
        <v>39814.0</v>
      </c>
      <c r="D580" s="1" t="s">
        <v>2050</v>
      </c>
    </row>
    <row r="581">
      <c r="A581" s="1" t="s">
        <v>42</v>
      </c>
      <c r="B581" s="1" t="str">
        <f>VLOOKUP(A581,Institutions!A:B,2,False)</f>
        <v>United States</v>
      </c>
      <c r="C581" s="8">
        <v>39814.0</v>
      </c>
      <c r="D581" s="1" t="s">
        <v>2051</v>
      </c>
    </row>
    <row r="582">
      <c r="A582" s="1" t="s">
        <v>44</v>
      </c>
      <c r="B582" s="1" t="str">
        <f>VLOOKUP(A582,Institutions!A:B,2,False)</f>
        <v>United Kingdom</v>
      </c>
      <c r="C582" s="8">
        <v>45292.0</v>
      </c>
      <c r="D582" s="1" t="s">
        <v>10</v>
      </c>
    </row>
    <row r="583">
      <c r="A583" s="1" t="s">
        <v>44</v>
      </c>
      <c r="B583" s="1" t="str">
        <f>VLOOKUP(A583,Institutions!A:B,2,False)</f>
        <v>United Kingdom</v>
      </c>
      <c r="C583" s="8">
        <v>44927.0</v>
      </c>
      <c r="D583" s="1" t="s">
        <v>1012</v>
      </c>
    </row>
    <row r="584">
      <c r="A584" s="1" t="s">
        <v>44</v>
      </c>
      <c r="B584" s="1" t="str">
        <f>VLOOKUP(A584,Institutions!A:B,2,False)</f>
        <v>United Kingdom</v>
      </c>
      <c r="C584" s="8">
        <v>44562.0</v>
      </c>
      <c r="D584" s="1" t="s">
        <v>84</v>
      </c>
    </row>
    <row r="585">
      <c r="A585" s="1" t="s">
        <v>44</v>
      </c>
      <c r="B585" s="1" t="str">
        <f>VLOOKUP(A585,Institutions!A:B,2,False)</f>
        <v>United Kingdom</v>
      </c>
      <c r="C585" s="8">
        <v>44562.0</v>
      </c>
      <c r="D585" s="1" t="s">
        <v>1017</v>
      </c>
    </row>
    <row r="586">
      <c r="A586" s="1" t="s">
        <v>44</v>
      </c>
      <c r="B586" s="1" t="str">
        <f>VLOOKUP(A586,Institutions!A:B,2,False)</f>
        <v>United Kingdom</v>
      </c>
      <c r="C586" s="8">
        <v>44562.0</v>
      </c>
      <c r="D586" s="1" t="s">
        <v>146</v>
      </c>
    </row>
    <row r="587">
      <c r="A587" s="1" t="s">
        <v>44</v>
      </c>
      <c r="B587" s="1" t="str">
        <f>VLOOKUP(A587,Institutions!A:B,2,False)</f>
        <v>United Kingdom</v>
      </c>
      <c r="C587" s="8">
        <v>44197.0</v>
      </c>
      <c r="D587" s="1" t="s">
        <v>167</v>
      </c>
    </row>
    <row r="588">
      <c r="A588" s="1" t="s">
        <v>44</v>
      </c>
      <c r="B588" s="1" t="str">
        <f>VLOOKUP(A588,Institutions!A:B,2,False)</f>
        <v>United Kingdom</v>
      </c>
      <c r="C588" s="8">
        <v>44197.0</v>
      </c>
      <c r="D588" s="1" t="s">
        <v>219</v>
      </c>
    </row>
    <row r="589">
      <c r="A589" s="1" t="s">
        <v>44</v>
      </c>
      <c r="B589" s="1" t="str">
        <f>VLOOKUP(A589,Institutions!A:B,2,False)</f>
        <v>United Kingdom</v>
      </c>
      <c r="C589" s="8">
        <v>43831.0</v>
      </c>
      <c r="D589" s="1" t="s">
        <v>690</v>
      </c>
    </row>
    <row r="590">
      <c r="A590" s="1" t="s">
        <v>44</v>
      </c>
      <c r="B590" s="1" t="str">
        <f>VLOOKUP(A590,Institutions!A:B,2,False)</f>
        <v>United Kingdom</v>
      </c>
      <c r="C590" s="8">
        <v>43831.0</v>
      </c>
      <c r="D590" s="1" t="s">
        <v>692</v>
      </c>
    </row>
    <row r="591">
      <c r="A591" s="1" t="s">
        <v>44</v>
      </c>
      <c r="B591" s="1" t="str">
        <f>VLOOKUP(A591,Institutions!A:B,2,False)</f>
        <v>United Kingdom</v>
      </c>
      <c r="C591" s="8">
        <v>43831.0</v>
      </c>
      <c r="D591" s="1" t="s">
        <v>694</v>
      </c>
    </row>
    <row r="592">
      <c r="A592" s="1" t="s">
        <v>44</v>
      </c>
      <c r="B592" s="1" t="str">
        <f>VLOOKUP(A592,Institutions!A:B,2,False)</f>
        <v>United Kingdom</v>
      </c>
      <c r="C592" s="8">
        <v>43831.0</v>
      </c>
      <c r="D592" s="1" t="s">
        <v>719</v>
      </c>
    </row>
    <row r="593">
      <c r="A593" s="1" t="s">
        <v>44</v>
      </c>
      <c r="B593" s="1" t="str">
        <f>VLOOKUP(A593,Institutions!A:B,2,False)</f>
        <v>United Kingdom</v>
      </c>
      <c r="C593" s="8">
        <v>43831.0</v>
      </c>
      <c r="D593" s="1" t="s">
        <v>721</v>
      </c>
    </row>
    <row r="594">
      <c r="A594" s="1" t="s">
        <v>44</v>
      </c>
      <c r="B594" s="1" t="str">
        <f>VLOOKUP(A594,Institutions!A:B,2,False)</f>
        <v>United Kingdom</v>
      </c>
      <c r="C594" s="8">
        <v>43831.0</v>
      </c>
      <c r="D594" s="1" t="s">
        <v>1032</v>
      </c>
    </row>
    <row r="595">
      <c r="A595" s="1" t="s">
        <v>44</v>
      </c>
      <c r="B595" s="1" t="str">
        <f>VLOOKUP(A595,Institutions!A:B,2,False)</f>
        <v>United Kingdom</v>
      </c>
      <c r="C595" s="8">
        <v>43831.0</v>
      </c>
      <c r="D595" s="1" t="s">
        <v>725</v>
      </c>
    </row>
    <row r="596">
      <c r="A596" s="1" t="s">
        <v>44</v>
      </c>
      <c r="B596" s="1" t="str">
        <f>VLOOKUP(A596,Institutions!A:B,2,False)</f>
        <v>United Kingdom</v>
      </c>
      <c r="C596" s="8">
        <v>43466.0</v>
      </c>
      <c r="D596" s="1" t="s">
        <v>731</v>
      </c>
    </row>
    <row r="597">
      <c r="A597" s="1" t="s">
        <v>44</v>
      </c>
      <c r="B597" s="1" t="str">
        <f>VLOOKUP(A597,Institutions!A:B,2,False)</f>
        <v>United Kingdom</v>
      </c>
      <c r="C597" s="8">
        <v>43466.0</v>
      </c>
      <c r="D597" s="1" t="s">
        <v>734</v>
      </c>
    </row>
    <row r="598">
      <c r="A598" s="1" t="s">
        <v>44</v>
      </c>
      <c r="B598" s="1" t="str">
        <f>VLOOKUP(A598,Institutions!A:B,2,False)</f>
        <v>United Kingdom</v>
      </c>
      <c r="C598" s="8">
        <v>43101.0</v>
      </c>
      <c r="D598" s="1" t="s">
        <v>750</v>
      </c>
    </row>
    <row r="599">
      <c r="A599" s="1" t="s">
        <v>44</v>
      </c>
      <c r="B599" s="1" t="str">
        <f>VLOOKUP(A599,Institutions!A:B,2,False)</f>
        <v>United Kingdom</v>
      </c>
      <c r="C599" s="8">
        <v>43101.0</v>
      </c>
      <c r="D599" s="1" t="s">
        <v>754</v>
      </c>
    </row>
    <row r="600">
      <c r="A600" s="1" t="s">
        <v>44</v>
      </c>
      <c r="B600" s="1" t="str">
        <f>VLOOKUP(A600,Institutions!A:B,2,False)</f>
        <v>United Kingdom</v>
      </c>
      <c r="C600" s="8">
        <v>43101.0</v>
      </c>
      <c r="D600" s="1" t="s">
        <v>1562</v>
      </c>
    </row>
    <row r="601">
      <c r="A601" s="1" t="s">
        <v>44</v>
      </c>
      <c r="B601" s="1" t="str">
        <f>VLOOKUP(A601,Institutions!A:B,2,False)</f>
        <v>United Kingdom</v>
      </c>
      <c r="C601" s="8">
        <v>42370.0</v>
      </c>
      <c r="D601" s="1" t="s">
        <v>1084</v>
      </c>
    </row>
    <row r="602">
      <c r="A602" s="1" t="s">
        <v>46</v>
      </c>
      <c r="B602" s="1" t="str">
        <f>VLOOKUP(A602,Institutions!A:B,2,False)</f>
        <v>Netherlands</v>
      </c>
      <c r="C602" s="8">
        <v>45292.0</v>
      </c>
      <c r="D602" s="1" t="s">
        <v>1123</v>
      </c>
    </row>
    <row r="603">
      <c r="A603" s="1" t="s">
        <v>46</v>
      </c>
      <c r="B603" s="1" t="str">
        <f>VLOOKUP(A603,Institutions!A:B,2,False)</f>
        <v>Netherlands</v>
      </c>
      <c r="C603" s="8">
        <v>44927.0</v>
      </c>
      <c r="D603" s="1" t="s">
        <v>1125</v>
      </c>
    </row>
    <row r="604">
      <c r="A604" s="1" t="s">
        <v>46</v>
      </c>
      <c r="B604" s="1" t="str">
        <f>VLOOKUP(A604,Institutions!A:B,2,False)</f>
        <v>Netherlands</v>
      </c>
      <c r="C604" s="8">
        <v>44927.0</v>
      </c>
      <c r="D604" s="1" t="s">
        <v>1140</v>
      </c>
    </row>
    <row r="605">
      <c r="A605" s="1" t="s">
        <v>46</v>
      </c>
      <c r="B605" s="1" t="str">
        <f>VLOOKUP(A605,Institutions!A:B,2,False)</f>
        <v>Netherlands</v>
      </c>
      <c r="C605" s="8">
        <v>44927.0</v>
      </c>
      <c r="D605" s="1" t="s">
        <v>1150</v>
      </c>
    </row>
    <row r="606">
      <c r="A606" s="1" t="s">
        <v>46</v>
      </c>
      <c r="B606" s="1" t="str">
        <f>VLOOKUP(A606,Institutions!A:B,2,False)</f>
        <v>Netherlands</v>
      </c>
      <c r="C606" s="8">
        <v>44562.0</v>
      </c>
      <c r="D606" s="1" t="s">
        <v>1299</v>
      </c>
    </row>
    <row r="607">
      <c r="A607" s="1" t="s">
        <v>46</v>
      </c>
      <c r="B607" s="1" t="str">
        <f>VLOOKUP(A607,Institutions!A:B,2,False)</f>
        <v>Netherlands</v>
      </c>
      <c r="C607" s="8">
        <v>44197.0</v>
      </c>
      <c r="D607" s="1" t="s">
        <v>1307</v>
      </c>
    </row>
    <row r="608">
      <c r="A608" s="1" t="s">
        <v>46</v>
      </c>
      <c r="B608" s="1" t="str">
        <f>VLOOKUP(A608,Institutions!A:B,2,False)</f>
        <v>Netherlands</v>
      </c>
      <c r="C608" s="8">
        <v>44197.0</v>
      </c>
      <c r="D608" s="1" t="s">
        <v>1314</v>
      </c>
    </row>
    <row r="609">
      <c r="A609" s="1" t="s">
        <v>46</v>
      </c>
      <c r="B609" s="1" t="str">
        <f>VLOOKUP(A609,Institutions!A:B,2,False)</f>
        <v>Netherlands</v>
      </c>
      <c r="C609" s="8">
        <v>44197.0</v>
      </c>
      <c r="D609" s="1" t="s">
        <v>1025</v>
      </c>
    </row>
    <row r="610">
      <c r="A610" s="1" t="s">
        <v>46</v>
      </c>
      <c r="B610" s="1" t="str">
        <f>VLOOKUP(A610,Institutions!A:B,2,False)</f>
        <v>Netherlands</v>
      </c>
      <c r="C610" s="8">
        <v>44197.0</v>
      </c>
      <c r="D610" s="1" t="s">
        <v>1319</v>
      </c>
    </row>
    <row r="611">
      <c r="A611" s="1" t="s">
        <v>46</v>
      </c>
      <c r="B611" s="1" t="str">
        <f>VLOOKUP(A611,Institutions!A:B,2,False)</f>
        <v>Netherlands</v>
      </c>
      <c r="C611" s="8">
        <v>43831.0</v>
      </c>
      <c r="D611" s="1" t="s">
        <v>1329</v>
      </c>
    </row>
    <row r="612">
      <c r="A612" s="1" t="s">
        <v>46</v>
      </c>
      <c r="B612" s="1" t="str">
        <f>VLOOKUP(A612,Institutions!A:B,2,False)</f>
        <v>Netherlands</v>
      </c>
      <c r="C612" s="8">
        <v>43831.0</v>
      </c>
      <c r="D612" s="1" t="s">
        <v>1330</v>
      </c>
    </row>
    <row r="613">
      <c r="A613" s="1" t="s">
        <v>46</v>
      </c>
      <c r="B613" s="1" t="str">
        <f>VLOOKUP(A613,Institutions!A:B,2,False)</f>
        <v>Netherlands</v>
      </c>
      <c r="C613" s="8">
        <v>43831.0</v>
      </c>
      <c r="D613" s="1" t="s">
        <v>1331</v>
      </c>
    </row>
    <row r="614">
      <c r="A614" s="1" t="s">
        <v>46</v>
      </c>
      <c r="B614" s="1" t="str">
        <f>VLOOKUP(A614,Institutions!A:B,2,False)</f>
        <v>Netherlands</v>
      </c>
      <c r="C614" s="8">
        <v>43466.0</v>
      </c>
      <c r="D614" s="1" t="s">
        <v>1334</v>
      </c>
    </row>
    <row r="615">
      <c r="A615" s="1" t="s">
        <v>46</v>
      </c>
      <c r="B615" s="1" t="str">
        <f>VLOOKUP(A615,Institutions!A:B,2,False)</f>
        <v>Netherlands</v>
      </c>
      <c r="C615" s="8">
        <v>43466.0</v>
      </c>
      <c r="D615" s="1" t="s">
        <v>2052</v>
      </c>
    </row>
    <row r="616">
      <c r="A616" s="1" t="s">
        <v>46</v>
      </c>
      <c r="B616" s="1" t="str">
        <f>VLOOKUP(A616,Institutions!A:B,2,False)</f>
        <v>Netherlands</v>
      </c>
      <c r="C616" s="8">
        <v>43466.0</v>
      </c>
      <c r="D616" s="1" t="s">
        <v>1338</v>
      </c>
    </row>
    <row r="617">
      <c r="A617" s="1" t="s">
        <v>46</v>
      </c>
      <c r="B617" s="1" t="str">
        <f>VLOOKUP(A617,Institutions!A:B,2,False)</f>
        <v>Netherlands</v>
      </c>
      <c r="C617" s="8">
        <v>43466.0</v>
      </c>
      <c r="D617" s="1" t="s">
        <v>2053</v>
      </c>
    </row>
    <row r="618">
      <c r="A618" s="1" t="s">
        <v>46</v>
      </c>
      <c r="B618" s="1" t="str">
        <f>VLOOKUP(A618,Institutions!A:B,2,False)</f>
        <v>Netherlands</v>
      </c>
      <c r="C618" s="8">
        <v>43466.0</v>
      </c>
      <c r="D618" s="1" t="s">
        <v>2054</v>
      </c>
    </row>
    <row r="619">
      <c r="A619" s="1" t="s">
        <v>46</v>
      </c>
      <c r="B619" s="1" t="str">
        <f>VLOOKUP(A619,Institutions!A:B,2,False)</f>
        <v>Netherlands</v>
      </c>
      <c r="C619" s="8">
        <v>43101.0</v>
      </c>
      <c r="D619" s="1" t="s">
        <v>2055</v>
      </c>
    </row>
    <row r="620">
      <c r="A620" s="1" t="s">
        <v>46</v>
      </c>
      <c r="B620" s="1" t="str">
        <f>VLOOKUP(A620,Institutions!A:B,2,False)</f>
        <v>Netherlands</v>
      </c>
      <c r="C620" s="8">
        <v>42370.0</v>
      </c>
      <c r="D620" s="1" t="s">
        <v>1557</v>
      </c>
    </row>
    <row r="621">
      <c r="A621" s="1" t="s">
        <v>46</v>
      </c>
      <c r="B621" s="1" t="str">
        <f>VLOOKUP(A621,Institutions!A:B,2,False)</f>
        <v>Netherlands</v>
      </c>
      <c r="C621" s="8">
        <v>40544.0</v>
      </c>
      <c r="D621" s="1" t="s">
        <v>2056</v>
      </c>
    </row>
    <row r="622">
      <c r="A622" s="1" t="s">
        <v>48</v>
      </c>
      <c r="B622" s="1" t="str">
        <f>VLOOKUP(A622,Institutions!A:B,2,False)</f>
        <v>Sweden</v>
      </c>
      <c r="C622" s="8">
        <v>44927.0</v>
      </c>
      <c r="D622" s="1" t="s">
        <v>1199</v>
      </c>
    </row>
    <row r="623">
      <c r="A623" s="1" t="s">
        <v>48</v>
      </c>
      <c r="B623" s="1" t="str">
        <f>VLOOKUP(A623,Institutions!A:B,2,False)</f>
        <v>Sweden</v>
      </c>
      <c r="C623" s="8">
        <v>44927.0</v>
      </c>
      <c r="D623" s="1" t="s">
        <v>1589</v>
      </c>
    </row>
    <row r="624">
      <c r="A624" s="1" t="s">
        <v>48</v>
      </c>
      <c r="B624" s="1" t="str">
        <f>VLOOKUP(A624,Institutions!A:B,2,False)</f>
        <v>Sweden</v>
      </c>
      <c r="C624" s="8">
        <v>44562.0</v>
      </c>
      <c r="D624" s="1" t="s">
        <v>1284</v>
      </c>
    </row>
    <row r="625">
      <c r="A625" s="1" t="s">
        <v>48</v>
      </c>
      <c r="B625" s="1" t="str">
        <f>VLOOKUP(A625,Institutions!A:B,2,False)</f>
        <v>Sweden</v>
      </c>
      <c r="C625" s="8">
        <v>44562.0</v>
      </c>
      <c r="D625" s="1" t="s">
        <v>936</v>
      </c>
    </row>
    <row r="626">
      <c r="A626" s="1" t="s">
        <v>48</v>
      </c>
      <c r="B626" s="1" t="str">
        <f>VLOOKUP(A626,Institutions!A:B,2,False)</f>
        <v>Sweden</v>
      </c>
      <c r="C626" s="8">
        <v>44197.0</v>
      </c>
      <c r="D626" s="1" t="s">
        <v>939</v>
      </c>
    </row>
    <row r="627">
      <c r="A627" s="1" t="s">
        <v>48</v>
      </c>
      <c r="B627" s="1" t="str">
        <f>VLOOKUP(A627,Institutions!A:B,2,False)</f>
        <v>Sweden</v>
      </c>
      <c r="C627" s="8">
        <v>43831.0</v>
      </c>
      <c r="D627" s="1" t="s">
        <v>957</v>
      </c>
    </row>
    <row r="628">
      <c r="A628" s="1" t="s">
        <v>48</v>
      </c>
      <c r="B628" s="1" t="str">
        <f>VLOOKUP(A628,Institutions!A:B,2,False)</f>
        <v>Sweden</v>
      </c>
      <c r="C628" s="8">
        <v>43831.0</v>
      </c>
      <c r="D628" s="1" t="s">
        <v>1620</v>
      </c>
    </row>
    <row r="629">
      <c r="A629" s="1" t="s">
        <v>48</v>
      </c>
      <c r="B629" s="1" t="str">
        <f>VLOOKUP(A629,Institutions!A:B,2,False)</f>
        <v>Sweden</v>
      </c>
      <c r="C629" s="8">
        <v>43831.0</v>
      </c>
      <c r="D629" s="1" t="s">
        <v>1621</v>
      </c>
    </row>
    <row r="630">
      <c r="A630" s="1" t="s">
        <v>48</v>
      </c>
      <c r="B630" s="1" t="str">
        <f>VLOOKUP(A630,Institutions!A:B,2,False)</f>
        <v>Sweden</v>
      </c>
      <c r="C630" s="8">
        <v>43466.0</v>
      </c>
      <c r="D630" s="1" t="s">
        <v>965</v>
      </c>
    </row>
    <row r="631">
      <c r="A631" s="1" t="s">
        <v>48</v>
      </c>
      <c r="B631" s="1" t="str">
        <f>VLOOKUP(A631,Institutions!A:B,2,False)</f>
        <v>Sweden</v>
      </c>
      <c r="C631" s="8">
        <v>43466.0</v>
      </c>
      <c r="D631" s="1" t="s">
        <v>572</v>
      </c>
    </row>
    <row r="632">
      <c r="A632" s="1" t="s">
        <v>48</v>
      </c>
      <c r="B632" s="1" t="str">
        <f>VLOOKUP(A632,Institutions!A:B,2,False)</f>
        <v>Sweden</v>
      </c>
      <c r="C632" s="8">
        <v>43466.0</v>
      </c>
      <c r="D632" s="1" t="s">
        <v>1624</v>
      </c>
    </row>
    <row r="633">
      <c r="A633" s="1" t="s">
        <v>48</v>
      </c>
      <c r="B633" s="1" t="str">
        <f>VLOOKUP(A633,Institutions!A:B,2,False)</f>
        <v>Sweden</v>
      </c>
      <c r="C633" s="8">
        <v>43466.0</v>
      </c>
      <c r="D633" s="1" t="s">
        <v>1631</v>
      </c>
    </row>
    <row r="634">
      <c r="A634" s="1" t="s">
        <v>48</v>
      </c>
      <c r="B634" s="1" t="str">
        <f>VLOOKUP(A634,Institutions!A:B,2,False)</f>
        <v>Sweden</v>
      </c>
      <c r="C634" s="8">
        <v>43466.0</v>
      </c>
      <c r="D634" s="1" t="s">
        <v>2057</v>
      </c>
    </row>
    <row r="635">
      <c r="A635" s="1" t="s">
        <v>48</v>
      </c>
      <c r="B635" s="1" t="str">
        <f>VLOOKUP(A635,Institutions!A:B,2,False)</f>
        <v>Sweden</v>
      </c>
      <c r="C635" s="8">
        <v>43466.0</v>
      </c>
      <c r="D635" s="1" t="s">
        <v>977</v>
      </c>
    </row>
    <row r="636">
      <c r="A636" s="1" t="s">
        <v>48</v>
      </c>
      <c r="B636" s="1" t="str">
        <f>VLOOKUP(A636,Institutions!A:B,2,False)</f>
        <v>Sweden</v>
      </c>
      <c r="C636" s="8">
        <v>43101.0</v>
      </c>
      <c r="D636" s="1" t="s">
        <v>2058</v>
      </c>
    </row>
    <row r="637">
      <c r="A637" s="1" t="s">
        <v>48</v>
      </c>
      <c r="B637" s="1" t="str">
        <f>VLOOKUP(A637,Institutions!A:B,2,False)</f>
        <v>Sweden</v>
      </c>
      <c r="C637" s="8">
        <v>43101.0</v>
      </c>
      <c r="D637" s="1" t="s">
        <v>1636</v>
      </c>
    </row>
    <row r="638">
      <c r="A638" s="1" t="s">
        <v>48</v>
      </c>
      <c r="B638" s="1" t="str">
        <f>VLOOKUP(A638,Institutions!A:B,2,False)</f>
        <v>Sweden</v>
      </c>
      <c r="C638" s="8">
        <v>42736.0</v>
      </c>
      <c r="D638" s="1" t="s">
        <v>1057</v>
      </c>
    </row>
    <row r="639">
      <c r="A639" s="1" t="s">
        <v>48</v>
      </c>
      <c r="B639" s="1" t="str">
        <f>VLOOKUP(A639,Institutions!A:B,2,False)</f>
        <v>Sweden</v>
      </c>
      <c r="C639" s="8">
        <v>42370.0</v>
      </c>
      <c r="D639" s="1" t="s">
        <v>2059</v>
      </c>
    </row>
    <row r="640">
      <c r="A640" s="1" t="s">
        <v>48</v>
      </c>
      <c r="B640" s="1" t="str">
        <f>VLOOKUP(A640,Institutions!A:B,2,False)</f>
        <v>Sweden</v>
      </c>
      <c r="C640" s="8">
        <v>41275.0</v>
      </c>
      <c r="D640" s="1" t="s">
        <v>2060</v>
      </c>
    </row>
    <row r="641">
      <c r="A641" s="1" t="s">
        <v>51</v>
      </c>
      <c r="B641" s="1" t="str">
        <f>VLOOKUP(A641,Institutions!A:B,2,False)</f>
        <v>Ireland</v>
      </c>
      <c r="C641" s="8">
        <v>44197.0</v>
      </c>
      <c r="D641" s="1" t="s">
        <v>939</v>
      </c>
    </row>
    <row r="642">
      <c r="A642" s="1" t="s">
        <v>51</v>
      </c>
      <c r="B642" s="1" t="str">
        <f>VLOOKUP(A642,Institutions!A:B,2,False)</f>
        <v>Ireland</v>
      </c>
      <c r="C642" s="8">
        <v>41640.0</v>
      </c>
      <c r="D642" s="1" t="s">
        <v>1482</v>
      </c>
    </row>
    <row r="643">
      <c r="A643" s="1" t="s">
        <v>51</v>
      </c>
      <c r="B643" s="1" t="str">
        <f>VLOOKUP(A643,Institutions!A:B,2,False)</f>
        <v>Ireland</v>
      </c>
      <c r="C643" s="8">
        <v>40179.0</v>
      </c>
      <c r="D643" s="1" t="s">
        <v>2061</v>
      </c>
    </row>
    <row r="644">
      <c r="A644" s="1" t="s">
        <v>51</v>
      </c>
      <c r="B644" s="1" t="str">
        <f>VLOOKUP(A644,Institutions!A:B,2,False)</f>
        <v>Ireland</v>
      </c>
      <c r="C644" s="8">
        <v>40179.0</v>
      </c>
      <c r="D644" s="1" t="s">
        <v>2062</v>
      </c>
    </row>
    <row r="645">
      <c r="A645" s="1" t="s">
        <v>54</v>
      </c>
      <c r="B645" s="1" t="str">
        <f>VLOOKUP(A645,Institutions!A:B,2,False)</f>
        <v>Switzerland</v>
      </c>
      <c r="C645" s="8">
        <v>44927.0</v>
      </c>
      <c r="D645" s="1" t="s">
        <v>1270</v>
      </c>
    </row>
    <row r="646">
      <c r="A646" s="1" t="s">
        <v>54</v>
      </c>
      <c r="B646" s="1" t="str">
        <f>VLOOKUP(A646,Institutions!A:B,2,False)</f>
        <v>Switzerland</v>
      </c>
      <c r="C646" s="8">
        <v>44927.0</v>
      </c>
      <c r="D646" s="1" t="s">
        <v>1203</v>
      </c>
    </row>
    <row r="647">
      <c r="A647" s="1" t="s">
        <v>54</v>
      </c>
      <c r="B647" s="1" t="str">
        <f>VLOOKUP(A647,Institutions!A:B,2,False)</f>
        <v>Switzerland</v>
      </c>
      <c r="C647" s="8">
        <v>44927.0</v>
      </c>
      <c r="D647" s="1" t="s">
        <v>1150</v>
      </c>
    </row>
    <row r="648">
      <c r="A648" s="1" t="s">
        <v>54</v>
      </c>
      <c r="B648" s="1" t="str">
        <f>VLOOKUP(A648,Institutions!A:B,2,False)</f>
        <v>Switzerland</v>
      </c>
      <c r="C648" s="8">
        <v>44562.0</v>
      </c>
      <c r="D648" s="1" t="s">
        <v>88</v>
      </c>
    </row>
    <row r="649">
      <c r="A649" s="1" t="s">
        <v>54</v>
      </c>
      <c r="B649" s="1" t="str">
        <f>VLOOKUP(A649,Institutions!A:B,2,False)</f>
        <v>Switzerland</v>
      </c>
      <c r="C649" s="8">
        <v>44562.0</v>
      </c>
      <c r="D649" s="1" t="s">
        <v>1283</v>
      </c>
    </row>
    <row r="650">
      <c r="A650" s="1" t="s">
        <v>54</v>
      </c>
      <c r="B650" s="1" t="str">
        <f>VLOOKUP(A650,Institutions!A:B,2,False)</f>
        <v>Switzerland</v>
      </c>
      <c r="C650" s="8">
        <v>44562.0</v>
      </c>
      <c r="D650" s="1" t="s">
        <v>1288</v>
      </c>
    </row>
    <row r="651">
      <c r="A651" s="1" t="s">
        <v>54</v>
      </c>
      <c r="B651" s="1" t="str">
        <f>VLOOKUP(A651,Institutions!A:B,2,False)</f>
        <v>Switzerland</v>
      </c>
      <c r="C651" s="8">
        <v>44197.0</v>
      </c>
      <c r="D651" s="1" t="s">
        <v>1184</v>
      </c>
    </row>
    <row r="652">
      <c r="A652" s="1" t="s">
        <v>54</v>
      </c>
      <c r="B652" s="1" t="str">
        <f>VLOOKUP(A652,Institutions!A:B,2,False)</f>
        <v>Switzerland</v>
      </c>
      <c r="C652" s="8">
        <v>43831.0</v>
      </c>
      <c r="D652" s="1" t="s">
        <v>2063</v>
      </c>
    </row>
    <row r="653">
      <c r="A653" s="1" t="s">
        <v>54</v>
      </c>
      <c r="B653" s="1" t="str">
        <f>VLOOKUP(A653,Institutions!A:B,2,False)</f>
        <v>Switzerland</v>
      </c>
      <c r="C653" s="8">
        <v>43831.0</v>
      </c>
      <c r="D653" s="1" t="s">
        <v>957</v>
      </c>
    </row>
    <row r="654">
      <c r="A654" s="1" t="s">
        <v>54</v>
      </c>
      <c r="B654" s="1" t="str">
        <f>VLOOKUP(A654,Institutions!A:B,2,False)</f>
        <v>Switzerland</v>
      </c>
      <c r="C654" s="8">
        <v>43831.0</v>
      </c>
      <c r="D654" s="1" t="s">
        <v>1622</v>
      </c>
    </row>
    <row r="655">
      <c r="A655" s="1" t="s">
        <v>54</v>
      </c>
      <c r="B655" s="1" t="str">
        <f>VLOOKUP(A655,Institutions!A:B,2,False)</f>
        <v>Switzerland</v>
      </c>
      <c r="C655" s="8">
        <v>43466.0</v>
      </c>
      <c r="D655" s="1" t="s">
        <v>1628</v>
      </c>
    </row>
    <row r="656">
      <c r="A656" s="1" t="s">
        <v>54</v>
      </c>
      <c r="B656" s="1" t="str">
        <f>VLOOKUP(A656,Institutions!A:B,2,False)</f>
        <v>Switzerland</v>
      </c>
      <c r="C656" s="8">
        <v>43466.0</v>
      </c>
      <c r="D656" s="1" t="s">
        <v>2064</v>
      </c>
    </row>
    <row r="657">
      <c r="A657" s="1" t="s">
        <v>54</v>
      </c>
      <c r="B657" s="1" t="str">
        <f>VLOOKUP(A657,Institutions!A:B,2,False)</f>
        <v>Switzerland</v>
      </c>
      <c r="C657" s="8">
        <v>43466.0</v>
      </c>
      <c r="D657" s="1" t="s">
        <v>1630</v>
      </c>
    </row>
    <row r="658">
      <c r="A658" s="1" t="s">
        <v>54</v>
      </c>
      <c r="B658" s="1" t="str">
        <f>VLOOKUP(A658,Institutions!A:B,2,False)</f>
        <v>Switzerland</v>
      </c>
      <c r="C658" s="8">
        <v>42370.0</v>
      </c>
      <c r="D658" s="1" t="s">
        <v>2065</v>
      </c>
    </row>
    <row r="659">
      <c r="A659" s="1" t="s">
        <v>54</v>
      </c>
      <c r="B659" s="1" t="str">
        <f>VLOOKUP(A659,Institutions!A:B,2,False)</f>
        <v>Switzerland</v>
      </c>
      <c r="C659" s="8">
        <v>42370.0</v>
      </c>
      <c r="D659" s="1" t="s">
        <v>1089</v>
      </c>
    </row>
    <row r="660">
      <c r="A660" s="1" t="s">
        <v>54</v>
      </c>
      <c r="B660" s="1" t="str">
        <f>VLOOKUP(A660,Institutions!A:B,2,False)</f>
        <v>Switzerland</v>
      </c>
      <c r="C660" s="8">
        <v>42370.0</v>
      </c>
      <c r="D660" s="1" t="s">
        <v>2066</v>
      </c>
    </row>
    <row r="661">
      <c r="A661" s="1" t="s">
        <v>54</v>
      </c>
      <c r="B661" s="1" t="str">
        <f>VLOOKUP(A661,Institutions!A:B,2,False)</f>
        <v>Switzerland</v>
      </c>
      <c r="C661" s="8">
        <v>39814.0</v>
      </c>
      <c r="D661" s="1" t="s">
        <v>1762</v>
      </c>
    </row>
    <row r="662">
      <c r="A662" s="1" t="s">
        <v>56</v>
      </c>
      <c r="B662" s="1" t="str">
        <f>VLOOKUP(A662,Institutions!A:B,2,False)</f>
        <v>United Kingdom</v>
      </c>
      <c r="C662" s="8">
        <v>44562.0</v>
      </c>
      <c r="D662" s="1" t="s">
        <v>1598</v>
      </c>
    </row>
    <row r="663">
      <c r="A663" s="1" t="s">
        <v>56</v>
      </c>
      <c r="B663" s="1" t="str">
        <f>VLOOKUP(A663,Institutions!A:B,2,False)</f>
        <v>United Kingdom</v>
      </c>
      <c r="C663" s="8">
        <v>44197.0</v>
      </c>
      <c r="D663" s="1" t="s">
        <v>1019</v>
      </c>
    </row>
    <row r="664">
      <c r="A664" s="1" t="s">
        <v>56</v>
      </c>
      <c r="B664" s="1" t="str">
        <f>VLOOKUP(A664,Institutions!A:B,2,False)</f>
        <v>United Kingdom</v>
      </c>
      <c r="C664" s="8">
        <v>43831.0</v>
      </c>
      <c r="D664" s="1" t="s">
        <v>957</v>
      </c>
    </row>
    <row r="665">
      <c r="A665" s="1" t="s">
        <v>56</v>
      </c>
      <c r="B665" s="1" t="str">
        <f>VLOOKUP(A665,Institutions!A:B,2,False)</f>
        <v>United Kingdom</v>
      </c>
      <c r="C665" s="8">
        <v>43831.0</v>
      </c>
      <c r="D665" s="1" t="s">
        <v>2067</v>
      </c>
    </row>
    <row r="666">
      <c r="A666" s="1" t="s">
        <v>56</v>
      </c>
      <c r="B666" s="1" t="str">
        <f>VLOOKUP(A666,Institutions!A:B,2,False)</f>
        <v>United Kingdom</v>
      </c>
      <c r="C666" s="8">
        <v>43466.0</v>
      </c>
      <c r="D666" s="1" t="s">
        <v>1039</v>
      </c>
    </row>
    <row r="667">
      <c r="A667" s="1" t="s">
        <v>56</v>
      </c>
      <c r="B667" s="1" t="str">
        <f>VLOOKUP(A667,Institutions!A:B,2,False)</f>
        <v>United Kingdom</v>
      </c>
      <c r="C667" s="8">
        <v>42736.0</v>
      </c>
      <c r="D667" s="1" t="s">
        <v>1055</v>
      </c>
    </row>
    <row r="668">
      <c r="A668" s="1" t="s">
        <v>56</v>
      </c>
      <c r="B668" s="1" t="str">
        <f>VLOOKUP(A668,Institutions!A:B,2,False)</f>
        <v>United Kingdom</v>
      </c>
      <c r="C668" s="8">
        <v>42370.0</v>
      </c>
      <c r="D668" s="1" t="s">
        <v>1082</v>
      </c>
    </row>
    <row r="669">
      <c r="A669" s="1" t="s">
        <v>56</v>
      </c>
      <c r="B669" s="1" t="str">
        <f>VLOOKUP(A669,Institutions!A:B,2,False)</f>
        <v>United Kingdom</v>
      </c>
      <c r="C669" s="8">
        <v>42370.0</v>
      </c>
      <c r="D669" s="1" t="s">
        <v>1087</v>
      </c>
    </row>
    <row r="670">
      <c r="A670" s="1" t="s">
        <v>56</v>
      </c>
      <c r="B670" s="1" t="str">
        <f>VLOOKUP(A670,Institutions!A:B,2,False)</f>
        <v>United Kingdom</v>
      </c>
      <c r="C670" s="8">
        <v>42005.0</v>
      </c>
      <c r="D670" s="1" t="s">
        <v>1907</v>
      </c>
    </row>
    <row r="671">
      <c r="A671" s="1" t="s">
        <v>56</v>
      </c>
      <c r="B671" s="1" t="str">
        <f>VLOOKUP(A671,Institutions!A:B,2,False)</f>
        <v>United Kingdom</v>
      </c>
      <c r="C671" s="8">
        <v>41640.0</v>
      </c>
      <c r="D671" s="1" t="s">
        <v>2068</v>
      </c>
    </row>
    <row r="672">
      <c r="A672" s="1" t="s">
        <v>56</v>
      </c>
      <c r="B672" s="1" t="str">
        <f>VLOOKUP(A672,Institutions!A:B,2,False)</f>
        <v>United Kingdom</v>
      </c>
      <c r="C672" s="8">
        <v>41275.0</v>
      </c>
      <c r="D672" s="1" t="s">
        <v>1810</v>
      </c>
    </row>
    <row r="673">
      <c r="A673" s="1" t="s">
        <v>56</v>
      </c>
      <c r="B673" s="1" t="str">
        <f>VLOOKUP(A673,Institutions!A:B,2,False)</f>
        <v>United Kingdom</v>
      </c>
      <c r="C673" s="8">
        <v>41275.0</v>
      </c>
      <c r="D673" s="1" t="s">
        <v>2069</v>
      </c>
    </row>
    <row r="674">
      <c r="A674" s="1" t="s">
        <v>56</v>
      </c>
      <c r="B674" s="1" t="str">
        <f>VLOOKUP(A674,Institutions!A:B,2,False)</f>
        <v>United Kingdom</v>
      </c>
      <c r="C674" s="8">
        <v>40909.0</v>
      </c>
      <c r="D674" s="1" t="s">
        <v>2070</v>
      </c>
    </row>
    <row r="675">
      <c r="A675" s="1" t="s">
        <v>56</v>
      </c>
      <c r="B675" s="1" t="str">
        <f>VLOOKUP(A675,Institutions!A:B,2,False)</f>
        <v>United Kingdom</v>
      </c>
      <c r="C675" s="8">
        <v>40179.0</v>
      </c>
      <c r="D675" s="1" t="s">
        <v>2071</v>
      </c>
    </row>
    <row r="676">
      <c r="A676" s="1" t="s">
        <v>56</v>
      </c>
      <c r="B676" s="1" t="str">
        <f>VLOOKUP(A676,Institutions!A:B,2,False)</f>
        <v>United Kingdom</v>
      </c>
      <c r="C676" s="8">
        <v>39814.0</v>
      </c>
      <c r="D676" s="1" t="s">
        <v>2072</v>
      </c>
    </row>
    <row r="677">
      <c r="A677" s="1" t="s">
        <v>56</v>
      </c>
      <c r="B677" s="1" t="str">
        <f>VLOOKUP(A677,Institutions!A:B,2,False)</f>
        <v>United Kingdom</v>
      </c>
      <c r="C677" s="8">
        <v>39814.0</v>
      </c>
      <c r="D677" s="1" t="s">
        <v>1853</v>
      </c>
    </row>
    <row r="678">
      <c r="A678" s="1" t="s">
        <v>56</v>
      </c>
      <c r="B678" s="1" t="str">
        <f>VLOOKUP(A678,Institutions!A:B,2,False)</f>
        <v>United Kingdom</v>
      </c>
      <c r="C678" s="8">
        <v>39448.0</v>
      </c>
      <c r="D678" s="1" t="s">
        <v>2073</v>
      </c>
    </row>
    <row r="679">
      <c r="A679" s="1" t="s">
        <v>58</v>
      </c>
      <c r="B679" s="1" t="str">
        <f>VLOOKUP(A679,Institutions!A:B,2,False)</f>
        <v>United States</v>
      </c>
      <c r="C679" s="8">
        <v>44927.0</v>
      </c>
      <c r="D679" s="1" t="s">
        <v>1127</v>
      </c>
    </row>
    <row r="680">
      <c r="A680" s="1" t="s">
        <v>58</v>
      </c>
      <c r="B680" s="1" t="str">
        <f>VLOOKUP(A680,Institutions!A:B,2,False)</f>
        <v>United States</v>
      </c>
      <c r="C680" s="8">
        <v>44927.0</v>
      </c>
      <c r="D680" s="1" t="s">
        <v>1259</v>
      </c>
    </row>
    <row r="681">
      <c r="A681" s="1" t="s">
        <v>58</v>
      </c>
      <c r="B681" s="1" t="str">
        <f>VLOOKUP(A681,Institutions!A:B,2,False)</f>
        <v>United States</v>
      </c>
      <c r="C681" s="8">
        <v>44562.0</v>
      </c>
      <c r="D681" s="1" t="s">
        <v>1281</v>
      </c>
    </row>
    <row r="682">
      <c r="A682" s="1" t="s">
        <v>58</v>
      </c>
      <c r="B682" s="1" t="str">
        <f>VLOOKUP(A682,Institutions!A:B,2,False)</f>
        <v>United States</v>
      </c>
      <c r="C682" s="8">
        <v>44562.0</v>
      </c>
      <c r="D682" s="1" t="s">
        <v>1298</v>
      </c>
    </row>
    <row r="683">
      <c r="A683" s="1" t="s">
        <v>58</v>
      </c>
      <c r="B683" s="1" t="str">
        <f>VLOOKUP(A683,Institutions!A:B,2,False)</f>
        <v>United States</v>
      </c>
      <c r="C683" s="8">
        <v>44197.0</v>
      </c>
      <c r="D683" s="1" t="s">
        <v>1173</v>
      </c>
    </row>
    <row r="684">
      <c r="A684" s="1" t="s">
        <v>58</v>
      </c>
      <c r="B684" s="1" t="str">
        <f>VLOOKUP(A684,Institutions!A:B,2,False)</f>
        <v>United States</v>
      </c>
      <c r="C684" s="8">
        <v>44197.0</v>
      </c>
      <c r="D684" s="1" t="s">
        <v>1181</v>
      </c>
    </row>
    <row r="685">
      <c r="A685" s="1" t="s">
        <v>58</v>
      </c>
      <c r="B685" s="1" t="str">
        <f>VLOOKUP(A685,Institutions!A:B,2,False)</f>
        <v>United States</v>
      </c>
      <c r="C685" s="8">
        <v>44197.0</v>
      </c>
      <c r="D685" s="1" t="s">
        <v>2074</v>
      </c>
    </row>
    <row r="686">
      <c r="A686" s="1" t="s">
        <v>58</v>
      </c>
      <c r="B686" s="1" t="str">
        <f>VLOOKUP(A686,Institutions!A:B,2,False)</f>
        <v>United States</v>
      </c>
      <c r="C686" s="8">
        <v>44197.0</v>
      </c>
      <c r="D686" s="1" t="s">
        <v>2034</v>
      </c>
    </row>
    <row r="687">
      <c r="A687" s="1" t="s">
        <v>58</v>
      </c>
      <c r="B687" s="1" t="str">
        <f>VLOOKUP(A687,Institutions!A:B,2,False)</f>
        <v>United States</v>
      </c>
      <c r="C687" s="8">
        <v>43831.0</v>
      </c>
      <c r="D687" s="1" t="s">
        <v>554</v>
      </c>
    </row>
    <row r="688">
      <c r="A688" s="1" t="s">
        <v>58</v>
      </c>
      <c r="B688" s="1" t="str">
        <f>VLOOKUP(A688,Institutions!A:B,2,False)</f>
        <v>United States</v>
      </c>
      <c r="C688" s="8">
        <v>43831.0</v>
      </c>
      <c r="D688" s="1" t="s">
        <v>560</v>
      </c>
    </row>
    <row r="689">
      <c r="A689" s="1" t="s">
        <v>58</v>
      </c>
      <c r="B689" s="1" t="str">
        <f>VLOOKUP(A689,Institutions!A:B,2,False)</f>
        <v>United States</v>
      </c>
      <c r="C689" s="8">
        <v>43831.0</v>
      </c>
      <c r="D689" s="1" t="s">
        <v>564</v>
      </c>
    </row>
    <row r="690">
      <c r="A690" s="1" t="s">
        <v>58</v>
      </c>
      <c r="B690" s="1" t="str">
        <f>VLOOKUP(A690,Institutions!A:B,2,False)</f>
        <v>United States</v>
      </c>
      <c r="C690" s="8">
        <v>43831.0</v>
      </c>
      <c r="D690" s="1" t="s">
        <v>566</v>
      </c>
    </row>
    <row r="691">
      <c r="A691" s="1" t="s">
        <v>58</v>
      </c>
      <c r="B691" s="1" t="str">
        <f>VLOOKUP(A691,Institutions!A:B,2,False)</f>
        <v>United States</v>
      </c>
      <c r="C691" s="8">
        <v>43831.0</v>
      </c>
      <c r="D691" s="1" t="s">
        <v>568</v>
      </c>
    </row>
    <row r="692">
      <c r="A692" s="1" t="s">
        <v>58</v>
      </c>
      <c r="B692" s="1" t="str">
        <f>VLOOKUP(A692,Institutions!A:B,2,False)</f>
        <v>United States</v>
      </c>
      <c r="C692" s="8">
        <v>43831.0</v>
      </c>
      <c r="D692" s="1" t="s">
        <v>570</v>
      </c>
    </row>
    <row r="693">
      <c r="A693" s="1" t="s">
        <v>60</v>
      </c>
      <c r="B693" s="1" t="str">
        <f>VLOOKUP(A693,Institutions!A:B,2,False)</f>
        <v>United Kingdom</v>
      </c>
      <c r="C693" s="8">
        <v>44197.0</v>
      </c>
      <c r="D693" s="1" t="s">
        <v>2075</v>
      </c>
    </row>
    <row r="694">
      <c r="A694" s="1" t="s">
        <v>60</v>
      </c>
      <c r="B694" s="1" t="str">
        <f>VLOOKUP(A694,Institutions!A:B,2,False)</f>
        <v>United Kingdom</v>
      </c>
      <c r="C694" s="8">
        <v>44197.0</v>
      </c>
      <c r="D694" s="1" t="s">
        <v>187</v>
      </c>
    </row>
    <row r="695">
      <c r="A695" s="1" t="s">
        <v>60</v>
      </c>
      <c r="B695" s="1" t="str">
        <f>VLOOKUP(A695,Institutions!A:B,2,False)</f>
        <v>United Kingdom</v>
      </c>
      <c r="C695" s="8">
        <v>44197.0</v>
      </c>
      <c r="D695" s="1" t="s">
        <v>2076</v>
      </c>
    </row>
    <row r="696">
      <c r="A696" s="1" t="s">
        <v>60</v>
      </c>
      <c r="B696" s="1" t="str">
        <f>VLOOKUP(A696,Institutions!A:B,2,False)</f>
        <v>United Kingdom</v>
      </c>
      <c r="C696" s="8">
        <v>44197.0</v>
      </c>
      <c r="D696" s="1" t="s">
        <v>2077</v>
      </c>
    </row>
    <row r="697">
      <c r="A697" s="1" t="s">
        <v>60</v>
      </c>
      <c r="B697" s="1" t="str">
        <f>VLOOKUP(A697,Institutions!A:B,2,False)</f>
        <v>United Kingdom</v>
      </c>
      <c r="C697" s="8">
        <v>44197.0</v>
      </c>
      <c r="D697" s="1" t="s">
        <v>1931</v>
      </c>
    </row>
    <row r="698">
      <c r="A698" s="1" t="s">
        <v>60</v>
      </c>
      <c r="B698" s="1" t="str">
        <f>VLOOKUP(A698,Institutions!A:B,2,False)</f>
        <v>United Kingdom</v>
      </c>
      <c r="C698" s="8">
        <v>43831.0</v>
      </c>
      <c r="D698" s="1" t="s">
        <v>2078</v>
      </c>
    </row>
    <row r="699">
      <c r="A699" s="1" t="s">
        <v>60</v>
      </c>
      <c r="B699" s="1" t="str">
        <f>VLOOKUP(A699,Institutions!A:B,2,False)</f>
        <v>United Kingdom</v>
      </c>
      <c r="C699" s="8">
        <v>43466.0</v>
      </c>
      <c r="D699" s="1" t="s">
        <v>2079</v>
      </c>
    </row>
    <row r="700">
      <c r="A700" s="1" t="s">
        <v>60</v>
      </c>
      <c r="B700" s="1" t="str">
        <f>VLOOKUP(A700,Institutions!A:B,2,False)</f>
        <v>United Kingdom</v>
      </c>
      <c r="C700" s="8">
        <v>43101.0</v>
      </c>
      <c r="D700" s="1" t="s">
        <v>1566</v>
      </c>
    </row>
    <row r="701">
      <c r="A701" s="1" t="s">
        <v>60</v>
      </c>
      <c r="B701" s="1" t="str">
        <f>VLOOKUP(A701,Institutions!A:B,2,False)</f>
        <v>United Kingdom</v>
      </c>
      <c r="C701" s="8">
        <v>42370.0</v>
      </c>
      <c r="D701" s="1" t="s">
        <v>2080</v>
      </c>
    </row>
    <row r="702">
      <c r="A702" s="1" t="s">
        <v>60</v>
      </c>
      <c r="B702" s="1" t="str">
        <f>VLOOKUP(A702,Institutions!A:B,2,False)</f>
        <v>United Kingdom</v>
      </c>
      <c r="C702" s="8">
        <v>42370.0</v>
      </c>
      <c r="D702" s="1" t="s">
        <v>1087</v>
      </c>
    </row>
    <row r="703">
      <c r="A703" s="1" t="s">
        <v>60</v>
      </c>
      <c r="B703" s="1" t="str">
        <f>VLOOKUP(A703,Institutions!A:B,2,False)</f>
        <v>United Kingdom</v>
      </c>
      <c r="C703" s="8">
        <v>42005.0</v>
      </c>
      <c r="D703" s="1" t="s">
        <v>1935</v>
      </c>
    </row>
    <row r="704">
      <c r="A704" s="1" t="s">
        <v>60</v>
      </c>
      <c r="B704" s="1" t="str">
        <f>VLOOKUP(A704,Institutions!A:B,2,False)</f>
        <v>United Kingdom</v>
      </c>
      <c r="C704" s="8">
        <v>41640.0</v>
      </c>
      <c r="D704" s="1" t="s">
        <v>1829</v>
      </c>
    </row>
    <row r="705">
      <c r="A705" s="1" t="s">
        <v>60</v>
      </c>
      <c r="B705" s="1" t="str">
        <f>VLOOKUP(A705,Institutions!A:B,2,False)</f>
        <v>United Kingdom</v>
      </c>
      <c r="C705" s="8">
        <v>41275.0</v>
      </c>
      <c r="D705" s="1" t="s">
        <v>1942</v>
      </c>
    </row>
    <row r="706">
      <c r="A706" s="1" t="s">
        <v>60</v>
      </c>
      <c r="B706" s="1" t="str">
        <f>VLOOKUP(A706,Institutions!A:B,2,False)</f>
        <v>United Kingdom</v>
      </c>
      <c r="C706" s="8">
        <v>40909.0</v>
      </c>
      <c r="D706" s="1" t="s">
        <v>2070</v>
      </c>
    </row>
    <row r="707">
      <c r="A707" s="1" t="s">
        <v>60</v>
      </c>
      <c r="B707" s="1" t="str">
        <f>VLOOKUP(A707,Institutions!A:B,2,False)</f>
        <v>United Kingdom</v>
      </c>
      <c r="C707" s="8">
        <v>39814.0</v>
      </c>
      <c r="D707" s="1" t="s">
        <v>2072</v>
      </c>
    </row>
    <row r="708">
      <c r="A708" s="1" t="s">
        <v>60</v>
      </c>
      <c r="B708" s="1" t="str">
        <f>VLOOKUP(A708,Institutions!A:B,2,False)</f>
        <v>United Kingdom</v>
      </c>
      <c r="C708" s="8">
        <v>39448.0</v>
      </c>
      <c r="D708" s="1" t="s">
        <v>2081</v>
      </c>
    </row>
    <row r="709">
      <c r="A709" s="1" t="s">
        <v>62</v>
      </c>
      <c r="B709" s="1" t="str">
        <f>VLOOKUP(A709,Institutions!A:B,2,False)</f>
        <v>United Kingdom</v>
      </c>
      <c r="C709" s="8">
        <v>44927.0</v>
      </c>
      <c r="D709" s="1" t="s">
        <v>1500</v>
      </c>
    </row>
    <row r="710">
      <c r="A710" s="1" t="s">
        <v>62</v>
      </c>
      <c r="B710" s="1" t="str">
        <f>VLOOKUP(A710,Institutions!A:B,2,False)</f>
        <v>United Kingdom</v>
      </c>
      <c r="C710" s="8">
        <v>44562.0</v>
      </c>
      <c r="D710" s="1" t="s">
        <v>802</v>
      </c>
    </row>
    <row r="711">
      <c r="A711" s="1" t="s">
        <v>62</v>
      </c>
      <c r="B711" s="1" t="str">
        <f>VLOOKUP(A711,Institutions!A:B,2,False)</f>
        <v>United Kingdom</v>
      </c>
      <c r="C711" s="8">
        <v>44562.0</v>
      </c>
      <c r="D711" s="1" t="s">
        <v>1667</v>
      </c>
    </row>
    <row r="712">
      <c r="A712" s="1" t="s">
        <v>62</v>
      </c>
      <c r="B712" s="1" t="str">
        <f>VLOOKUP(A712,Institutions!A:B,2,False)</f>
        <v>United Kingdom</v>
      </c>
      <c r="C712" s="8">
        <v>44562.0</v>
      </c>
      <c r="D712" s="1" t="s">
        <v>1672</v>
      </c>
    </row>
    <row r="713">
      <c r="A713" s="1" t="s">
        <v>62</v>
      </c>
      <c r="B713" s="1" t="str">
        <f>VLOOKUP(A713,Institutions!A:B,2,False)</f>
        <v>United Kingdom</v>
      </c>
      <c r="C713" s="8">
        <v>44197.0</v>
      </c>
      <c r="D713" s="1" t="s">
        <v>1676</v>
      </c>
    </row>
    <row r="714">
      <c r="A714" s="1" t="s">
        <v>62</v>
      </c>
      <c r="B714" s="1" t="str">
        <f>VLOOKUP(A714,Institutions!A:B,2,False)</f>
        <v>United Kingdom</v>
      </c>
      <c r="C714" s="8">
        <v>44197.0</v>
      </c>
      <c r="D714" s="1" t="s">
        <v>2032</v>
      </c>
    </row>
    <row r="715">
      <c r="A715" s="1" t="s">
        <v>62</v>
      </c>
      <c r="B715" s="1" t="str">
        <f>VLOOKUP(A715,Institutions!A:B,2,False)</f>
        <v>United Kingdom</v>
      </c>
      <c r="C715" s="8">
        <v>43466.0</v>
      </c>
      <c r="D715" s="1" t="s">
        <v>583</v>
      </c>
    </row>
    <row r="716">
      <c r="A716" s="1" t="s">
        <v>62</v>
      </c>
      <c r="B716" s="1" t="str">
        <f>VLOOKUP(A716,Institutions!A:B,2,False)</f>
        <v>United Kingdom</v>
      </c>
      <c r="C716" s="8">
        <v>43101.0</v>
      </c>
      <c r="D716" s="1" t="s">
        <v>2082</v>
      </c>
    </row>
    <row r="717">
      <c r="A717" s="1" t="s">
        <v>62</v>
      </c>
      <c r="B717" s="1" t="str">
        <f>VLOOKUP(A717,Institutions!A:B,2,False)</f>
        <v>United Kingdom</v>
      </c>
      <c r="C717" s="8">
        <v>43101.0</v>
      </c>
      <c r="D717" s="1" t="s">
        <v>2083</v>
      </c>
    </row>
    <row r="718">
      <c r="A718" s="1" t="s">
        <v>62</v>
      </c>
      <c r="B718" s="1" t="str">
        <f>VLOOKUP(A718,Institutions!A:B,2,False)</f>
        <v>United Kingdom</v>
      </c>
      <c r="C718" s="8">
        <v>42736.0</v>
      </c>
      <c r="D718" s="1" t="s">
        <v>999</v>
      </c>
    </row>
    <row r="719">
      <c r="A719" s="1" t="s">
        <v>62</v>
      </c>
      <c r="B719" s="1" t="str">
        <f>VLOOKUP(A719,Institutions!A:B,2,False)</f>
        <v>United Kingdom</v>
      </c>
      <c r="C719" s="8">
        <v>42005.0</v>
      </c>
      <c r="D719" s="1" t="s">
        <v>2084</v>
      </c>
    </row>
    <row r="720">
      <c r="A720" s="1" t="s">
        <v>62</v>
      </c>
      <c r="B720" s="1" t="str">
        <f>VLOOKUP(A720,Institutions!A:B,2,False)</f>
        <v>United Kingdom</v>
      </c>
      <c r="C720" s="8">
        <v>41640.0</v>
      </c>
      <c r="D720" s="1" t="s">
        <v>1908</v>
      </c>
    </row>
    <row r="721">
      <c r="A721" s="1" t="s">
        <v>62</v>
      </c>
      <c r="B721" s="1" t="str">
        <f>VLOOKUP(A721,Institutions!A:B,2,False)</f>
        <v>United Kingdom</v>
      </c>
      <c r="C721" s="8">
        <v>41640.0</v>
      </c>
      <c r="D721" s="1" t="s">
        <v>2085</v>
      </c>
    </row>
    <row r="722">
      <c r="A722" s="1" t="s">
        <v>62</v>
      </c>
      <c r="B722" s="1" t="str">
        <f>VLOOKUP(A722,Institutions!A:B,2,False)</f>
        <v>United Kingdom</v>
      </c>
      <c r="C722" s="8">
        <v>41640.0</v>
      </c>
      <c r="D722" s="1" t="s">
        <v>2086</v>
      </c>
    </row>
    <row r="723">
      <c r="A723" s="1" t="s">
        <v>62</v>
      </c>
      <c r="B723" s="1" t="str">
        <f>VLOOKUP(A723,Institutions!A:B,2,False)</f>
        <v>United Kingdom</v>
      </c>
      <c r="C723" s="8">
        <v>41640.0</v>
      </c>
      <c r="D723" s="1" t="s">
        <v>2087</v>
      </c>
    </row>
    <row r="724">
      <c r="A724" s="1" t="s">
        <v>65</v>
      </c>
      <c r="B724" s="1" t="str">
        <f>VLOOKUP(A724,Institutions!A:B,2,False)</f>
        <v>Germany</v>
      </c>
      <c r="C724" s="8">
        <v>45292.0</v>
      </c>
      <c r="D724" s="1" t="s">
        <v>1250</v>
      </c>
    </row>
    <row r="725">
      <c r="A725" s="1" t="s">
        <v>65</v>
      </c>
      <c r="B725" s="1" t="str">
        <f>VLOOKUP(A725,Institutions!A:B,2,False)</f>
        <v>Germany</v>
      </c>
      <c r="C725" s="8">
        <v>45292.0</v>
      </c>
      <c r="D725" s="1" t="s">
        <v>1252</v>
      </c>
    </row>
    <row r="726">
      <c r="A726" s="1" t="s">
        <v>65</v>
      </c>
      <c r="B726" s="1" t="str">
        <f>VLOOKUP(A726,Institutions!A:B,2,False)</f>
        <v>Germany</v>
      </c>
      <c r="C726" s="8">
        <v>44927.0</v>
      </c>
      <c r="D726" s="1" t="s">
        <v>1258</v>
      </c>
    </row>
    <row r="727">
      <c r="A727" s="1" t="s">
        <v>65</v>
      </c>
      <c r="B727" s="1" t="str">
        <f>VLOOKUP(A727,Institutions!A:B,2,False)</f>
        <v>Germany</v>
      </c>
      <c r="C727" s="8">
        <v>44927.0</v>
      </c>
      <c r="D727" s="1" t="s">
        <v>1260</v>
      </c>
    </row>
    <row r="728">
      <c r="A728" s="1" t="s">
        <v>65</v>
      </c>
      <c r="B728" s="1" t="str">
        <f>VLOOKUP(A728,Institutions!A:B,2,False)</f>
        <v>Germany</v>
      </c>
      <c r="C728" s="8">
        <v>44927.0</v>
      </c>
      <c r="D728" s="1" t="s">
        <v>1261</v>
      </c>
    </row>
    <row r="729">
      <c r="A729" s="1" t="s">
        <v>65</v>
      </c>
      <c r="B729" s="1" t="str">
        <f>VLOOKUP(A729,Institutions!A:B,2,False)</f>
        <v>Germany</v>
      </c>
      <c r="C729" s="8">
        <v>44927.0</v>
      </c>
      <c r="D729" s="1" t="s">
        <v>1263</v>
      </c>
    </row>
    <row r="730">
      <c r="A730" s="1" t="s">
        <v>65</v>
      </c>
      <c r="B730" s="1" t="str">
        <f>VLOOKUP(A730,Institutions!A:B,2,False)</f>
        <v>Germany</v>
      </c>
      <c r="C730" s="8">
        <v>44927.0</v>
      </c>
      <c r="D730" s="1" t="s">
        <v>1268</v>
      </c>
    </row>
    <row r="731">
      <c r="A731" s="1" t="s">
        <v>65</v>
      </c>
      <c r="B731" s="1" t="str">
        <f>VLOOKUP(A731,Institutions!A:B,2,False)</f>
        <v>Germany</v>
      </c>
      <c r="C731" s="8">
        <v>44927.0</v>
      </c>
      <c r="D731" s="1" t="s">
        <v>1277</v>
      </c>
    </row>
    <row r="732">
      <c r="A732" s="1" t="s">
        <v>65</v>
      </c>
      <c r="B732" s="1" t="str">
        <f>VLOOKUP(A732,Institutions!A:B,2,False)</f>
        <v>Germany</v>
      </c>
      <c r="C732" s="8">
        <v>44927.0</v>
      </c>
      <c r="D732" s="1" t="s">
        <v>1278</v>
      </c>
    </row>
    <row r="733">
      <c r="A733" s="1" t="s">
        <v>65</v>
      </c>
      <c r="B733" s="1" t="str">
        <f>VLOOKUP(A733,Institutions!A:B,2,False)</f>
        <v>Germany</v>
      </c>
      <c r="C733" s="8">
        <v>44562.0</v>
      </c>
      <c r="D733" s="1" t="s">
        <v>1285</v>
      </c>
    </row>
    <row r="734">
      <c r="A734" s="1" t="s">
        <v>65</v>
      </c>
      <c r="B734" s="1" t="str">
        <f>VLOOKUP(A734,Institutions!A:B,2,False)</f>
        <v>Germany</v>
      </c>
      <c r="C734" s="8">
        <v>44562.0</v>
      </c>
      <c r="D734" s="1" t="s">
        <v>1294</v>
      </c>
    </row>
    <row r="735">
      <c r="A735" s="1" t="s">
        <v>65</v>
      </c>
      <c r="B735" s="1" t="str">
        <f>VLOOKUP(A735,Institutions!A:B,2,False)</f>
        <v>Germany</v>
      </c>
      <c r="C735" s="8">
        <v>44562.0</v>
      </c>
      <c r="D735" s="1" t="s">
        <v>1296</v>
      </c>
    </row>
    <row r="736">
      <c r="A736" s="1" t="s">
        <v>65</v>
      </c>
      <c r="B736" s="1" t="str">
        <f>VLOOKUP(A736,Institutions!A:B,2,False)</f>
        <v>Germany</v>
      </c>
      <c r="C736" s="8">
        <v>43101.0</v>
      </c>
      <c r="D736" s="1" t="s">
        <v>1823</v>
      </c>
    </row>
    <row r="737">
      <c r="A737" s="1" t="s">
        <v>65</v>
      </c>
      <c r="B737" s="1" t="str">
        <f>VLOOKUP(A737,Institutions!A:B,2,False)</f>
        <v>Germany</v>
      </c>
      <c r="C737" s="8">
        <v>43101.0</v>
      </c>
      <c r="D737" s="1" t="s">
        <v>1855</v>
      </c>
    </row>
    <row r="738">
      <c r="A738" s="1" t="s">
        <v>65</v>
      </c>
      <c r="B738" s="1" t="str">
        <f>VLOOKUP(A738,Institutions!A:B,2,False)</f>
        <v>Germany</v>
      </c>
      <c r="C738" s="8">
        <v>42005.0</v>
      </c>
      <c r="D738" s="1" t="s">
        <v>2088</v>
      </c>
    </row>
    <row r="739">
      <c r="A739" s="1" t="s">
        <v>67</v>
      </c>
      <c r="B739" s="1" t="str">
        <f>VLOOKUP(A739,Institutions!A:B,2,False)</f>
        <v>Ireland</v>
      </c>
      <c r="C739" s="8">
        <v>44197.0</v>
      </c>
      <c r="D739" s="1" t="s">
        <v>939</v>
      </c>
    </row>
    <row r="740">
      <c r="A740" s="1" t="s">
        <v>67</v>
      </c>
      <c r="B740" s="1" t="str">
        <f>VLOOKUP(A740,Institutions!A:B,2,False)</f>
        <v>Ireland</v>
      </c>
      <c r="C740" s="8">
        <v>43466.0</v>
      </c>
      <c r="D740" s="1" t="s">
        <v>974</v>
      </c>
    </row>
    <row r="741">
      <c r="A741" s="1" t="s">
        <v>67</v>
      </c>
      <c r="B741" s="1" t="str">
        <f>VLOOKUP(A741,Institutions!A:B,2,False)</f>
        <v>Ireland</v>
      </c>
      <c r="C741" s="8">
        <v>41640.0</v>
      </c>
      <c r="D741" s="1" t="s">
        <v>2089</v>
      </c>
    </row>
    <row r="742">
      <c r="A742" s="1" t="s">
        <v>67</v>
      </c>
      <c r="B742" s="1" t="str">
        <f>VLOOKUP(A742,Institutions!A:B,2,False)</f>
        <v>Ireland</v>
      </c>
      <c r="C742" s="8">
        <v>41640.0</v>
      </c>
      <c r="D742" s="1" t="s">
        <v>2090</v>
      </c>
    </row>
    <row r="743">
      <c r="A743" s="1" t="s">
        <v>67</v>
      </c>
      <c r="B743" s="1" t="str">
        <f>VLOOKUP(A743,Institutions!A:B,2,False)</f>
        <v>Ireland</v>
      </c>
      <c r="C743" s="8">
        <v>41275.0</v>
      </c>
      <c r="D743" s="1" t="s">
        <v>2091</v>
      </c>
    </row>
    <row r="744">
      <c r="A744" s="1" t="s">
        <v>67</v>
      </c>
      <c r="B744" s="1" t="str">
        <f>VLOOKUP(A744,Institutions!A:B,2,False)</f>
        <v>Ireland</v>
      </c>
      <c r="C744" s="8">
        <v>40909.0</v>
      </c>
      <c r="D744" s="1" t="s">
        <v>2092</v>
      </c>
    </row>
    <row r="745">
      <c r="A745" s="1" t="s">
        <v>67</v>
      </c>
      <c r="B745" s="1" t="str">
        <f>VLOOKUP(A745,Institutions!A:B,2,False)</f>
        <v>Ireland</v>
      </c>
      <c r="C745" s="8">
        <v>40544.0</v>
      </c>
      <c r="D745" s="1" t="s">
        <v>2028</v>
      </c>
    </row>
    <row r="746">
      <c r="A746" s="1" t="s">
        <v>67</v>
      </c>
      <c r="B746" s="1" t="str">
        <f>VLOOKUP(A746,Institutions!A:B,2,False)</f>
        <v>Ireland</v>
      </c>
      <c r="C746" s="8">
        <v>40544.0</v>
      </c>
      <c r="D746" s="1" t="s">
        <v>2029</v>
      </c>
    </row>
    <row r="747">
      <c r="A747" s="1" t="s">
        <v>67</v>
      </c>
      <c r="B747" s="1" t="str">
        <f>VLOOKUP(A747,Institutions!A:B,2,False)</f>
        <v>Ireland</v>
      </c>
      <c r="C747" s="8">
        <v>40544.0</v>
      </c>
      <c r="D747" s="1" t="s">
        <v>2093</v>
      </c>
    </row>
    <row r="748">
      <c r="A748" s="1" t="s">
        <v>67</v>
      </c>
      <c r="B748" s="1" t="str">
        <f>VLOOKUP(A748,Institutions!A:B,2,False)</f>
        <v>Ireland</v>
      </c>
      <c r="C748" s="8">
        <v>40179.0</v>
      </c>
      <c r="D748" s="1" t="s">
        <v>2094</v>
      </c>
    </row>
    <row r="749">
      <c r="A749" s="1" t="s">
        <v>67</v>
      </c>
      <c r="B749" s="1" t="str">
        <f>VLOOKUP(A749,Institutions!A:B,2,False)</f>
        <v>Ireland</v>
      </c>
      <c r="C749" s="8">
        <v>40179.0</v>
      </c>
      <c r="D749" s="1" t="s">
        <v>2030</v>
      </c>
    </row>
    <row r="750">
      <c r="A750" s="1" t="s">
        <v>67</v>
      </c>
      <c r="B750" s="1" t="str">
        <f>VLOOKUP(A750,Institutions!A:B,2,False)</f>
        <v>Ireland</v>
      </c>
      <c r="C750" s="8">
        <v>40179.0</v>
      </c>
      <c r="D750" s="1" t="s">
        <v>2095</v>
      </c>
    </row>
    <row r="751">
      <c r="A751" s="1" t="s">
        <v>67</v>
      </c>
      <c r="B751" s="1" t="str">
        <f>VLOOKUP(A751,Institutions!A:B,2,False)</f>
        <v>Ireland</v>
      </c>
      <c r="C751" s="8">
        <v>40179.0</v>
      </c>
      <c r="D751" s="1" t="s">
        <v>2096</v>
      </c>
    </row>
    <row r="752">
      <c r="A752" s="1" t="s">
        <v>67</v>
      </c>
      <c r="B752" s="1" t="str">
        <f>VLOOKUP(A752,Institutions!A:B,2,False)</f>
        <v>Ireland</v>
      </c>
      <c r="C752" s="8">
        <v>40179.0</v>
      </c>
      <c r="D752" s="1" t="s">
        <v>2097</v>
      </c>
    </row>
    <row r="753">
      <c r="A753" s="1" t="s">
        <v>67</v>
      </c>
      <c r="B753" s="1" t="str">
        <f>VLOOKUP(A753,Institutions!A:B,2,False)</f>
        <v>Ireland</v>
      </c>
      <c r="C753" s="8">
        <v>39448.0</v>
      </c>
      <c r="D753" s="1" t="s">
        <v>2098</v>
      </c>
    </row>
    <row r="754">
      <c r="A754" s="1" t="s">
        <v>69</v>
      </c>
      <c r="B754" s="1" t="str">
        <f>VLOOKUP(A754,Institutions!A:B,2,False)</f>
        <v>United States</v>
      </c>
      <c r="C754" s="8">
        <v>43466.0</v>
      </c>
      <c r="D754" s="1" t="s">
        <v>1340</v>
      </c>
    </row>
    <row r="755">
      <c r="A755" s="1" t="s">
        <v>69</v>
      </c>
      <c r="B755" s="1" t="str">
        <f>VLOOKUP(A755,Institutions!A:B,2,False)</f>
        <v>United States</v>
      </c>
      <c r="C755" s="8">
        <v>43101.0</v>
      </c>
      <c r="D755" s="1" t="s">
        <v>1855</v>
      </c>
    </row>
    <row r="756">
      <c r="A756" s="1" t="s">
        <v>71</v>
      </c>
      <c r="B756" s="1" t="str">
        <f>VLOOKUP(A756,Institutions!A:B,2,False)</f>
        <v>Germany</v>
      </c>
      <c r="C756" s="8">
        <v>44927.0</v>
      </c>
      <c r="D756" s="1" t="s">
        <v>1197</v>
      </c>
    </row>
    <row r="757">
      <c r="A757" s="1" t="s">
        <v>71</v>
      </c>
      <c r="B757" s="1" t="str">
        <f>VLOOKUP(A757,Institutions!A:B,2,False)</f>
        <v>Germany</v>
      </c>
      <c r="C757" s="8">
        <v>44927.0</v>
      </c>
      <c r="D757" s="1" t="s">
        <v>1204</v>
      </c>
    </row>
    <row r="758">
      <c r="A758" s="1" t="s">
        <v>71</v>
      </c>
      <c r="B758" s="1" t="str">
        <f>VLOOKUP(A758,Institutions!A:B,2,False)</f>
        <v>Germany</v>
      </c>
      <c r="C758" s="8">
        <v>44562.0</v>
      </c>
      <c r="D758" s="1" t="s">
        <v>1209</v>
      </c>
    </row>
    <row r="759">
      <c r="A759" s="1" t="s">
        <v>71</v>
      </c>
      <c r="B759" s="1" t="str">
        <f>VLOOKUP(A759,Institutions!A:B,2,False)</f>
        <v>Germany</v>
      </c>
      <c r="C759" s="8">
        <v>44562.0</v>
      </c>
      <c r="D759" s="1" t="s">
        <v>1212</v>
      </c>
    </row>
    <row r="760">
      <c r="A760" s="1" t="s">
        <v>71</v>
      </c>
      <c r="B760" s="1" t="str">
        <f>VLOOKUP(A760,Institutions!A:B,2,False)</f>
        <v>Germany</v>
      </c>
      <c r="C760" s="8">
        <v>44562.0</v>
      </c>
      <c r="D760" s="1" t="s">
        <v>1220</v>
      </c>
    </row>
    <row r="761">
      <c r="A761" s="1" t="s">
        <v>71</v>
      </c>
      <c r="B761" s="1" t="str">
        <f>VLOOKUP(A761,Institutions!A:B,2,False)</f>
        <v>Germany</v>
      </c>
      <c r="C761" s="8">
        <v>44562.0</v>
      </c>
      <c r="D761" s="1" t="s">
        <v>1221</v>
      </c>
    </row>
    <row r="762">
      <c r="A762" s="1" t="s">
        <v>71</v>
      </c>
      <c r="B762" s="1" t="str">
        <f>VLOOKUP(A762,Institutions!A:B,2,False)</f>
        <v>Germany</v>
      </c>
      <c r="C762" s="8">
        <v>44562.0</v>
      </c>
      <c r="D762" s="1" t="s">
        <v>1227</v>
      </c>
    </row>
    <row r="763">
      <c r="A763" s="1" t="s">
        <v>71</v>
      </c>
      <c r="B763" s="1" t="str">
        <f>VLOOKUP(A763,Institutions!A:B,2,False)</f>
        <v>Germany</v>
      </c>
      <c r="C763" s="8">
        <v>44197.0</v>
      </c>
      <c r="D763" s="1" t="s">
        <v>1232</v>
      </c>
    </row>
    <row r="764">
      <c r="A764" s="1" t="s">
        <v>71</v>
      </c>
      <c r="B764" s="1" t="str">
        <f>VLOOKUP(A764,Institutions!A:B,2,False)</f>
        <v>Germany</v>
      </c>
      <c r="C764" s="8">
        <v>44197.0</v>
      </c>
      <c r="D764" s="1" t="s">
        <v>1236</v>
      </c>
    </row>
    <row r="765">
      <c r="A765" s="1" t="s">
        <v>71</v>
      </c>
      <c r="B765" s="1" t="str">
        <f>VLOOKUP(A765,Institutions!A:B,2,False)</f>
        <v>Germany</v>
      </c>
      <c r="C765" s="8">
        <v>43831.0</v>
      </c>
      <c r="D765" s="1" t="s">
        <v>1245</v>
      </c>
    </row>
    <row r="766">
      <c r="A766" s="1" t="s">
        <v>71</v>
      </c>
      <c r="B766" s="1" t="str">
        <f>VLOOKUP(A766,Institutions!A:B,2,False)</f>
        <v>Germany</v>
      </c>
      <c r="C766" s="8">
        <v>43831.0</v>
      </c>
      <c r="D766" s="1" t="s">
        <v>2099</v>
      </c>
    </row>
    <row r="767">
      <c r="A767" s="1" t="s">
        <v>71</v>
      </c>
      <c r="B767" s="1" t="str">
        <f>VLOOKUP(A767,Institutions!A:B,2,False)</f>
        <v>Germany</v>
      </c>
      <c r="C767" s="8">
        <v>43831.0</v>
      </c>
      <c r="D767" s="1" t="s">
        <v>2100</v>
      </c>
    </row>
    <row r="768">
      <c r="A768" s="1" t="s">
        <v>71</v>
      </c>
      <c r="B768" s="1" t="str">
        <f>VLOOKUP(A768,Institutions!A:B,2,False)</f>
        <v>Germany</v>
      </c>
      <c r="C768" s="8">
        <v>43831.0</v>
      </c>
      <c r="D768" s="1" t="s">
        <v>368</v>
      </c>
    </row>
    <row r="769">
      <c r="A769" s="1" t="s">
        <v>71</v>
      </c>
      <c r="B769" s="1" t="str">
        <f>VLOOKUP(A769,Institutions!A:B,2,False)</f>
        <v>Germany</v>
      </c>
      <c r="C769" s="8">
        <v>43466.0</v>
      </c>
      <c r="D769" s="1" t="s">
        <v>2101</v>
      </c>
    </row>
    <row r="770">
      <c r="A770" s="1" t="s">
        <v>73</v>
      </c>
      <c r="B770" s="1" t="str">
        <f>VLOOKUP(A770,Institutions!A:B,2,False)</f>
        <v>Germany</v>
      </c>
      <c r="C770" s="8">
        <v>44927.0</v>
      </c>
      <c r="D770" s="1" t="s">
        <v>1197</v>
      </c>
    </row>
    <row r="771">
      <c r="A771" s="1" t="s">
        <v>73</v>
      </c>
      <c r="B771" s="1" t="str">
        <f>VLOOKUP(A771,Institutions!A:B,2,False)</f>
        <v>Germany</v>
      </c>
      <c r="C771" s="8">
        <v>44927.0</v>
      </c>
      <c r="D771" s="1" t="s">
        <v>1590</v>
      </c>
    </row>
    <row r="772">
      <c r="A772" s="1" t="s">
        <v>73</v>
      </c>
      <c r="B772" s="1" t="str">
        <f>VLOOKUP(A772,Institutions!A:B,2,False)</f>
        <v>Germany</v>
      </c>
      <c r="C772" s="8">
        <v>44562.0</v>
      </c>
      <c r="D772" s="1" t="s">
        <v>1209</v>
      </c>
    </row>
    <row r="773">
      <c r="A773" s="1" t="s">
        <v>73</v>
      </c>
      <c r="B773" s="1" t="str">
        <f>VLOOKUP(A773,Institutions!A:B,2,False)</f>
        <v>Germany</v>
      </c>
      <c r="C773" s="8">
        <v>44562.0</v>
      </c>
      <c r="D773" s="1" t="s">
        <v>88</v>
      </c>
    </row>
    <row r="774">
      <c r="A774" s="1" t="s">
        <v>73</v>
      </c>
      <c r="B774" s="1" t="str">
        <f>VLOOKUP(A774,Institutions!A:B,2,False)</f>
        <v>Germany</v>
      </c>
      <c r="C774" s="8">
        <v>44562.0</v>
      </c>
      <c r="D774" s="1" t="s">
        <v>1221</v>
      </c>
    </row>
    <row r="775">
      <c r="A775" s="1" t="s">
        <v>73</v>
      </c>
      <c r="B775" s="1" t="str">
        <f>VLOOKUP(A775,Institutions!A:B,2,False)</f>
        <v>Germany</v>
      </c>
      <c r="C775" s="8">
        <v>44562.0</v>
      </c>
      <c r="D775" s="1" t="s">
        <v>1599</v>
      </c>
    </row>
    <row r="776">
      <c r="A776" s="1" t="s">
        <v>73</v>
      </c>
      <c r="B776" s="1" t="str">
        <f>VLOOKUP(A776,Institutions!A:B,2,False)</f>
        <v>Germany</v>
      </c>
      <c r="C776" s="8">
        <v>44562.0</v>
      </c>
      <c r="D776" s="1" t="s">
        <v>1227</v>
      </c>
    </row>
    <row r="777">
      <c r="A777" s="1" t="s">
        <v>73</v>
      </c>
      <c r="B777" s="1" t="str">
        <f>VLOOKUP(A777,Institutions!A:B,2,False)</f>
        <v>Germany</v>
      </c>
      <c r="C777" s="8">
        <v>44197.0</v>
      </c>
      <c r="D777" s="1" t="s">
        <v>1236</v>
      </c>
    </row>
    <row r="778">
      <c r="A778" s="1" t="s">
        <v>73</v>
      </c>
      <c r="B778" s="1" t="str">
        <f>VLOOKUP(A778,Institutions!A:B,2,False)</f>
        <v>Germany</v>
      </c>
      <c r="C778" s="8">
        <v>43831.0</v>
      </c>
      <c r="D778" s="1" t="s">
        <v>2099</v>
      </c>
    </row>
    <row r="779">
      <c r="A779" s="1" t="s">
        <v>73</v>
      </c>
      <c r="B779" s="1" t="str">
        <f>VLOOKUP(A779,Institutions!A:B,2,False)</f>
        <v>Germany</v>
      </c>
      <c r="C779" s="8">
        <v>43831.0</v>
      </c>
      <c r="D779" s="1" t="s">
        <v>2100</v>
      </c>
    </row>
    <row r="780">
      <c r="A780" s="1" t="s">
        <v>73</v>
      </c>
      <c r="B780" s="1" t="str">
        <f>VLOOKUP(A780,Institutions!A:B,2,False)</f>
        <v>Germany</v>
      </c>
      <c r="C780" s="8">
        <v>43831.0</v>
      </c>
      <c r="D780" s="1" t="s">
        <v>2102</v>
      </c>
    </row>
    <row r="781">
      <c r="A781" s="1" t="s">
        <v>73</v>
      </c>
      <c r="B781" s="1" t="str">
        <f>VLOOKUP(A781,Institutions!A:B,2,False)</f>
        <v>Germany</v>
      </c>
      <c r="C781" s="8">
        <v>43831.0</v>
      </c>
      <c r="D781" s="1" t="s">
        <v>368</v>
      </c>
    </row>
    <row r="782">
      <c r="A782" s="1" t="s">
        <v>73</v>
      </c>
      <c r="B782" s="1" t="str">
        <f>VLOOKUP(A782,Institutions!A:B,2,False)</f>
        <v>Germany</v>
      </c>
      <c r="C782" s="8">
        <v>42736.0</v>
      </c>
      <c r="D782" s="1" t="s">
        <v>2103</v>
      </c>
    </row>
    <row r="783">
      <c r="A783" s="1" t="s">
        <v>73</v>
      </c>
      <c r="B783" s="1" t="str">
        <f>VLOOKUP(A783,Institutions!A:B,2,False)</f>
        <v>Germany</v>
      </c>
      <c r="C783" s="8">
        <v>42736.0</v>
      </c>
      <c r="D783" s="1" t="s">
        <v>2104</v>
      </c>
    </row>
    <row r="784">
      <c r="A784" s="1" t="s">
        <v>76</v>
      </c>
      <c r="B784" s="1" t="str">
        <f>VLOOKUP(A784,Institutions!A:B,2,False)</f>
        <v>Finland</v>
      </c>
      <c r="C784" s="8">
        <v>45292.0</v>
      </c>
      <c r="D784" s="1" t="s">
        <v>1656</v>
      </c>
    </row>
    <row r="785">
      <c r="A785" s="1" t="s">
        <v>76</v>
      </c>
      <c r="B785" s="1" t="str">
        <f>VLOOKUP(A785,Institutions!A:B,2,False)</f>
        <v>Finland</v>
      </c>
      <c r="C785" s="8">
        <v>45292.0</v>
      </c>
      <c r="D785" s="1" t="s">
        <v>1123</v>
      </c>
    </row>
    <row r="786">
      <c r="A786" s="1" t="s">
        <v>76</v>
      </c>
      <c r="B786" s="1" t="str">
        <f>VLOOKUP(A786,Institutions!A:B,2,False)</f>
        <v>Finland</v>
      </c>
      <c r="C786" s="8">
        <v>44927.0</v>
      </c>
      <c r="D786" s="1" t="s">
        <v>1129</v>
      </c>
    </row>
    <row r="787">
      <c r="A787" s="1" t="s">
        <v>76</v>
      </c>
      <c r="B787" s="1" t="str">
        <f>VLOOKUP(A787,Institutions!A:B,2,False)</f>
        <v>Finland</v>
      </c>
      <c r="C787" s="8">
        <v>43466.0</v>
      </c>
      <c r="D787" s="1" t="s">
        <v>975</v>
      </c>
    </row>
    <row r="788">
      <c r="A788" s="1" t="s">
        <v>76</v>
      </c>
      <c r="B788" s="1" t="str">
        <f>VLOOKUP(A788,Institutions!A:B,2,False)</f>
        <v>Finland</v>
      </c>
      <c r="C788" s="8">
        <v>43101.0</v>
      </c>
      <c r="D788" s="1" t="s">
        <v>622</v>
      </c>
    </row>
    <row r="789">
      <c r="A789" s="1" t="s">
        <v>76</v>
      </c>
      <c r="B789" s="1" t="str">
        <f>VLOOKUP(A789,Institutions!A:B,2,False)</f>
        <v>Finland</v>
      </c>
      <c r="C789" s="8">
        <v>43101.0</v>
      </c>
      <c r="D789" s="1" t="s">
        <v>1562</v>
      </c>
    </row>
    <row r="790">
      <c r="A790" s="1" t="s">
        <v>76</v>
      </c>
      <c r="B790" s="1" t="str">
        <f>VLOOKUP(A790,Institutions!A:B,2,False)</f>
        <v>Finland</v>
      </c>
      <c r="C790" s="8">
        <v>40179.0</v>
      </c>
      <c r="D790" s="1" t="s">
        <v>1987</v>
      </c>
    </row>
    <row r="791">
      <c r="A791" s="1" t="s">
        <v>76</v>
      </c>
      <c r="B791" s="1" t="str">
        <f>VLOOKUP(A791,Institutions!A:B,2,False)</f>
        <v>Finland</v>
      </c>
      <c r="C791" s="8">
        <v>40179.0</v>
      </c>
      <c r="D791" s="1" t="s">
        <v>1986</v>
      </c>
    </row>
    <row r="792">
      <c r="A792" s="1" t="s">
        <v>76</v>
      </c>
      <c r="B792" s="1" t="str">
        <f>VLOOKUP(A792,Institutions!A:B,2,False)</f>
        <v>Finland</v>
      </c>
      <c r="C792" s="8">
        <v>40179.0</v>
      </c>
      <c r="D792" s="1" t="s">
        <v>1988</v>
      </c>
    </row>
    <row r="793">
      <c r="A793" s="1" t="s">
        <v>76</v>
      </c>
      <c r="B793" s="1" t="str">
        <f>VLOOKUP(A793,Institutions!A:B,2,False)</f>
        <v>Finland</v>
      </c>
      <c r="C793" s="8">
        <v>40179.0</v>
      </c>
      <c r="D793" s="1" t="s">
        <v>2105</v>
      </c>
    </row>
    <row r="794">
      <c r="A794" s="1" t="s">
        <v>76</v>
      </c>
      <c r="B794" s="1" t="str">
        <f>VLOOKUP(A794,Institutions!A:B,2,False)</f>
        <v>Finland</v>
      </c>
      <c r="C794" s="8">
        <v>39814.0</v>
      </c>
      <c r="D794" s="1" t="s">
        <v>1990</v>
      </c>
    </row>
    <row r="795">
      <c r="A795" s="1" t="s">
        <v>76</v>
      </c>
      <c r="B795" s="1" t="str">
        <f>VLOOKUP(A795,Institutions!A:B,2,False)</f>
        <v>Finland</v>
      </c>
      <c r="C795" s="8">
        <v>39814.0</v>
      </c>
      <c r="D795" s="1" t="s">
        <v>1991</v>
      </c>
    </row>
    <row r="796">
      <c r="A796" s="1" t="s">
        <v>76</v>
      </c>
      <c r="B796" s="1" t="str">
        <f>VLOOKUP(A796,Institutions!A:B,2,False)</f>
        <v>Finland</v>
      </c>
      <c r="C796" s="8">
        <v>39448.0</v>
      </c>
      <c r="D796" s="1" t="s">
        <v>1992</v>
      </c>
    </row>
    <row r="797">
      <c r="A797" s="1" t="s">
        <v>76</v>
      </c>
      <c r="B797" s="1" t="str">
        <f>VLOOKUP(A797,Institutions!A:B,2,False)</f>
        <v>Finland</v>
      </c>
      <c r="C797" s="8">
        <v>39448.0</v>
      </c>
      <c r="D797" s="1" t="s">
        <v>1993</v>
      </c>
    </row>
    <row r="798">
      <c r="A798" s="1" t="s">
        <v>80</v>
      </c>
      <c r="B798" s="1" t="str">
        <f>VLOOKUP(A798,Institutions!A:B,2,False)</f>
        <v>Norway</v>
      </c>
      <c r="C798" s="8">
        <v>44927.0</v>
      </c>
      <c r="D798" s="1" t="s">
        <v>1585</v>
      </c>
    </row>
    <row r="799">
      <c r="A799" s="1" t="s">
        <v>80</v>
      </c>
      <c r="B799" s="1" t="str">
        <f>VLOOKUP(A799,Institutions!A:B,2,False)</f>
        <v>Norway</v>
      </c>
      <c r="C799" s="8">
        <v>44927.0</v>
      </c>
      <c r="D799" s="1" t="s">
        <v>1586</v>
      </c>
    </row>
    <row r="800">
      <c r="A800" s="1" t="s">
        <v>80</v>
      </c>
      <c r="B800" s="1" t="str">
        <f>VLOOKUP(A800,Institutions!A:B,2,False)</f>
        <v>Norway</v>
      </c>
      <c r="C800" s="8">
        <v>44927.0</v>
      </c>
      <c r="D800" s="1" t="s">
        <v>2106</v>
      </c>
    </row>
    <row r="801">
      <c r="A801" s="1" t="s">
        <v>80</v>
      </c>
      <c r="B801" s="1" t="str">
        <f>VLOOKUP(A801,Institutions!A:B,2,False)</f>
        <v>Norway</v>
      </c>
      <c r="C801" s="8">
        <v>44927.0</v>
      </c>
      <c r="D801" s="1" t="s">
        <v>1589</v>
      </c>
    </row>
    <row r="802">
      <c r="A802" s="1" t="s">
        <v>80</v>
      </c>
      <c r="B802" s="1" t="str">
        <f>VLOOKUP(A802,Institutions!A:B,2,False)</f>
        <v>Norway</v>
      </c>
      <c r="C802" s="8">
        <v>44927.0</v>
      </c>
      <c r="D802" s="1" t="s">
        <v>1593</v>
      </c>
    </row>
    <row r="803">
      <c r="A803" s="1" t="s">
        <v>80</v>
      </c>
      <c r="B803" s="1" t="str">
        <f>VLOOKUP(A803,Institutions!A:B,2,False)</f>
        <v>Norway</v>
      </c>
      <c r="C803" s="8">
        <v>44562.0</v>
      </c>
      <c r="D803" s="1" t="s">
        <v>1599</v>
      </c>
    </row>
    <row r="804">
      <c r="A804" s="1" t="s">
        <v>80</v>
      </c>
      <c r="B804" s="1" t="str">
        <f>VLOOKUP(A804,Institutions!A:B,2,False)</f>
        <v>Norway</v>
      </c>
      <c r="C804" s="8">
        <v>44197.0</v>
      </c>
      <c r="D804" s="1" t="s">
        <v>1677</v>
      </c>
    </row>
    <row r="805">
      <c r="A805" s="1" t="s">
        <v>80</v>
      </c>
      <c r="B805" s="1" t="str">
        <f>VLOOKUP(A805,Institutions!A:B,2,False)</f>
        <v>Norway</v>
      </c>
      <c r="C805" s="8">
        <v>43831.0</v>
      </c>
      <c r="D805" s="1" t="s">
        <v>2107</v>
      </c>
    </row>
    <row r="806">
      <c r="A806" s="1" t="s">
        <v>80</v>
      </c>
      <c r="B806" s="1" t="str">
        <f>VLOOKUP(A806,Institutions!A:B,2,False)</f>
        <v>Norway</v>
      </c>
      <c r="C806" s="8">
        <v>43101.0</v>
      </c>
      <c r="D806" s="1" t="s">
        <v>747</v>
      </c>
    </row>
    <row r="807">
      <c r="A807" s="1" t="s">
        <v>80</v>
      </c>
      <c r="B807" s="1" t="str">
        <f>VLOOKUP(A807,Institutions!A:B,2,False)</f>
        <v>Norway</v>
      </c>
      <c r="C807" s="8">
        <v>42736.0</v>
      </c>
      <c r="D807" s="1" t="s">
        <v>1350</v>
      </c>
    </row>
    <row r="808">
      <c r="A808" s="1" t="s">
        <v>80</v>
      </c>
      <c r="B808" s="1" t="str">
        <f>VLOOKUP(A808,Institutions!A:B,2,False)</f>
        <v>Norway</v>
      </c>
      <c r="C808" s="8">
        <v>42005.0</v>
      </c>
      <c r="D808" s="1" t="s">
        <v>2108</v>
      </c>
    </row>
    <row r="809">
      <c r="A809" s="1" t="s">
        <v>80</v>
      </c>
      <c r="B809" s="1" t="str">
        <f>VLOOKUP(A809,Institutions!A:B,2,False)</f>
        <v>Norway</v>
      </c>
      <c r="C809" s="8">
        <v>41640.0</v>
      </c>
      <c r="D809" s="1" t="s">
        <v>2109</v>
      </c>
    </row>
    <row r="810">
      <c r="A810" s="1" t="s">
        <v>80</v>
      </c>
      <c r="B810" s="1" t="str">
        <f>VLOOKUP(A810,Institutions!A:B,2,False)</f>
        <v>Norway</v>
      </c>
      <c r="C810" s="8">
        <v>40544.0</v>
      </c>
      <c r="D810" s="1" t="s">
        <v>1944</v>
      </c>
    </row>
    <row r="811">
      <c r="A811" s="1" t="s">
        <v>83</v>
      </c>
      <c r="B811" s="1" t="str">
        <f>VLOOKUP(A811,Institutions!A:B,2,False)</f>
        <v>Spain</v>
      </c>
      <c r="C811" s="8">
        <v>44927.0</v>
      </c>
      <c r="D811" s="1" t="s">
        <v>242</v>
      </c>
    </row>
    <row r="812">
      <c r="A812" s="1" t="s">
        <v>83</v>
      </c>
      <c r="B812" s="1" t="str">
        <f>VLOOKUP(A812,Institutions!A:B,2,False)</f>
        <v>Spain</v>
      </c>
      <c r="C812" s="8">
        <v>44927.0</v>
      </c>
      <c r="D812" s="1" t="s">
        <v>247</v>
      </c>
    </row>
    <row r="813">
      <c r="A813" s="1" t="s">
        <v>83</v>
      </c>
      <c r="B813" s="1" t="str">
        <f>VLOOKUP(A813,Institutions!A:B,2,False)</f>
        <v>Spain</v>
      </c>
      <c r="C813" s="8">
        <v>44562.0</v>
      </c>
      <c r="D813" s="1" t="s">
        <v>257</v>
      </c>
    </row>
    <row r="814">
      <c r="A814" s="1" t="s">
        <v>83</v>
      </c>
      <c r="B814" s="1" t="str">
        <f>VLOOKUP(A814,Institutions!A:B,2,False)</f>
        <v>Spain</v>
      </c>
      <c r="C814" s="8">
        <v>44562.0</v>
      </c>
      <c r="D814" s="1" t="s">
        <v>271</v>
      </c>
    </row>
    <row r="815">
      <c r="A815" s="1" t="s">
        <v>83</v>
      </c>
      <c r="B815" s="1" t="str">
        <f>VLOOKUP(A815,Institutions!A:B,2,False)</f>
        <v>Spain</v>
      </c>
      <c r="C815" s="8">
        <v>44562.0</v>
      </c>
      <c r="D815" s="1" t="s">
        <v>277</v>
      </c>
    </row>
    <row r="816">
      <c r="A816" s="1" t="s">
        <v>83</v>
      </c>
      <c r="B816" s="1" t="str">
        <f>VLOOKUP(A816,Institutions!A:B,2,False)</f>
        <v>Spain</v>
      </c>
      <c r="C816" s="8">
        <v>44197.0</v>
      </c>
      <c r="D816" s="1" t="s">
        <v>302</v>
      </c>
    </row>
    <row r="817">
      <c r="A817" s="1" t="s">
        <v>83</v>
      </c>
      <c r="B817" s="1" t="str">
        <f>VLOOKUP(A817,Institutions!A:B,2,False)</f>
        <v>Spain</v>
      </c>
      <c r="C817" s="8">
        <v>44197.0</v>
      </c>
      <c r="D817" s="1" t="s">
        <v>324</v>
      </c>
    </row>
    <row r="818">
      <c r="A818" s="1" t="s">
        <v>83</v>
      </c>
      <c r="B818" s="1" t="str">
        <f>VLOOKUP(A818,Institutions!A:B,2,False)</f>
        <v>Spain</v>
      </c>
      <c r="C818" s="8">
        <v>43831.0</v>
      </c>
      <c r="D818" s="1" t="s">
        <v>364</v>
      </c>
    </row>
    <row r="819">
      <c r="A819" s="1" t="s">
        <v>83</v>
      </c>
      <c r="B819" s="1" t="str">
        <f>VLOOKUP(A819,Institutions!A:B,2,False)</f>
        <v>Spain</v>
      </c>
      <c r="C819" s="8">
        <v>43831.0</v>
      </c>
      <c r="D819" s="1" t="s">
        <v>370</v>
      </c>
    </row>
    <row r="820">
      <c r="A820" s="1" t="s">
        <v>83</v>
      </c>
      <c r="B820" s="1" t="str">
        <f>VLOOKUP(A820,Institutions!A:B,2,False)</f>
        <v>Spain</v>
      </c>
      <c r="C820" s="8">
        <v>42005.0</v>
      </c>
      <c r="D820" s="1" t="s">
        <v>2110</v>
      </c>
    </row>
    <row r="821">
      <c r="A821" s="1" t="s">
        <v>83</v>
      </c>
      <c r="B821" s="1" t="str">
        <f>VLOOKUP(A821,Institutions!A:B,2,False)</f>
        <v>Spain</v>
      </c>
      <c r="C821" s="8">
        <v>42005.0</v>
      </c>
      <c r="D821" s="1" t="s">
        <v>2111</v>
      </c>
    </row>
    <row r="822">
      <c r="A822" s="1" t="s">
        <v>83</v>
      </c>
      <c r="B822" s="1" t="str">
        <f>VLOOKUP(A822,Institutions!A:B,2,False)</f>
        <v>Spain</v>
      </c>
      <c r="C822" s="8">
        <v>42005.0</v>
      </c>
      <c r="D822" s="1" t="s">
        <v>2112</v>
      </c>
    </row>
    <row r="823">
      <c r="A823" s="1" t="s">
        <v>83</v>
      </c>
      <c r="B823" s="1" t="str">
        <f>VLOOKUP(A823,Institutions!A:B,2,False)</f>
        <v>Spain</v>
      </c>
      <c r="C823" s="8">
        <v>41640.0</v>
      </c>
      <c r="D823" s="1" t="s">
        <v>2113</v>
      </c>
    </row>
    <row r="824">
      <c r="A824" s="1" t="s">
        <v>85</v>
      </c>
      <c r="B824" s="1" t="str">
        <f>VLOOKUP(A824,Institutions!A:B,2,False)</f>
        <v>Germany</v>
      </c>
      <c r="C824" s="8">
        <v>44562.0</v>
      </c>
      <c r="D824" s="1" t="s">
        <v>1600</v>
      </c>
    </row>
    <row r="825">
      <c r="A825" s="1" t="s">
        <v>85</v>
      </c>
      <c r="B825" s="1" t="str">
        <f>VLOOKUP(A825,Institutions!A:B,2,False)</f>
        <v>Germany</v>
      </c>
      <c r="C825" s="8">
        <v>44562.0</v>
      </c>
      <c r="D825" s="1" t="s">
        <v>1601</v>
      </c>
    </row>
    <row r="826">
      <c r="A826" s="1" t="s">
        <v>85</v>
      </c>
      <c r="B826" s="1" t="str">
        <f>VLOOKUP(A826,Institutions!A:B,2,False)</f>
        <v>Germany</v>
      </c>
      <c r="C826" s="8">
        <v>44197.0</v>
      </c>
      <c r="D826" s="1" t="s">
        <v>2114</v>
      </c>
    </row>
    <row r="827">
      <c r="A827" s="1" t="s">
        <v>85</v>
      </c>
      <c r="B827" s="1" t="str">
        <f>VLOOKUP(A827,Institutions!A:B,2,False)</f>
        <v>Germany</v>
      </c>
      <c r="C827" s="8">
        <v>44197.0</v>
      </c>
      <c r="D827" s="1" t="s">
        <v>2115</v>
      </c>
    </row>
    <row r="828">
      <c r="A828" s="1" t="s">
        <v>85</v>
      </c>
      <c r="B828" s="1" t="str">
        <f>VLOOKUP(A828,Institutions!A:B,2,False)</f>
        <v>Germany</v>
      </c>
      <c r="C828" s="8">
        <v>43831.0</v>
      </c>
      <c r="D828" s="1" t="s">
        <v>2107</v>
      </c>
    </row>
    <row r="829">
      <c r="A829" s="1" t="s">
        <v>85</v>
      </c>
      <c r="B829" s="1" t="str">
        <f>VLOOKUP(A829,Institutions!A:B,2,False)</f>
        <v>Germany</v>
      </c>
      <c r="C829" s="8">
        <v>43831.0</v>
      </c>
      <c r="D829" s="1" t="s">
        <v>2116</v>
      </c>
    </row>
    <row r="830">
      <c r="A830" s="1" t="s">
        <v>85</v>
      </c>
      <c r="B830" s="1" t="str">
        <f>VLOOKUP(A830,Institutions!A:B,2,False)</f>
        <v>Germany</v>
      </c>
      <c r="C830" s="8">
        <v>43831.0</v>
      </c>
      <c r="D830" s="1" t="s">
        <v>2102</v>
      </c>
    </row>
    <row r="831">
      <c r="A831" s="1" t="s">
        <v>85</v>
      </c>
      <c r="B831" s="1" t="str">
        <f>VLOOKUP(A831,Institutions!A:B,2,False)</f>
        <v>Germany</v>
      </c>
      <c r="C831" s="8">
        <v>43466.0</v>
      </c>
      <c r="D831" s="1" t="s">
        <v>1631</v>
      </c>
    </row>
    <row r="832">
      <c r="A832" s="1" t="s">
        <v>85</v>
      </c>
      <c r="B832" s="1" t="str">
        <f>VLOOKUP(A832,Institutions!A:B,2,False)</f>
        <v>Germany</v>
      </c>
      <c r="C832" s="8">
        <v>43101.0</v>
      </c>
      <c r="D832" s="1" t="s">
        <v>1636</v>
      </c>
    </row>
    <row r="833">
      <c r="A833" s="1" t="s">
        <v>85</v>
      </c>
      <c r="B833" s="1" t="str">
        <f>VLOOKUP(A833,Institutions!A:B,2,False)</f>
        <v>Germany</v>
      </c>
      <c r="C833" s="8">
        <v>42370.0</v>
      </c>
      <c r="D833" s="1" t="s">
        <v>2117</v>
      </c>
    </row>
    <row r="834">
      <c r="A834" s="1" t="s">
        <v>85</v>
      </c>
      <c r="B834" s="1" t="str">
        <f>VLOOKUP(A834,Institutions!A:B,2,False)</f>
        <v>Germany</v>
      </c>
      <c r="C834" s="8">
        <v>42005.0</v>
      </c>
      <c r="D834" s="1" t="s">
        <v>2118</v>
      </c>
    </row>
    <row r="835">
      <c r="A835" s="1" t="s">
        <v>85</v>
      </c>
      <c r="B835" s="1" t="str">
        <f>VLOOKUP(A835,Institutions!A:B,2,False)</f>
        <v>Germany</v>
      </c>
      <c r="C835" s="8">
        <v>41640.0</v>
      </c>
      <c r="D835" s="1" t="s">
        <v>2119</v>
      </c>
    </row>
    <row r="836">
      <c r="A836" s="1" t="s">
        <v>85</v>
      </c>
      <c r="B836" s="1" t="str">
        <f>VLOOKUP(A836,Institutions!A:B,2,False)</f>
        <v>Germany</v>
      </c>
      <c r="C836" s="8">
        <v>41275.0</v>
      </c>
      <c r="D836" s="1" t="s">
        <v>2120</v>
      </c>
    </row>
    <row r="837">
      <c r="A837" s="1" t="s">
        <v>87</v>
      </c>
      <c r="B837" s="1" t="str">
        <f>VLOOKUP(A837,Institutions!A:B,2,False)</f>
        <v>Sweden</v>
      </c>
      <c r="C837" s="8">
        <v>44927.0</v>
      </c>
      <c r="D837" s="1" t="s">
        <v>1134</v>
      </c>
    </row>
    <row r="838">
      <c r="A838" s="1" t="s">
        <v>87</v>
      </c>
      <c r="B838" s="1" t="str">
        <f>VLOOKUP(A838,Institutions!A:B,2,False)</f>
        <v>Sweden</v>
      </c>
      <c r="C838" s="8">
        <v>44562.0</v>
      </c>
      <c r="D838" s="1" t="s">
        <v>936</v>
      </c>
    </row>
    <row r="839">
      <c r="A839" s="1" t="s">
        <v>87</v>
      </c>
      <c r="B839" s="1" t="str">
        <f>VLOOKUP(A839,Institutions!A:B,2,False)</f>
        <v>Sweden</v>
      </c>
      <c r="C839" s="8">
        <v>44197.0</v>
      </c>
      <c r="D839" s="1" t="s">
        <v>1185</v>
      </c>
    </row>
    <row r="840">
      <c r="A840" s="1" t="s">
        <v>87</v>
      </c>
      <c r="B840" s="1" t="str">
        <f>VLOOKUP(A840,Institutions!A:B,2,False)</f>
        <v>Sweden</v>
      </c>
      <c r="C840" s="8">
        <v>44197.0</v>
      </c>
      <c r="D840" s="1" t="s">
        <v>2033</v>
      </c>
    </row>
    <row r="841">
      <c r="A841" s="1" t="s">
        <v>87</v>
      </c>
      <c r="B841" s="1" t="str">
        <f>VLOOKUP(A841,Institutions!A:B,2,False)</f>
        <v>Sweden</v>
      </c>
      <c r="C841" s="8">
        <v>43831.0</v>
      </c>
      <c r="D841" s="1" t="s">
        <v>950</v>
      </c>
    </row>
    <row r="842">
      <c r="A842" s="1" t="s">
        <v>87</v>
      </c>
      <c r="B842" s="1" t="str">
        <f>VLOOKUP(A842,Institutions!A:B,2,False)</f>
        <v>Sweden</v>
      </c>
      <c r="C842" s="8">
        <v>43831.0</v>
      </c>
      <c r="D842" s="1" t="s">
        <v>957</v>
      </c>
    </row>
    <row r="843">
      <c r="A843" s="1" t="s">
        <v>87</v>
      </c>
      <c r="B843" s="1" t="str">
        <f>VLOOKUP(A843,Institutions!A:B,2,False)</f>
        <v>Sweden</v>
      </c>
      <c r="C843" s="8">
        <v>43466.0</v>
      </c>
      <c r="D843" s="1" t="s">
        <v>572</v>
      </c>
    </row>
    <row r="844">
      <c r="A844" s="1" t="s">
        <v>87</v>
      </c>
      <c r="B844" s="1" t="str">
        <f>VLOOKUP(A844,Institutions!A:B,2,False)</f>
        <v>Sweden</v>
      </c>
      <c r="C844" s="8">
        <v>43466.0</v>
      </c>
      <c r="D844" s="1" t="s">
        <v>1631</v>
      </c>
    </row>
    <row r="845">
      <c r="A845" s="1" t="s">
        <v>87</v>
      </c>
      <c r="B845" s="1" t="str">
        <f>VLOOKUP(A845,Institutions!A:B,2,False)</f>
        <v>Sweden</v>
      </c>
      <c r="C845" s="8">
        <v>43466.0</v>
      </c>
      <c r="D845" s="1" t="s">
        <v>974</v>
      </c>
    </row>
    <row r="846">
      <c r="A846" s="1" t="s">
        <v>87</v>
      </c>
      <c r="B846" s="1" t="str">
        <f>VLOOKUP(A846,Institutions!A:B,2,False)</f>
        <v>Sweden</v>
      </c>
      <c r="C846" s="8">
        <v>43101.0</v>
      </c>
      <c r="D846" s="1" t="s">
        <v>1636</v>
      </c>
    </row>
    <row r="847">
      <c r="A847" s="1" t="s">
        <v>87</v>
      </c>
      <c r="B847" s="1" t="str">
        <f>VLOOKUP(A847,Institutions!A:B,2,False)</f>
        <v>Sweden</v>
      </c>
      <c r="C847" s="8">
        <v>42736.0</v>
      </c>
      <c r="D847" s="1" t="s">
        <v>1065</v>
      </c>
    </row>
    <row r="848">
      <c r="A848" s="1" t="s">
        <v>87</v>
      </c>
      <c r="B848" s="1" t="str">
        <f>VLOOKUP(A848,Institutions!A:B,2,False)</f>
        <v>Sweden</v>
      </c>
      <c r="C848" s="8">
        <v>42736.0</v>
      </c>
      <c r="D848" s="1" t="s">
        <v>1068</v>
      </c>
    </row>
    <row r="849">
      <c r="A849" s="1" t="s">
        <v>87</v>
      </c>
      <c r="B849" s="1" t="str">
        <f>VLOOKUP(A849,Institutions!A:B,2,False)</f>
        <v>Sweden</v>
      </c>
      <c r="C849" s="8">
        <v>41275.0</v>
      </c>
      <c r="D849" s="1" t="s">
        <v>2060</v>
      </c>
    </row>
    <row r="850">
      <c r="A850" s="1" t="s">
        <v>90</v>
      </c>
      <c r="B850" s="1" t="str">
        <f>VLOOKUP(A850,Institutions!A:B,2,False)</f>
        <v>Italy</v>
      </c>
      <c r="C850" s="8">
        <v>44562.0</v>
      </c>
      <c r="D850" s="1" t="s">
        <v>932</v>
      </c>
    </row>
    <row r="851">
      <c r="A851" s="1" t="s">
        <v>90</v>
      </c>
      <c r="B851" s="1" t="str">
        <f>VLOOKUP(A851,Institutions!A:B,2,False)</f>
        <v>Italy</v>
      </c>
      <c r="C851" s="8">
        <v>44197.0</v>
      </c>
      <c r="D851" s="1" t="s">
        <v>1174</v>
      </c>
    </row>
    <row r="852">
      <c r="A852" s="1" t="s">
        <v>90</v>
      </c>
      <c r="B852" s="1" t="str">
        <f>VLOOKUP(A852,Institutions!A:B,2,False)</f>
        <v>Italy</v>
      </c>
      <c r="C852" s="8">
        <v>44197.0</v>
      </c>
      <c r="D852" s="1" t="s">
        <v>2018</v>
      </c>
    </row>
    <row r="853">
      <c r="A853" s="1" t="s">
        <v>90</v>
      </c>
      <c r="B853" s="1" t="str">
        <f>VLOOKUP(A853,Institutions!A:B,2,False)</f>
        <v>Italy</v>
      </c>
      <c r="C853" s="8">
        <v>43831.0</v>
      </c>
      <c r="D853" s="1" t="s">
        <v>2020</v>
      </c>
    </row>
    <row r="854">
      <c r="A854" s="1" t="s">
        <v>90</v>
      </c>
      <c r="B854" s="1" t="str">
        <f>VLOOKUP(A854,Institutions!A:B,2,False)</f>
        <v>Italy</v>
      </c>
      <c r="C854" s="8">
        <v>43831.0</v>
      </c>
      <c r="D854" s="1" t="s">
        <v>2121</v>
      </c>
    </row>
    <row r="855">
      <c r="A855" s="1" t="s">
        <v>90</v>
      </c>
      <c r="B855" s="1" t="str">
        <f>VLOOKUP(A855,Institutions!A:B,2,False)</f>
        <v>Italy</v>
      </c>
      <c r="C855" s="8">
        <v>43831.0</v>
      </c>
      <c r="D855" s="1" t="s">
        <v>2122</v>
      </c>
    </row>
    <row r="856">
      <c r="A856" s="1" t="s">
        <v>90</v>
      </c>
      <c r="B856" s="1" t="str">
        <f>VLOOKUP(A856,Institutions!A:B,2,False)</f>
        <v>Italy</v>
      </c>
      <c r="C856" s="8">
        <v>43466.0</v>
      </c>
      <c r="D856" s="1" t="s">
        <v>2052</v>
      </c>
    </row>
    <row r="857">
      <c r="A857" s="1" t="s">
        <v>90</v>
      </c>
      <c r="B857" s="1" t="str">
        <f>VLOOKUP(A857,Institutions!A:B,2,False)</f>
        <v>Italy</v>
      </c>
      <c r="C857" s="8">
        <v>43466.0</v>
      </c>
      <c r="D857" s="1" t="s">
        <v>2053</v>
      </c>
    </row>
    <row r="858">
      <c r="A858" s="1" t="s">
        <v>90</v>
      </c>
      <c r="B858" s="1" t="str">
        <f>VLOOKUP(A858,Institutions!A:B,2,False)</f>
        <v>Italy</v>
      </c>
      <c r="C858" s="8">
        <v>43466.0</v>
      </c>
      <c r="D858" s="1" t="s">
        <v>2054</v>
      </c>
    </row>
    <row r="859">
      <c r="A859" s="1" t="s">
        <v>90</v>
      </c>
      <c r="B859" s="1" t="str">
        <f>VLOOKUP(A859,Institutions!A:B,2,False)</f>
        <v>Italy</v>
      </c>
      <c r="C859" s="8">
        <v>43101.0</v>
      </c>
      <c r="D859" s="1" t="s">
        <v>987</v>
      </c>
    </row>
    <row r="860">
      <c r="A860" s="1" t="s">
        <v>90</v>
      </c>
      <c r="B860" s="1" t="str">
        <f>VLOOKUP(A860,Institutions!A:B,2,False)</f>
        <v>Italy</v>
      </c>
      <c r="C860" s="8">
        <v>42370.0</v>
      </c>
      <c r="D860" s="1" t="s">
        <v>2123</v>
      </c>
    </row>
    <row r="861">
      <c r="A861" s="1" t="s">
        <v>90</v>
      </c>
      <c r="B861" s="1" t="str">
        <f>VLOOKUP(A861,Institutions!A:B,2,False)</f>
        <v>Italy</v>
      </c>
      <c r="C861" s="8">
        <v>42005.0</v>
      </c>
      <c r="D861" s="1" t="s">
        <v>1906</v>
      </c>
    </row>
    <row r="862">
      <c r="A862" s="1" t="s">
        <v>93</v>
      </c>
      <c r="B862" s="1" t="str">
        <f>VLOOKUP(A862,Institutions!A:B,2,False)</f>
        <v>Australia</v>
      </c>
      <c r="C862" s="8">
        <v>43831.0</v>
      </c>
      <c r="D862" s="1" t="s">
        <v>957</v>
      </c>
    </row>
    <row r="863">
      <c r="A863" s="1" t="s">
        <v>93</v>
      </c>
      <c r="B863" s="1" t="str">
        <f>VLOOKUP(A863,Institutions!A:B,2,False)</f>
        <v>Australia</v>
      </c>
      <c r="C863" s="8">
        <v>43101.0</v>
      </c>
      <c r="D863" s="1" t="s">
        <v>983</v>
      </c>
    </row>
    <row r="864">
      <c r="A864" s="1" t="s">
        <v>93</v>
      </c>
      <c r="B864" s="1" t="str">
        <f>VLOOKUP(A864,Institutions!A:B,2,False)</f>
        <v>Australia</v>
      </c>
      <c r="C864" s="8">
        <v>43101.0</v>
      </c>
      <c r="D864" s="1" t="s">
        <v>986</v>
      </c>
    </row>
    <row r="865">
      <c r="A865" s="1" t="s">
        <v>93</v>
      </c>
      <c r="B865" s="1" t="str">
        <f>VLOOKUP(A865,Institutions!A:B,2,False)</f>
        <v>Australia</v>
      </c>
      <c r="C865" s="8">
        <v>43101.0</v>
      </c>
      <c r="D865" s="1" t="s">
        <v>991</v>
      </c>
    </row>
    <row r="866">
      <c r="A866" s="1" t="s">
        <v>93</v>
      </c>
      <c r="B866" s="1" t="str">
        <f>VLOOKUP(A866,Institutions!A:B,2,False)</f>
        <v>Australia</v>
      </c>
      <c r="C866" s="8">
        <v>42736.0</v>
      </c>
      <c r="D866" s="1" t="s">
        <v>1003</v>
      </c>
    </row>
    <row r="867">
      <c r="A867" s="1" t="s">
        <v>93</v>
      </c>
      <c r="B867" s="1" t="str">
        <f>VLOOKUP(A867,Institutions!A:B,2,False)</f>
        <v>Australia</v>
      </c>
      <c r="C867" s="8">
        <v>42736.0</v>
      </c>
      <c r="D867" s="1" t="s">
        <v>2124</v>
      </c>
    </row>
    <row r="868">
      <c r="A868" s="1" t="s">
        <v>93</v>
      </c>
      <c r="B868" s="1" t="str">
        <f>VLOOKUP(A868,Institutions!A:B,2,False)</f>
        <v>Australia</v>
      </c>
      <c r="C868" s="8">
        <v>42736.0</v>
      </c>
      <c r="D868" s="1" t="s">
        <v>2125</v>
      </c>
    </row>
    <row r="869">
      <c r="A869" s="1" t="s">
        <v>93</v>
      </c>
      <c r="B869" s="1" t="str">
        <f>VLOOKUP(A869,Institutions!A:B,2,False)</f>
        <v>Australia</v>
      </c>
      <c r="C869" s="8">
        <v>42370.0</v>
      </c>
      <c r="D869" s="1" t="s">
        <v>2126</v>
      </c>
    </row>
    <row r="870">
      <c r="A870" s="1" t="s">
        <v>93</v>
      </c>
      <c r="B870" s="1" t="str">
        <f>VLOOKUP(A870,Institutions!A:B,2,False)</f>
        <v>Australia</v>
      </c>
      <c r="C870" s="8">
        <v>42370.0</v>
      </c>
      <c r="D870" s="1" t="s">
        <v>2127</v>
      </c>
    </row>
    <row r="871">
      <c r="A871" s="1" t="s">
        <v>93</v>
      </c>
      <c r="B871" s="1" t="str">
        <f>VLOOKUP(A871,Institutions!A:B,2,False)</f>
        <v>Australia</v>
      </c>
      <c r="C871" s="8">
        <v>42005.0</v>
      </c>
      <c r="D871" s="1" t="s">
        <v>2128</v>
      </c>
    </row>
    <row r="872">
      <c r="A872" s="1" t="s">
        <v>93</v>
      </c>
      <c r="B872" s="1" t="str">
        <f>VLOOKUP(A872,Institutions!A:B,2,False)</f>
        <v>Australia</v>
      </c>
      <c r="C872" s="8">
        <v>41640.0</v>
      </c>
      <c r="D872" s="1" t="s">
        <v>2129</v>
      </c>
    </row>
    <row r="873">
      <c r="A873" s="1" t="s">
        <v>93</v>
      </c>
      <c r="B873" s="1" t="str">
        <f>VLOOKUP(A873,Institutions!A:B,2,False)</f>
        <v>Australia</v>
      </c>
      <c r="C873" s="8">
        <v>41640.0</v>
      </c>
      <c r="D873" s="1" t="s">
        <v>2130</v>
      </c>
    </row>
    <row r="874">
      <c r="A874" s="1" t="s">
        <v>95</v>
      </c>
      <c r="B874" s="1" t="str">
        <f>VLOOKUP(A874,Institutions!A:B,2,False)</f>
        <v>Sweden</v>
      </c>
      <c r="C874" s="8">
        <v>45292.0</v>
      </c>
      <c r="D874" s="1" t="s">
        <v>1655</v>
      </c>
    </row>
    <row r="875">
      <c r="A875" s="1" t="s">
        <v>95</v>
      </c>
      <c r="B875" s="1" t="str">
        <f>VLOOKUP(A875,Institutions!A:B,2,False)</f>
        <v>Sweden</v>
      </c>
      <c r="C875" s="8">
        <v>45292.0</v>
      </c>
      <c r="D875" s="1" t="s">
        <v>1657</v>
      </c>
    </row>
    <row r="876">
      <c r="A876" s="1" t="s">
        <v>95</v>
      </c>
      <c r="B876" s="1" t="str">
        <f>VLOOKUP(A876,Institutions!A:B,2,False)</f>
        <v>Sweden</v>
      </c>
      <c r="C876" s="8">
        <v>44562.0</v>
      </c>
      <c r="D876" s="1" t="s">
        <v>1665</v>
      </c>
    </row>
    <row r="877">
      <c r="A877" s="1" t="s">
        <v>95</v>
      </c>
      <c r="B877" s="1" t="str">
        <f>VLOOKUP(A877,Institutions!A:B,2,False)</f>
        <v>Sweden</v>
      </c>
      <c r="C877" s="8">
        <v>44562.0</v>
      </c>
      <c r="D877" s="1" t="s">
        <v>1668</v>
      </c>
    </row>
    <row r="878">
      <c r="A878" s="1" t="s">
        <v>95</v>
      </c>
      <c r="B878" s="1" t="str">
        <f>VLOOKUP(A878,Institutions!A:B,2,False)</f>
        <v>Sweden</v>
      </c>
      <c r="C878" s="8">
        <v>44562.0</v>
      </c>
      <c r="D878" s="1" t="s">
        <v>1673</v>
      </c>
    </row>
    <row r="879">
      <c r="A879" s="1" t="s">
        <v>95</v>
      </c>
      <c r="B879" s="1" t="str">
        <f>VLOOKUP(A879,Institutions!A:B,2,False)</f>
        <v>Sweden</v>
      </c>
      <c r="C879" s="8">
        <v>44197.0</v>
      </c>
      <c r="D879" s="1" t="s">
        <v>1677</v>
      </c>
    </row>
    <row r="880">
      <c r="A880" s="1" t="s">
        <v>95</v>
      </c>
      <c r="B880" s="1" t="str">
        <f>VLOOKUP(A880,Institutions!A:B,2,False)</f>
        <v>Sweden</v>
      </c>
      <c r="C880" s="8">
        <v>44197.0</v>
      </c>
      <c r="D880" s="1" t="s">
        <v>1680</v>
      </c>
    </row>
    <row r="881">
      <c r="A881" s="1" t="s">
        <v>95</v>
      </c>
      <c r="B881" s="1" t="str">
        <f>VLOOKUP(A881,Institutions!A:B,2,False)</f>
        <v>Sweden</v>
      </c>
      <c r="C881" s="8">
        <v>44197.0</v>
      </c>
      <c r="D881" s="1" t="s">
        <v>1682</v>
      </c>
    </row>
    <row r="882">
      <c r="A882" s="1" t="s">
        <v>95</v>
      </c>
      <c r="B882" s="1" t="str">
        <f>VLOOKUP(A882,Institutions!A:B,2,False)</f>
        <v>Sweden</v>
      </c>
      <c r="C882" s="8">
        <v>43831.0</v>
      </c>
      <c r="D882" s="1" t="s">
        <v>1684</v>
      </c>
    </row>
    <row r="883">
      <c r="A883" s="1" t="s">
        <v>95</v>
      </c>
      <c r="B883" s="1" t="str">
        <f>VLOOKUP(A883,Institutions!A:B,2,False)</f>
        <v>Sweden</v>
      </c>
      <c r="C883" s="8">
        <v>43466.0</v>
      </c>
      <c r="D883" s="1" t="s">
        <v>1688</v>
      </c>
    </row>
    <row r="884">
      <c r="A884" s="1" t="s">
        <v>95</v>
      </c>
      <c r="B884" s="1" t="str">
        <f>VLOOKUP(A884,Institutions!A:B,2,False)</f>
        <v>Sweden</v>
      </c>
      <c r="C884" s="8">
        <v>43466.0</v>
      </c>
      <c r="D884" s="1" t="s">
        <v>1690</v>
      </c>
    </row>
    <row r="885">
      <c r="A885" s="1" t="s">
        <v>95</v>
      </c>
      <c r="B885" s="1" t="str">
        <f>VLOOKUP(A885,Institutions!A:B,2,False)</f>
        <v>Sweden</v>
      </c>
      <c r="C885" s="8">
        <v>43101.0</v>
      </c>
      <c r="D885" s="1" t="s">
        <v>1472</v>
      </c>
    </row>
    <row r="886">
      <c r="A886" s="1" t="s">
        <v>97</v>
      </c>
      <c r="B886" s="1" t="str">
        <f>VLOOKUP(A886,Institutions!A:B,2,False)</f>
        <v>Norway</v>
      </c>
      <c r="C886" s="8">
        <v>44927.0</v>
      </c>
      <c r="D886" s="1" t="s">
        <v>436</v>
      </c>
    </row>
    <row r="887">
      <c r="A887" s="1" t="s">
        <v>97</v>
      </c>
      <c r="B887" s="1" t="str">
        <f>VLOOKUP(A887,Institutions!A:B,2,False)</f>
        <v>Norway</v>
      </c>
      <c r="C887" s="8">
        <v>44927.0</v>
      </c>
      <c r="D887" s="1" t="s">
        <v>440</v>
      </c>
    </row>
    <row r="888">
      <c r="A888" s="1" t="s">
        <v>97</v>
      </c>
      <c r="B888" s="1" t="str">
        <f>VLOOKUP(A888,Institutions!A:B,2,False)</f>
        <v>Norway</v>
      </c>
      <c r="C888" s="8">
        <v>44927.0</v>
      </c>
      <c r="D888" s="1" t="s">
        <v>446</v>
      </c>
    </row>
    <row r="889">
      <c r="A889" s="1" t="s">
        <v>97</v>
      </c>
      <c r="B889" s="1" t="str">
        <f>VLOOKUP(A889,Institutions!A:B,2,False)</f>
        <v>Norway</v>
      </c>
      <c r="C889" s="8">
        <v>44927.0</v>
      </c>
      <c r="D889" s="1" t="s">
        <v>450</v>
      </c>
    </row>
    <row r="890">
      <c r="A890" s="1" t="s">
        <v>97</v>
      </c>
      <c r="B890" s="1" t="str">
        <f>VLOOKUP(A890,Institutions!A:B,2,False)</f>
        <v>Norway</v>
      </c>
      <c r="C890" s="8">
        <v>44927.0</v>
      </c>
      <c r="D890" s="1" t="s">
        <v>458</v>
      </c>
    </row>
    <row r="891">
      <c r="A891" s="1" t="s">
        <v>97</v>
      </c>
      <c r="B891" s="1" t="str">
        <f>VLOOKUP(A891,Institutions!A:B,2,False)</f>
        <v>Norway</v>
      </c>
      <c r="C891" s="8">
        <v>44562.0</v>
      </c>
      <c r="D891" s="1" t="s">
        <v>464</v>
      </c>
    </row>
    <row r="892">
      <c r="A892" s="1" t="s">
        <v>97</v>
      </c>
      <c r="B892" s="1" t="str">
        <f>VLOOKUP(A892,Institutions!A:B,2,False)</f>
        <v>Norway</v>
      </c>
      <c r="C892" s="8">
        <v>44562.0</v>
      </c>
      <c r="D892" s="1" t="s">
        <v>466</v>
      </c>
    </row>
    <row r="893">
      <c r="A893" s="1" t="s">
        <v>97</v>
      </c>
      <c r="B893" s="1" t="str">
        <f>VLOOKUP(A893,Institutions!A:B,2,False)</f>
        <v>Norway</v>
      </c>
      <c r="C893" s="8">
        <v>44562.0</v>
      </c>
      <c r="D893" s="1" t="s">
        <v>485</v>
      </c>
    </row>
    <row r="894">
      <c r="A894" s="1" t="s">
        <v>97</v>
      </c>
      <c r="B894" s="1" t="str">
        <f>VLOOKUP(A894,Institutions!A:B,2,False)</f>
        <v>Norway</v>
      </c>
      <c r="C894" s="8">
        <v>44562.0</v>
      </c>
      <c r="D894" s="1" t="s">
        <v>491</v>
      </c>
    </row>
    <row r="895">
      <c r="A895" s="1" t="s">
        <v>97</v>
      </c>
      <c r="B895" s="1" t="str">
        <f>VLOOKUP(A895,Institutions!A:B,2,False)</f>
        <v>Norway</v>
      </c>
      <c r="C895" s="8">
        <v>44562.0</v>
      </c>
      <c r="D895" s="1" t="s">
        <v>505</v>
      </c>
    </row>
    <row r="896">
      <c r="A896" s="1" t="s">
        <v>97</v>
      </c>
      <c r="B896" s="1" t="str">
        <f>VLOOKUP(A896,Institutions!A:B,2,False)</f>
        <v>Norway</v>
      </c>
      <c r="C896" s="8">
        <v>44562.0</v>
      </c>
      <c r="D896" s="1" t="s">
        <v>499</v>
      </c>
    </row>
    <row r="897">
      <c r="A897" s="1" t="s">
        <v>97</v>
      </c>
      <c r="B897" s="1" t="str">
        <f>VLOOKUP(A897,Institutions!A:B,2,False)</f>
        <v>Norway</v>
      </c>
      <c r="C897" s="8">
        <v>43466.0</v>
      </c>
      <c r="D897" s="1" t="s">
        <v>583</v>
      </c>
    </row>
    <row r="898">
      <c r="A898" s="1" t="s">
        <v>99</v>
      </c>
      <c r="B898" s="1" t="str">
        <f>VLOOKUP(A898,Institutions!A:B,2,False)</f>
        <v>Italy</v>
      </c>
      <c r="C898" s="8">
        <v>44927.0</v>
      </c>
      <c r="D898" s="1" t="s">
        <v>444</v>
      </c>
    </row>
    <row r="899">
      <c r="A899" s="1" t="s">
        <v>99</v>
      </c>
      <c r="B899" s="1" t="str">
        <f>VLOOKUP(A899,Institutions!A:B,2,False)</f>
        <v>Italy</v>
      </c>
      <c r="C899" s="8">
        <v>44927.0</v>
      </c>
      <c r="D899" s="1" t="s">
        <v>448</v>
      </c>
    </row>
    <row r="900">
      <c r="A900" s="1" t="s">
        <v>99</v>
      </c>
      <c r="B900" s="1" t="str">
        <f>VLOOKUP(A900,Institutions!A:B,2,False)</f>
        <v>Italy</v>
      </c>
      <c r="C900" s="8">
        <v>44562.0</v>
      </c>
      <c r="D900" s="1" t="s">
        <v>507</v>
      </c>
    </row>
    <row r="901">
      <c r="A901" s="1" t="s">
        <v>99</v>
      </c>
      <c r="B901" s="1" t="str">
        <f>VLOOKUP(A901,Institutions!A:B,2,False)</f>
        <v>Italy</v>
      </c>
      <c r="C901" s="8">
        <v>44197.0</v>
      </c>
      <c r="D901" s="1" t="s">
        <v>516</v>
      </c>
    </row>
    <row r="902">
      <c r="A902" s="1" t="s">
        <v>99</v>
      </c>
      <c r="B902" s="1" t="str">
        <f>VLOOKUP(A902,Institutions!A:B,2,False)</f>
        <v>Italy</v>
      </c>
      <c r="C902" s="8">
        <v>43831.0</v>
      </c>
      <c r="D902" s="1" t="s">
        <v>542</v>
      </c>
    </row>
    <row r="903">
      <c r="A903" s="1" t="s">
        <v>99</v>
      </c>
      <c r="B903" s="1" t="str">
        <f>VLOOKUP(A903,Institutions!A:B,2,False)</f>
        <v>Italy</v>
      </c>
      <c r="C903" s="8">
        <v>43466.0</v>
      </c>
      <c r="D903" s="1" t="s">
        <v>2131</v>
      </c>
    </row>
    <row r="904">
      <c r="A904" s="1" t="s">
        <v>99</v>
      </c>
      <c r="B904" s="1" t="str">
        <f>VLOOKUP(A904,Institutions!A:B,2,False)</f>
        <v>Italy</v>
      </c>
      <c r="C904" s="8">
        <v>43101.0</v>
      </c>
      <c r="D904" s="1" t="s">
        <v>2132</v>
      </c>
    </row>
    <row r="905">
      <c r="A905" s="1" t="s">
        <v>99</v>
      </c>
      <c r="B905" s="1" t="str">
        <f>VLOOKUP(A905,Institutions!A:B,2,False)</f>
        <v>Italy</v>
      </c>
      <c r="C905" s="8">
        <v>42370.0</v>
      </c>
      <c r="D905" s="1" t="s">
        <v>2133</v>
      </c>
    </row>
    <row r="906">
      <c r="A906" s="1" t="s">
        <v>99</v>
      </c>
      <c r="B906" s="1" t="str">
        <f>VLOOKUP(A906,Institutions!A:B,2,False)</f>
        <v>Italy</v>
      </c>
      <c r="C906" s="8">
        <v>42005.0</v>
      </c>
      <c r="D906" s="1" t="s">
        <v>2134</v>
      </c>
    </row>
    <row r="907">
      <c r="A907" s="1" t="s">
        <v>99</v>
      </c>
      <c r="B907" s="1" t="str">
        <f>VLOOKUP(A907,Institutions!A:B,2,False)</f>
        <v>Italy</v>
      </c>
      <c r="C907" s="8">
        <v>42005.0</v>
      </c>
      <c r="D907" s="1" t="s">
        <v>2135</v>
      </c>
    </row>
    <row r="908">
      <c r="A908" s="1" t="s">
        <v>99</v>
      </c>
      <c r="B908" s="1" t="str">
        <f>VLOOKUP(A908,Institutions!A:B,2,False)</f>
        <v>Italy</v>
      </c>
      <c r="C908" s="8">
        <v>41640.0</v>
      </c>
      <c r="D908" s="1" t="s">
        <v>2136</v>
      </c>
    </row>
    <row r="909">
      <c r="A909" s="1" t="s">
        <v>99</v>
      </c>
      <c r="B909" s="1" t="str">
        <f>VLOOKUP(A909,Institutions!A:B,2,False)</f>
        <v>Italy</v>
      </c>
      <c r="C909" s="8">
        <v>41640.0</v>
      </c>
      <c r="D909" s="1" t="s">
        <v>2137</v>
      </c>
    </row>
    <row r="910">
      <c r="A910" s="1" t="s">
        <v>102</v>
      </c>
      <c r="B910" s="1" t="str">
        <f>VLOOKUP(A910,Institutions!A:B,2,False)</f>
        <v>Iceland</v>
      </c>
      <c r="C910" s="8">
        <v>43831.0</v>
      </c>
      <c r="D910" s="1" t="s">
        <v>1331</v>
      </c>
    </row>
    <row r="911">
      <c r="A911" s="1" t="s">
        <v>102</v>
      </c>
      <c r="B911" s="1" t="str">
        <f>VLOOKUP(A911,Institutions!A:B,2,False)</f>
        <v>Iceland</v>
      </c>
      <c r="C911" s="8">
        <v>43466.0</v>
      </c>
      <c r="D911" s="1" t="s">
        <v>1338</v>
      </c>
    </row>
    <row r="912">
      <c r="A912" s="1" t="s">
        <v>102</v>
      </c>
      <c r="B912" s="1" t="str">
        <f>VLOOKUP(A912,Institutions!A:B,2,False)</f>
        <v>Iceland</v>
      </c>
      <c r="C912" s="8">
        <v>43466.0</v>
      </c>
      <c r="D912" s="1" t="s">
        <v>1342</v>
      </c>
    </row>
    <row r="913">
      <c r="A913" s="1" t="s">
        <v>102</v>
      </c>
      <c r="B913" s="1" t="str">
        <f>VLOOKUP(A913,Institutions!A:B,2,False)</f>
        <v>Iceland</v>
      </c>
      <c r="C913" s="8">
        <v>43101.0</v>
      </c>
      <c r="D913" s="1" t="s">
        <v>1976</v>
      </c>
    </row>
    <row r="914">
      <c r="A914" s="1" t="s">
        <v>102</v>
      </c>
      <c r="B914" s="1" t="str">
        <f>VLOOKUP(A914,Institutions!A:B,2,False)</f>
        <v>Iceland</v>
      </c>
      <c r="C914" s="8">
        <v>43101.0</v>
      </c>
      <c r="D914" s="1" t="s">
        <v>2138</v>
      </c>
    </row>
    <row r="915">
      <c r="A915" s="1" t="s">
        <v>102</v>
      </c>
      <c r="B915" s="1" t="str">
        <f>VLOOKUP(A915,Institutions!A:B,2,False)</f>
        <v>Iceland</v>
      </c>
      <c r="C915" s="8">
        <v>43101.0</v>
      </c>
      <c r="D915" s="1" t="s">
        <v>2139</v>
      </c>
    </row>
    <row r="916">
      <c r="A916" s="1" t="s">
        <v>102</v>
      </c>
      <c r="B916" s="1" t="str">
        <f>VLOOKUP(A916,Institutions!A:B,2,False)</f>
        <v>Iceland</v>
      </c>
      <c r="C916" s="8">
        <v>43101.0</v>
      </c>
      <c r="D916" s="1" t="s">
        <v>2140</v>
      </c>
    </row>
    <row r="917">
      <c r="A917" s="1" t="s">
        <v>102</v>
      </c>
      <c r="B917" s="1" t="str">
        <f>VLOOKUP(A917,Institutions!A:B,2,False)</f>
        <v>Iceland</v>
      </c>
      <c r="C917" s="8">
        <v>42736.0</v>
      </c>
      <c r="D917" s="1" t="s">
        <v>2141</v>
      </c>
    </row>
    <row r="918">
      <c r="A918" s="1" t="s">
        <v>102</v>
      </c>
      <c r="B918" s="1" t="str">
        <f>VLOOKUP(A918,Institutions!A:B,2,False)</f>
        <v>Iceland</v>
      </c>
      <c r="C918" s="8">
        <v>42736.0</v>
      </c>
      <c r="D918" s="1" t="s">
        <v>2142</v>
      </c>
    </row>
    <row r="919">
      <c r="A919" s="1" t="s">
        <v>102</v>
      </c>
      <c r="B919" s="1" t="str">
        <f>VLOOKUP(A919,Institutions!A:B,2,False)</f>
        <v>Iceland</v>
      </c>
      <c r="C919" s="8">
        <v>40179.0</v>
      </c>
      <c r="D919" s="1" t="s">
        <v>1949</v>
      </c>
    </row>
    <row r="920">
      <c r="A920" s="1" t="s">
        <v>102</v>
      </c>
      <c r="B920" s="1" t="str">
        <f>VLOOKUP(A920,Institutions!A:B,2,False)</f>
        <v>Iceland</v>
      </c>
      <c r="C920" s="8">
        <v>40179.0</v>
      </c>
      <c r="D920" s="1" t="s">
        <v>1948</v>
      </c>
    </row>
    <row r="921">
      <c r="A921" s="1" t="s">
        <v>102</v>
      </c>
      <c r="B921" s="1" t="str">
        <f>VLOOKUP(A921,Institutions!A:B,2,False)</f>
        <v>Iceland</v>
      </c>
      <c r="C921" s="8">
        <v>39814.0</v>
      </c>
      <c r="D921" s="1" t="s">
        <v>1950</v>
      </c>
    </row>
    <row r="922">
      <c r="A922" s="1" t="s">
        <v>104</v>
      </c>
      <c r="B922" s="1" t="str">
        <f>VLOOKUP(A922,Institutions!A:B,2,False)</f>
        <v>Norway</v>
      </c>
      <c r="C922" s="8">
        <v>45292.0</v>
      </c>
      <c r="D922" s="1" t="s">
        <v>1657</v>
      </c>
    </row>
    <row r="923">
      <c r="A923" s="1" t="s">
        <v>104</v>
      </c>
      <c r="B923" s="1" t="str">
        <f>VLOOKUP(A923,Institutions!A:B,2,False)</f>
        <v>Norway</v>
      </c>
      <c r="C923" s="8">
        <v>44562.0</v>
      </c>
      <c r="D923" s="1" t="s">
        <v>1668</v>
      </c>
    </row>
    <row r="924">
      <c r="A924" s="1" t="s">
        <v>104</v>
      </c>
      <c r="B924" s="1" t="str">
        <f>VLOOKUP(A924,Institutions!A:B,2,False)</f>
        <v>Norway</v>
      </c>
      <c r="C924" s="8">
        <v>44562.0</v>
      </c>
      <c r="D924" s="1" t="s">
        <v>1673</v>
      </c>
    </row>
    <row r="925">
      <c r="A925" s="1" t="s">
        <v>104</v>
      </c>
      <c r="B925" s="1" t="str">
        <f>VLOOKUP(A925,Institutions!A:B,2,False)</f>
        <v>Norway</v>
      </c>
      <c r="C925" s="8">
        <v>44197.0</v>
      </c>
      <c r="D925" s="1" t="s">
        <v>1677</v>
      </c>
    </row>
    <row r="926">
      <c r="A926" s="1" t="s">
        <v>104</v>
      </c>
      <c r="B926" s="1" t="str">
        <f>VLOOKUP(A926,Institutions!A:B,2,False)</f>
        <v>Norway</v>
      </c>
      <c r="C926" s="8">
        <v>44197.0</v>
      </c>
      <c r="D926" s="1" t="s">
        <v>1682</v>
      </c>
    </row>
    <row r="927">
      <c r="A927" s="1" t="s">
        <v>104</v>
      </c>
      <c r="B927" s="1" t="str">
        <f>VLOOKUP(A927,Institutions!A:B,2,False)</f>
        <v>Norway</v>
      </c>
      <c r="C927" s="8">
        <v>43831.0</v>
      </c>
      <c r="D927" s="1" t="s">
        <v>1683</v>
      </c>
    </row>
    <row r="928">
      <c r="A928" s="1" t="s">
        <v>104</v>
      </c>
      <c r="B928" s="1" t="str">
        <f>VLOOKUP(A928,Institutions!A:B,2,False)</f>
        <v>Norway</v>
      </c>
      <c r="C928" s="8">
        <v>43831.0</v>
      </c>
      <c r="D928" s="1" t="s">
        <v>1685</v>
      </c>
    </row>
    <row r="929">
      <c r="A929" s="1" t="s">
        <v>104</v>
      </c>
      <c r="B929" s="1" t="str">
        <f>VLOOKUP(A929,Institutions!A:B,2,False)</f>
        <v>Norway</v>
      </c>
      <c r="C929" s="8">
        <v>43831.0</v>
      </c>
      <c r="D929" s="1" t="s">
        <v>1686</v>
      </c>
    </row>
    <row r="930">
      <c r="A930" s="1" t="s">
        <v>104</v>
      </c>
      <c r="B930" s="1" t="str">
        <f>VLOOKUP(A930,Institutions!A:B,2,False)</f>
        <v>Norway</v>
      </c>
      <c r="C930" s="8">
        <v>43466.0</v>
      </c>
      <c r="D930" s="1" t="s">
        <v>1687</v>
      </c>
    </row>
    <row r="931">
      <c r="A931" s="1" t="s">
        <v>104</v>
      </c>
      <c r="B931" s="1" t="str">
        <f>VLOOKUP(A931,Institutions!A:B,2,False)</f>
        <v>Norway</v>
      </c>
      <c r="C931" s="8">
        <v>43466.0</v>
      </c>
      <c r="D931" s="1" t="s">
        <v>1688</v>
      </c>
    </row>
    <row r="932">
      <c r="A932" s="1" t="s">
        <v>104</v>
      </c>
      <c r="B932" s="1" t="str">
        <f>VLOOKUP(A932,Institutions!A:B,2,False)</f>
        <v>Norway</v>
      </c>
      <c r="C932" s="8">
        <v>43466.0</v>
      </c>
      <c r="D932" s="1" t="s">
        <v>1689</v>
      </c>
    </row>
    <row r="933">
      <c r="A933" s="1" t="s">
        <v>106</v>
      </c>
      <c r="B933" s="1" t="str">
        <f>VLOOKUP(A933,Institutions!A:B,2,False)</f>
        <v>Sweden</v>
      </c>
      <c r="C933" s="8">
        <v>44927.0</v>
      </c>
      <c r="D933" s="1" t="s">
        <v>35</v>
      </c>
    </row>
    <row r="934">
      <c r="A934" s="1" t="s">
        <v>106</v>
      </c>
      <c r="B934" s="1" t="str">
        <f>VLOOKUP(A934,Institutions!A:B,2,False)</f>
        <v>Sweden</v>
      </c>
      <c r="C934" s="8">
        <v>44927.0</v>
      </c>
      <c r="D934" s="1" t="s">
        <v>923</v>
      </c>
    </row>
    <row r="935">
      <c r="A935" s="1" t="s">
        <v>106</v>
      </c>
      <c r="B935" s="1" t="str">
        <f>VLOOKUP(A935,Institutions!A:B,2,False)</f>
        <v>Sweden</v>
      </c>
      <c r="C935" s="8">
        <v>43831.0</v>
      </c>
      <c r="D935" s="1" t="s">
        <v>951</v>
      </c>
    </row>
    <row r="936">
      <c r="A936" s="1" t="s">
        <v>106</v>
      </c>
      <c r="B936" s="1" t="str">
        <f>VLOOKUP(A936,Institutions!A:B,2,False)</f>
        <v>Sweden</v>
      </c>
      <c r="C936" s="8">
        <v>43831.0</v>
      </c>
      <c r="D936" s="1" t="s">
        <v>957</v>
      </c>
    </row>
    <row r="937">
      <c r="A937" s="1" t="s">
        <v>106</v>
      </c>
      <c r="B937" s="1" t="str">
        <f>VLOOKUP(A937,Institutions!A:B,2,False)</f>
        <v>Sweden</v>
      </c>
      <c r="C937" s="8">
        <v>43466.0</v>
      </c>
      <c r="D937" s="1" t="s">
        <v>975</v>
      </c>
    </row>
    <row r="938">
      <c r="A938" s="1" t="s">
        <v>106</v>
      </c>
      <c r="B938" s="1" t="str">
        <f>VLOOKUP(A938,Institutions!A:B,2,False)</f>
        <v>Sweden</v>
      </c>
      <c r="C938" s="8">
        <v>41640.0</v>
      </c>
      <c r="D938" s="1" t="s">
        <v>2143</v>
      </c>
    </row>
    <row r="939">
      <c r="A939" s="1" t="s">
        <v>106</v>
      </c>
      <c r="B939" s="1" t="str">
        <f>VLOOKUP(A939,Institutions!A:B,2,False)</f>
        <v>Sweden</v>
      </c>
      <c r="C939" s="8">
        <v>40909.0</v>
      </c>
      <c r="D939" s="1" t="s">
        <v>2144</v>
      </c>
    </row>
    <row r="940">
      <c r="A940" s="1" t="s">
        <v>106</v>
      </c>
      <c r="B940" s="1" t="str">
        <f>VLOOKUP(A940,Institutions!A:B,2,False)</f>
        <v>Sweden</v>
      </c>
      <c r="C940" s="8">
        <v>40179.0</v>
      </c>
      <c r="D940" s="1" t="s">
        <v>2145</v>
      </c>
    </row>
    <row r="941">
      <c r="A941" s="1" t="s">
        <v>106</v>
      </c>
      <c r="B941" s="1" t="str">
        <f>VLOOKUP(A941,Institutions!A:B,2,False)</f>
        <v>Sweden</v>
      </c>
      <c r="C941" s="8">
        <v>39814.0</v>
      </c>
      <c r="D941" s="1" t="s">
        <v>2146</v>
      </c>
    </row>
    <row r="942">
      <c r="A942" s="1" t="s">
        <v>106</v>
      </c>
      <c r="B942" s="1" t="str">
        <f>VLOOKUP(A942,Institutions!A:B,2,False)</f>
        <v>Sweden</v>
      </c>
      <c r="C942" s="8">
        <v>39814.0</v>
      </c>
      <c r="D942" s="1" t="s">
        <v>2147</v>
      </c>
    </row>
    <row r="943">
      <c r="A943" s="1" t="s">
        <v>106</v>
      </c>
      <c r="B943" s="1" t="str">
        <f>VLOOKUP(A943,Institutions!A:B,2,False)</f>
        <v>Sweden</v>
      </c>
      <c r="C943" s="8">
        <v>39448.0</v>
      </c>
      <c r="D943" s="1" t="s">
        <v>2148</v>
      </c>
    </row>
    <row r="944">
      <c r="A944" s="1" t="s">
        <v>108</v>
      </c>
      <c r="B944" s="1" t="str">
        <f>VLOOKUP(A944,Institutions!A:B,2,False)</f>
        <v>Germany</v>
      </c>
      <c r="C944" s="8">
        <v>45292.0</v>
      </c>
      <c r="D944" s="1" t="s">
        <v>1251</v>
      </c>
    </row>
    <row r="945">
      <c r="A945" s="1" t="s">
        <v>108</v>
      </c>
      <c r="B945" s="1" t="str">
        <f>VLOOKUP(A945,Institutions!A:B,2,False)</f>
        <v>Germany</v>
      </c>
      <c r="C945" s="8">
        <v>44927.0</v>
      </c>
      <c r="D945" s="1" t="s">
        <v>1257</v>
      </c>
    </row>
    <row r="946">
      <c r="A946" s="1" t="s">
        <v>108</v>
      </c>
      <c r="B946" s="1" t="str">
        <f>VLOOKUP(A946,Institutions!A:B,2,False)</f>
        <v>Germany</v>
      </c>
      <c r="C946" s="8">
        <v>44927.0</v>
      </c>
      <c r="D946" s="1" t="s">
        <v>1143</v>
      </c>
    </row>
    <row r="947">
      <c r="A947" s="1" t="s">
        <v>108</v>
      </c>
      <c r="B947" s="1" t="str">
        <f>VLOOKUP(A947,Institutions!A:B,2,False)</f>
        <v>Germany</v>
      </c>
      <c r="C947" s="8">
        <v>44927.0</v>
      </c>
      <c r="D947" s="1" t="s">
        <v>1278</v>
      </c>
    </row>
    <row r="948">
      <c r="A948" s="1" t="s">
        <v>108</v>
      </c>
      <c r="B948" s="1" t="str">
        <f>VLOOKUP(A948,Institutions!A:B,2,False)</f>
        <v>Germany</v>
      </c>
      <c r="C948" s="8">
        <v>44562.0</v>
      </c>
      <c r="D948" s="1" t="s">
        <v>1288</v>
      </c>
    </row>
    <row r="949">
      <c r="A949" s="1" t="s">
        <v>108</v>
      </c>
      <c r="B949" s="1" t="str">
        <f>VLOOKUP(A949,Institutions!A:B,2,False)</f>
        <v>Germany</v>
      </c>
      <c r="C949" s="8">
        <v>44197.0</v>
      </c>
      <c r="D949" s="1" t="s">
        <v>939</v>
      </c>
    </row>
    <row r="950">
      <c r="A950" s="1" t="s">
        <v>108</v>
      </c>
      <c r="B950" s="1" t="str">
        <f>VLOOKUP(A950,Institutions!A:B,2,False)</f>
        <v>Germany</v>
      </c>
      <c r="C950" s="8">
        <v>44197.0</v>
      </c>
      <c r="D950" s="1" t="s">
        <v>1526</v>
      </c>
    </row>
    <row r="951">
      <c r="A951" s="1" t="s">
        <v>108</v>
      </c>
      <c r="B951" s="1" t="str">
        <f>VLOOKUP(A951,Institutions!A:B,2,False)</f>
        <v>Germany</v>
      </c>
      <c r="C951" s="8">
        <v>44197.0</v>
      </c>
      <c r="D951" s="1" t="s">
        <v>1534</v>
      </c>
    </row>
    <row r="952">
      <c r="A952" s="1" t="s">
        <v>108</v>
      </c>
      <c r="B952" s="1" t="str">
        <f>VLOOKUP(A952,Institutions!A:B,2,False)</f>
        <v>Germany</v>
      </c>
      <c r="C952" s="8">
        <v>43466.0</v>
      </c>
      <c r="D952" s="1" t="s">
        <v>974</v>
      </c>
    </row>
    <row r="953">
      <c r="A953" s="1" t="s">
        <v>108</v>
      </c>
      <c r="B953" s="1" t="str">
        <f>VLOOKUP(A953,Institutions!A:B,2,False)</f>
        <v>Germany</v>
      </c>
      <c r="C953" s="8">
        <v>41640.0</v>
      </c>
      <c r="D953" s="1" t="s">
        <v>2085</v>
      </c>
    </row>
    <row r="954">
      <c r="A954" s="1" t="s">
        <v>108</v>
      </c>
      <c r="B954" s="1" t="str">
        <f>VLOOKUP(A954,Institutions!A:B,2,False)</f>
        <v>Germany</v>
      </c>
      <c r="C954" s="8">
        <v>41640.0</v>
      </c>
      <c r="D954" s="1" t="s">
        <v>2087</v>
      </c>
    </row>
    <row r="955">
      <c r="A955" s="1" t="s">
        <v>111</v>
      </c>
      <c r="B955" s="1" t="str">
        <f>VLOOKUP(A955,Institutions!A:B,2,False)</f>
        <v>Czech Republic</v>
      </c>
      <c r="C955" s="8">
        <v>44927.0</v>
      </c>
      <c r="D955" s="1" t="s">
        <v>438</v>
      </c>
    </row>
    <row r="956">
      <c r="A956" s="1" t="s">
        <v>111</v>
      </c>
      <c r="B956" s="1" t="str">
        <f>VLOOKUP(A956,Institutions!A:B,2,False)</f>
        <v>Czech Republic</v>
      </c>
      <c r="C956" s="8">
        <v>44562.0</v>
      </c>
      <c r="D956" s="1" t="s">
        <v>1299</v>
      </c>
    </row>
    <row r="957">
      <c r="A957" s="1" t="s">
        <v>111</v>
      </c>
      <c r="B957" s="1" t="str">
        <f>VLOOKUP(A957,Institutions!A:B,2,False)</f>
        <v>Czech Republic</v>
      </c>
      <c r="C957" s="8">
        <v>44197.0</v>
      </c>
      <c r="D957" s="1" t="s">
        <v>1307</v>
      </c>
    </row>
    <row r="958">
      <c r="A958" s="1" t="s">
        <v>111</v>
      </c>
      <c r="B958" s="1" t="str">
        <f>VLOOKUP(A958,Institutions!A:B,2,False)</f>
        <v>Czech Republic</v>
      </c>
      <c r="C958" s="8">
        <v>44197.0</v>
      </c>
      <c r="D958" s="1" t="s">
        <v>1314</v>
      </c>
    </row>
    <row r="959">
      <c r="A959" s="1" t="s">
        <v>111</v>
      </c>
      <c r="B959" s="1" t="str">
        <f>VLOOKUP(A959,Institutions!A:B,2,False)</f>
        <v>Czech Republic</v>
      </c>
      <c r="C959" s="8">
        <v>44197.0</v>
      </c>
      <c r="D959" s="1" t="s">
        <v>1319</v>
      </c>
    </row>
    <row r="960">
      <c r="A960" s="1" t="s">
        <v>111</v>
      </c>
      <c r="B960" s="1" t="str">
        <f>VLOOKUP(A960,Institutions!A:B,2,False)</f>
        <v>Czech Republic</v>
      </c>
      <c r="C960" s="8">
        <v>44197.0</v>
      </c>
      <c r="D960" s="1" t="s">
        <v>1320</v>
      </c>
    </row>
    <row r="961">
      <c r="A961" s="1" t="s">
        <v>111</v>
      </c>
      <c r="B961" s="1" t="str">
        <f>VLOOKUP(A961,Institutions!A:B,2,False)</f>
        <v>Czech Republic</v>
      </c>
      <c r="C961" s="8">
        <v>43831.0</v>
      </c>
      <c r="D961" s="1" t="s">
        <v>1329</v>
      </c>
    </row>
    <row r="962">
      <c r="A962" s="1" t="s">
        <v>111</v>
      </c>
      <c r="B962" s="1" t="str">
        <f>VLOOKUP(A962,Institutions!A:B,2,False)</f>
        <v>Czech Republic</v>
      </c>
      <c r="C962" s="8">
        <v>43831.0</v>
      </c>
      <c r="D962" s="1" t="s">
        <v>1330</v>
      </c>
    </row>
    <row r="963">
      <c r="A963" s="1" t="s">
        <v>111</v>
      </c>
      <c r="B963" s="1" t="str">
        <f>VLOOKUP(A963,Institutions!A:B,2,False)</f>
        <v>Czech Republic</v>
      </c>
      <c r="C963" s="8">
        <v>43466.0</v>
      </c>
      <c r="D963" s="1" t="s">
        <v>1334</v>
      </c>
    </row>
    <row r="964">
      <c r="A964" s="1" t="s">
        <v>111</v>
      </c>
      <c r="B964" s="1" t="str">
        <f>VLOOKUP(A964,Institutions!A:B,2,False)</f>
        <v>Czech Republic</v>
      </c>
      <c r="C964" s="8">
        <v>43466.0</v>
      </c>
      <c r="D964" s="1" t="s">
        <v>1338</v>
      </c>
    </row>
    <row r="965">
      <c r="A965" s="1" t="s">
        <v>111</v>
      </c>
      <c r="B965" s="1" t="str">
        <f>VLOOKUP(A965,Institutions!A:B,2,False)</f>
        <v>Czech Republic</v>
      </c>
      <c r="C965" s="8">
        <v>42736.0</v>
      </c>
      <c r="D965" s="1" t="s">
        <v>1825</v>
      </c>
    </row>
    <row r="966">
      <c r="A966" s="1" t="s">
        <v>113</v>
      </c>
      <c r="B966" s="1" t="str">
        <f>VLOOKUP(A966,Institutions!A:B,2,False)</f>
        <v>Brazil</v>
      </c>
      <c r="C966" s="8">
        <v>44562.0</v>
      </c>
      <c r="D966" s="1" t="s">
        <v>1598</v>
      </c>
    </row>
    <row r="967">
      <c r="A967" s="1" t="s">
        <v>113</v>
      </c>
      <c r="B967" s="1" t="str">
        <f>VLOOKUP(A967,Institutions!A:B,2,False)</f>
        <v>Brazil</v>
      </c>
      <c r="C967" s="8">
        <v>44197.0</v>
      </c>
      <c r="D967" s="1" t="s">
        <v>949</v>
      </c>
    </row>
    <row r="968">
      <c r="A968" s="1" t="s">
        <v>113</v>
      </c>
      <c r="B968" s="1" t="str">
        <f>VLOOKUP(A968,Institutions!A:B,2,False)</f>
        <v>Brazil</v>
      </c>
      <c r="C968" s="8">
        <v>42005.0</v>
      </c>
      <c r="D968" s="1" t="s">
        <v>1951</v>
      </c>
    </row>
    <row r="969">
      <c r="A969" s="1" t="s">
        <v>113</v>
      </c>
      <c r="B969" s="1" t="str">
        <f>VLOOKUP(A969,Institutions!A:B,2,False)</f>
        <v>Brazil</v>
      </c>
      <c r="C969" s="8">
        <v>41640.0</v>
      </c>
      <c r="D969" s="1" t="s">
        <v>2149</v>
      </c>
    </row>
    <row r="970">
      <c r="A970" s="1" t="s">
        <v>113</v>
      </c>
      <c r="B970" s="1" t="str">
        <f>VLOOKUP(A970,Institutions!A:B,2,False)</f>
        <v>Brazil</v>
      </c>
      <c r="C970" s="8">
        <v>41640.0</v>
      </c>
      <c r="D970" s="1" t="s">
        <v>1938</v>
      </c>
    </row>
    <row r="971">
      <c r="A971" s="1" t="s">
        <v>113</v>
      </c>
      <c r="B971" s="1" t="str">
        <f>VLOOKUP(A971,Institutions!A:B,2,False)</f>
        <v>Brazil</v>
      </c>
      <c r="C971" s="8">
        <v>41275.0</v>
      </c>
      <c r="D971" s="1" t="s">
        <v>1958</v>
      </c>
    </row>
    <row r="972">
      <c r="A972" s="1" t="s">
        <v>113</v>
      </c>
      <c r="B972" s="1" t="str">
        <f>VLOOKUP(A972,Institutions!A:B,2,False)</f>
        <v>Brazil</v>
      </c>
      <c r="C972" s="8">
        <v>41275.0</v>
      </c>
      <c r="D972" s="1" t="s">
        <v>1807</v>
      </c>
    </row>
    <row r="973">
      <c r="A973" s="1" t="s">
        <v>113</v>
      </c>
      <c r="B973" s="1" t="str">
        <f>VLOOKUP(A973,Institutions!A:B,2,False)</f>
        <v>Brazil</v>
      </c>
      <c r="C973" s="8">
        <v>41275.0</v>
      </c>
      <c r="D973" s="1" t="s">
        <v>2150</v>
      </c>
    </row>
    <row r="974">
      <c r="A974" s="1" t="s">
        <v>113</v>
      </c>
      <c r="B974" s="1" t="str">
        <f>VLOOKUP(A974,Institutions!A:B,2,False)</f>
        <v>Brazil</v>
      </c>
      <c r="C974" s="8">
        <v>40909.0</v>
      </c>
      <c r="D974" s="1" t="s">
        <v>1807</v>
      </c>
    </row>
    <row r="975">
      <c r="A975" s="1" t="s">
        <v>113</v>
      </c>
      <c r="B975" s="1" t="str">
        <f>VLOOKUP(A975,Institutions!A:B,2,False)</f>
        <v>Brazil</v>
      </c>
      <c r="C975" s="8">
        <v>40909.0</v>
      </c>
      <c r="D975" s="1" t="s">
        <v>1815</v>
      </c>
    </row>
    <row r="976">
      <c r="A976" s="1" t="s">
        <v>113</v>
      </c>
      <c r="B976" s="1" t="str">
        <f>VLOOKUP(A976,Institutions!A:B,2,False)</f>
        <v>Brazil</v>
      </c>
      <c r="C976" s="8">
        <v>40544.0</v>
      </c>
      <c r="D976" s="1" t="s">
        <v>2151</v>
      </c>
    </row>
    <row r="977">
      <c r="A977" s="1" t="s">
        <v>115</v>
      </c>
      <c r="B977" s="1" t="str">
        <f>VLOOKUP(A977,Institutions!A:B,2,False)</f>
        <v>United Kingdom</v>
      </c>
      <c r="C977" s="8">
        <v>43101.0</v>
      </c>
      <c r="D977" s="1" t="s">
        <v>1041</v>
      </c>
    </row>
    <row r="978">
      <c r="A978" s="1" t="s">
        <v>115</v>
      </c>
      <c r="B978" s="1" t="str">
        <f>VLOOKUP(A978,Institutions!A:B,2,False)</f>
        <v>United Kingdom</v>
      </c>
      <c r="C978" s="8">
        <v>42370.0</v>
      </c>
      <c r="D978" s="1" t="s">
        <v>1082</v>
      </c>
    </row>
    <row r="979">
      <c r="A979" s="1" t="s">
        <v>115</v>
      </c>
      <c r="B979" s="1" t="str">
        <f>VLOOKUP(A979,Institutions!A:B,2,False)</f>
        <v>United Kingdom</v>
      </c>
      <c r="C979" s="8">
        <v>42370.0</v>
      </c>
      <c r="D979" s="1" t="s">
        <v>1089</v>
      </c>
    </row>
    <row r="980">
      <c r="A980" s="1" t="s">
        <v>115</v>
      </c>
      <c r="B980" s="1" t="str">
        <f>VLOOKUP(A980,Institutions!A:B,2,False)</f>
        <v>United Kingdom</v>
      </c>
      <c r="C980" s="8">
        <v>41640.0</v>
      </c>
      <c r="D980" s="1" t="s">
        <v>2152</v>
      </c>
    </row>
    <row r="981">
      <c r="A981" s="1" t="s">
        <v>115</v>
      </c>
      <c r="B981" s="1" t="str">
        <f>VLOOKUP(A981,Institutions!A:B,2,False)</f>
        <v>United Kingdom</v>
      </c>
      <c r="C981" s="8">
        <v>41275.0</v>
      </c>
      <c r="D981" s="1" t="s">
        <v>2153</v>
      </c>
    </row>
    <row r="982">
      <c r="A982" s="1" t="s">
        <v>115</v>
      </c>
      <c r="B982" s="1" t="str">
        <f>VLOOKUP(A982,Institutions!A:B,2,False)</f>
        <v>United Kingdom</v>
      </c>
      <c r="C982" s="8">
        <v>41275.0</v>
      </c>
      <c r="D982" s="1" t="s">
        <v>2154</v>
      </c>
    </row>
    <row r="983">
      <c r="A983" s="1" t="s">
        <v>115</v>
      </c>
      <c r="B983" s="1" t="str">
        <f>VLOOKUP(A983,Institutions!A:B,2,False)</f>
        <v>United Kingdom</v>
      </c>
      <c r="C983" s="8">
        <v>41275.0</v>
      </c>
      <c r="D983" s="1" t="s">
        <v>2155</v>
      </c>
    </row>
    <row r="984">
      <c r="A984" s="1" t="s">
        <v>115</v>
      </c>
      <c r="B984" s="1" t="str">
        <f>VLOOKUP(A984,Institutions!A:B,2,False)</f>
        <v>United Kingdom</v>
      </c>
      <c r="C984" s="8">
        <v>40909.0</v>
      </c>
      <c r="D984" s="1" t="s">
        <v>2156</v>
      </c>
    </row>
    <row r="985">
      <c r="A985" s="1" t="s">
        <v>115</v>
      </c>
      <c r="B985" s="1" t="str">
        <f>VLOOKUP(A985,Institutions!A:B,2,False)</f>
        <v>United Kingdom</v>
      </c>
      <c r="C985" s="8">
        <v>40909.0</v>
      </c>
      <c r="D985" s="1" t="s">
        <v>2157</v>
      </c>
    </row>
    <row r="986">
      <c r="A986" s="1" t="s">
        <v>115</v>
      </c>
      <c r="B986" s="1" t="str">
        <f>VLOOKUP(A986,Institutions!A:B,2,False)</f>
        <v>United Kingdom</v>
      </c>
      <c r="C986" s="8">
        <v>40544.0</v>
      </c>
      <c r="D986" s="1" t="s">
        <v>2158</v>
      </c>
    </row>
    <row r="987">
      <c r="A987" s="1" t="s">
        <v>115</v>
      </c>
      <c r="B987" s="1" t="str">
        <f>VLOOKUP(A987,Institutions!A:B,2,False)</f>
        <v>United Kingdom</v>
      </c>
      <c r="C987" s="8">
        <v>40544.0</v>
      </c>
      <c r="D987" s="1" t="s">
        <v>2159</v>
      </c>
    </row>
    <row r="988">
      <c r="A988" s="1" t="s">
        <v>117</v>
      </c>
      <c r="B988" s="1" t="str">
        <f>VLOOKUP(A988,Institutions!A:B,2,False)</f>
        <v>United States</v>
      </c>
      <c r="C988" s="8">
        <v>44927.0</v>
      </c>
      <c r="D988" s="1" t="s">
        <v>1504</v>
      </c>
    </row>
    <row r="989">
      <c r="A989" s="1" t="s">
        <v>117</v>
      </c>
      <c r="B989" s="1" t="str">
        <f>VLOOKUP(A989,Institutions!A:B,2,False)</f>
        <v>United States</v>
      </c>
      <c r="C989" s="8">
        <v>44562.0</v>
      </c>
      <c r="D989" s="1" t="s">
        <v>1516</v>
      </c>
    </row>
    <row r="990">
      <c r="A990" s="1" t="s">
        <v>117</v>
      </c>
      <c r="B990" s="1" t="str">
        <f>VLOOKUP(A990,Institutions!A:B,2,False)</f>
        <v>United States</v>
      </c>
      <c r="C990" s="8">
        <v>44562.0</v>
      </c>
      <c r="D990" s="1" t="s">
        <v>1521</v>
      </c>
    </row>
    <row r="991">
      <c r="A991" s="1" t="s">
        <v>117</v>
      </c>
      <c r="B991" s="1" t="str">
        <f>VLOOKUP(A991,Institutions!A:B,2,False)</f>
        <v>United States</v>
      </c>
      <c r="C991" s="8">
        <v>44197.0</v>
      </c>
      <c r="D991" s="1" t="s">
        <v>1526</v>
      </c>
    </row>
    <row r="992">
      <c r="A992" s="1" t="s">
        <v>117</v>
      </c>
      <c r="B992" s="1" t="str">
        <f>VLOOKUP(A992,Institutions!A:B,2,False)</f>
        <v>United States</v>
      </c>
      <c r="C992" s="8">
        <v>44197.0</v>
      </c>
      <c r="D992" s="1" t="s">
        <v>1527</v>
      </c>
    </row>
    <row r="993">
      <c r="A993" s="1" t="s">
        <v>117</v>
      </c>
      <c r="B993" s="1" t="str">
        <f>VLOOKUP(A993,Institutions!A:B,2,False)</f>
        <v>United States</v>
      </c>
      <c r="C993" s="8">
        <v>44197.0</v>
      </c>
      <c r="D993" s="1" t="s">
        <v>1529</v>
      </c>
    </row>
    <row r="994">
      <c r="A994" s="1" t="s">
        <v>117</v>
      </c>
      <c r="B994" s="1" t="str">
        <f>VLOOKUP(A994,Institutions!A:B,2,False)</f>
        <v>United States</v>
      </c>
      <c r="C994" s="8">
        <v>44197.0</v>
      </c>
      <c r="D994" s="1" t="s">
        <v>1530</v>
      </c>
    </row>
    <row r="995">
      <c r="A995" s="1" t="s">
        <v>117</v>
      </c>
      <c r="B995" s="1" t="str">
        <f>VLOOKUP(A995,Institutions!A:B,2,False)</f>
        <v>United States</v>
      </c>
      <c r="C995" s="8">
        <v>44197.0</v>
      </c>
      <c r="D995" s="1" t="s">
        <v>1532</v>
      </c>
    </row>
    <row r="996">
      <c r="A996" s="1" t="s">
        <v>117</v>
      </c>
      <c r="B996" s="1" t="str">
        <f>VLOOKUP(A996,Institutions!A:B,2,False)</f>
        <v>United States</v>
      </c>
      <c r="C996" s="8">
        <v>44197.0</v>
      </c>
      <c r="D996" s="1" t="s">
        <v>1533</v>
      </c>
    </row>
    <row r="997">
      <c r="A997" s="1" t="s">
        <v>117</v>
      </c>
      <c r="B997" s="1" t="str">
        <f>VLOOKUP(A997,Institutions!A:B,2,False)</f>
        <v>United States</v>
      </c>
      <c r="C997" s="8">
        <v>44197.0</v>
      </c>
      <c r="D997" s="1" t="s">
        <v>1534</v>
      </c>
    </row>
    <row r="998">
      <c r="A998" s="1" t="s">
        <v>119</v>
      </c>
      <c r="B998" s="1" t="str">
        <f>VLOOKUP(A998,Institutions!A:B,2,False)</f>
        <v>United Kingdom</v>
      </c>
      <c r="C998" s="8">
        <v>44927.0</v>
      </c>
      <c r="D998" s="1" t="s">
        <v>1503</v>
      </c>
    </row>
    <row r="999">
      <c r="A999" s="1" t="s">
        <v>119</v>
      </c>
      <c r="B999" s="1" t="str">
        <f>VLOOKUP(A999,Institutions!A:B,2,False)</f>
        <v>United Kingdom</v>
      </c>
      <c r="C999" s="8">
        <v>44927.0</v>
      </c>
      <c r="D999" s="1" t="s">
        <v>1506</v>
      </c>
    </row>
    <row r="1000">
      <c r="A1000" s="1" t="s">
        <v>119</v>
      </c>
      <c r="B1000" s="1" t="str">
        <f>VLOOKUP(A1000,Institutions!A:B,2,False)</f>
        <v>United Kingdom</v>
      </c>
      <c r="C1000" s="8">
        <v>42370.0</v>
      </c>
      <c r="D1000" s="1" t="s">
        <v>2160</v>
      </c>
    </row>
    <row r="1001">
      <c r="A1001" s="1" t="s">
        <v>119</v>
      </c>
      <c r="B1001" s="1" t="str">
        <f>VLOOKUP(A1001,Institutions!A:B,2,False)</f>
        <v>United Kingdom</v>
      </c>
      <c r="C1001" s="8">
        <v>42005.0</v>
      </c>
      <c r="D1001" s="1" t="s">
        <v>2161</v>
      </c>
    </row>
    <row r="1002">
      <c r="A1002" s="1" t="s">
        <v>119</v>
      </c>
      <c r="B1002" s="1" t="str">
        <f>VLOOKUP(A1002,Institutions!A:B,2,False)</f>
        <v>United Kingdom</v>
      </c>
      <c r="C1002" s="8">
        <v>40909.0</v>
      </c>
      <c r="D1002" s="1" t="s">
        <v>2162</v>
      </c>
    </row>
    <row r="1003">
      <c r="A1003" s="1" t="s">
        <v>119</v>
      </c>
      <c r="B1003" s="1" t="str">
        <f>VLOOKUP(A1003,Institutions!A:B,2,False)</f>
        <v>United Kingdom</v>
      </c>
      <c r="C1003" s="8">
        <v>40179.0</v>
      </c>
      <c r="D1003" s="1" t="s">
        <v>2163</v>
      </c>
    </row>
    <row r="1004">
      <c r="A1004" s="1" t="s">
        <v>119</v>
      </c>
      <c r="B1004" s="1" t="str">
        <f>VLOOKUP(A1004,Institutions!A:B,2,False)</f>
        <v>United Kingdom</v>
      </c>
      <c r="C1004" s="8">
        <v>40179.0</v>
      </c>
      <c r="D1004" s="1" t="s">
        <v>2164</v>
      </c>
    </row>
    <row r="1005">
      <c r="A1005" s="1" t="s">
        <v>119</v>
      </c>
      <c r="B1005" s="1" t="str">
        <f>VLOOKUP(A1005,Institutions!A:B,2,False)</f>
        <v>United Kingdom</v>
      </c>
      <c r="C1005" s="8">
        <v>40179.0</v>
      </c>
      <c r="D1005" s="1" t="s">
        <v>2165</v>
      </c>
    </row>
    <row r="1006">
      <c r="A1006" s="1" t="s">
        <v>119</v>
      </c>
      <c r="B1006" s="1" t="str">
        <f>VLOOKUP(A1006,Institutions!A:B,2,False)</f>
        <v>United Kingdom</v>
      </c>
      <c r="C1006" s="8">
        <v>40179.0</v>
      </c>
      <c r="D1006" s="1" t="s">
        <v>2166</v>
      </c>
    </row>
    <row r="1007">
      <c r="A1007" s="1" t="s">
        <v>119</v>
      </c>
      <c r="B1007" s="1" t="str">
        <f>VLOOKUP(A1007,Institutions!A:B,2,False)</f>
        <v>United Kingdom</v>
      </c>
      <c r="C1007" s="8">
        <v>39814.0</v>
      </c>
      <c r="D1007" s="1" t="s">
        <v>2167</v>
      </c>
    </row>
    <row r="1008">
      <c r="A1008" s="1" t="s">
        <v>121</v>
      </c>
      <c r="B1008" s="1" t="str">
        <f>VLOOKUP(A1008,Institutions!A:B,2,False)</f>
        <v>Germany</v>
      </c>
      <c r="C1008" s="8">
        <v>44927.0</v>
      </c>
      <c r="D1008" s="1" t="s">
        <v>1204</v>
      </c>
    </row>
    <row r="1009">
      <c r="A1009" s="1" t="s">
        <v>121</v>
      </c>
      <c r="B1009" s="1" t="str">
        <f>VLOOKUP(A1009,Institutions!A:B,2,False)</f>
        <v>Germany</v>
      </c>
      <c r="C1009" s="8">
        <v>44197.0</v>
      </c>
      <c r="D1009" s="1" t="s">
        <v>939</v>
      </c>
    </row>
    <row r="1010">
      <c r="A1010" s="1" t="s">
        <v>121</v>
      </c>
      <c r="B1010" s="1" t="str">
        <f>VLOOKUP(A1010,Institutions!A:B,2,False)</f>
        <v>Germany</v>
      </c>
      <c r="C1010" s="8">
        <v>44197.0</v>
      </c>
      <c r="D1010" s="1" t="s">
        <v>941</v>
      </c>
    </row>
    <row r="1011">
      <c r="A1011" s="1" t="s">
        <v>121</v>
      </c>
      <c r="B1011" s="1" t="str">
        <f>VLOOKUP(A1011,Institutions!A:B,2,False)</f>
        <v>Germany</v>
      </c>
      <c r="C1011" s="8">
        <v>43831.0</v>
      </c>
      <c r="D1011" s="1" t="s">
        <v>950</v>
      </c>
    </row>
    <row r="1012">
      <c r="A1012" s="1" t="s">
        <v>121</v>
      </c>
      <c r="B1012" s="1" t="str">
        <f>VLOOKUP(A1012,Institutions!A:B,2,False)</f>
        <v>Germany</v>
      </c>
      <c r="C1012" s="8">
        <v>43466.0</v>
      </c>
      <c r="D1012" s="1" t="s">
        <v>977</v>
      </c>
    </row>
    <row r="1013">
      <c r="A1013" s="1" t="s">
        <v>121</v>
      </c>
      <c r="B1013" s="1" t="str">
        <f>VLOOKUP(A1013,Institutions!A:B,2,False)</f>
        <v>Germany</v>
      </c>
      <c r="C1013" s="8">
        <v>43101.0</v>
      </c>
      <c r="D1013" s="1" t="s">
        <v>1637</v>
      </c>
    </row>
    <row r="1014">
      <c r="A1014" s="1" t="s">
        <v>121</v>
      </c>
      <c r="B1014" s="1" t="str">
        <f>VLOOKUP(A1014,Institutions!A:B,2,False)</f>
        <v>Germany</v>
      </c>
      <c r="C1014" s="8">
        <v>42736.0</v>
      </c>
      <c r="D1014" s="1" t="s">
        <v>1641</v>
      </c>
    </row>
    <row r="1015">
      <c r="A1015" s="1" t="s">
        <v>121</v>
      </c>
      <c r="B1015" s="1" t="str">
        <f>VLOOKUP(A1015,Institutions!A:B,2,False)</f>
        <v>Germany</v>
      </c>
      <c r="C1015" s="8">
        <v>42005.0</v>
      </c>
      <c r="D1015" s="1" t="s">
        <v>1951</v>
      </c>
    </row>
    <row r="1016">
      <c r="A1016" s="1" t="s">
        <v>121</v>
      </c>
      <c r="B1016" s="1" t="str">
        <f>VLOOKUP(A1016,Institutions!A:B,2,False)</f>
        <v>Germany</v>
      </c>
      <c r="C1016" s="8">
        <v>41275.0</v>
      </c>
      <c r="D1016" s="1" t="s">
        <v>1957</v>
      </c>
    </row>
    <row r="1017">
      <c r="A1017" s="1" t="s">
        <v>121</v>
      </c>
      <c r="B1017" s="1" t="str">
        <f>VLOOKUP(A1017,Institutions!A:B,2,False)</f>
        <v>Germany</v>
      </c>
      <c r="C1017" s="8">
        <v>41275.0</v>
      </c>
      <c r="D1017" s="1" t="s">
        <v>1960</v>
      </c>
    </row>
    <row r="1018">
      <c r="A1018" s="1" t="s">
        <v>123</v>
      </c>
      <c r="B1018" s="1" t="str">
        <f>VLOOKUP(A1018,Institutions!A:B,2,False)</f>
        <v>United States</v>
      </c>
      <c r="C1018" s="8">
        <v>45292.0</v>
      </c>
      <c r="D1018" s="1" t="s">
        <v>1117</v>
      </c>
    </row>
    <row r="1019">
      <c r="A1019" s="1" t="s">
        <v>123</v>
      </c>
      <c r="B1019" s="1" t="str">
        <f>VLOOKUP(A1019,Institutions!A:B,2,False)</f>
        <v>United States</v>
      </c>
      <c r="C1019" s="8">
        <v>44927.0</v>
      </c>
      <c r="D1019" s="1" t="s">
        <v>1190</v>
      </c>
    </row>
    <row r="1020">
      <c r="A1020" s="1" t="s">
        <v>123</v>
      </c>
      <c r="B1020" s="1" t="str">
        <f>VLOOKUP(A1020,Institutions!A:B,2,False)</f>
        <v>United States</v>
      </c>
      <c r="C1020" s="8">
        <v>44927.0</v>
      </c>
      <c r="D1020" s="1" t="s">
        <v>1264</v>
      </c>
    </row>
    <row r="1021">
      <c r="A1021" s="1" t="s">
        <v>123</v>
      </c>
      <c r="B1021" s="1" t="str">
        <f>VLOOKUP(A1021,Institutions!A:B,2,False)</f>
        <v>United States</v>
      </c>
      <c r="C1021" s="8">
        <v>44927.0</v>
      </c>
      <c r="D1021" s="1" t="s">
        <v>782</v>
      </c>
    </row>
    <row r="1022">
      <c r="A1022" s="1" t="s">
        <v>123</v>
      </c>
      <c r="B1022" s="1" t="str">
        <f>VLOOKUP(A1022,Institutions!A:B,2,False)</f>
        <v>United States</v>
      </c>
      <c r="C1022" s="8">
        <v>44927.0</v>
      </c>
      <c r="D1022" s="1" t="s">
        <v>792</v>
      </c>
    </row>
    <row r="1023">
      <c r="A1023" s="1" t="s">
        <v>123</v>
      </c>
      <c r="B1023" s="1" t="str">
        <f>VLOOKUP(A1023,Institutions!A:B,2,False)</f>
        <v>United States</v>
      </c>
      <c r="C1023" s="8">
        <v>44927.0</v>
      </c>
      <c r="D1023" s="1" t="s">
        <v>1150</v>
      </c>
    </row>
    <row r="1024">
      <c r="A1024" s="1" t="s">
        <v>123</v>
      </c>
      <c r="B1024" s="1" t="str">
        <f>VLOOKUP(A1024,Institutions!A:B,2,False)</f>
        <v>United States</v>
      </c>
      <c r="C1024" s="8">
        <v>44562.0</v>
      </c>
      <c r="D1024" s="1" t="s">
        <v>1151</v>
      </c>
    </row>
    <row r="1025">
      <c r="A1025" s="1" t="s">
        <v>123</v>
      </c>
      <c r="B1025" s="1" t="str">
        <f>VLOOKUP(A1025,Institutions!A:B,2,False)</f>
        <v>United States</v>
      </c>
      <c r="C1025" s="8">
        <v>43831.0</v>
      </c>
      <c r="D1025" s="1" t="s">
        <v>960</v>
      </c>
    </row>
    <row r="1026">
      <c r="A1026" s="1" t="s">
        <v>123</v>
      </c>
      <c r="B1026" s="1" t="str">
        <f>VLOOKUP(A1026,Institutions!A:B,2,False)</f>
        <v>United States</v>
      </c>
      <c r="C1026" s="8">
        <v>43466.0</v>
      </c>
      <c r="D1026" s="1" t="s">
        <v>975</v>
      </c>
    </row>
    <row r="1027">
      <c r="A1027" s="1" t="s">
        <v>123</v>
      </c>
      <c r="B1027" s="1" t="str">
        <f>VLOOKUP(A1027,Institutions!A:B,2,False)</f>
        <v>United States</v>
      </c>
      <c r="C1027" s="8">
        <v>43101.0</v>
      </c>
      <c r="D1027" s="1" t="s">
        <v>2168</v>
      </c>
    </row>
    <row r="1028">
      <c r="A1028" s="1" t="s">
        <v>125</v>
      </c>
      <c r="B1028" s="1" t="str">
        <f>VLOOKUP(A1028,Institutions!A:B,2,False)</f>
        <v>Germany</v>
      </c>
      <c r="C1028" s="8">
        <v>45292.0</v>
      </c>
      <c r="D1028" s="1" t="s">
        <v>1251</v>
      </c>
    </row>
    <row r="1029">
      <c r="A1029" s="1" t="s">
        <v>125</v>
      </c>
      <c r="B1029" s="1" t="str">
        <f>VLOOKUP(A1029,Institutions!A:B,2,False)</f>
        <v>Germany</v>
      </c>
      <c r="C1029" s="8">
        <v>45292.0</v>
      </c>
      <c r="D1029" s="1" t="s">
        <v>1117</v>
      </c>
    </row>
    <row r="1030">
      <c r="A1030" s="1" t="s">
        <v>125</v>
      </c>
      <c r="B1030" s="1" t="str">
        <f>VLOOKUP(A1030,Institutions!A:B,2,False)</f>
        <v>Germany</v>
      </c>
      <c r="C1030" s="8">
        <v>45292.0</v>
      </c>
      <c r="D1030" s="1" t="s">
        <v>1009</v>
      </c>
    </row>
    <row r="1031">
      <c r="A1031" s="1" t="s">
        <v>125</v>
      </c>
      <c r="B1031" s="1" t="str">
        <f>VLOOKUP(A1031,Institutions!A:B,2,False)</f>
        <v>Germany</v>
      </c>
      <c r="C1031" s="8">
        <v>44927.0</v>
      </c>
      <c r="D1031" s="1" t="s">
        <v>1265</v>
      </c>
    </row>
    <row r="1032">
      <c r="A1032" s="1" t="s">
        <v>125</v>
      </c>
      <c r="B1032" s="1" t="str">
        <f>VLOOKUP(A1032,Institutions!A:B,2,False)</f>
        <v>Germany</v>
      </c>
      <c r="C1032" s="8">
        <v>44927.0</v>
      </c>
      <c r="D1032" s="1" t="s">
        <v>1266</v>
      </c>
    </row>
    <row r="1033">
      <c r="A1033" s="1" t="s">
        <v>125</v>
      </c>
      <c r="B1033" s="1" t="str">
        <f>VLOOKUP(A1033,Institutions!A:B,2,False)</f>
        <v>Germany</v>
      </c>
      <c r="C1033" s="8">
        <v>43831.0</v>
      </c>
      <c r="D1033" s="1" t="s">
        <v>2099</v>
      </c>
    </row>
    <row r="1034">
      <c r="A1034" s="1" t="s">
        <v>125</v>
      </c>
      <c r="B1034" s="1" t="str">
        <f>VLOOKUP(A1034,Institutions!A:B,2,False)</f>
        <v>Germany</v>
      </c>
      <c r="C1034" s="8">
        <v>43831.0</v>
      </c>
      <c r="D1034" s="1" t="s">
        <v>2100</v>
      </c>
    </row>
    <row r="1035">
      <c r="A1035" s="1" t="s">
        <v>125</v>
      </c>
      <c r="B1035" s="1" t="str">
        <f>VLOOKUP(A1035,Institutions!A:B,2,False)</f>
        <v>Germany</v>
      </c>
      <c r="C1035" s="8">
        <v>43466.0</v>
      </c>
      <c r="D1035" s="1" t="s">
        <v>2101</v>
      </c>
    </row>
    <row r="1036">
      <c r="A1036" s="1" t="s">
        <v>125</v>
      </c>
      <c r="B1036" s="1" t="str">
        <f>VLOOKUP(A1036,Institutions!A:B,2,False)</f>
        <v>Germany</v>
      </c>
      <c r="C1036" s="8">
        <v>42005.0</v>
      </c>
      <c r="D1036" s="1" t="s">
        <v>2169</v>
      </c>
    </row>
    <row r="1037">
      <c r="A1037" s="1" t="s">
        <v>125</v>
      </c>
      <c r="B1037" s="1" t="str">
        <f>VLOOKUP(A1037,Institutions!A:B,2,False)</f>
        <v>Germany</v>
      </c>
      <c r="C1037" s="8">
        <v>41275.0</v>
      </c>
      <c r="D1037" s="1" t="s">
        <v>2150</v>
      </c>
    </row>
    <row r="1038">
      <c r="A1038" s="1" t="s">
        <v>127</v>
      </c>
      <c r="B1038" s="1" t="str">
        <f>VLOOKUP(A1038,Institutions!A:B,2,False)</f>
        <v>Italy</v>
      </c>
      <c r="C1038" s="8">
        <v>44197.0</v>
      </c>
      <c r="D1038" s="1" t="s">
        <v>939</v>
      </c>
    </row>
    <row r="1039">
      <c r="A1039" s="1" t="s">
        <v>127</v>
      </c>
      <c r="B1039" s="1" t="str">
        <f>VLOOKUP(A1039,Institutions!A:B,2,False)</f>
        <v>Italy</v>
      </c>
      <c r="C1039" s="8">
        <v>44197.0</v>
      </c>
      <c r="D1039" s="1" t="s">
        <v>940</v>
      </c>
    </row>
    <row r="1040">
      <c r="A1040" s="1" t="s">
        <v>127</v>
      </c>
      <c r="B1040" s="1" t="str">
        <f>VLOOKUP(A1040,Institutions!A:B,2,False)</f>
        <v>Italy</v>
      </c>
      <c r="C1040" s="8">
        <v>43466.0</v>
      </c>
      <c r="D1040" s="1" t="s">
        <v>966</v>
      </c>
    </row>
    <row r="1041">
      <c r="A1041" s="1" t="s">
        <v>127</v>
      </c>
      <c r="B1041" s="1" t="str">
        <f>VLOOKUP(A1041,Institutions!A:B,2,False)</f>
        <v>Italy</v>
      </c>
      <c r="C1041" s="8">
        <v>42736.0</v>
      </c>
      <c r="D1041" s="1" t="s">
        <v>1004</v>
      </c>
    </row>
    <row r="1042">
      <c r="A1042" s="1" t="s">
        <v>127</v>
      </c>
      <c r="B1042" s="1" t="str">
        <f>VLOOKUP(A1042,Institutions!A:B,2,False)</f>
        <v>Italy</v>
      </c>
      <c r="C1042" s="8">
        <v>42736.0</v>
      </c>
      <c r="D1042" s="1" t="s">
        <v>2170</v>
      </c>
    </row>
    <row r="1043">
      <c r="A1043" s="1" t="s">
        <v>127</v>
      </c>
      <c r="B1043" s="1" t="str">
        <f>VLOOKUP(A1043,Institutions!A:B,2,False)</f>
        <v>Italy</v>
      </c>
      <c r="C1043" s="8">
        <v>42736.0</v>
      </c>
      <c r="D1043" s="1" t="s">
        <v>2171</v>
      </c>
    </row>
    <row r="1044">
      <c r="A1044" s="1" t="s">
        <v>127</v>
      </c>
      <c r="B1044" s="1" t="str">
        <f>VLOOKUP(A1044,Institutions!A:B,2,False)</f>
        <v>Italy</v>
      </c>
      <c r="C1044" s="8">
        <v>42736.0</v>
      </c>
      <c r="D1044" s="1" t="s">
        <v>2172</v>
      </c>
    </row>
    <row r="1045">
      <c r="A1045" s="1" t="s">
        <v>127</v>
      </c>
      <c r="B1045" s="1" t="str">
        <f>VLOOKUP(A1045,Institutions!A:B,2,False)</f>
        <v>Italy</v>
      </c>
      <c r="C1045" s="8">
        <v>42370.0</v>
      </c>
      <c r="D1045" s="1" t="s">
        <v>2173</v>
      </c>
    </row>
    <row r="1046">
      <c r="A1046" s="1" t="s">
        <v>127</v>
      </c>
      <c r="B1046" s="1" t="str">
        <f>VLOOKUP(A1046,Institutions!A:B,2,False)</f>
        <v>Italy</v>
      </c>
      <c r="C1046" s="8">
        <v>41640.0</v>
      </c>
      <c r="D1046" s="1" t="s">
        <v>2174</v>
      </c>
    </row>
    <row r="1047">
      <c r="A1047" s="1" t="s">
        <v>127</v>
      </c>
      <c r="B1047" s="1" t="str">
        <f>VLOOKUP(A1047,Institutions!A:B,2,False)</f>
        <v>Italy</v>
      </c>
      <c r="C1047" s="8">
        <v>40544.0</v>
      </c>
      <c r="D1047" s="1" t="s">
        <v>2175</v>
      </c>
    </row>
    <row r="1048">
      <c r="A1048" s="1" t="s">
        <v>129</v>
      </c>
      <c r="B1048" s="1" t="str">
        <f>VLOOKUP(A1048,Institutions!A:B,2,False)</f>
        <v>France</v>
      </c>
      <c r="C1048" s="8">
        <v>43831.0</v>
      </c>
      <c r="D1048" s="1" t="s">
        <v>1331</v>
      </c>
    </row>
    <row r="1049">
      <c r="A1049" s="1" t="s">
        <v>129</v>
      </c>
      <c r="B1049" s="1" t="str">
        <f>VLOOKUP(A1049,Institutions!A:B,2,False)</f>
        <v>France</v>
      </c>
      <c r="C1049" s="8">
        <v>43466.0</v>
      </c>
      <c r="D1049" s="1" t="s">
        <v>1335</v>
      </c>
    </row>
    <row r="1050">
      <c r="A1050" s="1" t="s">
        <v>129</v>
      </c>
      <c r="B1050" s="1" t="str">
        <f>VLOOKUP(A1050,Institutions!A:B,2,False)</f>
        <v>France</v>
      </c>
      <c r="C1050" s="8">
        <v>43466.0</v>
      </c>
      <c r="D1050" s="1" t="s">
        <v>1338</v>
      </c>
    </row>
    <row r="1051">
      <c r="A1051" s="1" t="s">
        <v>129</v>
      </c>
      <c r="B1051" s="1" t="str">
        <f>VLOOKUP(A1051,Institutions!A:B,2,False)</f>
        <v>France</v>
      </c>
      <c r="C1051" s="8">
        <v>43466.0</v>
      </c>
      <c r="D1051" s="1" t="s">
        <v>1342</v>
      </c>
    </row>
    <row r="1052">
      <c r="A1052" s="1" t="s">
        <v>129</v>
      </c>
      <c r="B1052" s="1" t="str">
        <f>VLOOKUP(A1052,Institutions!A:B,2,False)</f>
        <v>France</v>
      </c>
      <c r="C1052" s="8">
        <v>43101.0</v>
      </c>
      <c r="D1052" s="1" t="s">
        <v>2176</v>
      </c>
    </row>
    <row r="1053">
      <c r="A1053" s="1" t="s">
        <v>129</v>
      </c>
      <c r="B1053" s="1" t="str">
        <f>VLOOKUP(A1053,Institutions!A:B,2,False)</f>
        <v>France</v>
      </c>
      <c r="C1053" s="8">
        <v>43101.0</v>
      </c>
      <c r="D1053" s="1" t="s">
        <v>2177</v>
      </c>
    </row>
    <row r="1054">
      <c r="A1054" s="1" t="s">
        <v>129</v>
      </c>
      <c r="B1054" s="1" t="str">
        <f>VLOOKUP(A1054,Institutions!A:B,2,False)</f>
        <v>France</v>
      </c>
      <c r="C1054" s="8">
        <v>43101.0</v>
      </c>
      <c r="D1054" s="1" t="s">
        <v>2139</v>
      </c>
    </row>
    <row r="1055">
      <c r="A1055" s="1" t="s">
        <v>129</v>
      </c>
      <c r="B1055" s="1" t="str">
        <f>VLOOKUP(A1055,Institutions!A:B,2,False)</f>
        <v>France</v>
      </c>
      <c r="C1055" s="8">
        <v>43101.0</v>
      </c>
      <c r="D1055" s="1" t="s">
        <v>2178</v>
      </c>
    </row>
    <row r="1056">
      <c r="A1056" s="1" t="s">
        <v>129</v>
      </c>
      <c r="B1056" s="1" t="str">
        <f>VLOOKUP(A1056,Institutions!A:B,2,False)</f>
        <v>France</v>
      </c>
      <c r="C1056" s="8">
        <v>43101.0</v>
      </c>
      <c r="D1056" s="1" t="s">
        <v>2179</v>
      </c>
    </row>
    <row r="1057">
      <c r="A1057" s="1" t="s">
        <v>129</v>
      </c>
      <c r="B1057" s="1" t="str">
        <f>VLOOKUP(A1057,Institutions!A:B,2,False)</f>
        <v>France</v>
      </c>
      <c r="C1057" s="8">
        <v>42736.0</v>
      </c>
      <c r="D1057" s="1" t="s">
        <v>2141</v>
      </c>
    </row>
    <row r="1058">
      <c r="A1058" s="1" t="s">
        <v>131</v>
      </c>
      <c r="B1058" s="1" t="str">
        <f>VLOOKUP(A1058,Institutions!A:B,2,False)</f>
        <v>Italy</v>
      </c>
      <c r="C1058" s="8">
        <v>44562.0</v>
      </c>
      <c r="D1058" s="1" t="s">
        <v>935</v>
      </c>
    </row>
    <row r="1059">
      <c r="A1059" s="1" t="s">
        <v>131</v>
      </c>
      <c r="B1059" s="1" t="str">
        <f>VLOOKUP(A1059,Institutions!A:B,2,False)</f>
        <v>Italy</v>
      </c>
      <c r="C1059" s="8">
        <v>44197.0</v>
      </c>
      <c r="D1059" s="1" t="s">
        <v>1019</v>
      </c>
    </row>
    <row r="1060">
      <c r="A1060" s="1" t="s">
        <v>131</v>
      </c>
      <c r="B1060" s="1" t="str">
        <f>VLOOKUP(A1060,Institutions!A:B,2,False)</f>
        <v>Italy</v>
      </c>
      <c r="C1060" s="8">
        <v>43466.0</v>
      </c>
      <c r="D1060" s="1" t="s">
        <v>1550</v>
      </c>
    </row>
    <row r="1061">
      <c r="A1061" s="1" t="s">
        <v>131</v>
      </c>
      <c r="B1061" s="1" t="str">
        <f>VLOOKUP(A1061,Institutions!A:B,2,False)</f>
        <v>Italy</v>
      </c>
      <c r="C1061" s="8">
        <v>43466.0</v>
      </c>
      <c r="D1061" s="1" t="s">
        <v>1039</v>
      </c>
    </row>
    <row r="1062">
      <c r="A1062" s="1" t="s">
        <v>131</v>
      </c>
      <c r="B1062" s="1" t="str">
        <f>VLOOKUP(A1062,Institutions!A:B,2,False)</f>
        <v>Italy</v>
      </c>
      <c r="C1062" s="8">
        <v>43101.0</v>
      </c>
      <c r="D1062" s="1" t="s">
        <v>1043</v>
      </c>
    </row>
    <row r="1063">
      <c r="A1063" s="1" t="s">
        <v>131</v>
      </c>
      <c r="B1063" s="1" t="str">
        <f>VLOOKUP(A1063,Institutions!A:B,2,False)</f>
        <v>Italy</v>
      </c>
      <c r="C1063" s="8">
        <v>42736.0</v>
      </c>
      <c r="D1063" s="1" t="s">
        <v>1067</v>
      </c>
    </row>
    <row r="1064">
      <c r="A1064" s="1" t="s">
        <v>131</v>
      </c>
      <c r="B1064" s="1" t="str">
        <f>VLOOKUP(A1064,Institutions!A:B,2,False)</f>
        <v>Italy</v>
      </c>
      <c r="C1064" s="8">
        <v>42370.0</v>
      </c>
      <c r="D1064" s="1" t="s">
        <v>1077</v>
      </c>
    </row>
    <row r="1065">
      <c r="A1065" s="1" t="s">
        <v>131</v>
      </c>
      <c r="B1065" s="1" t="str">
        <f>VLOOKUP(A1065,Institutions!A:B,2,False)</f>
        <v>Italy</v>
      </c>
      <c r="C1065" s="8">
        <v>41640.0</v>
      </c>
      <c r="D1065" s="1" t="s">
        <v>2136</v>
      </c>
    </row>
    <row r="1066">
      <c r="A1066" s="1" t="s">
        <v>131</v>
      </c>
      <c r="B1066" s="1" t="str">
        <f>VLOOKUP(A1066,Institutions!A:B,2,False)</f>
        <v>Italy</v>
      </c>
      <c r="C1066" s="8">
        <v>40909.0</v>
      </c>
      <c r="D1066" s="1" t="s">
        <v>2180</v>
      </c>
    </row>
    <row r="1067">
      <c r="A1067" s="1" t="s">
        <v>131</v>
      </c>
      <c r="B1067" s="1" t="str">
        <f>VLOOKUP(A1067,Institutions!A:B,2,False)</f>
        <v>Italy</v>
      </c>
      <c r="C1067" s="8">
        <v>39448.0</v>
      </c>
      <c r="D1067" s="1" t="s">
        <v>2181</v>
      </c>
    </row>
    <row r="1068">
      <c r="A1068" s="1" t="s">
        <v>133</v>
      </c>
      <c r="B1068" s="1" t="str">
        <f>VLOOKUP(A1068,Institutions!A:B,2,False)</f>
        <v>Spain</v>
      </c>
      <c r="C1068" s="8">
        <v>44927.0</v>
      </c>
      <c r="D1068" s="1" t="s">
        <v>242</v>
      </c>
    </row>
    <row r="1069">
      <c r="A1069" s="1" t="s">
        <v>133</v>
      </c>
      <c r="B1069" s="1" t="str">
        <f>VLOOKUP(A1069,Institutions!A:B,2,False)</f>
        <v>Spain</v>
      </c>
      <c r="C1069" s="8">
        <v>44927.0</v>
      </c>
      <c r="D1069" s="1" t="s">
        <v>247</v>
      </c>
    </row>
    <row r="1070">
      <c r="A1070" s="1" t="s">
        <v>133</v>
      </c>
      <c r="B1070" s="1" t="str">
        <f>VLOOKUP(A1070,Institutions!A:B,2,False)</f>
        <v>Spain</v>
      </c>
      <c r="C1070" s="8">
        <v>44562.0</v>
      </c>
      <c r="D1070" s="1" t="s">
        <v>257</v>
      </c>
    </row>
    <row r="1071">
      <c r="A1071" s="1" t="s">
        <v>133</v>
      </c>
      <c r="B1071" s="1" t="str">
        <f>VLOOKUP(A1071,Institutions!A:B,2,False)</f>
        <v>Spain</v>
      </c>
      <c r="C1071" s="8">
        <v>44562.0</v>
      </c>
      <c r="D1071" s="1" t="s">
        <v>277</v>
      </c>
    </row>
    <row r="1072">
      <c r="A1072" s="1" t="s">
        <v>133</v>
      </c>
      <c r="B1072" s="1" t="str">
        <f>VLOOKUP(A1072,Institutions!A:B,2,False)</f>
        <v>Spain</v>
      </c>
      <c r="C1072" s="8">
        <v>44562.0</v>
      </c>
      <c r="D1072" s="1" t="s">
        <v>271</v>
      </c>
    </row>
    <row r="1073">
      <c r="A1073" s="1" t="s">
        <v>133</v>
      </c>
      <c r="B1073" s="1" t="str">
        <f>VLOOKUP(A1073,Institutions!A:B,2,False)</f>
        <v>Spain</v>
      </c>
      <c r="C1073" s="8">
        <v>44197.0</v>
      </c>
      <c r="D1073" s="1" t="s">
        <v>302</v>
      </c>
    </row>
    <row r="1074">
      <c r="A1074" s="1" t="s">
        <v>133</v>
      </c>
      <c r="B1074" s="1" t="str">
        <f>VLOOKUP(A1074,Institutions!A:B,2,False)</f>
        <v>Spain</v>
      </c>
      <c r="C1074" s="8">
        <v>44197.0</v>
      </c>
      <c r="D1074" s="1" t="s">
        <v>324</v>
      </c>
    </row>
    <row r="1075">
      <c r="A1075" s="1" t="s">
        <v>133</v>
      </c>
      <c r="B1075" s="1" t="str">
        <f>VLOOKUP(A1075,Institutions!A:B,2,False)</f>
        <v>Spain</v>
      </c>
      <c r="C1075" s="8">
        <v>43831.0</v>
      </c>
      <c r="D1075" s="1" t="s">
        <v>370</v>
      </c>
    </row>
    <row r="1076">
      <c r="A1076" s="1" t="s">
        <v>133</v>
      </c>
      <c r="B1076" s="1" t="str">
        <f>VLOOKUP(A1076,Institutions!A:B,2,False)</f>
        <v>Spain</v>
      </c>
      <c r="C1076" s="8">
        <v>43831.0</v>
      </c>
      <c r="D1076" s="1" t="s">
        <v>364</v>
      </c>
    </row>
    <row r="1077">
      <c r="A1077" s="1" t="s">
        <v>133</v>
      </c>
      <c r="B1077" s="1" t="str">
        <f>VLOOKUP(A1077,Institutions!A:B,2,False)</f>
        <v>Spain</v>
      </c>
      <c r="C1077" s="8">
        <v>42736.0</v>
      </c>
      <c r="D1077" s="1" t="s">
        <v>2182</v>
      </c>
    </row>
    <row r="1078">
      <c r="A1078" s="1" t="s">
        <v>135</v>
      </c>
      <c r="B1078" s="1" t="str">
        <f>VLOOKUP(A1078,Institutions!A:B,2,False)</f>
        <v>United States</v>
      </c>
      <c r="C1078" s="8">
        <v>44927.0</v>
      </c>
      <c r="D1078" s="1" t="s">
        <v>1150</v>
      </c>
    </row>
    <row r="1079">
      <c r="A1079" s="1" t="s">
        <v>135</v>
      </c>
      <c r="B1079" s="1" t="str">
        <f>VLOOKUP(A1079,Institutions!A:B,2,False)</f>
        <v>United States</v>
      </c>
      <c r="C1079" s="8">
        <v>44562.0</v>
      </c>
      <c r="D1079" s="1" t="s">
        <v>1516</v>
      </c>
    </row>
    <row r="1080">
      <c r="A1080" s="1" t="s">
        <v>135</v>
      </c>
      <c r="B1080" s="1" t="str">
        <f>VLOOKUP(A1080,Institutions!A:B,2,False)</f>
        <v>United States</v>
      </c>
      <c r="C1080" s="8">
        <v>43831.0</v>
      </c>
      <c r="D1080" s="1" t="s">
        <v>1541</v>
      </c>
    </row>
    <row r="1081">
      <c r="A1081" s="1" t="s">
        <v>135</v>
      </c>
      <c r="B1081" s="1" t="str">
        <f>VLOOKUP(A1081,Institutions!A:B,2,False)</f>
        <v>United States</v>
      </c>
      <c r="C1081" s="8">
        <v>43831.0</v>
      </c>
      <c r="D1081" s="1" t="s">
        <v>1546</v>
      </c>
    </row>
    <row r="1082">
      <c r="A1082" s="1" t="s">
        <v>135</v>
      </c>
      <c r="B1082" s="1" t="str">
        <f>VLOOKUP(A1082,Institutions!A:B,2,False)</f>
        <v>United States</v>
      </c>
      <c r="C1082" s="8">
        <v>43101.0</v>
      </c>
      <c r="D1082" s="1" t="s">
        <v>2168</v>
      </c>
    </row>
    <row r="1083">
      <c r="A1083" s="1" t="s">
        <v>135</v>
      </c>
      <c r="B1083" s="1" t="str">
        <f>VLOOKUP(A1083,Institutions!A:B,2,False)</f>
        <v>United States</v>
      </c>
      <c r="C1083" s="8">
        <v>42736.0</v>
      </c>
      <c r="D1083" s="1" t="s">
        <v>2183</v>
      </c>
    </row>
    <row r="1084">
      <c r="A1084" s="1" t="s">
        <v>135</v>
      </c>
      <c r="B1084" s="1" t="str">
        <f>VLOOKUP(A1084,Institutions!A:B,2,False)</f>
        <v>United States</v>
      </c>
      <c r="C1084" s="8">
        <v>42736.0</v>
      </c>
      <c r="D1084" s="1" t="s">
        <v>2184</v>
      </c>
    </row>
    <row r="1085">
      <c r="A1085" s="1" t="s">
        <v>135</v>
      </c>
      <c r="B1085" s="1" t="str">
        <f>VLOOKUP(A1085,Institutions!A:B,2,False)</f>
        <v>United States</v>
      </c>
      <c r="C1085" s="8">
        <v>41640.0</v>
      </c>
      <c r="D1085" s="1" t="s">
        <v>2185</v>
      </c>
    </row>
    <row r="1086">
      <c r="A1086" s="1" t="s">
        <v>135</v>
      </c>
      <c r="B1086" s="1" t="str">
        <f>VLOOKUP(A1086,Institutions!A:B,2,False)</f>
        <v>United States</v>
      </c>
      <c r="C1086" s="8">
        <v>40179.0</v>
      </c>
      <c r="D1086" s="1" t="s">
        <v>2186</v>
      </c>
    </row>
    <row r="1087">
      <c r="A1087" s="1" t="s">
        <v>137</v>
      </c>
      <c r="B1087" s="1" t="str">
        <f>VLOOKUP(A1087,Institutions!A:B,2,False)</f>
        <v>United Kingdom</v>
      </c>
      <c r="C1087" s="8">
        <v>44927.0</v>
      </c>
      <c r="D1087" s="1" t="s">
        <v>1150</v>
      </c>
    </row>
    <row r="1088">
      <c r="A1088" s="1" t="s">
        <v>137</v>
      </c>
      <c r="B1088" s="1" t="str">
        <f>VLOOKUP(A1088,Institutions!A:B,2,False)</f>
        <v>United Kingdom</v>
      </c>
      <c r="C1088" s="8">
        <v>44197.0</v>
      </c>
      <c r="D1088" s="1" t="s">
        <v>2032</v>
      </c>
    </row>
    <row r="1089">
      <c r="A1089" s="1" t="s">
        <v>137</v>
      </c>
      <c r="B1089" s="1" t="str">
        <f>VLOOKUP(A1089,Institutions!A:B,2,False)</f>
        <v>United Kingdom</v>
      </c>
      <c r="C1089" s="8">
        <v>43831.0</v>
      </c>
      <c r="D1089" s="1" t="s">
        <v>913</v>
      </c>
    </row>
    <row r="1090">
      <c r="A1090" s="1" t="s">
        <v>137</v>
      </c>
      <c r="B1090" s="1" t="str">
        <f>VLOOKUP(A1090,Institutions!A:B,2,False)</f>
        <v>United Kingdom</v>
      </c>
      <c r="C1090" s="8">
        <v>43466.0</v>
      </c>
      <c r="D1090" s="1" t="s">
        <v>1040</v>
      </c>
    </row>
    <row r="1091">
      <c r="A1091" s="1" t="s">
        <v>137</v>
      </c>
      <c r="B1091" s="1" t="str">
        <f>VLOOKUP(A1091,Institutions!A:B,2,False)</f>
        <v>United Kingdom</v>
      </c>
      <c r="C1091" s="8">
        <v>42736.0</v>
      </c>
      <c r="D1091" s="1" t="s">
        <v>2187</v>
      </c>
    </row>
    <row r="1092">
      <c r="A1092" s="1" t="s">
        <v>137</v>
      </c>
      <c r="B1092" s="1" t="str">
        <f>VLOOKUP(A1092,Institutions!A:B,2,False)</f>
        <v>United Kingdom</v>
      </c>
      <c r="C1092" s="8">
        <v>42736.0</v>
      </c>
      <c r="D1092" s="1" t="s">
        <v>2188</v>
      </c>
    </row>
    <row r="1093">
      <c r="A1093" s="1" t="s">
        <v>137</v>
      </c>
      <c r="B1093" s="1" t="str">
        <f>VLOOKUP(A1093,Institutions!A:B,2,False)</f>
        <v>United Kingdom</v>
      </c>
      <c r="C1093" s="8">
        <v>42370.0</v>
      </c>
      <c r="D1093" s="1" t="s">
        <v>1479</v>
      </c>
    </row>
    <row r="1094">
      <c r="A1094" s="1" t="s">
        <v>137</v>
      </c>
      <c r="B1094" s="1" t="str">
        <f>VLOOKUP(A1094,Institutions!A:B,2,False)</f>
        <v>United Kingdom</v>
      </c>
      <c r="C1094" s="8">
        <v>41640.0</v>
      </c>
      <c r="D1094" s="1" t="s">
        <v>2189</v>
      </c>
    </row>
    <row r="1095">
      <c r="A1095" s="1" t="s">
        <v>137</v>
      </c>
      <c r="B1095" s="1" t="str">
        <f>VLOOKUP(A1095,Institutions!A:B,2,False)</f>
        <v>United Kingdom</v>
      </c>
      <c r="C1095" s="8">
        <v>40544.0</v>
      </c>
      <c r="D1095" s="1" t="s">
        <v>2190</v>
      </c>
    </row>
    <row r="1096">
      <c r="A1096" s="1" t="s">
        <v>140</v>
      </c>
      <c r="B1096" s="1" t="str">
        <f>VLOOKUP(A1096,Institutions!A:B,2,False)</f>
        <v>Italy</v>
      </c>
      <c r="C1096" s="8">
        <v>45292.0</v>
      </c>
      <c r="D1096" s="1" t="s">
        <v>2191</v>
      </c>
    </row>
    <row r="1097">
      <c r="A1097" s="1" t="s">
        <v>140</v>
      </c>
      <c r="B1097" s="1" t="str">
        <f>VLOOKUP(A1097,Institutions!A:B,2,False)</f>
        <v>Italy</v>
      </c>
      <c r="C1097" s="8">
        <v>44562.0</v>
      </c>
      <c r="D1097" s="1" t="s">
        <v>1281</v>
      </c>
    </row>
    <row r="1098">
      <c r="A1098" s="1" t="s">
        <v>140</v>
      </c>
      <c r="B1098" s="1" t="str">
        <f>VLOOKUP(A1098,Institutions!A:B,2,False)</f>
        <v>Italy</v>
      </c>
      <c r="C1098" s="8">
        <v>44197.0</v>
      </c>
      <c r="D1098" s="1" t="s">
        <v>1527</v>
      </c>
    </row>
    <row r="1099">
      <c r="A1099" s="1" t="s">
        <v>140</v>
      </c>
      <c r="B1099" s="1" t="str">
        <f>VLOOKUP(A1099,Institutions!A:B,2,False)</f>
        <v>Italy</v>
      </c>
      <c r="C1099" s="8">
        <v>43831.0</v>
      </c>
      <c r="D1099" s="1" t="s">
        <v>1543</v>
      </c>
    </row>
    <row r="1100">
      <c r="A1100" s="1" t="s">
        <v>140</v>
      </c>
      <c r="B1100" s="1" t="str">
        <f>VLOOKUP(A1100,Institutions!A:B,2,False)</f>
        <v>Italy</v>
      </c>
      <c r="C1100" s="8">
        <v>43831.0</v>
      </c>
      <c r="D1100" s="1" t="s">
        <v>2022</v>
      </c>
    </row>
    <row r="1101">
      <c r="A1101" s="1" t="s">
        <v>140</v>
      </c>
      <c r="B1101" s="1" t="str">
        <f>VLOOKUP(A1101,Institutions!A:B,2,False)</f>
        <v>Italy</v>
      </c>
      <c r="C1101" s="8">
        <v>43831.0</v>
      </c>
      <c r="D1101" s="1" t="s">
        <v>2023</v>
      </c>
    </row>
    <row r="1102">
      <c r="A1102" s="1" t="s">
        <v>140</v>
      </c>
      <c r="B1102" s="1" t="str">
        <f>VLOOKUP(A1102,Institutions!A:B,2,False)</f>
        <v>Italy</v>
      </c>
      <c r="C1102" s="8">
        <v>43101.0</v>
      </c>
      <c r="D1102" s="1" t="s">
        <v>2026</v>
      </c>
    </row>
    <row r="1103">
      <c r="A1103" s="1" t="s">
        <v>140</v>
      </c>
      <c r="B1103" s="1" t="str">
        <f>VLOOKUP(A1103,Institutions!A:B,2,False)</f>
        <v>Italy</v>
      </c>
      <c r="C1103" s="8">
        <v>42370.0</v>
      </c>
      <c r="D1103" s="1" t="s">
        <v>1077</v>
      </c>
    </row>
    <row r="1104">
      <c r="A1104" s="1" t="s">
        <v>142</v>
      </c>
      <c r="B1104" s="1" t="str">
        <f>VLOOKUP(A1104,Institutions!A:B,2,False)</f>
        <v>Sweden</v>
      </c>
      <c r="C1104" s="8">
        <v>44927.0</v>
      </c>
      <c r="D1104" s="1" t="s">
        <v>1013</v>
      </c>
    </row>
    <row r="1105">
      <c r="A1105" s="1" t="s">
        <v>142</v>
      </c>
      <c r="B1105" s="1" t="str">
        <f>VLOOKUP(A1105,Institutions!A:B,2,False)</f>
        <v>Sweden</v>
      </c>
      <c r="C1105" s="8">
        <v>44197.0</v>
      </c>
      <c r="D1105" s="1" t="s">
        <v>1026</v>
      </c>
    </row>
    <row r="1106">
      <c r="A1106" s="1" t="s">
        <v>142</v>
      </c>
      <c r="B1106" s="1" t="str">
        <f>VLOOKUP(A1106,Institutions!A:B,2,False)</f>
        <v>Sweden</v>
      </c>
      <c r="C1106" s="8">
        <v>43831.0</v>
      </c>
      <c r="D1106" s="1" t="s">
        <v>1026</v>
      </c>
    </row>
    <row r="1107">
      <c r="A1107" s="1" t="s">
        <v>142</v>
      </c>
      <c r="B1107" s="1" t="str">
        <f>VLOOKUP(A1107,Institutions!A:B,2,False)</f>
        <v>Sweden</v>
      </c>
      <c r="C1107" s="8">
        <v>43466.0</v>
      </c>
      <c r="D1107" s="1" t="s">
        <v>978</v>
      </c>
    </row>
    <row r="1108">
      <c r="A1108" s="1" t="s">
        <v>142</v>
      </c>
      <c r="B1108" s="1" t="str">
        <f>VLOOKUP(A1108,Institutions!A:B,2,False)</f>
        <v>Sweden</v>
      </c>
      <c r="C1108" s="8">
        <v>43101.0</v>
      </c>
      <c r="D1108" s="1" t="s">
        <v>987</v>
      </c>
    </row>
    <row r="1109">
      <c r="A1109" s="1" t="s">
        <v>142</v>
      </c>
      <c r="B1109" s="1" t="str">
        <f>VLOOKUP(A1109,Institutions!A:B,2,False)</f>
        <v>Sweden</v>
      </c>
      <c r="C1109" s="8">
        <v>43101.0</v>
      </c>
      <c r="D1109" s="1" t="s">
        <v>1566</v>
      </c>
    </row>
    <row r="1110">
      <c r="A1110" s="1" t="s">
        <v>142</v>
      </c>
      <c r="B1110" s="1" t="str">
        <f>VLOOKUP(A1110,Institutions!A:B,2,False)</f>
        <v>Sweden</v>
      </c>
      <c r="C1110" s="8">
        <v>42736.0</v>
      </c>
      <c r="D1110" s="1" t="s">
        <v>2192</v>
      </c>
    </row>
    <row r="1111">
      <c r="A1111" s="1" t="s">
        <v>142</v>
      </c>
      <c r="B1111" s="1" t="str">
        <f>VLOOKUP(A1111,Institutions!A:B,2,False)</f>
        <v>Sweden</v>
      </c>
      <c r="C1111" s="8">
        <v>39814.0</v>
      </c>
      <c r="D1111" s="1" t="s">
        <v>1750</v>
      </c>
    </row>
    <row r="1112">
      <c r="A1112" s="1" t="s">
        <v>145</v>
      </c>
      <c r="B1112" s="1" t="str">
        <f>VLOOKUP(A1112,Institutions!A:B,2,False)</f>
        <v>Colombia</v>
      </c>
      <c r="C1112" s="8">
        <v>43831.0</v>
      </c>
      <c r="D1112" s="1" t="s">
        <v>331</v>
      </c>
    </row>
    <row r="1113">
      <c r="A1113" s="1" t="s">
        <v>145</v>
      </c>
      <c r="B1113" s="1" t="str">
        <f>VLOOKUP(A1113,Institutions!A:B,2,False)</f>
        <v>Colombia</v>
      </c>
      <c r="C1113" s="8">
        <v>43831.0</v>
      </c>
      <c r="D1113" s="1" t="s">
        <v>356</v>
      </c>
    </row>
    <row r="1114">
      <c r="A1114" s="1" t="s">
        <v>145</v>
      </c>
      <c r="B1114" s="1" t="str">
        <f>VLOOKUP(A1114,Institutions!A:B,2,False)</f>
        <v>Colombia</v>
      </c>
      <c r="C1114" s="8">
        <v>43101.0</v>
      </c>
      <c r="D1114" s="1" t="s">
        <v>404</v>
      </c>
    </row>
    <row r="1115">
      <c r="A1115" s="1" t="s">
        <v>145</v>
      </c>
      <c r="B1115" s="1" t="str">
        <f>VLOOKUP(A1115,Institutions!A:B,2,False)</f>
        <v>Colombia</v>
      </c>
      <c r="C1115" s="8">
        <v>43101.0</v>
      </c>
      <c r="D1115" s="1" t="s">
        <v>2193</v>
      </c>
    </row>
    <row r="1116">
      <c r="A1116" s="1" t="s">
        <v>145</v>
      </c>
      <c r="B1116" s="1" t="str">
        <f>VLOOKUP(A1116,Institutions!A:B,2,False)</f>
        <v>Colombia</v>
      </c>
      <c r="C1116" s="8">
        <v>42736.0</v>
      </c>
      <c r="D1116" s="1" t="s">
        <v>2194</v>
      </c>
    </row>
    <row r="1117">
      <c r="A1117" s="1" t="s">
        <v>145</v>
      </c>
      <c r="B1117" s="1" t="str">
        <f>VLOOKUP(A1117,Institutions!A:B,2,False)</f>
        <v>Colombia</v>
      </c>
      <c r="C1117" s="8">
        <v>42736.0</v>
      </c>
      <c r="D1117" s="1" t="s">
        <v>2195</v>
      </c>
    </row>
    <row r="1118">
      <c r="A1118" s="1" t="s">
        <v>145</v>
      </c>
      <c r="B1118" s="1" t="str">
        <f>VLOOKUP(A1118,Institutions!A:B,2,False)</f>
        <v>Colombia</v>
      </c>
      <c r="C1118" s="8">
        <v>42736.0</v>
      </c>
      <c r="D1118" s="1" t="s">
        <v>2196</v>
      </c>
    </row>
    <row r="1119">
      <c r="A1119" s="1" t="s">
        <v>145</v>
      </c>
      <c r="B1119" s="1" t="str">
        <f>VLOOKUP(A1119,Institutions!A:B,2,False)</f>
        <v>Colombia</v>
      </c>
      <c r="C1119" s="8">
        <v>42005.0</v>
      </c>
      <c r="D1119" s="1" t="s">
        <v>2197</v>
      </c>
    </row>
    <row r="1120">
      <c r="A1120" s="1" t="s">
        <v>147</v>
      </c>
      <c r="B1120" s="1" t="str">
        <f>VLOOKUP(A1120,Institutions!A:B,2,False)</f>
        <v>Netherlands</v>
      </c>
      <c r="C1120" s="8">
        <v>44927.0</v>
      </c>
      <c r="D1120" s="1" t="s">
        <v>1588</v>
      </c>
    </row>
    <row r="1121">
      <c r="A1121" s="1" t="s">
        <v>147</v>
      </c>
      <c r="B1121" s="1" t="str">
        <f>VLOOKUP(A1121,Institutions!A:B,2,False)</f>
        <v>Netherlands</v>
      </c>
      <c r="C1121" s="8">
        <v>44562.0</v>
      </c>
      <c r="D1121" s="1" t="s">
        <v>1595</v>
      </c>
    </row>
    <row r="1122">
      <c r="A1122" s="1" t="s">
        <v>147</v>
      </c>
      <c r="B1122" s="1" t="str">
        <f>VLOOKUP(A1122,Institutions!A:B,2,False)</f>
        <v>Netherlands</v>
      </c>
      <c r="C1122" s="8">
        <v>44197.0</v>
      </c>
      <c r="D1122" s="1" t="s">
        <v>1611</v>
      </c>
    </row>
    <row r="1123">
      <c r="A1123" s="1" t="s">
        <v>147</v>
      </c>
      <c r="B1123" s="1" t="str">
        <f>VLOOKUP(A1123,Institutions!A:B,2,False)</f>
        <v>Netherlands</v>
      </c>
      <c r="C1123" s="8">
        <v>44197.0</v>
      </c>
      <c r="D1123" s="1" t="s">
        <v>1612</v>
      </c>
    </row>
    <row r="1124">
      <c r="A1124" s="1" t="s">
        <v>147</v>
      </c>
      <c r="B1124" s="1" t="str">
        <f>VLOOKUP(A1124,Institutions!A:B,2,False)</f>
        <v>Netherlands</v>
      </c>
      <c r="C1124" s="8">
        <v>44197.0</v>
      </c>
      <c r="D1124" s="1" t="s">
        <v>1025</v>
      </c>
    </row>
    <row r="1125">
      <c r="A1125" s="1" t="s">
        <v>147</v>
      </c>
      <c r="B1125" s="1" t="str">
        <f>VLOOKUP(A1125,Institutions!A:B,2,False)</f>
        <v>Netherlands</v>
      </c>
      <c r="C1125" s="8">
        <v>43831.0</v>
      </c>
      <c r="D1125" s="1" t="s">
        <v>1029</v>
      </c>
    </row>
    <row r="1126">
      <c r="A1126" s="1" t="s">
        <v>147</v>
      </c>
      <c r="B1126" s="1" t="str">
        <f>VLOOKUP(A1126,Institutions!A:B,2,False)</f>
        <v>Netherlands</v>
      </c>
      <c r="C1126" s="8">
        <v>43466.0</v>
      </c>
      <c r="D1126" s="1" t="s">
        <v>978</v>
      </c>
    </row>
    <row r="1127">
      <c r="A1127" s="1" t="s">
        <v>147</v>
      </c>
      <c r="B1127" s="1" t="str">
        <f>VLOOKUP(A1127,Institutions!A:B,2,False)</f>
        <v>Netherlands</v>
      </c>
      <c r="C1127" s="8">
        <v>42005.0</v>
      </c>
      <c r="D1127" s="1" t="s">
        <v>1951</v>
      </c>
    </row>
    <row r="1128">
      <c r="A1128" s="1" t="s">
        <v>150</v>
      </c>
      <c r="B1128" s="1" t="str">
        <f>VLOOKUP(A1128,Institutions!A:B,2,False)</f>
        <v>Austria</v>
      </c>
      <c r="C1128" s="8">
        <v>45292.0</v>
      </c>
      <c r="D1128" s="1" t="s">
        <v>1497</v>
      </c>
    </row>
    <row r="1129">
      <c r="A1129" s="1" t="s">
        <v>150</v>
      </c>
      <c r="B1129" s="1" t="str">
        <f>VLOOKUP(A1129,Institutions!A:B,2,False)</f>
        <v>Austria</v>
      </c>
      <c r="C1129" s="8">
        <v>44927.0</v>
      </c>
      <c r="D1129" s="1" t="s">
        <v>1501</v>
      </c>
    </row>
    <row r="1130">
      <c r="A1130" s="1" t="s">
        <v>150</v>
      </c>
      <c r="B1130" s="1" t="str">
        <f>VLOOKUP(A1130,Institutions!A:B,2,False)</f>
        <v>Austria</v>
      </c>
      <c r="C1130" s="8">
        <v>44562.0</v>
      </c>
      <c r="D1130" s="1" t="s">
        <v>1442</v>
      </c>
    </row>
    <row r="1131">
      <c r="A1131" s="1" t="s">
        <v>150</v>
      </c>
      <c r="B1131" s="1" t="str">
        <f>VLOOKUP(A1131,Institutions!A:B,2,False)</f>
        <v>Austria</v>
      </c>
      <c r="C1131" s="8">
        <v>44197.0</v>
      </c>
      <c r="D1131" s="1" t="s">
        <v>2032</v>
      </c>
    </row>
    <row r="1132">
      <c r="A1132" s="1" t="s">
        <v>150</v>
      </c>
      <c r="B1132" s="1" t="str">
        <f>VLOOKUP(A1132,Institutions!A:B,2,False)</f>
        <v>Austria</v>
      </c>
      <c r="C1132" s="8">
        <v>43831.0</v>
      </c>
      <c r="D1132" s="1" t="s">
        <v>1538</v>
      </c>
    </row>
    <row r="1133">
      <c r="A1133" s="1" t="s">
        <v>150</v>
      </c>
      <c r="B1133" s="1" t="str">
        <f>VLOOKUP(A1133,Institutions!A:B,2,False)</f>
        <v>Austria</v>
      </c>
      <c r="C1133" s="8">
        <v>43831.0</v>
      </c>
      <c r="D1133" s="1" t="s">
        <v>1452</v>
      </c>
    </row>
    <row r="1134">
      <c r="A1134" s="1" t="s">
        <v>150</v>
      </c>
      <c r="B1134" s="1" t="str">
        <f>VLOOKUP(A1134,Institutions!A:B,2,False)</f>
        <v>Austria</v>
      </c>
      <c r="C1134" s="8">
        <v>43831.0</v>
      </c>
      <c r="D1134" s="1" t="s">
        <v>1542</v>
      </c>
    </row>
    <row r="1135">
      <c r="A1135" s="1" t="s">
        <v>150</v>
      </c>
      <c r="B1135" s="1" t="str">
        <f>VLOOKUP(A1135,Institutions!A:B,2,False)</f>
        <v>Austria</v>
      </c>
      <c r="C1135" s="8">
        <v>43831.0</v>
      </c>
      <c r="D1135" s="1" t="s">
        <v>1454</v>
      </c>
    </row>
    <row r="1136">
      <c r="A1136" s="1" t="s">
        <v>152</v>
      </c>
      <c r="B1136" s="1" t="str">
        <f>VLOOKUP(A1136,Institutions!A:B,2,False)</f>
        <v>Finland</v>
      </c>
      <c r="C1136" s="8">
        <v>45292.0</v>
      </c>
      <c r="D1136" s="1" t="s">
        <v>21</v>
      </c>
    </row>
    <row r="1137">
      <c r="A1137" s="1" t="s">
        <v>152</v>
      </c>
      <c r="B1137" s="1" t="str">
        <f>VLOOKUP(A1137,Institutions!A:B,2,False)</f>
        <v>Finland</v>
      </c>
      <c r="C1137" s="8">
        <v>43466.0</v>
      </c>
      <c r="D1137" s="1" t="s">
        <v>978</v>
      </c>
    </row>
    <row r="1138">
      <c r="A1138" s="1" t="s">
        <v>152</v>
      </c>
      <c r="B1138" s="1" t="str">
        <f>VLOOKUP(A1138,Institutions!A:B,2,False)</f>
        <v>Finland</v>
      </c>
      <c r="C1138" s="8">
        <v>43101.0</v>
      </c>
      <c r="D1138" s="1" t="s">
        <v>622</v>
      </c>
    </row>
    <row r="1139">
      <c r="A1139" s="1" t="s">
        <v>152</v>
      </c>
      <c r="B1139" s="1" t="str">
        <f>VLOOKUP(A1139,Institutions!A:B,2,False)</f>
        <v>Finland</v>
      </c>
      <c r="C1139" s="8">
        <v>43101.0</v>
      </c>
      <c r="D1139" s="1" t="s">
        <v>1562</v>
      </c>
    </row>
    <row r="1140">
      <c r="A1140" s="1" t="s">
        <v>152</v>
      </c>
      <c r="B1140" s="1" t="str">
        <f>VLOOKUP(A1140,Institutions!A:B,2,False)</f>
        <v>Finland</v>
      </c>
      <c r="C1140" s="8">
        <v>40544.0</v>
      </c>
      <c r="D1140" s="1" t="s">
        <v>1986</v>
      </c>
    </row>
    <row r="1141">
      <c r="A1141" s="1" t="s">
        <v>152</v>
      </c>
      <c r="B1141" s="1" t="str">
        <f>VLOOKUP(A1141,Institutions!A:B,2,False)</f>
        <v>Finland</v>
      </c>
      <c r="C1141" s="8">
        <v>40179.0</v>
      </c>
      <c r="D1141" s="1" t="s">
        <v>1987</v>
      </c>
    </row>
    <row r="1142">
      <c r="A1142" s="1" t="s">
        <v>152</v>
      </c>
      <c r="B1142" s="1" t="str">
        <f>VLOOKUP(A1142,Institutions!A:B,2,False)</f>
        <v>Finland</v>
      </c>
      <c r="C1142" s="8">
        <v>40179.0</v>
      </c>
      <c r="D1142" s="1" t="s">
        <v>1986</v>
      </c>
    </row>
    <row r="1143">
      <c r="A1143" s="1" t="s">
        <v>152</v>
      </c>
      <c r="B1143" s="1" t="str">
        <f>VLOOKUP(A1143,Institutions!A:B,2,False)</f>
        <v>Finland</v>
      </c>
      <c r="C1143" s="8">
        <v>40179.0</v>
      </c>
      <c r="D1143" s="1" t="s">
        <v>1988</v>
      </c>
    </row>
    <row r="1144">
      <c r="A1144" s="1" t="s">
        <v>154</v>
      </c>
      <c r="B1144" s="1" t="str">
        <f>VLOOKUP(A1144,Institutions!A:B,2,False)</f>
        <v>Austria</v>
      </c>
      <c r="C1144" s="8">
        <v>44927.0</v>
      </c>
      <c r="D1144" s="1" t="s">
        <v>440</v>
      </c>
    </row>
    <row r="1145">
      <c r="A1145" s="1" t="s">
        <v>154</v>
      </c>
      <c r="B1145" s="1" t="str">
        <f>VLOOKUP(A1145,Institutions!A:B,2,False)</f>
        <v>Austria</v>
      </c>
      <c r="C1145" s="8">
        <v>44927.0</v>
      </c>
      <c r="D1145" s="1" t="s">
        <v>1438</v>
      </c>
    </row>
    <row r="1146">
      <c r="A1146" s="1" t="s">
        <v>154</v>
      </c>
      <c r="B1146" s="1" t="str">
        <f>VLOOKUP(A1146,Institutions!A:B,2,False)</f>
        <v>Austria</v>
      </c>
      <c r="C1146" s="8">
        <v>44562.0</v>
      </c>
      <c r="D1146" s="1" t="s">
        <v>1440</v>
      </c>
    </row>
    <row r="1147">
      <c r="A1147" s="1" t="s">
        <v>154</v>
      </c>
      <c r="B1147" s="1" t="str">
        <f>VLOOKUP(A1147,Institutions!A:B,2,False)</f>
        <v>Austria</v>
      </c>
      <c r="C1147" s="8">
        <v>44197.0</v>
      </c>
      <c r="D1147" s="1" t="s">
        <v>939</v>
      </c>
    </row>
    <row r="1148">
      <c r="A1148" s="1" t="s">
        <v>154</v>
      </c>
      <c r="B1148" s="1" t="str">
        <f>VLOOKUP(A1148,Institutions!A:B,2,False)</f>
        <v>Austria</v>
      </c>
      <c r="C1148" s="8">
        <v>43101.0</v>
      </c>
      <c r="D1148" s="1" t="s">
        <v>1855</v>
      </c>
    </row>
    <row r="1149">
      <c r="A1149" s="1" t="s">
        <v>154</v>
      </c>
      <c r="B1149" s="1" t="str">
        <f>VLOOKUP(A1149,Institutions!A:B,2,False)</f>
        <v>Austria</v>
      </c>
      <c r="C1149" s="8">
        <v>42736.0</v>
      </c>
      <c r="D1149" s="1" t="s">
        <v>2141</v>
      </c>
    </row>
    <row r="1150">
      <c r="A1150" s="1" t="s">
        <v>154</v>
      </c>
      <c r="B1150" s="1" t="str">
        <f>VLOOKUP(A1150,Institutions!A:B,2,False)</f>
        <v>Austria</v>
      </c>
      <c r="C1150" s="8">
        <v>42736.0</v>
      </c>
      <c r="D1150" s="1" t="s">
        <v>2142</v>
      </c>
    </row>
    <row r="1151">
      <c r="A1151" s="1" t="s">
        <v>154</v>
      </c>
      <c r="B1151" s="1" t="str">
        <f>VLOOKUP(A1151,Institutions!A:B,2,False)</f>
        <v>Austria</v>
      </c>
      <c r="C1151" s="8">
        <v>39814.0</v>
      </c>
      <c r="D1151" s="1" t="s">
        <v>2198</v>
      </c>
    </row>
    <row r="1152">
      <c r="A1152" s="1" t="s">
        <v>157</v>
      </c>
      <c r="B1152" s="1" t="str">
        <f>VLOOKUP(A1152,Institutions!A:B,2,False)</f>
        <v>Australia</v>
      </c>
      <c r="C1152" s="8">
        <v>45292.0</v>
      </c>
      <c r="D1152" s="1" t="s">
        <v>2199</v>
      </c>
    </row>
    <row r="1153">
      <c r="A1153" s="1" t="s">
        <v>157</v>
      </c>
      <c r="B1153" s="1" t="str">
        <f>VLOOKUP(A1153,Institutions!A:B,2,False)</f>
        <v>Australia</v>
      </c>
      <c r="C1153" s="8">
        <v>44927.0</v>
      </c>
      <c r="D1153" s="1" t="s">
        <v>1259</v>
      </c>
    </row>
    <row r="1154">
      <c r="A1154" s="1" t="s">
        <v>157</v>
      </c>
      <c r="B1154" s="1" t="str">
        <f>VLOOKUP(A1154,Institutions!A:B,2,False)</f>
        <v>Australia</v>
      </c>
      <c r="C1154" s="8">
        <v>44562.0</v>
      </c>
      <c r="D1154" s="1" t="s">
        <v>1281</v>
      </c>
    </row>
    <row r="1155">
      <c r="A1155" s="1" t="s">
        <v>157</v>
      </c>
      <c r="B1155" s="1" t="str">
        <f>VLOOKUP(A1155,Institutions!A:B,2,False)</f>
        <v>Australia</v>
      </c>
      <c r="C1155" s="8">
        <v>44562.0</v>
      </c>
      <c r="D1155" s="1" t="s">
        <v>1298</v>
      </c>
    </row>
    <row r="1156">
      <c r="A1156" s="1" t="s">
        <v>157</v>
      </c>
      <c r="B1156" s="1" t="str">
        <f>VLOOKUP(A1156,Institutions!A:B,2,False)</f>
        <v>Australia</v>
      </c>
      <c r="C1156" s="8">
        <v>44197.0</v>
      </c>
      <c r="D1156" s="1" t="s">
        <v>1931</v>
      </c>
    </row>
    <row r="1157">
      <c r="A1157" s="1" t="s">
        <v>157</v>
      </c>
      <c r="B1157" s="1" t="str">
        <f>VLOOKUP(A1157,Institutions!A:B,2,False)</f>
        <v>Australia</v>
      </c>
      <c r="C1157" s="8">
        <v>44197.0</v>
      </c>
      <c r="D1157" s="1" t="s">
        <v>229</v>
      </c>
    </row>
    <row r="1158">
      <c r="A1158" s="1" t="s">
        <v>157</v>
      </c>
      <c r="B1158" s="1" t="str">
        <f>VLOOKUP(A1158,Institutions!A:B,2,False)</f>
        <v>Australia</v>
      </c>
      <c r="C1158" s="8">
        <v>43101.0</v>
      </c>
      <c r="D1158" s="1" t="s">
        <v>2200</v>
      </c>
    </row>
    <row r="1159">
      <c r="A1159" s="1" t="s">
        <v>157</v>
      </c>
      <c r="B1159" s="1" t="str">
        <f>VLOOKUP(A1159,Institutions!A:B,2,False)</f>
        <v>Australia</v>
      </c>
      <c r="C1159" s="8">
        <v>42736.0</v>
      </c>
      <c r="D1159" s="1" t="s">
        <v>2192</v>
      </c>
    </row>
    <row r="1160">
      <c r="A1160" s="1" t="s">
        <v>160</v>
      </c>
      <c r="B1160" s="1" t="str">
        <f>VLOOKUP(A1160,Institutions!A:B,2,False)</f>
        <v>Germany</v>
      </c>
      <c r="C1160" s="8">
        <v>44197.0</v>
      </c>
      <c r="D1160" s="1" t="s">
        <v>939</v>
      </c>
    </row>
    <row r="1161">
      <c r="A1161" s="1" t="s">
        <v>160</v>
      </c>
      <c r="B1161" s="1" t="str">
        <f>VLOOKUP(A1161,Institutions!A:B,2,False)</f>
        <v>Germany</v>
      </c>
      <c r="C1161" s="8">
        <v>44197.0</v>
      </c>
      <c r="D1161" s="1" t="s">
        <v>941</v>
      </c>
    </row>
    <row r="1162">
      <c r="A1162" s="1" t="s">
        <v>160</v>
      </c>
      <c r="B1162" s="1" t="str">
        <f>VLOOKUP(A1162,Institutions!A:B,2,False)</f>
        <v>Germany</v>
      </c>
      <c r="C1162" s="8">
        <v>43831.0</v>
      </c>
      <c r="D1162" s="1" t="s">
        <v>950</v>
      </c>
    </row>
    <row r="1163">
      <c r="A1163" s="1" t="s">
        <v>160</v>
      </c>
      <c r="B1163" s="1" t="str">
        <f>VLOOKUP(A1163,Institutions!A:B,2,False)</f>
        <v>Germany</v>
      </c>
      <c r="C1163" s="8">
        <v>43831.0</v>
      </c>
      <c r="D1163" s="1" t="s">
        <v>954</v>
      </c>
    </row>
    <row r="1164">
      <c r="A1164" s="1" t="s">
        <v>160</v>
      </c>
      <c r="B1164" s="1" t="str">
        <f>VLOOKUP(A1164,Institutions!A:B,2,False)</f>
        <v>Germany</v>
      </c>
      <c r="C1164" s="8">
        <v>43101.0</v>
      </c>
      <c r="D1164" s="1" t="s">
        <v>981</v>
      </c>
    </row>
    <row r="1165">
      <c r="A1165" s="1" t="s">
        <v>160</v>
      </c>
      <c r="B1165" s="1" t="str">
        <f>VLOOKUP(A1165,Institutions!A:B,2,False)</f>
        <v>Germany</v>
      </c>
      <c r="C1165" s="8">
        <v>43101.0</v>
      </c>
      <c r="D1165" s="1" t="s">
        <v>994</v>
      </c>
    </row>
    <row r="1166">
      <c r="A1166" s="1" t="s">
        <v>160</v>
      </c>
      <c r="B1166" s="1" t="str">
        <f>VLOOKUP(A1166,Institutions!A:B,2,False)</f>
        <v>Germany</v>
      </c>
      <c r="C1166" s="8">
        <v>42736.0</v>
      </c>
      <c r="D1166" s="1" t="s">
        <v>2201</v>
      </c>
    </row>
    <row r="1167">
      <c r="A1167" s="1" t="s">
        <v>160</v>
      </c>
      <c r="B1167" s="1" t="str">
        <f>VLOOKUP(A1167,Institutions!A:B,2,False)</f>
        <v>Germany</v>
      </c>
      <c r="C1167" s="8">
        <v>42370.0</v>
      </c>
      <c r="D1167" s="1" t="s">
        <v>1905</v>
      </c>
    </row>
    <row r="1168">
      <c r="A1168" s="1" t="s">
        <v>162</v>
      </c>
      <c r="B1168" s="1" t="str">
        <f>VLOOKUP(A1168,Institutions!A:B,2,False)</f>
        <v>Estonia</v>
      </c>
      <c r="C1168" s="8">
        <v>44562.0</v>
      </c>
      <c r="D1168" s="1" t="s">
        <v>1220</v>
      </c>
    </row>
    <row r="1169">
      <c r="A1169" s="1" t="s">
        <v>162</v>
      </c>
      <c r="B1169" s="1" t="str">
        <f>VLOOKUP(A1169,Institutions!A:B,2,False)</f>
        <v>Estonia</v>
      </c>
      <c r="C1169" s="8">
        <v>44562.0</v>
      </c>
      <c r="D1169" s="1" t="s">
        <v>1227</v>
      </c>
    </row>
    <row r="1170">
      <c r="A1170" s="1" t="s">
        <v>162</v>
      </c>
      <c r="B1170" s="1" t="str">
        <f>VLOOKUP(A1170,Institutions!A:B,2,False)</f>
        <v>Estonia</v>
      </c>
      <c r="C1170" s="8">
        <v>43831.0</v>
      </c>
      <c r="D1170" s="1" t="s">
        <v>1027</v>
      </c>
    </row>
    <row r="1171">
      <c r="A1171" s="1" t="s">
        <v>162</v>
      </c>
      <c r="B1171" s="1" t="str">
        <f>VLOOKUP(A1171,Institutions!A:B,2,False)</f>
        <v>Estonia</v>
      </c>
      <c r="C1171" s="8">
        <v>43831.0</v>
      </c>
      <c r="D1171" s="1" t="s">
        <v>2202</v>
      </c>
    </row>
    <row r="1172">
      <c r="A1172" s="1" t="s">
        <v>162</v>
      </c>
      <c r="B1172" s="1" t="str">
        <f>VLOOKUP(A1172,Institutions!A:B,2,False)</f>
        <v>Estonia</v>
      </c>
      <c r="C1172" s="8">
        <v>43101.0</v>
      </c>
      <c r="D1172" s="1" t="s">
        <v>2140</v>
      </c>
    </row>
    <row r="1173">
      <c r="A1173" s="1" t="s">
        <v>162</v>
      </c>
      <c r="B1173" s="1" t="str">
        <f>VLOOKUP(A1173,Institutions!A:B,2,False)</f>
        <v>Estonia</v>
      </c>
      <c r="C1173" s="8">
        <v>42736.0</v>
      </c>
      <c r="D1173" s="1" t="s">
        <v>2192</v>
      </c>
    </row>
    <row r="1174">
      <c r="A1174" s="1" t="s">
        <v>162</v>
      </c>
      <c r="B1174" s="1" t="str">
        <f>VLOOKUP(A1174,Institutions!A:B,2,False)</f>
        <v>Estonia</v>
      </c>
      <c r="C1174" s="8">
        <v>42005.0</v>
      </c>
      <c r="D1174" s="1" t="s">
        <v>2169</v>
      </c>
    </row>
    <row r="1175">
      <c r="A1175" s="1" t="s">
        <v>162</v>
      </c>
      <c r="B1175" s="1" t="str">
        <f>VLOOKUP(A1175,Institutions!A:B,2,False)</f>
        <v>Estonia</v>
      </c>
      <c r="C1175" s="8">
        <v>41640.0</v>
      </c>
      <c r="D1175" s="1" t="s">
        <v>2203</v>
      </c>
    </row>
    <row r="1176">
      <c r="A1176" s="1" t="s">
        <v>164</v>
      </c>
      <c r="B1176" s="1" t="str">
        <f>VLOOKUP(A1176,Institutions!A:B,2,False)</f>
        <v>Germany</v>
      </c>
      <c r="C1176" s="8">
        <v>45292.0</v>
      </c>
      <c r="D1176" s="1" t="s">
        <v>1250</v>
      </c>
    </row>
    <row r="1177">
      <c r="A1177" s="1" t="s">
        <v>164</v>
      </c>
      <c r="B1177" s="1" t="str">
        <f>VLOOKUP(A1177,Institutions!A:B,2,False)</f>
        <v>Germany</v>
      </c>
      <c r="C1177" s="8">
        <v>45292.0</v>
      </c>
      <c r="D1177" s="1" t="s">
        <v>1252</v>
      </c>
    </row>
    <row r="1178">
      <c r="A1178" s="1" t="s">
        <v>164</v>
      </c>
      <c r="B1178" s="1" t="str">
        <f>VLOOKUP(A1178,Institutions!A:B,2,False)</f>
        <v>Germany</v>
      </c>
      <c r="C1178" s="8">
        <v>44927.0</v>
      </c>
      <c r="D1178" s="1" t="s">
        <v>1258</v>
      </c>
    </row>
    <row r="1179">
      <c r="A1179" s="1" t="s">
        <v>164</v>
      </c>
      <c r="B1179" s="1" t="str">
        <f>VLOOKUP(A1179,Institutions!A:B,2,False)</f>
        <v>Germany</v>
      </c>
      <c r="C1179" s="8">
        <v>44927.0</v>
      </c>
      <c r="D1179" s="1" t="s">
        <v>1260</v>
      </c>
    </row>
    <row r="1180">
      <c r="A1180" s="1" t="s">
        <v>164</v>
      </c>
      <c r="B1180" s="1" t="str">
        <f>VLOOKUP(A1180,Institutions!A:B,2,False)</f>
        <v>Germany</v>
      </c>
      <c r="C1180" s="8">
        <v>44562.0</v>
      </c>
      <c r="D1180" s="1" t="s">
        <v>1285</v>
      </c>
    </row>
    <row r="1181">
      <c r="A1181" s="1" t="s">
        <v>164</v>
      </c>
      <c r="B1181" s="1" t="str">
        <f>VLOOKUP(A1181,Institutions!A:B,2,False)</f>
        <v>Germany</v>
      </c>
      <c r="C1181" s="8">
        <v>44562.0</v>
      </c>
      <c r="D1181" s="1" t="s">
        <v>1294</v>
      </c>
    </row>
    <row r="1182">
      <c r="A1182" s="1" t="s">
        <v>164</v>
      </c>
      <c r="B1182" s="1" t="str">
        <f>VLOOKUP(A1182,Institutions!A:B,2,False)</f>
        <v>Germany</v>
      </c>
      <c r="C1182" s="8">
        <v>44562.0</v>
      </c>
      <c r="D1182" s="1" t="s">
        <v>1296</v>
      </c>
    </row>
    <row r="1183">
      <c r="A1183" s="1" t="s">
        <v>164</v>
      </c>
      <c r="B1183" s="1" t="str">
        <f>VLOOKUP(A1183,Institutions!A:B,2,False)</f>
        <v>Germany</v>
      </c>
      <c r="C1183" s="8">
        <v>43466.0</v>
      </c>
      <c r="D1183" s="1" t="s">
        <v>2204</v>
      </c>
    </row>
    <row r="1184">
      <c r="A1184" s="1" t="s">
        <v>166</v>
      </c>
      <c r="B1184" s="1" t="str">
        <f>VLOOKUP(A1184,Institutions!A:B,2,False)</f>
        <v>Germany</v>
      </c>
      <c r="C1184" s="8">
        <v>44197.0</v>
      </c>
      <c r="D1184" s="1" t="s">
        <v>939</v>
      </c>
    </row>
    <row r="1185">
      <c r="A1185" s="1" t="s">
        <v>166</v>
      </c>
      <c r="B1185" s="1" t="str">
        <f>VLOOKUP(A1185,Institutions!A:B,2,False)</f>
        <v>Germany</v>
      </c>
      <c r="C1185" s="8">
        <v>44197.0</v>
      </c>
      <c r="D1185" s="1" t="s">
        <v>941</v>
      </c>
    </row>
    <row r="1186">
      <c r="A1186" s="1" t="s">
        <v>166</v>
      </c>
      <c r="B1186" s="1" t="str">
        <f>VLOOKUP(A1186,Institutions!A:B,2,False)</f>
        <v>Germany</v>
      </c>
      <c r="C1186" s="8">
        <v>43466.0</v>
      </c>
      <c r="D1186" s="1" t="s">
        <v>974</v>
      </c>
    </row>
    <row r="1187">
      <c r="A1187" s="1" t="s">
        <v>166</v>
      </c>
      <c r="B1187" s="1" t="str">
        <f>VLOOKUP(A1187,Institutions!A:B,2,False)</f>
        <v>Germany</v>
      </c>
      <c r="C1187" s="8">
        <v>43101.0</v>
      </c>
      <c r="D1187" s="1" t="s">
        <v>981</v>
      </c>
    </row>
    <row r="1188">
      <c r="A1188" s="1" t="s">
        <v>166</v>
      </c>
      <c r="B1188" s="1" t="str">
        <f>VLOOKUP(A1188,Institutions!A:B,2,False)</f>
        <v>Germany</v>
      </c>
      <c r="C1188" s="8">
        <v>43101.0</v>
      </c>
      <c r="D1188" s="1" t="s">
        <v>982</v>
      </c>
    </row>
    <row r="1189">
      <c r="A1189" s="1" t="s">
        <v>166</v>
      </c>
      <c r="B1189" s="1" t="str">
        <f>VLOOKUP(A1189,Institutions!A:B,2,False)</f>
        <v>Germany</v>
      </c>
      <c r="C1189" s="8">
        <v>43101.0</v>
      </c>
      <c r="D1189" s="1" t="s">
        <v>994</v>
      </c>
    </row>
    <row r="1190">
      <c r="A1190" s="1" t="s">
        <v>166</v>
      </c>
      <c r="B1190" s="1" t="str">
        <f>VLOOKUP(A1190,Institutions!A:B,2,False)</f>
        <v>Germany</v>
      </c>
      <c r="C1190" s="8">
        <v>42736.0</v>
      </c>
      <c r="D1190" s="1" t="s">
        <v>998</v>
      </c>
    </row>
    <row r="1191">
      <c r="A1191" s="1" t="s">
        <v>166</v>
      </c>
      <c r="B1191" s="1" t="str">
        <f>VLOOKUP(A1191,Institutions!A:B,2,False)</f>
        <v>Germany</v>
      </c>
      <c r="C1191" s="8">
        <v>42736.0</v>
      </c>
      <c r="D1191" s="1" t="s">
        <v>2201</v>
      </c>
    </row>
    <row r="1192">
      <c r="A1192" s="1" t="s">
        <v>168</v>
      </c>
      <c r="B1192" s="1" t="str">
        <f>VLOOKUP(A1192,Institutions!A:B,2,False)</f>
        <v>Germany</v>
      </c>
      <c r="C1192" s="8">
        <v>44927.0</v>
      </c>
      <c r="D1192" s="1" t="s">
        <v>1503</v>
      </c>
    </row>
    <row r="1193">
      <c r="A1193" s="1" t="s">
        <v>168</v>
      </c>
      <c r="B1193" s="1" t="str">
        <f>VLOOKUP(A1193,Institutions!A:B,2,False)</f>
        <v>Germany</v>
      </c>
      <c r="C1193" s="8">
        <v>44927.0</v>
      </c>
      <c r="D1193" s="1" t="s">
        <v>1506</v>
      </c>
    </row>
    <row r="1194">
      <c r="A1194" s="1" t="s">
        <v>168</v>
      </c>
      <c r="B1194" s="1" t="str">
        <f>VLOOKUP(A1194,Institutions!A:B,2,False)</f>
        <v>Germany</v>
      </c>
      <c r="C1194" s="8">
        <v>43831.0</v>
      </c>
      <c r="D1194" s="1" t="s">
        <v>2102</v>
      </c>
    </row>
    <row r="1195">
      <c r="A1195" s="1" t="s">
        <v>168</v>
      </c>
      <c r="B1195" s="1" t="str">
        <f>VLOOKUP(A1195,Institutions!A:B,2,False)</f>
        <v>Germany</v>
      </c>
      <c r="C1195" s="8">
        <v>43101.0</v>
      </c>
      <c r="D1195" s="1" t="s">
        <v>1855</v>
      </c>
    </row>
    <row r="1196">
      <c r="A1196" s="1" t="s">
        <v>168</v>
      </c>
      <c r="B1196" s="1" t="str">
        <f>VLOOKUP(A1196,Institutions!A:B,2,False)</f>
        <v>Germany</v>
      </c>
      <c r="C1196" s="8">
        <v>42370.0</v>
      </c>
      <c r="D1196" s="1" t="s">
        <v>1557</v>
      </c>
    </row>
    <row r="1197">
      <c r="A1197" s="1" t="s">
        <v>168</v>
      </c>
      <c r="B1197" s="1" t="str">
        <f>VLOOKUP(A1197,Institutions!A:B,2,False)</f>
        <v>Germany</v>
      </c>
      <c r="C1197" s="8">
        <v>41640.0</v>
      </c>
      <c r="D1197" s="1" t="s">
        <v>1981</v>
      </c>
    </row>
    <row r="1198">
      <c r="A1198" s="1" t="s">
        <v>168</v>
      </c>
      <c r="B1198" s="1" t="str">
        <f>VLOOKUP(A1198,Institutions!A:B,2,False)</f>
        <v>Germany</v>
      </c>
      <c r="C1198" s="8">
        <v>40179.0</v>
      </c>
      <c r="D1198" s="1" t="s">
        <v>1989</v>
      </c>
    </row>
    <row r="1199">
      <c r="A1199" s="1" t="s">
        <v>170</v>
      </c>
      <c r="B1199" s="1" t="str">
        <f>VLOOKUP(A1199,Institutions!A:B,2,False)</f>
        <v>United States</v>
      </c>
      <c r="C1199" s="8">
        <v>44927.0</v>
      </c>
      <c r="D1199" s="1" t="s">
        <v>2106</v>
      </c>
    </row>
    <row r="1200">
      <c r="A1200" s="1" t="s">
        <v>170</v>
      </c>
      <c r="B1200" s="1" t="str">
        <f>VLOOKUP(A1200,Institutions!A:B,2,False)</f>
        <v>United States</v>
      </c>
      <c r="C1200" s="8">
        <v>44197.0</v>
      </c>
      <c r="D1200" s="1" t="s">
        <v>841</v>
      </c>
    </row>
    <row r="1201">
      <c r="A1201" s="1" t="s">
        <v>170</v>
      </c>
      <c r="B1201" s="1" t="str">
        <f>VLOOKUP(A1201,Institutions!A:B,2,False)</f>
        <v>United States</v>
      </c>
      <c r="C1201" s="8">
        <v>43831.0</v>
      </c>
      <c r="D1201" s="1" t="s">
        <v>2022</v>
      </c>
    </row>
    <row r="1202">
      <c r="A1202" s="1" t="s">
        <v>170</v>
      </c>
      <c r="B1202" s="1" t="str">
        <f>VLOOKUP(A1202,Institutions!A:B,2,False)</f>
        <v>United States</v>
      </c>
      <c r="C1202" s="8">
        <v>43101.0</v>
      </c>
      <c r="D1202" s="1" t="s">
        <v>2013</v>
      </c>
    </row>
    <row r="1203">
      <c r="A1203" s="1" t="s">
        <v>170</v>
      </c>
      <c r="B1203" s="1" t="str">
        <f>VLOOKUP(A1203,Institutions!A:B,2,False)</f>
        <v>United States</v>
      </c>
      <c r="C1203" s="8">
        <v>42736.0</v>
      </c>
      <c r="D1203" s="1" t="s">
        <v>1577</v>
      </c>
    </row>
    <row r="1204">
      <c r="A1204" s="1" t="s">
        <v>170</v>
      </c>
      <c r="B1204" s="1" t="str">
        <f>VLOOKUP(A1204,Institutions!A:B,2,False)</f>
        <v>United States</v>
      </c>
      <c r="C1204" s="8">
        <v>41275.0</v>
      </c>
      <c r="D1204" s="1" t="s">
        <v>1414</v>
      </c>
    </row>
    <row r="1205">
      <c r="A1205" s="1" t="s">
        <v>170</v>
      </c>
      <c r="B1205" s="1" t="str">
        <f>VLOOKUP(A1205,Institutions!A:B,2,False)</f>
        <v>United States</v>
      </c>
      <c r="C1205" s="8">
        <v>36892.0</v>
      </c>
      <c r="D1205" s="1" t="s">
        <v>2206</v>
      </c>
    </row>
    <row r="1206">
      <c r="A1206" s="1" t="s">
        <v>172</v>
      </c>
      <c r="B1206" s="1" t="str">
        <f>VLOOKUP(A1206,Institutions!A:B,2,False)</f>
        <v>Italy</v>
      </c>
      <c r="C1206" s="8">
        <v>45292.0</v>
      </c>
      <c r="D1206" s="1" t="s">
        <v>1117</v>
      </c>
    </row>
    <row r="1207">
      <c r="A1207" s="1" t="s">
        <v>172</v>
      </c>
      <c r="B1207" s="1" t="str">
        <f>VLOOKUP(A1207,Institutions!A:B,2,False)</f>
        <v>Italy</v>
      </c>
      <c r="C1207" s="8">
        <v>44562.0</v>
      </c>
      <c r="D1207" s="1" t="s">
        <v>1519</v>
      </c>
    </row>
    <row r="1208">
      <c r="A1208" s="1" t="s">
        <v>172</v>
      </c>
      <c r="B1208" s="1" t="str">
        <f>VLOOKUP(A1208,Institutions!A:B,2,False)</f>
        <v>Italy</v>
      </c>
      <c r="C1208" s="8">
        <v>44197.0</v>
      </c>
      <c r="D1208" s="1" t="s">
        <v>2075</v>
      </c>
    </row>
    <row r="1209">
      <c r="A1209" s="1" t="s">
        <v>172</v>
      </c>
      <c r="B1209" s="1" t="str">
        <f>VLOOKUP(A1209,Institutions!A:B,2,False)</f>
        <v>Italy</v>
      </c>
      <c r="C1209" s="8">
        <v>44197.0</v>
      </c>
      <c r="D1209" s="1" t="s">
        <v>2076</v>
      </c>
    </row>
    <row r="1210">
      <c r="A1210" s="1" t="s">
        <v>172</v>
      </c>
      <c r="B1210" s="1" t="str">
        <f>VLOOKUP(A1210,Institutions!A:B,2,False)</f>
        <v>Italy</v>
      </c>
      <c r="C1210" s="8">
        <v>44197.0</v>
      </c>
      <c r="D1210" s="1" t="s">
        <v>2077</v>
      </c>
    </row>
    <row r="1211">
      <c r="A1211" s="1" t="s">
        <v>172</v>
      </c>
      <c r="B1211" s="1" t="str">
        <f>VLOOKUP(A1211,Institutions!A:B,2,False)</f>
        <v>Italy</v>
      </c>
      <c r="C1211" s="8">
        <v>43831.0</v>
      </c>
      <c r="D1211" s="1" t="s">
        <v>2078</v>
      </c>
    </row>
    <row r="1212">
      <c r="A1212" s="1" t="s">
        <v>172</v>
      </c>
      <c r="B1212" s="1" t="str">
        <f>VLOOKUP(A1212,Institutions!A:B,2,False)</f>
        <v>Italy</v>
      </c>
      <c r="C1212" s="8">
        <v>43831.0</v>
      </c>
      <c r="D1212" s="1" t="s">
        <v>1543</v>
      </c>
    </row>
    <row r="1213">
      <c r="A1213" s="1" t="s">
        <v>174</v>
      </c>
      <c r="B1213" s="1" t="str">
        <f>VLOOKUP(A1213,Institutions!A:B,2,False)</f>
        <v>Denmark</v>
      </c>
      <c r="C1213" s="8">
        <v>45292.0</v>
      </c>
      <c r="D1213" s="1" t="s">
        <v>16</v>
      </c>
    </row>
    <row r="1214">
      <c r="A1214" s="1" t="s">
        <v>174</v>
      </c>
      <c r="B1214" s="1" t="str">
        <f>VLOOKUP(A1214,Institutions!A:B,2,False)</f>
        <v>Denmark</v>
      </c>
      <c r="C1214" s="8">
        <v>43101.0</v>
      </c>
      <c r="D1214" s="1" t="s">
        <v>979</v>
      </c>
    </row>
    <row r="1215">
      <c r="A1215" s="1" t="s">
        <v>174</v>
      </c>
      <c r="B1215" s="1" t="str">
        <f>VLOOKUP(A1215,Institutions!A:B,2,False)</f>
        <v>Denmark</v>
      </c>
      <c r="C1215" s="8">
        <v>41640.0</v>
      </c>
      <c r="D1215" s="1" t="s">
        <v>2207</v>
      </c>
    </row>
    <row r="1216">
      <c r="A1216" s="1" t="s">
        <v>174</v>
      </c>
      <c r="B1216" s="1" t="str">
        <f>VLOOKUP(A1216,Institutions!A:B,2,False)</f>
        <v>Denmark</v>
      </c>
      <c r="C1216" s="8">
        <v>41640.0</v>
      </c>
      <c r="D1216" s="1" t="s">
        <v>2208</v>
      </c>
    </row>
    <row r="1217">
      <c r="A1217" s="1" t="s">
        <v>174</v>
      </c>
      <c r="B1217" s="1" t="str">
        <f>VLOOKUP(A1217,Institutions!A:B,2,False)</f>
        <v>Denmark</v>
      </c>
      <c r="C1217" s="8">
        <v>41640.0</v>
      </c>
      <c r="D1217" s="1" t="s">
        <v>2209</v>
      </c>
    </row>
    <row r="1218">
      <c r="A1218" s="1" t="s">
        <v>174</v>
      </c>
      <c r="B1218" s="1" t="str">
        <f>VLOOKUP(A1218,Institutions!A:B,2,False)</f>
        <v>Denmark</v>
      </c>
      <c r="C1218" s="8">
        <v>41640.0</v>
      </c>
      <c r="D1218" s="1" t="s">
        <v>2210</v>
      </c>
    </row>
    <row r="1219">
      <c r="A1219" s="1" t="s">
        <v>174</v>
      </c>
      <c r="B1219" s="1" t="str">
        <f>VLOOKUP(A1219,Institutions!A:B,2,False)</f>
        <v>Denmark</v>
      </c>
      <c r="C1219" s="8">
        <v>41275.0</v>
      </c>
      <c r="D1219" s="1" t="s">
        <v>2211</v>
      </c>
    </row>
    <row r="1220">
      <c r="A1220" s="1" t="s">
        <v>176</v>
      </c>
      <c r="B1220" s="1" t="str">
        <f>VLOOKUP(A1220,Institutions!A:B,2,False)</f>
        <v>Germany</v>
      </c>
      <c r="C1220" s="8">
        <v>45292.0</v>
      </c>
      <c r="D1220" s="1" t="s">
        <v>1105</v>
      </c>
    </row>
    <row r="1221">
      <c r="A1221" s="1" t="s">
        <v>176</v>
      </c>
      <c r="B1221" s="1" t="str">
        <f>VLOOKUP(A1221,Institutions!A:B,2,False)</f>
        <v>Germany</v>
      </c>
      <c r="C1221" s="8">
        <v>45292.0</v>
      </c>
      <c r="D1221" s="1" t="s">
        <v>1123</v>
      </c>
    </row>
    <row r="1222">
      <c r="A1222" s="1" t="s">
        <v>176</v>
      </c>
      <c r="B1222" s="1" t="str">
        <f>VLOOKUP(A1222,Institutions!A:B,2,False)</f>
        <v>Germany</v>
      </c>
      <c r="C1222" s="8">
        <v>44927.0</v>
      </c>
      <c r="D1222" s="1" t="s">
        <v>1129</v>
      </c>
    </row>
    <row r="1223">
      <c r="A1223" s="1" t="s">
        <v>176</v>
      </c>
      <c r="B1223" s="1" t="str">
        <f>VLOOKUP(A1223,Institutions!A:B,2,False)</f>
        <v>Germany</v>
      </c>
      <c r="C1223" s="8">
        <v>44927.0</v>
      </c>
      <c r="D1223" s="1" t="s">
        <v>1131</v>
      </c>
    </row>
    <row r="1224">
      <c r="A1224" s="1" t="s">
        <v>176</v>
      </c>
      <c r="B1224" s="1" t="str">
        <f>VLOOKUP(A1224,Institutions!A:B,2,False)</f>
        <v>Germany</v>
      </c>
      <c r="C1224" s="8">
        <v>41640.0</v>
      </c>
      <c r="D1224" s="1" t="s">
        <v>1830</v>
      </c>
    </row>
    <row r="1225">
      <c r="A1225" s="1" t="s">
        <v>176</v>
      </c>
      <c r="B1225" s="1" t="str">
        <f>VLOOKUP(A1225,Institutions!A:B,2,False)</f>
        <v>Germany</v>
      </c>
      <c r="C1225" s="8">
        <v>40909.0</v>
      </c>
      <c r="D1225" s="1" t="s">
        <v>1837</v>
      </c>
    </row>
    <row r="1226">
      <c r="A1226" s="1" t="s">
        <v>176</v>
      </c>
      <c r="B1226" s="1" t="str">
        <f>VLOOKUP(A1226,Institutions!A:B,2,False)</f>
        <v>Germany</v>
      </c>
      <c r="C1226" s="8">
        <v>40909.0</v>
      </c>
      <c r="D1226" s="1" t="s">
        <v>1840</v>
      </c>
    </row>
    <row r="1227">
      <c r="A1227" s="1" t="s">
        <v>179</v>
      </c>
      <c r="B1227" s="1" t="str">
        <f>VLOOKUP(A1227,Institutions!A:B,2,False)</f>
        <v>United Kingdom</v>
      </c>
      <c r="C1227" s="8">
        <v>44927.0</v>
      </c>
      <c r="D1227" s="1" t="s">
        <v>49</v>
      </c>
    </row>
    <row r="1228">
      <c r="A1228" s="1" t="s">
        <v>179</v>
      </c>
      <c r="B1228" s="1" t="str">
        <f>VLOOKUP(A1228,Institutions!A:B,2,False)</f>
        <v>United Kingdom</v>
      </c>
      <c r="C1228" s="8">
        <v>44562.0</v>
      </c>
      <c r="D1228" s="1" t="s">
        <v>472</v>
      </c>
    </row>
    <row r="1229">
      <c r="A1229" s="1" t="s">
        <v>179</v>
      </c>
      <c r="B1229" s="1" t="str">
        <f>VLOOKUP(A1229,Institutions!A:B,2,False)</f>
        <v>United Kingdom</v>
      </c>
      <c r="C1229" s="8">
        <v>44197.0</v>
      </c>
      <c r="D1229" s="1" t="s">
        <v>526</v>
      </c>
    </row>
    <row r="1230">
      <c r="A1230" s="1" t="s">
        <v>179</v>
      </c>
      <c r="B1230" s="1" t="str">
        <f>VLOOKUP(A1230,Institutions!A:B,2,False)</f>
        <v>United Kingdom</v>
      </c>
      <c r="C1230" s="8">
        <v>44197.0</v>
      </c>
      <c r="D1230" s="1" t="s">
        <v>210</v>
      </c>
    </row>
    <row r="1231">
      <c r="A1231" s="1" t="s">
        <v>179</v>
      </c>
      <c r="B1231" s="1" t="str">
        <f>VLOOKUP(A1231,Institutions!A:B,2,False)</f>
        <v>United Kingdom</v>
      </c>
      <c r="C1231" s="8">
        <v>43831.0</v>
      </c>
      <c r="D1231" s="1" t="s">
        <v>558</v>
      </c>
    </row>
    <row r="1232">
      <c r="A1232" s="1" t="s">
        <v>179</v>
      </c>
      <c r="B1232" s="1" t="str">
        <f>VLOOKUP(A1232,Institutions!A:B,2,False)</f>
        <v>United Kingdom</v>
      </c>
      <c r="C1232" s="8">
        <v>43466.0</v>
      </c>
      <c r="D1232" s="1" t="s">
        <v>583</v>
      </c>
    </row>
    <row r="1233">
      <c r="A1233" s="1" t="s">
        <v>179</v>
      </c>
      <c r="B1233" s="1" t="str">
        <f>VLOOKUP(A1233,Institutions!A:B,2,False)</f>
        <v>United Kingdom</v>
      </c>
      <c r="C1233" s="8">
        <v>43101.0</v>
      </c>
      <c r="D1233" s="1" t="s">
        <v>1562</v>
      </c>
    </row>
    <row r="1234">
      <c r="A1234" s="1" t="s">
        <v>181</v>
      </c>
      <c r="B1234" s="1" t="str">
        <f>VLOOKUP(A1234,Institutions!A:B,2,False)</f>
        <v>Netherlands</v>
      </c>
      <c r="C1234" s="8">
        <v>44927.0</v>
      </c>
      <c r="D1234" s="1" t="s">
        <v>1587</v>
      </c>
    </row>
    <row r="1235">
      <c r="A1235" s="1" t="s">
        <v>181</v>
      </c>
      <c r="B1235" s="1" t="str">
        <f>VLOOKUP(A1235,Institutions!A:B,2,False)</f>
        <v>Netherlands</v>
      </c>
      <c r="C1235" s="8">
        <v>44197.0</v>
      </c>
      <c r="D1235" s="1" t="s">
        <v>1302</v>
      </c>
    </row>
    <row r="1236">
      <c r="A1236" s="1" t="s">
        <v>181</v>
      </c>
      <c r="B1236" s="1" t="str">
        <f>VLOOKUP(A1236,Institutions!A:B,2,False)</f>
        <v>Netherlands</v>
      </c>
      <c r="C1236" s="8">
        <v>43831.0</v>
      </c>
      <c r="D1236" s="1" t="s">
        <v>957</v>
      </c>
    </row>
    <row r="1237">
      <c r="A1237" s="1" t="s">
        <v>181</v>
      </c>
      <c r="B1237" s="1" t="str">
        <f>VLOOKUP(A1237,Institutions!A:B,2,False)</f>
        <v>Netherlands</v>
      </c>
      <c r="C1237" s="8">
        <v>43101.0</v>
      </c>
      <c r="D1237" s="1" t="s">
        <v>1855</v>
      </c>
    </row>
    <row r="1238">
      <c r="A1238" s="1" t="s">
        <v>181</v>
      </c>
      <c r="B1238" s="1" t="str">
        <f>VLOOKUP(A1238,Institutions!A:B,2,False)</f>
        <v>Netherlands</v>
      </c>
      <c r="C1238" s="8">
        <v>42370.0</v>
      </c>
      <c r="D1238" s="1" t="s">
        <v>1091</v>
      </c>
    </row>
    <row r="1239">
      <c r="A1239" s="1" t="s">
        <v>181</v>
      </c>
      <c r="B1239" s="1" t="str">
        <f>VLOOKUP(A1239,Institutions!A:B,2,False)</f>
        <v>Netherlands</v>
      </c>
      <c r="C1239" s="8">
        <v>41640.0</v>
      </c>
      <c r="D1239" s="1" t="s">
        <v>2212</v>
      </c>
    </row>
    <row r="1240">
      <c r="A1240" s="1" t="s">
        <v>181</v>
      </c>
      <c r="B1240" s="1" t="str">
        <f>VLOOKUP(A1240,Institutions!A:B,2,False)</f>
        <v>Netherlands</v>
      </c>
      <c r="C1240" s="8">
        <v>41275.0</v>
      </c>
      <c r="D1240" s="1" t="s">
        <v>2213</v>
      </c>
    </row>
    <row r="1241">
      <c r="A1241" s="1" t="s">
        <v>184</v>
      </c>
      <c r="B1241" s="1" t="str">
        <f>VLOOKUP(A1241,Institutions!A:B,2,False)</f>
        <v>United States</v>
      </c>
      <c r="C1241" s="8">
        <v>45292.0</v>
      </c>
      <c r="D1241" s="1" t="s">
        <v>1119</v>
      </c>
    </row>
    <row r="1242">
      <c r="A1242" s="1" t="s">
        <v>184</v>
      </c>
      <c r="B1242" s="1" t="str">
        <f>VLOOKUP(A1242,Institutions!A:B,2,False)</f>
        <v>United States</v>
      </c>
      <c r="C1242" s="8">
        <v>45292.0</v>
      </c>
      <c r="D1242" s="1" t="s">
        <v>1120</v>
      </c>
    </row>
    <row r="1243">
      <c r="A1243" s="1" t="s">
        <v>184</v>
      </c>
      <c r="B1243" s="1" t="str">
        <f>VLOOKUP(A1243,Institutions!A:B,2,False)</f>
        <v>United States</v>
      </c>
      <c r="C1243" s="8">
        <v>44927.0</v>
      </c>
      <c r="D1243" s="1" t="s">
        <v>1127</v>
      </c>
    </row>
    <row r="1244">
      <c r="A1244" s="1" t="s">
        <v>184</v>
      </c>
      <c r="B1244" s="1" t="str">
        <f>VLOOKUP(A1244,Institutions!A:B,2,False)</f>
        <v>United States</v>
      </c>
      <c r="C1244" s="8">
        <v>44927.0</v>
      </c>
      <c r="D1244" s="1" t="s">
        <v>1259</v>
      </c>
    </row>
    <row r="1245">
      <c r="A1245" s="1" t="s">
        <v>184</v>
      </c>
      <c r="B1245" s="1" t="str">
        <f>VLOOKUP(A1245,Institutions!A:B,2,False)</f>
        <v>United States</v>
      </c>
      <c r="C1245" s="8">
        <v>44927.0</v>
      </c>
      <c r="D1245" s="1" t="s">
        <v>1133</v>
      </c>
    </row>
    <row r="1246">
      <c r="A1246" s="1" t="s">
        <v>184</v>
      </c>
      <c r="B1246" s="1" t="str">
        <f>VLOOKUP(A1246,Institutions!A:B,2,False)</f>
        <v>United States</v>
      </c>
      <c r="C1246" s="8">
        <v>44927.0</v>
      </c>
      <c r="D1246" s="1" t="s">
        <v>1270</v>
      </c>
    </row>
    <row r="1247">
      <c r="A1247" s="1" t="s">
        <v>184</v>
      </c>
      <c r="B1247" s="1" t="str">
        <f>VLOOKUP(A1247,Institutions!A:B,2,False)</f>
        <v>United States</v>
      </c>
      <c r="C1247" s="8">
        <v>44562.0</v>
      </c>
      <c r="D1247" s="1" t="s">
        <v>1281</v>
      </c>
    </row>
    <row r="1248">
      <c r="A1248" s="1" t="s">
        <v>186</v>
      </c>
      <c r="B1248" s="1" t="str">
        <f>VLOOKUP(A1248,Institutions!A:B,2,False)</f>
        <v>Brazil</v>
      </c>
      <c r="C1248" s="8">
        <v>44562.0</v>
      </c>
      <c r="D1248" s="1" t="s">
        <v>1698</v>
      </c>
    </row>
    <row r="1249">
      <c r="A1249" s="1" t="s">
        <v>186</v>
      </c>
      <c r="B1249" s="1" t="str">
        <f>VLOOKUP(A1249,Institutions!A:B,2,False)</f>
        <v>Brazil</v>
      </c>
      <c r="C1249" s="8">
        <v>44197.0</v>
      </c>
      <c r="D1249" s="1" t="s">
        <v>939</v>
      </c>
    </row>
    <row r="1250">
      <c r="A1250" s="1" t="s">
        <v>186</v>
      </c>
      <c r="B1250" s="1" t="str">
        <f>VLOOKUP(A1250,Institutions!A:B,2,False)</f>
        <v>Brazil</v>
      </c>
      <c r="C1250" s="8">
        <v>44197.0</v>
      </c>
      <c r="D1250" s="1" t="s">
        <v>1699</v>
      </c>
    </row>
    <row r="1251">
      <c r="A1251" s="1" t="s">
        <v>186</v>
      </c>
      <c r="B1251" s="1" t="str">
        <f>VLOOKUP(A1251,Institutions!A:B,2,False)</f>
        <v>Brazil</v>
      </c>
      <c r="C1251" s="8">
        <v>44197.0</v>
      </c>
      <c r="D1251" s="1" t="s">
        <v>1700</v>
      </c>
    </row>
    <row r="1252">
      <c r="A1252" s="1" t="s">
        <v>186</v>
      </c>
      <c r="B1252" s="1" t="str">
        <f>VLOOKUP(A1252,Institutions!A:B,2,False)</f>
        <v>Brazil</v>
      </c>
      <c r="C1252" s="8">
        <v>44197.0</v>
      </c>
      <c r="D1252" s="1" t="s">
        <v>1701</v>
      </c>
    </row>
    <row r="1253">
      <c r="A1253" s="1" t="s">
        <v>186</v>
      </c>
      <c r="B1253" s="1" t="str">
        <f>VLOOKUP(A1253,Institutions!A:B,2,False)</f>
        <v>Brazil</v>
      </c>
      <c r="C1253" s="8">
        <v>44197.0</v>
      </c>
      <c r="D1253" s="1" t="s">
        <v>1709</v>
      </c>
    </row>
    <row r="1254">
      <c r="A1254" s="1" t="s">
        <v>186</v>
      </c>
      <c r="B1254" s="1" t="str">
        <f>VLOOKUP(A1254,Institutions!A:B,2,False)</f>
        <v>Brazil</v>
      </c>
      <c r="C1254" s="8">
        <v>43831.0</v>
      </c>
      <c r="D1254" s="1" t="s">
        <v>1715</v>
      </c>
    </row>
    <row r="1255">
      <c r="A1255" s="1" t="s">
        <v>188</v>
      </c>
      <c r="B1255" s="1" t="str">
        <f>VLOOKUP(A1255,Institutions!A:B,2,False)</f>
        <v>United States</v>
      </c>
      <c r="C1255" s="8">
        <v>44927.0</v>
      </c>
      <c r="D1255" s="1" t="s">
        <v>1259</v>
      </c>
    </row>
    <row r="1256">
      <c r="A1256" s="1" t="s">
        <v>188</v>
      </c>
      <c r="B1256" s="1" t="str">
        <f>VLOOKUP(A1256,Institutions!A:B,2,False)</f>
        <v>United States</v>
      </c>
      <c r="C1256" s="8">
        <v>44927.0</v>
      </c>
      <c r="D1256" s="1" t="s">
        <v>1150</v>
      </c>
    </row>
    <row r="1257">
      <c r="A1257" s="1" t="s">
        <v>188</v>
      </c>
      <c r="B1257" s="1" t="str">
        <f>VLOOKUP(A1257,Institutions!A:B,2,False)</f>
        <v>United States</v>
      </c>
      <c r="C1257" s="8">
        <v>44562.0</v>
      </c>
      <c r="D1257" s="1" t="s">
        <v>1281</v>
      </c>
    </row>
    <row r="1258">
      <c r="A1258" s="1" t="s">
        <v>188</v>
      </c>
      <c r="B1258" s="1" t="str">
        <f>VLOOKUP(A1258,Institutions!A:B,2,False)</f>
        <v>United States</v>
      </c>
      <c r="C1258" s="8">
        <v>44197.0</v>
      </c>
      <c r="D1258" s="1" t="s">
        <v>1531</v>
      </c>
    </row>
    <row r="1259">
      <c r="A1259" s="1" t="s">
        <v>188</v>
      </c>
      <c r="B1259" s="1" t="str">
        <f>VLOOKUP(A1259,Institutions!A:B,2,False)</f>
        <v>United States</v>
      </c>
      <c r="C1259" s="8">
        <v>43831.0</v>
      </c>
      <c r="D1259" s="1" t="s">
        <v>554</v>
      </c>
    </row>
    <row r="1260">
      <c r="A1260" s="1" t="s">
        <v>188</v>
      </c>
      <c r="B1260" s="1" t="str">
        <f>VLOOKUP(A1260,Institutions!A:B,2,False)</f>
        <v>United States</v>
      </c>
      <c r="C1260" s="8">
        <v>43466.0</v>
      </c>
      <c r="D1260" s="1" t="s">
        <v>1555</v>
      </c>
    </row>
    <row r="1261">
      <c r="A1261" s="1" t="s">
        <v>188</v>
      </c>
      <c r="B1261" s="1" t="str">
        <f>VLOOKUP(A1261,Institutions!A:B,2,False)</f>
        <v>United States</v>
      </c>
      <c r="C1261" s="8">
        <v>42370.0</v>
      </c>
      <c r="D1261" s="1" t="s">
        <v>2214</v>
      </c>
    </row>
    <row r="1262">
      <c r="A1262" s="1" t="s">
        <v>191</v>
      </c>
      <c r="B1262" s="1" t="str">
        <f>VLOOKUP(A1262,Institutions!A:B,2,False)</f>
        <v>United States</v>
      </c>
      <c r="C1262" s="8">
        <v>44927.0</v>
      </c>
      <c r="D1262" s="1" t="s">
        <v>1259</v>
      </c>
    </row>
    <row r="1263">
      <c r="A1263" s="1" t="s">
        <v>191</v>
      </c>
      <c r="B1263" s="1" t="str">
        <f>VLOOKUP(A1263,Institutions!A:B,2,False)</f>
        <v>United States</v>
      </c>
      <c r="C1263" s="8">
        <v>44562.0</v>
      </c>
      <c r="D1263" s="1" t="s">
        <v>1281</v>
      </c>
    </row>
    <row r="1264">
      <c r="A1264" s="1" t="s">
        <v>191</v>
      </c>
      <c r="B1264" s="1" t="str">
        <f>VLOOKUP(A1264,Institutions!A:B,2,False)</f>
        <v>United States</v>
      </c>
      <c r="C1264" s="8">
        <v>44562.0</v>
      </c>
      <c r="D1264" s="1" t="s">
        <v>503</v>
      </c>
    </row>
    <row r="1265">
      <c r="A1265" s="1" t="s">
        <v>191</v>
      </c>
      <c r="B1265" s="1" t="str">
        <f>VLOOKUP(A1265,Institutions!A:B,2,False)</f>
        <v>United States</v>
      </c>
      <c r="C1265" s="8">
        <v>44197.0</v>
      </c>
      <c r="D1265" s="1" t="s">
        <v>1173</v>
      </c>
    </row>
    <row r="1266">
      <c r="A1266" s="1" t="s">
        <v>191</v>
      </c>
      <c r="B1266" s="1" t="str">
        <f>VLOOKUP(A1266,Institutions!A:B,2,False)</f>
        <v>United States</v>
      </c>
      <c r="C1266" s="8">
        <v>44197.0</v>
      </c>
      <c r="D1266" s="1" t="s">
        <v>1305</v>
      </c>
    </row>
    <row r="1267">
      <c r="A1267" s="1" t="s">
        <v>191</v>
      </c>
      <c r="B1267" s="1" t="str">
        <f>VLOOKUP(A1267,Institutions!A:B,2,False)</f>
        <v>United States</v>
      </c>
      <c r="C1267" s="8">
        <v>41640.0</v>
      </c>
      <c r="D1267" s="1" t="s">
        <v>2215</v>
      </c>
    </row>
    <row r="1268">
      <c r="A1268" s="1" t="s">
        <v>191</v>
      </c>
      <c r="B1268" s="1" t="str">
        <f>VLOOKUP(A1268,Institutions!A:B,2,False)</f>
        <v>United States</v>
      </c>
      <c r="C1268" s="8">
        <v>41275.0</v>
      </c>
      <c r="D1268" s="1" t="s">
        <v>2216</v>
      </c>
    </row>
    <row r="1269">
      <c r="A1269" s="1" t="s">
        <v>193</v>
      </c>
      <c r="B1269" s="1" t="str">
        <f>VLOOKUP(A1269,Institutions!A:B,2,False)</f>
        <v>Germany</v>
      </c>
      <c r="C1269" s="8">
        <v>44562.0</v>
      </c>
      <c r="D1269" s="1" t="s">
        <v>1227</v>
      </c>
    </row>
    <row r="1270">
      <c r="A1270" s="1" t="s">
        <v>193</v>
      </c>
      <c r="B1270" s="1" t="str">
        <f>VLOOKUP(A1270,Institutions!A:B,2,False)</f>
        <v>Germany</v>
      </c>
      <c r="C1270" s="8">
        <v>44197.0</v>
      </c>
      <c r="D1270" s="1" t="s">
        <v>2217</v>
      </c>
    </row>
    <row r="1271">
      <c r="A1271" s="1" t="s">
        <v>193</v>
      </c>
      <c r="B1271" s="1" t="str">
        <f>VLOOKUP(A1271,Institutions!A:B,2,False)</f>
        <v>Germany</v>
      </c>
      <c r="C1271" s="8">
        <v>44197.0</v>
      </c>
      <c r="D1271" s="1" t="s">
        <v>1931</v>
      </c>
    </row>
    <row r="1272">
      <c r="A1272" s="1" t="s">
        <v>193</v>
      </c>
      <c r="B1272" s="1" t="str">
        <f>VLOOKUP(A1272,Institutions!A:B,2,False)</f>
        <v>Germany</v>
      </c>
      <c r="C1272" s="8">
        <v>43831.0</v>
      </c>
      <c r="D1272" s="1" t="s">
        <v>957</v>
      </c>
    </row>
    <row r="1273">
      <c r="A1273" s="1" t="s">
        <v>193</v>
      </c>
      <c r="B1273" s="1" t="str">
        <f>VLOOKUP(A1273,Institutions!A:B,2,False)</f>
        <v>Germany</v>
      </c>
      <c r="C1273" s="8">
        <v>43831.0</v>
      </c>
      <c r="D1273" s="1" t="s">
        <v>961</v>
      </c>
    </row>
    <row r="1274">
      <c r="A1274" s="1" t="s">
        <v>193</v>
      </c>
      <c r="B1274" s="1" t="str">
        <f>VLOOKUP(A1274,Institutions!A:B,2,False)</f>
        <v>Germany</v>
      </c>
      <c r="C1274" s="8">
        <v>43101.0</v>
      </c>
      <c r="D1274" s="1" t="s">
        <v>1855</v>
      </c>
    </row>
    <row r="1275">
      <c r="A1275" s="1" t="s">
        <v>193</v>
      </c>
      <c r="B1275" s="1" t="str">
        <f>VLOOKUP(A1275,Institutions!A:B,2,False)</f>
        <v>Germany</v>
      </c>
      <c r="C1275" s="8">
        <v>42370.0</v>
      </c>
      <c r="D1275" s="1" t="s">
        <v>2065</v>
      </c>
    </row>
    <row r="1276">
      <c r="A1276" s="1" t="s">
        <v>195</v>
      </c>
      <c r="B1276" s="1" t="str">
        <f>VLOOKUP(A1276,Institutions!A:B,2,False)</f>
        <v>United States</v>
      </c>
      <c r="C1276" s="8">
        <v>44927.0</v>
      </c>
      <c r="D1276" s="1" t="s">
        <v>1126</v>
      </c>
    </row>
    <row r="1277">
      <c r="A1277" s="1" t="s">
        <v>195</v>
      </c>
      <c r="B1277" s="1" t="str">
        <f>VLOOKUP(A1277,Institutions!A:B,2,False)</f>
        <v>United States</v>
      </c>
      <c r="C1277" s="8">
        <v>44927.0</v>
      </c>
      <c r="D1277" s="1" t="s">
        <v>1127</v>
      </c>
    </row>
    <row r="1278">
      <c r="A1278" s="1" t="s">
        <v>195</v>
      </c>
      <c r="B1278" s="1" t="str">
        <f>VLOOKUP(A1278,Institutions!A:B,2,False)</f>
        <v>United States</v>
      </c>
      <c r="C1278" s="8">
        <v>44927.0</v>
      </c>
      <c r="D1278" s="1" t="s">
        <v>1133</v>
      </c>
    </row>
    <row r="1279">
      <c r="A1279" s="1" t="s">
        <v>195</v>
      </c>
      <c r="B1279" s="1" t="str">
        <f>VLOOKUP(A1279,Institutions!A:B,2,False)</f>
        <v>United States</v>
      </c>
      <c r="C1279" s="8">
        <v>44927.0</v>
      </c>
      <c r="D1279" s="1" t="s">
        <v>1146</v>
      </c>
    </row>
    <row r="1280">
      <c r="A1280" s="1" t="s">
        <v>195</v>
      </c>
      <c r="B1280" s="1" t="str">
        <f>VLOOKUP(A1280,Institutions!A:B,2,False)</f>
        <v>United States</v>
      </c>
      <c r="C1280" s="8">
        <v>44927.0</v>
      </c>
      <c r="D1280" s="1" t="s">
        <v>1149</v>
      </c>
    </row>
    <row r="1281">
      <c r="A1281" s="1" t="s">
        <v>195</v>
      </c>
      <c r="B1281" s="1" t="str">
        <f>VLOOKUP(A1281,Institutions!A:B,2,False)</f>
        <v>United States</v>
      </c>
      <c r="C1281" s="8">
        <v>44562.0</v>
      </c>
      <c r="D1281" s="1" t="s">
        <v>260</v>
      </c>
    </row>
    <row r="1282">
      <c r="A1282" s="1" t="s">
        <v>195</v>
      </c>
      <c r="B1282" s="1" t="str">
        <f>VLOOKUP(A1282,Institutions!A:B,2,False)</f>
        <v>United States</v>
      </c>
      <c r="C1282" s="8">
        <v>43466.0</v>
      </c>
      <c r="D1282" s="1" t="s">
        <v>2218</v>
      </c>
    </row>
    <row r="1283">
      <c r="A1283" s="1" t="s">
        <v>198</v>
      </c>
      <c r="B1283" s="1" t="str">
        <f>VLOOKUP(A1283,Institutions!A:B,2,False)</f>
        <v>Italy</v>
      </c>
      <c r="C1283" s="8">
        <v>45292.0</v>
      </c>
      <c r="D1283" s="1" t="s">
        <v>2191</v>
      </c>
    </row>
    <row r="1284">
      <c r="A1284" s="1" t="s">
        <v>198</v>
      </c>
      <c r="B1284" s="1" t="str">
        <f>VLOOKUP(A1284,Institutions!A:B,2,False)</f>
        <v>Italy</v>
      </c>
      <c r="C1284" s="8">
        <v>44927.0</v>
      </c>
      <c r="D1284" s="1" t="s">
        <v>1138</v>
      </c>
    </row>
    <row r="1285">
      <c r="A1285" s="1" t="s">
        <v>198</v>
      </c>
      <c r="B1285" s="1" t="str">
        <f>VLOOKUP(A1285,Institutions!A:B,2,False)</f>
        <v>Italy</v>
      </c>
      <c r="C1285" s="8">
        <v>44197.0</v>
      </c>
      <c r="D1285" s="1" t="s">
        <v>949</v>
      </c>
    </row>
    <row r="1286">
      <c r="A1286" s="1" t="s">
        <v>198</v>
      </c>
      <c r="B1286" s="1" t="str">
        <f>VLOOKUP(A1286,Institutions!A:B,2,False)</f>
        <v>Italy</v>
      </c>
      <c r="C1286" s="8">
        <v>44197.0</v>
      </c>
      <c r="D1286" s="1" t="s">
        <v>229</v>
      </c>
    </row>
    <row r="1287">
      <c r="A1287" s="1" t="s">
        <v>198</v>
      </c>
      <c r="B1287" s="1" t="str">
        <f>VLOOKUP(A1287,Institutions!A:B,2,False)</f>
        <v>Italy</v>
      </c>
      <c r="C1287" s="8">
        <v>43101.0</v>
      </c>
      <c r="D1287" s="1" t="s">
        <v>2219</v>
      </c>
    </row>
    <row r="1288">
      <c r="A1288" s="1" t="s">
        <v>198</v>
      </c>
      <c r="B1288" s="1" t="str">
        <f>VLOOKUP(A1288,Institutions!A:B,2,False)</f>
        <v>Italy</v>
      </c>
      <c r="C1288" s="8">
        <v>43101.0</v>
      </c>
      <c r="D1288" s="1" t="s">
        <v>1855</v>
      </c>
    </row>
    <row r="1289">
      <c r="A1289" s="1" t="s">
        <v>198</v>
      </c>
      <c r="B1289" s="1" t="str">
        <f>VLOOKUP(A1289,Institutions!A:B,2,False)</f>
        <v>Italy</v>
      </c>
      <c r="C1289" s="8">
        <v>39448.0</v>
      </c>
      <c r="D1289" s="1" t="s">
        <v>2220</v>
      </c>
    </row>
    <row r="1290">
      <c r="A1290" s="1" t="s">
        <v>200</v>
      </c>
      <c r="B1290" s="1" t="str">
        <f>VLOOKUP(A1290,Institutions!A:B,2,False)</f>
        <v>United States</v>
      </c>
      <c r="C1290" s="8">
        <v>44562.0</v>
      </c>
      <c r="D1290" s="1" t="s">
        <v>1515</v>
      </c>
    </row>
    <row r="1291">
      <c r="A1291" s="1" t="s">
        <v>200</v>
      </c>
      <c r="B1291" s="1" t="str">
        <f>VLOOKUP(A1291,Institutions!A:B,2,False)</f>
        <v>United States</v>
      </c>
      <c r="C1291" s="8">
        <v>44197.0</v>
      </c>
      <c r="D1291" s="1" t="s">
        <v>1535</v>
      </c>
    </row>
    <row r="1292">
      <c r="A1292" s="1" t="s">
        <v>200</v>
      </c>
      <c r="B1292" s="1" t="str">
        <f>VLOOKUP(A1292,Institutions!A:B,2,False)</f>
        <v>United States</v>
      </c>
      <c r="C1292" s="8">
        <v>43831.0</v>
      </c>
      <c r="D1292" s="1" t="s">
        <v>913</v>
      </c>
    </row>
    <row r="1293">
      <c r="A1293" s="1" t="s">
        <v>202</v>
      </c>
      <c r="B1293" s="1" t="str">
        <f>VLOOKUP(A1293,Institutions!A:B,2,False)</f>
        <v>Japan</v>
      </c>
      <c r="C1293" s="8">
        <v>44927.0</v>
      </c>
      <c r="D1293" s="1" t="s">
        <v>1126</v>
      </c>
    </row>
    <row r="1294">
      <c r="A1294" s="1" t="s">
        <v>202</v>
      </c>
      <c r="B1294" s="1" t="str">
        <f>VLOOKUP(A1294,Institutions!A:B,2,False)</f>
        <v>Japan</v>
      </c>
      <c r="C1294" s="8">
        <v>44927.0</v>
      </c>
      <c r="D1294" s="1" t="s">
        <v>1190</v>
      </c>
    </row>
    <row r="1295">
      <c r="A1295" s="1" t="s">
        <v>202</v>
      </c>
      <c r="B1295" s="1" t="str">
        <f>VLOOKUP(A1295,Institutions!A:B,2,False)</f>
        <v>Japan</v>
      </c>
      <c r="C1295" s="8">
        <v>44927.0</v>
      </c>
      <c r="D1295" s="1" t="s">
        <v>1133</v>
      </c>
    </row>
    <row r="1296">
      <c r="A1296" s="1" t="s">
        <v>202</v>
      </c>
      <c r="B1296" s="1" t="str">
        <f>VLOOKUP(A1296,Institutions!A:B,2,False)</f>
        <v>Japan</v>
      </c>
      <c r="C1296" s="8">
        <v>44927.0</v>
      </c>
      <c r="D1296" s="1" t="s">
        <v>1146</v>
      </c>
    </row>
    <row r="1297">
      <c r="A1297" s="1" t="s">
        <v>202</v>
      </c>
      <c r="B1297" s="1" t="str">
        <f>VLOOKUP(A1297,Institutions!A:B,2,False)</f>
        <v>Japan</v>
      </c>
      <c r="C1297" s="8">
        <v>44927.0</v>
      </c>
      <c r="D1297" s="1" t="s">
        <v>1149</v>
      </c>
    </row>
    <row r="1298">
      <c r="A1298" s="1" t="s">
        <v>202</v>
      </c>
      <c r="B1298" s="1" t="str">
        <f>VLOOKUP(A1298,Institutions!A:B,2,False)</f>
        <v>Japan</v>
      </c>
      <c r="C1298" s="8">
        <v>41275.0</v>
      </c>
      <c r="D1298" s="1" t="s">
        <v>2221</v>
      </c>
    </row>
    <row r="1299">
      <c r="A1299" s="1" t="s">
        <v>202</v>
      </c>
      <c r="B1299" s="1" t="str">
        <f>VLOOKUP(A1299,Institutions!A:B,2,False)</f>
        <v>Japan</v>
      </c>
      <c r="C1299" s="8">
        <v>40909.0</v>
      </c>
      <c r="D1299" s="1" t="s">
        <v>2222</v>
      </c>
    </row>
    <row r="1300">
      <c r="A1300" s="1" t="s">
        <v>204</v>
      </c>
      <c r="B1300" s="1" t="str">
        <f>VLOOKUP(A1300,Institutions!A:B,2,False)</f>
        <v>Denmark</v>
      </c>
      <c r="C1300" s="8">
        <v>44927.0</v>
      </c>
      <c r="D1300" s="1" t="s">
        <v>1202</v>
      </c>
    </row>
    <row r="1301">
      <c r="A1301" s="1" t="s">
        <v>204</v>
      </c>
      <c r="B1301" s="1" t="str">
        <f>VLOOKUP(A1301,Institutions!A:B,2,False)</f>
        <v>Denmark</v>
      </c>
      <c r="C1301" s="8">
        <v>44562.0</v>
      </c>
      <c r="D1301" s="1" t="s">
        <v>808</v>
      </c>
    </row>
    <row r="1302">
      <c r="A1302" s="1" t="s">
        <v>204</v>
      </c>
      <c r="B1302" s="1" t="str">
        <f>VLOOKUP(A1302,Institutions!A:B,2,False)</f>
        <v>Denmark</v>
      </c>
      <c r="C1302" s="8">
        <v>44197.0</v>
      </c>
      <c r="D1302" s="1" t="s">
        <v>1171</v>
      </c>
    </row>
    <row r="1303">
      <c r="A1303" s="1" t="s">
        <v>204</v>
      </c>
      <c r="B1303" s="1" t="str">
        <f>VLOOKUP(A1303,Institutions!A:B,2,False)</f>
        <v>Denmark</v>
      </c>
      <c r="C1303" s="8">
        <v>44197.0</v>
      </c>
      <c r="D1303" s="1" t="s">
        <v>841</v>
      </c>
    </row>
    <row r="1304">
      <c r="A1304" s="1" t="s">
        <v>204</v>
      </c>
      <c r="B1304" s="1" t="str">
        <f>VLOOKUP(A1304,Institutions!A:B,2,False)</f>
        <v>Denmark</v>
      </c>
      <c r="C1304" s="8">
        <v>44197.0</v>
      </c>
      <c r="D1304" s="1" t="s">
        <v>1239</v>
      </c>
    </row>
    <row r="1305">
      <c r="A1305" s="1" t="s">
        <v>204</v>
      </c>
      <c r="B1305" s="1" t="str">
        <f>VLOOKUP(A1305,Institutions!A:B,2,False)</f>
        <v>Denmark</v>
      </c>
      <c r="C1305" s="8">
        <v>44197.0</v>
      </c>
      <c r="D1305" s="1" t="s">
        <v>2223</v>
      </c>
    </row>
    <row r="1306">
      <c r="A1306" s="1" t="s">
        <v>207</v>
      </c>
      <c r="B1306" s="1" t="str">
        <f>VLOOKUP(A1306,Institutions!A:B,2,False)</f>
        <v>Poland</v>
      </c>
      <c r="C1306" s="8">
        <v>44927.0</v>
      </c>
      <c r="D1306" s="1" t="s">
        <v>440</v>
      </c>
    </row>
    <row r="1307">
      <c r="A1307" s="1" t="s">
        <v>207</v>
      </c>
      <c r="B1307" s="1" t="str">
        <f>VLOOKUP(A1307,Institutions!A:B,2,False)</f>
        <v>Poland</v>
      </c>
      <c r="C1307" s="8">
        <v>44927.0</v>
      </c>
      <c r="D1307" s="1" t="s">
        <v>446</v>
      </c>
    </row>
    <row r="1308">
      <c r="A1308" s="1" t="s">
        <v>207</v>
      </c>
      <c r="B1308" s="1" t="str">
        <f>VLOOKUP(A1308,Institutions!A:B,2,False)</f>
        <v>Poland</v>
      </c>
      <c r="C1308" s="8">
        <v>44927.0</v>
      </c>
      <c r="D1308" s="1" t="s">
        <v>452</v>
      </c>
    </row>
    <row r="1309">
      <c r="A1309" s="1" t="s">
        <v>207</v>
      </c>
      <c r="B1309" s="1" t="str">
        <f>VLOOKUP(A1309,Institutions!A:B,2,False)</f>
        <v>Poland</v>
      </c>
      <c r="C1309" s="8">
        <v>44562.0</v>
      </c>
      <c r="D1309" s="1" t="s">
        <v>476</v>
      </c>
    </row>
    <row r="1310">
      <c r="A1310" s="1" t="s">
        <v>207</v>
      </c>
      <c r="B1310" s="1" t="str">
        <f>VLOOKUP(A1310,Institutions!A:B,2,False)</f>
        <v>Poland</v>
      </c>
      <c r="C1310" s="8">
        <v>44562.0</v>
      </c>
      <c r="D1310" s="1" t="s">
        <v>2224</v>
      </c>
    </row>
    <row r="1311">
      <c r="A1311" s="1" t="s">
        <v>207</v>
      </c>
      <c r="B1311" s="1" t="str">
        <f>VLOOKUP(A1311,Institutions!A:B,2,False)</f>
        <v>Poland</v>
      </c>
      <c r="C1311" s="8">
        <v>44562.0</v>
      </c>
      <c r="D1311" s="1" t="s">
        <v>499</v>
      </c>
    </row>
    <row r="1312">
      <c r="A1312" s="1" t="s">
        <v>209</v>
      </c>
      <c r="B1312" s="1" t="str">
        <f>VLOOKUP(A1312,Institutions!A:B,2,False)</f>
        <v>Estonia</v>
      </c>
      <c r="C1312" s="8">
        <v>44197.0</v>
      </c>
      <c r="D1312" s="1" t="s">
        <v>939</v>
      </c>
    </row>
    <row r="1313">
      <c r="A1313" s="1" t="s">
        <v>209</v>
      </c>
      <c r="B1313" s="1" t="str">
        <f>VLOOKUP(A1313,Institutions!A:B,2,False)</f>
        <v>Estonia</v>
      </c>
      <c r="C1313" s="8">
        <v>44197.0</v>
      </c>
      <c r="D1313" s="1" t="s">
        <v>941</v>
      </c>
    </row>
    <row r="1314">
      <c r="A1314" s="1" t="s">
        <v>209</v>
      </c>
      <c r="B1314" s="1" t="str">
        <f>VLOOKUP(A1314,Institutions!A:B,2,False)</f>
        <v>Estonia</v>
      </c>
      <c r="C1314" s="8">
        <v>43466.0</v>
      </c>
      <c r="D1314" s="1" t="s">
        <v>974</v>
      </c>
    </row>
    <row r="1315">
      <c r="A1315" s="1" t="s">
        <v>209</v>
      </c>
      <c r="B1315" s="1" t="str">
        <f>VLOOKUP(A1315,Institutions!A:B,2,False)</f>
        <v>Estonia</v>
      </c>
      <c r="C1315" s="8">
        <v>43101.0</v>
      </c>
      <c r="D1315" s="1" t="s">
        <v>1855</v>
      </c>
    </row>
    <row r="1316">
      <c r="A1316" s="1" t="s">
        <v>209</v>
      </c>
      <c r="B1316" s="1" t="str">
        <f>VLOOKUP(A1316,Institutions!A:B,2,False)</f>
        <v>Estonia</v>
      </c>
      <c r="C1316" s="8">
        <v>42736.0</v>
      </c>
      <c r="D1316" s="1" t="s">
        <v>2192</v>
      </c>
    </row>
    <row r="1317">
      <c r="A1317" s="1" t="s">
        <v>209</v>
      </c>
      <c r="B1317" s="1" t="str">
        <f>VLOOKUP(A1317,Institutions!A:B,2,False)</f>
        <v>Estonia</v>
      </c>
      <c r="C1317" s="8">
        <v>41640.0</v>
      </c>
      <c r="D1317" s="1" t="s">
        <v>2212</v>
      </c>
    </row>
    <row r="1318">
      <c r="A1318" s="1" t="s">
        <v>211</v>
      </c>
      <c r="B1318" s="1" t="str">
        <f>VLOOKUP(A1318,Institutions!A:B,2,False)</f>
        <v>United States</v>
      </c>
      <c r="C1318" s="8">
        <v>44927.0</v>
      </c>
      <c r="D1318" s="1" t="s">
        <v>1132</v>
      </c>
    </row>
    <row r="1319">
      <c r="A1319" s="1" t="s">
        <v>211</v>
      </c>
      <c r="B1319" s="1" t="str">
        <f>VLOOKUP(A1319,Institutions!A:B,2,False)</f>
        <v>United States</v>
      </c>
      <c r="C1319" s="8">
        <v>44562.0</v>
      </c>
      <c r="D1319" s="1" t="s">
        <v>1151</v>
      </c>
    </row>
    <row r="1320">
      <c r="A1320" s="1" t="s">
        <v>211</v>
      </c>
      <c r="B1320" s="1" t="str">
        <f>VLOOKUP(A1320,Institutions!A:B,2,False)</f>
        <v>United States</v>
      </c>
      <c r="C1320" s="8">
        <v>44197.0</v>
      </c>
      <c r="D1320" s="1" t="s">
        <v>1316</v>
      </c>
    </row>
    <row r="1321">
      <c r="A1321" s="1" t="s">
        <v>214</v>
      </c>
      <c r="B1321" s="1" t="str">
        <f>VLOOKUP(A1321,Institutions!A:B,2,False)</f>
        <v>India</v>
      </c>
      <c r="C1321" s="8">
        <v>43466.0</v>
      </c>
      <c r="D1321" s="1" t="s">
        <v>1720</v>
      </c>
    </row>
    <row r="1322">
      <c r="A1322" s="1" t="s">
        <v>214</v>
      </c>
      <c r="B1322" s="1" t="str">
        <f>VLOOKUP(A1322,Institutions!A:B,2,False)</f>
        <v>India</v>
      </c>
      <c r="C1322" s="8">
        <v>42736.0</v>
      </c>
      <c r="D1322" s="1" t="s">
        <v>1721</v>
      </c>
    </row>
    <row r="1323">
      <c r="A1323" s="1" t="s">
        <v>214</v>
      </c>
      <c r="B1323" s="1" t="str">
        <f>VLOOKUP(A1323,Institutions!A:B,2,False)</f>
        <v>India</v>
      </c>
      <c r="C1323" s="8">
        <v>42736.0</v>
      </c>
      <c r="D1323" s="1" t="s">
        <v>1723</v>
      </c>
    </row>
    <row r="1324">
      <c r="A1324" s="1" t="s">
        <v>214</v>
      </c>
      <c r="B1324" s="1" t="str">
        <f>VLOOKUP(A1324,Institutions!A:B,2,False)</f>
        <v>India</v>
      </c>
      <c r="C1324" s="8">
        <v>41640.0</v>
      </c>
      <c r="D1324" s="1" t="s">
        <v>2225</v>
      </c>
    </row>
    <row r="1325">
      <c r="A1325" s="1" t="s">
        <v>214</v>
      </c>
      <c r="B1325" s="1" t="str">
        <f>VLOOKUP(A1325,Institutions!A:B,2,False)</f>
        <v>India</v>
      </c>
      <c r="C1325" s="8">
        <v>41275.0</v>
      </c>
      <c r="D1325" s="1" t="s">
        <v>2226</v>
      </c>
    </row>
    <row r="1326">
      <c r="A1326" s="1" t="s">
        <v>214</v>
      </c>
      <c r="B1326" s="1" t="str">
        <f>VLOOKUP(A1326,Institutions!A:B,2,False)</f>
        <v>India</v>
      </c>
      <c r="C1326" s="8">
        <v>41275.0</v>
      </c>
      <c r="D1326" s="1" t="s">
        <v>2227</v>
      </c>
    </row>
    <row r="1327">
      <c r="A1327" s="1" t="s">
        <v>216</v>
      </c>
      <c r="B1327" s="1" t="str">
        <f>VLOOKUP(A1327,Institutions!A:B,2,False)</f>
        <v>United States</v>
      </c>
      <c r="C1327" s="8">
        <v>45292.0</v>
      </c>
      <c r="D1327" s="1" t="s">
        <v>427</v>
      </c>
    </row>
    <row r="1328">
      <c r="A1328" s="1" t="s">
        <v>216</v>
      </c>
      <c r="B1328" s="1" t="str">
        <f>VLOOKUP(A1328,Institutions!A:B,2,False)</f>
        <v>United States</v>
      </c>
      <c r="C1328" s="8">
        <v>45292.0</v>
      </c>
      <c r="D1328" s="1" t="s">
        <v>429</v>
      </c>
    </row>
    <row r="1329">
      <c r="A1329" s="1" t="s">
        <v>216</v>
      </c>
      <c r="B1329" s="1" t="str">
        <f>VLOOKUP(A1329,Institutions!A:B,2,False)</f>
        <v>United States</v>
      </c>
      <c r="C1329" s="8">
        <v>44562.0</v>
      </c>
      <c r="D1329" s="1" t="s">
        <v>511</v>
      </c>
    </row>
    <row r="1330">
      <c r="A1330" s="1" t="s">
        <v>216</v>
      </c>
      <c r="B1330" s="1" t="str">
        <f>VLOOKUP(A1330,Institutions!A:B,2,False)</f>
        <v>United States</v>
      </c>
      <c r="C1330" s="8">
        <v>43831.0</v>
      </c>
      <c r="D1330" s="1" t="s">
        <v>548</v>
      </c>
    </row>
    <row r="1331">
      <c r="A1331" s="1" t="s">
        <v>216</v>
      </c>
      <c r="B1331" s="1" t="str">
        <f>VLOOKUP(A1331,Institutions!A:B,2,False)</f>
        <v>United States</v>
      </c>
      <c r="C1331" s="8">
        <v>43101.0</v>
      </c>
      <c r="D1331" s="1" t="s">
        <v>624</v>
      </c>
    </row>
    <row r="1332">
      <c r="A1332" s="1" t="s">
        <v>216</v>
      </c>
      <c r="B1332" s="1" t="str">
        <f>VLOOKUP(A1332,Institutions!A:B,2,False)</f>
        <v>United States</v>
      </c>
      <c r="C1332" s="8">
        <v>42736.0</v>
      </c>
      <c r="D1332" s="1" t="s">
        <v>2228</v>
      </c>
    </row>
    <row r="1333">
      <c r="A1333" s="1" t="s">
        <v>218</v>
      </c>
      <c r="B1333" s="1" t="str">
        <f>VLOOKUP(A1333,Institutions!A:B,2,False)</f>
        <v>Switzerland</v>
      </c>
      <c r="C1333" s="8">
        <v>45292.0</v>
      </c>
      <c r="D1333" s="1" t="s">
        <v>1581</v>
      </c>
    </row>
    <row r="1334">
      <c r="A1334" s="1" t="s">
        <v>218</v>
      </c>
      <c r="B1334" s="1" t="str">
        <f>VLOOKUP(A1334,Institutions!A:B,2,False)</f>
        <v>Switzerland</v>
      </c>
      <c r="C1334" s="8">
        <v>45292.0</v>
      </c>
      <c r="D1334" s="1" t="s">
        <v>919</v>
      </c>
    </row>
    <row r="1335">
      <c r="A1335" s="1" t="s">
        <v>218</v>
      </c>
      <c r="B1335" s="1" t="str">
        <f>VLOOKUP(A1335,Institutions!A:B,2,False)</f>
        <v>Switzerland</v>
      </c>
      <c r="C1335" s="8">
        <v>45292.0</v>
      </c>
      <c r="D1335" s="1" t="s">
        <v>920</v>
      </c>
    </row>
    <row r="1336">
      <c r="A1336" s="1" t="s">
        <v>218</v>
      </c>
      <c r="B1336" s="1" t="str">
        <f>VLOOKUP(A1336,Institutions!A:B,2,False)</f>
        <v>Switzerland</v>
      </c>
      <c r="C1336" s="8">
        <v>44927.0</v>
      </c>
      <c r="D1336" s="1" t="s">
        <v>925</v>
      </c>
    </row>
    <row r="1337">
      <c r="A1337" s="1" t="s">
        <v>218</v>
      </c>
      <c r="B1337" s="1" t="str">
        <f>VLOOKUP(A1337,Institutions!A:B,2,False)</f>
        <v>Switzerland</v>
      </c>
      <c r="C1337" s="8">
        <v>44927.0</v>
      </c>
      <c r="D1337" s="1" t="s">
        <v>1592</v>
      </c>
    </row>
    <row r="1338">
      <c r="A1338" s="1" t="s">
        <v>218</v>
      </c>
      <c r="B1338" s="1" t="str">
        <f>VLOOKUP(A1338,Institutions!A:B,2,False)</f>
        <v>Switzerland</v>
      </c>
      <c r="C1338" s="8">
        <v>44562.0</v>
      </c>
      <c r="D1338" s="1" t="s">
        <v>928</v>
      </c>
    </row>
    <row r="1339">
      <c r="A1339" s="1" t="s">
        <v>220</v>
      </c>
      <c r="B1339" s="1" t="str">
        <f>VLOOKUP(A1339,Institutions!A:B,2,False)</f>
        <v>Ethiopia</v>
      </c>
      <c r="C1339" s="8">
        <v>43101.0</v>
      </c>
      <c r="D1339" s="1" t="s">
        <v>992</v>
      </c>
    </row>
    <row r="1340">
      <c r="A1340" s="1" t="s">
        <v>220</v>
      </c>
      <c r="B1340" s="1" t="str">
        <f>VLOOKUP(A1340,Institutions!A:B,2,False)</f>
        <v>Ethiopia</v>
      </c>
      <c r="C1340" s="8">
        <v>42736.0</v>
      </c>
      <c r="D1340" s="1" t="s">
        <v>1000</v>
      </c>
    </row>
    <row r="1341">
      <c r="A1341" s="1" t="s">
        <v>220</v>
      </c>
      <c r="B1341" s="1" t="str">
        <f>VLOOKUP(A1341,Institutions!A:B,2,False)</f>
        <v>Ethiopia</v>
      </c>
      <c r="C1341" s="8">
        <v>42736.0</v>
      </c>
      <c r="D1341" s="1" t="s">
        <v>1002</v>
      </c>
    </row>
    <row r="1342">
      <c r="A1342" s="1" t="s">
        <v>220</v>
      </c>
      <c r="B1342" s="1" t="str">
        <f>VLOOKUP(A1342,Institutions!A:B,2,False)</f>
        <v>Ethiopia</v>
      </c>
      <c r="C1342" s="8">
        <v>42736.0</v>
      </c>
      <c r="D1342" s="1" t="s">
        <v>1004</v>
      </c>
    </row>
    <row r="1343">
      <c r="A1343" s="1" t="s">
        <v>220</v>
      </c>
      <c r="B1343" s="1" t="str">
        <f>VLOOKUP(A1343,Institutions!A:B,2,False)</f>
        <v>Ethiopia</v>
      </c>
      <c r="C1343" s="8">
        <v>42736.0</v>
      </c>
      <c r="D1343" s="1" t="s">
        <v>2171</v>
      </c>
    </row>
    <row r="1344">
      <c r="A1344" s="1" t="s">
        <v>220</v>
      </c>
      <c r="B1344" s="1" t="str">
        <f>VLOOKUP(A1344,Institutions!A:B,2,False)</f>
        <v>Ethiopia</v>
      </c>
      <c r="C1344" s="8">
        <v>42370.0</v>
      </c>
      <c r="D1344" s="1" t="s">
        <v>2229</v>
      </c>
    </row>
    <row r="1345">
      <c r="A1345" s="1" t="s">
        <v>222</v>
      </c>
      <c r="B1345" s="1" t="str">
        <f>VLOOKUP(A1345,Institutions!A:B,2,False)</f>
        <v>Germany</v>
      </c>
      <c r="C1345" s="8">
        <v>44197.0</v>
      </c>
      <c r="D1345" s="1" t="s">
        <v>939</v>
      </c>
    </row>
    <row r="1346">
      <c r="A1346" s="1" t="s">
        <v>222</v>
      </c>
      <c r="B1346" s="1" t="str">
        <f>VLOOKUP(A1346,Institutions!A:B,2,False)</f>
        <v>Germany</v>
      </c>
      <c r="C1346" s="8">
        <v>44197.0</v>
      </c>
      <c r="D1346" s="1" t="s">
        <v>856</v>
      </c>
    </row>
    <row r="1347">
      <c r="A1347" s="1" t="s">
        <v>222</v>
      </c>
      <c r="B1347" s="1" t="str">
        <f>VLOOKUP(A1347,Institutions!A:B,2,False)</f>
        <v>Germany</v>
      </c>
      <c r="C1347" s="8">
        <v>43466.0</v>
      </c>
      <c r="D1347" s="1" t="s">
        <v>1651</v>
      </c>
    </row>
    <row r="1348">
      <c r="A1348" s="1" t="s">
        <v>222</v>
      </c>
      <c r="B1348" s="1" t="str">
        <f>VLOOKUP(A1348,Institutions!A:B,2,False)</f>
        <v>Germany</v>
      </c>
      <c r="C1348" s="8">
        <v>43466.0</v>
      </c>
      <c r="D1348" s="1" t="s">
        <v>1652</v>
      </c>
    </row>
    <row r="1349">
      <c r="A1349" s="1" t="s">
        <v>222</v>
      </c>
      <c r="B1349" s="1" t="str">
        <f>VLOOKUP(A1349,Institutions!A:B,2,False)</f>
        <v>Germany</v>
      </c>
      <c r="C1349" s="8">
        <v>43466.0</v>
      </c>
      <c r="D1349" s="1" t="s">
        <v>977</v>
      </c>
    </row>
    <row r="1350">
      <c r="A1350" s="1" t="s">
        <v>222</v>
      </c>
      <c r="B1350" s="1" t="str">
        <f>VLOOKUP(A1350,Institutions!A:B,2,False)</f>
        <v>Germany</v>
      </c>
      <c r="C1350" s="8">
        <v>43101.0</v>
      </c>
      <c r="D1350" s="1" t="s">
        <v>1651</v>
      </c>
    </row>
    <row r="1351">
      <c r="A1351" s="1" t="s">
        <v>224</v>
      </c>
      <c r="B1351" s="1" t="str">
        <f>VLOOKUP(A1351,Institutions!A:B,2,False)</f>
        <v>Brazil</v>
      </c>
      <c r="C1351" s="8">
        <v>42005.0</v>
      </c>
      <c r="D1351" s="1" t="s">
        <v>2230</v>
      </c>
    </row>
    <row r="1352">
      <c r="A1352" s="1" t="s">
        <v>224</v>
      </c>
      <c r="B1352" s="1" t="str">
        <f>VLOOKUP(A1352,Institutions!A:B,2,False)</f>
        <v>Brazil</v>
      </c>
      <c r="C1352" s="8">
        <v>41640.0</v>
      </c>
      <c r="D1352" s="1" t="s">
        <v>1482</v>
      </c>
    </row>
    <row r="1353">
      <c r="A1353" s="1" t="s">
        <v>224</v>
      </c>
      <c r="B1353" s="1" t="str">
        <f>VLOOKUP(A1353,Institutions!A:B,2,False)</f>
        <v>Brazil</v>
      </c>
      <c r="C1353" s="8">
        <v>40179.0</v>
      </c>
      <c r="D1353" s="1" t="s">
        <v>2163</v>
      </c>
    </row>
    <row r="1354">
      <c r="A1354" s="1" t="s">
        <v>224</v>
      </c>
      <c r="B1354" s="1" t="str">
        <f>VLOOKUP(A1354,Institutions!A:B,2,False)</f>
        <v>Brazil</v>
      </c>
      <c r="C1354" s="8">
        <v>40179.0</v>
      </c>
      <c r="D1354" s="1" t="s">
        <v>2165</v>
      </c>
    </row>
    <row r="1355">
      <c r="A1355" s="1" t="s">
        <v>224</v>
      </c>
      <c r="B1355" s="1" t="str">
        <f>VLOOKUP(A1355,Institutions!A:B,2,False)</f>
        <v>Brazil</v>
      </c>
      <c r="C1355" s="8">
        <v>40179.0</v>
      </c>
      <c r="D1355" s="1" t="s">
        <v>2164</v>
      </c>
    </row>
    <row r="1356">
      <c r="A1356" s="1" t="s">
        <v>224</v>
      </c>
      <c r="B1356" s="1" t="str">
        <f>VLOOKUP(A1356,Institutions!A:B,2,False)</f>
        <v>Brazil</v>
      </c>
      <c r="C1356" s="8">
        <v>40179.0</v>
      </c>
      <c r="D1356" s="1" t="s">
        <v>2166</v>
      </c>
    </row>
    <row r="1357">
      <c r="A1357" s="1" t="s">
        <v>226</v>
      </c>
      <c r="B1357" s="1" t="str">
        <f>VLOOKUP(A1357,Institutions!A:B,2,False)</f>
        <v>United Kingdom</v>
      </c>
      <c r="C1357" s="8">
        <v>43831.0</v>
      </c>
      <c r="D1357" s="1" t="s">
        <v>910</v>
      </c>
    </row>
    <row r="1358">
      <c r="A1358" s="1" t="s">
        <v>226</v>
      </c>
      <c r="B1358" s="1" t="str">
        <f>VLOOKUP(A1358,Institutions!A:B,2,False)</f>
        <v>United Kingdom</v>
      </c>
      <c r="C1358" s="8">
        <v>43466.0</v>
      </c>
      <c r="D1358" s="1" t="s">
        <v>2231</v>
      </c>
    </row>
    <row r="1359">
      <c r="A1359" s="1" t="s">
        <v>226</v>
      </c>
      <c r="B1359" s="1" t="str">
        <f>VLOOKUP(A1359,Institutions!A:B,2,False)</f>
        <v>United Kingdom</v>
      </c>
      <c r="C1359" s="8">
        <v>43466.0</v>
      </c>
      <c r="D1359" s="1" t="s">
        <v>2079</v>
      </c>
    </row>
    <row r="1360">
      <c r="A1360" s="1" t="s">
        <v>226</v>
      </c>
      <c r="B1360" s="1" t="str">
        <f>VLOOKUP(A1360,Institutions!A:B,2,False)</f>
        <v>United Kingdom</v>
      </c>
      <c r="C1360" s="8">
        <v>41640.0</v>
      </c>
      <c r="D1360" s="1" t="s">
        <v>2143</v>
      </c>
    </row>
    <row r="1361">
      <c r="A1361" s="1" t="s">
        <v>226</v>
      </c>
      <c r="B1361" s="1" t="str">
        <f>VLOOKUP(A1361,Institutions!A:B,2,False)</f>
        <v>United Kingdom</v>
      </c>
      <c r="C1361" s="8">
        <v>40909.0</v>
      </c>
      <c r="D1361" s="1" t="s">
        <v>2144</v>
      </c>
    </row>
    <row r="1362">
      <c r="A1362" s="1" t="s">
        <v>226</v>
      </c>
      <c r="B1362" s="1" t="str">
        <f>VLOOKUP(A1362,Institutions!A:B,2,False)</f>
        <v>United Kingdom</v>
      </c>
      <c r="C1362" s="8">
        <v>39814.0</v>
      </c>
      <c r="D1362" s="1" t="s">
        <v>2147</v>
      </c>
    </row>
    <row r="1363">
      <c r="A1363" s="1" t="s">
        <v>228</v>
      </c>
      <c r="B1363" s="1" t="str">
        <f>VLOOKUP(A1363,Institutions!A:B,2,False)</f>
        <v>New Zealand</v>
      </c>
      <c r="C1363" s="8">
        <v>44197.0</v>
      </c>
      <c r="D1363" s="1" t="s">
        <v>941</v>
      </c>
    </row>
    <row r="1364">
      <c r="A1364" s="1" t="s">
        <v>228</v>
      </c>
      <c r="B1364" s="1" t="str">
        <f>VLOOKUP(A1364,Institutions!A:B,2,False)</f>
        <v>New Zealand</v>
      </c>
      <c r="C1364" s="8">
        <v>43831.0</v>
      </c>
      <c r="D1364" s="1" t="s">
        <v>950</v>
      </c>
    </row>
    <row r="1365">
      <c r="A1365" s="1" t="s">
        <v>228</v>
      </c>
      <c r="B1365" s="1" t="str">
        <f>VLOOKUP(A1365,Institutions!A:B,2,False)</f>
        <v>New Zealand</v>
      </c>
      <c r="C1365" s="8">
        <v>43831.0</v>
      </c>
      <c r="D1365" s="1" t="s">
        <v>954</v>
      </c>
    </row>
    <row r="1366">
      <c r="A1366" s="1" t="s">
        <v>228</v>
      </c>
      <c r="B1366" s="1" t="str">
        <f>VLOOKUP(A1366,Institutions!A:B,2,False)</f>
        <v>New Zealand</v>
      </c>
      <c r="C1366" s="8">
        <v>43466.0</v>
      </c>
      <c r="D1366" s="1" t="s">
        <v>974</v>
      </c>
    </row>
    <row r="1367">
      <c r="A1367" s="1" t="s">
        <v>228</v>
      </c>
      <c r="B1367" s="1" t="str">
        <f>VLOOKUP(A1367,Institutions!A:B,2,False)</f>
        <v>New Zealand</v>
      </c>
      <c r="C1367" s="8">
        <v>43466.0</v>
      </c>
      <c r="D1367" s="1" t="s">
        <v>977</v>
      </c>
    </row>
    <row r="1368">
      <c r="A1368" s="1" t="s">
        <v>228</v>
      </c>
      <c r="B1368" s="1" t="str">
        <f>VLOOKUP(A1368,Institutions!A:B,2,False)</f>
        <v>New Zealand</v>
      </c>
      <c r="C1368" s="8">
        <v>43101.0</v>
      </c>
      <c r="D1368" s="1" t="s">
        <v>993</v>
      </c>
    </row>
    <row r="1369">
      <c r="A1369" s="1" t="s">
        <v>230</v>
      </c>
      <c r="B1369" s="1" t="str">
        <f>VLOOKUP(A1369,Institutions!A:B,2,False)</f>
        <v>Ireland</v>
      </c>
      <c r="C1369" s="8">
        <v>44197.0</v>
      </c>
      <c r="D1369" s="1" t="s">
        <v>939</v>
      </c>
    </row>
    <row r="1370">
      <c r="A1370" s="1" t="s">
        <v>230</v>
      </c>
      <c r="B1370" s="1" t="str">
        <f>VLOOKUP(A1370,Institutions!A:B,2,False)</f>
        <v>Ireland</v>
      </c>
      <c r="C1370" s="8">
        <v>44197.0</v>
      </c>
      <c r="D1370" s="1" t="s">
        <v>1317</v>
      </c>
    </row>
    <row r="1371">
      <c r="A1371" s="1" t="s">
        <v>230</v>
      </c>
      <c r="B1371" s="1" t="str">
        <f>VLOOKUP(A1371,Institutions!A:B,2,False)</f>
        <v>Ireland</v>
      </c>
      <c r="C1371" s="8">
        <v>43831.0</v>
      </c>
      <c r="D1371" s="1" t="s">
        <v>951</v>
      </c>
    </row>
    <row r="1372">
      <c r="A1372" s="1" t="s">
        <v>230</v>
      </c>
      <c r="B1372" s="1" t="str">
        <f>VLOOKUP(A1372,Institutions!A:B,2,False)</f>
        <v>Ireland</v>
      </c>
      <c r="C1372" s="8">
        <v>43831.0</v>
      </c>
      <c r="D1372" s="1" t="s">
        <v>1321</v>
      </c>
    </row>
    <row r="1373">
      <c r="A1373" s="1" t="s">
        <v>230</v>
      </c>
      <c r="B1373" s="1" t="str">
        <f>VLOOKUP(A1373,Institutions!A:B,2,False)</f>
        <v>Ireland</v>
      </c>
      <c r="C1373" s="8">
        <v>43831.0</v>
      </c>
      <c r="D1373" s="1" t="s">
        <v>1325</v>
      </c>
    </row>
    <row r="1374">
      <c r="A1374" s="1" t="s">
        <v>230</v>
      </c>
      <c r="B1374" s="1" t="str">
        <f>VLOOKUP(A1374,Institutions!A:B,2,False)</f>
        <v>Ireland</v>
      </c>
      <c r="C1374" s="8">
        <v>43101.0</v>
      </c>
      <c r="D1374" s="1" t="s">
        <v>2179</v>
      </c>
    </row>
    <row r="1375">
      <c r="A1375" s="1" t="s">
        <v>232</v>
      </c>
      <c r="B1375" s="1" t="str">
        <f>VLOOKUP(A1375,Institutions!A:B,2,False)</f>
        <v>Australia</v>
      </c>
      <c r="C1375" s="8">
        <v>41275.0</v>
      </c>
      <c r="D1375" s="1" t="s">
        <v>2232</v>
      </c>
    </row>
    <row r="1376">
      <c r="A1376" s="1" t="s">
        <v>232</v>
      </c>
      <c r="B1376" s="1" t="str">
        <f>VLOOKUP(A1376,Institutions!A:B,2,False)</f>
        <v>Australia</v>
      </c>
      <c r="C1376" s="8">
        <v>41275.0</v>
      </c>
      <c r="D1376" s="1" t="s">
        <v>2233</v>
      </c>
    </row>
    <row r="1377">
      <c r="A1377" s="1" t="s">
        <v>232</v>
      </c>
      <c r="B1377" s="1" t="str">
        <f>VLOOKUP(A1377,Institutions!A:B,2,False)</f>
        <v>Australia</v>
      </c>
      <c r="C1377" s="8">
        <v>40544.0</v>
      </c>
      <c r="D1377" s="1" t="s">
        <v>2234</v>
      </c>
    </row>
    <row r="1378">
      <c r="A1378" s="1" t="s">
        <v>232</v>
      </c>
      <c r="B1378" s="1" t="str">
        <f>VLOOKUP(A1378,Institutions!A:B,2,False)</f>
        <v>Australia</v>
      </c>
      <c r="C1378" s="8">
        <v>40544.0</v>
      </c>
      <c r="D1378" s="1" t="s">
        <v>2235</v>
      </c>
    </row>
    <row r="1379">
      <c r="A1379" s="1" t="s">
        <v>232</v>
      </c>
      <c r="B1379" s="1" t="str">
        <f>VLOOKUP(A1379,Institutions!A:B,2,False)</f>
        <v>Australia</v>
      </c>
      <c r="C1379" s="8">
        <v>40179.0</v>
      </c>
      <c r="D1379" s="1" t="s">
        <v>2095</v>
      </c>
    </row>
    <row r="1380">
      <c r="A1380" s="1" t="s">
        <v>232</v>
      </c>
      <c r="B1380" s="1" t="str">
        <f>VLOOKUP(A1380,Institutions!A:B,2,False)</f>
        <v>Australia</v>
      </c>
      <c r="C1380" s="8">
        <v>40179.0</v>
      </c>
      <c r="D1380" s="1" t="s">
        <v>2236</v>
      </c>
    </row>
    <row r="1381">
      <c r="A1381" s="1" t="s">
        <v>234</v>
      </c>
      <c r="B1381" s="1" t="str">
        <f>VLOOKUP(A1381,Institutions!A:B,2,False)</f>
        <v>Israel</v>
      </c>
      <c r="C1381" s="8">
        <v>45292.0</v>
      </c>
      <c r="D1381" s="1" t="s">
        <v>766</v>
      </c>
    </row>
    <row r="1382">
      <c r="A1382" s="1" t="s">
        <v>234</v>
      </c>
      <c r="B1382" s="1" t="str">
        <f>VLOOKUP(A1382,Institutions!A:B,2,False)</f>
        <v>Israel</v>
      </c>
      <c r="C1382" s="8">
        <v>44927.0</v>
      </c>
      <c r="D1382" s="1" t="s">
        <v>1191</v>
      </c>
    </row>
    <row r="1383">
      <c r="A1383" s="1" t="s">
        <v>234</v>
      </c>
      <c r="B1383" s="1" t="str">
        <f>VLOOKUP(A1383,Institutions!A:B,2,False)</f>
        <v>Israel</v>
      </c>
      <c r="C1383" s="8">
        <v>44927.0</v>
      </c>
      <c r="D1383" s="1" t="s">
        <v>1203</v>
      </c>
    </row>
    <row r="1384">
      <c r="A1384" s="1" t="s">
        <v>234</v>
      </c>
      <c r="B1384" s="1" t="str">
        <f>VLOOKUP(A1384,Institutions!A:B,2,False)</f>
        <v>Israel</v>
      </c>
      <c r="C1384" s="8">
        <v>44197.0</v>
      </c>
      <c r="D1384" s="1" t="s">
        <v>949</v>
      </c>
    </row>
    <row r="1385">
      <c r="A1385" s="1" t="s">
        <v>234</v>
      </c>
      <c r="B1385" s="1" t="str">
        <f>VLOOKUP(A1385,Institutions!A:B,2,False)</f>
        <v>Israel</v>
      </c>
      <c r="C1385" s="8">
        <v>44197.0</v>
      </c>
      <c r="D1385" s="1" t="s">
        <v>2034</v>
      </c>
    </row>
    <row r="1386">
      <c r="A1386" s="1" t="s">
        <v>234</v>
      </c>
      <c r="B1386" s="1" t="str">
        <f>VLOOKUP(A1386,Institutions!A:B,2,False)</f>
        <v>Israel</v>
      </c>
      <c r="C1386" s="8">
        <v>43101.0</v>
      </c>
      <c r="D1386" s="1" t="s">
        <v>1855</v>
      </c>
    </row>
    <row r="1387">
      <c r="A1387" s="1" t="s">
        <v>237</v>
      </c>
      <c r="B1387" s="1" t="str">
        <f>VLOOKUP(A1387,Institutions!A:B,2,False)</f>
        <v>Germany</v>
      </c>
      <c r="C1387" s="8">
        <v>44197.0</v>
      </c>
      <c r="D1387" s="1" t="s">
        <v>939</v>
      </c>
    </row>
    <row r="1388">
      <c r="A1388" s="1" t="s">
        <v>237</v>
      </c>
      <c r="B1388" s="1" t="str">
        <f>VLOOKUP(A1388,Institutions!A:B,2,False)</f>
        <v>Germany</v>
      </c>
      <c r="C1388" s="8">
        <v>44197.0</v>
      </c>
      <c r="D1388" s="1" t="s">
        <v>941</v>
      </c>
    </row>
    <row r="1389">
      <c r="A1389" s="1" t="s">
        <v>237</v>
      </c>
      <c r="B1389" s="1" t="str">
        <f>VLOOKUP(A1389,Institutions!A:B,2,False)</f>
        <v>Germany</v>
      </c>
      <c r="C1389" s="8">
        <v>43831.0</v>
      </c>
      <c r="D1389" s="1" t="s">
        <v>954</v>
      </c>
    </row>
    <row r="1390">
      <c r="A1390" s="1" t="s">
        <v>237</v>
      </c>
      <c r="B1390" s="1" t="str">
        <f>VLOOKUP(A1390,Institutions!A:B,2,False)</f>
        <v>Germany</v>
      </c>
      <c r="C1390" s="8">
        <v>43101.0</v>
      </c>
      <c r="D1390" s="1" t="s">
        <v>994</v>
      </c>
    </row>
    <row r="1391">
      <c r="A1391" s="1" t="s">
        <v>237</v>
      </c>
      <c r="B1391" s="1" t="str">
        <f>VLOOKUP(A1391,Institutions!A:B,2,False)</f>
        <v>Germany</v>
      </c>
      <c r="C1391" s="8">
        <v>42736.0</v>
      </c>
      <c r="D1391" s="1" t="s">
        <v>2201</v>
      </c>
    </row>
    <row r="1392">
      <c r="A1392" s="1" t="s">
        <v>240</v>
      </c>
      <c r="B1392" s="1" t="str">
        <f>VLOOKUP(A1392,Institutions!A:B,2,False)</f>
        <v>United States</v>
      </c>
      <c r="C1392" s="8">
        <v>45292.0</v>
      </c>
      <c r="D1392" s="1" t="s">
        <v>1694</v>
      </c>
    </row>
    <row r="1393">
      <c r="A1393" s="1" t="s">
        <v>240</v>
      </c>
      <c r="B1393" s="1" t="str">
        <f>VLOOKUP(A1393,Institutions!A:B,2,False)</f>
        <v>United States</v>
      </c>
      <c r="C1393" s="8">
        <v>44197.0</v>
      </c>
      <c r="D1393" s="1" t="s">
        <v>203</v>
      </c>
    </row>
    <row r="1394">
      <c r="A1394" s="1" t="s">
        <v>240</v>
      </c>
      <c r="B1394" s="1" t="str">
        <f>VLOOKUP(A1394,Institutions!A:B,2,False)</f>
        <v>United States</v>
      </c>
      <c r="C1394" s="8">
        <v>44197.0</v>
      </c>
      <c r="D1394" s="1" t="s">
        <v>208</v>
      </c>
    </row>
    <row r="1395">
      <c r="A1395" s="1" t="s">
        <v>240</v>
      </c>
      <c r="B1395" s="1" t="str">
        <f>VLOOKUP(A1395,Institutions!A:B,2,False)</f>
        <v>United States</v>
      </c>
      <c r="C1395" s="8">
        <v>43831.0</v>
      </c>
      <c r="D1395" s="1" t="s">
        <v>346</v>
      </c>
    </row>
    <row r="1396">
      <c r="A1396" s="1" t="s">
        <v>240</v>
      </c>
      <c r="B1396" s="1" t="str">
        <f>VLOOKUP(A1396,Institutions!A:B,2,False)</f>
        <v>United States</v>
      </c>
      <c r="C1396" s="8">
        <v>42736.0</v>
      </c>
      <c r="D1396" s="1" t="s">
        <v>1577</v>
      </c>
    </row>
    <row r="1397">
      <c r="A1397" s="1" t="s">
        <v>241</v>
      </c>
      <c r="B1397" s="1" t="str">
        <f>VLOOKUP(A1397,Institutions!A:B,2,False)</f>
        <v>Germany</v>
      </c>
      <c r="C1397" s="8">
        <v>44927.0</v>
      </c>
      <c r="D1397" s="1" t="s">
        <v>35</v>
      </c>
    </row>
    <row r="1398">
      <c r="A1398" s="1" t="s">
        <v>241</v>
      </c>
      <c r="B1398" s="1" t="str">
        <f>VLOOKUP(A1398,Institutions!A:B,2,False)</f>
        <v>Germany</v>
      </c>
      <c r="C1398" s="8">
        <v>43101.0</v>
      </c>
      <c r="D1398" s="1" t="s">
        <v>2237</v>
      </c>
    </row>
    <row r="1399">
      <c r="A1399" s="1" t="s">
        <v>241</v>
      </c>
      <c r="B1399" s="1" t="str">
        <f>VLOOKUP(A1399,Institutions!A:B,2,False)</f>
        <v>Germany</v>
      </c>
      <c r="C1399" s="8">
        <v>42736.0</v>
      </c>
      <c r="D1399" s="1" t="s">
        <v>2183</v>
      </c>
    </row>
    <row r="1400">
      <c r="A1400" s="1" t="s">
        <v>241</v>
      </c>
      <c r="B1400" s="1" t="str">
        <f>VLOOKUP(A1400,Institutions!A:B,2,False)</f>
        <v>Germany</v>
      </c>
      <c r="C1400" s="8">
        <v>42370.0</v>
      </c>
      <c r="D1400" s="1" t="s">
        <v>2238</v>
      </c>
    </row>
    <row r="1401">
      <c r="A1401" s="1" t="s">
        <v>241</v>
      </c>
      <c r="B1401" s="1" t="str">
        <f>VLOOKUP(A1401,Institutions!A:B,2,False)</f>
        <v>Germany</v>
      </c>
      <c r="C1401" s="8">
        <v>40179.0</v>
      </c>
      <c r="D1401" s="1" t="s">
        <v>2186</v>
      </c>
    </row>
    <row r="1402">
      <c r="A1402" s="1" t="s">
        <v>244</v>
      </c>
      <c r="B1402" s="1" t="str">
        <f>VLOOKUP(A1402,Institutions!A:B,2,False)</f>
        <v>Denmark</v>
      </c>
      <c r="C1402" s="8">
        <v>44927.0</v>
      </c>
      <c r="D1402" s="1" t="s">
        <v>41</v>
      </c>
    </row>
    <row r="1403">
      <c r="A1403" s="1" t="s">
        <v>244</v>
      </c>
      <c r="B1403" s="1" t="str">
        <f>VLOOKUP(A1403,Institutions!A:B,2,False)</f>
        <v>Denmark</v>
      </c>
      <c r="C1403" s="8">
        <v>44927.0</v>
      </c>
      <c r="D1403" s="1" t="s">
        <v>1010</v>
      </c>
    </row>
    <row r="1404">
      <c r="A1404" s="1" t="s">
        <v>244</v>
      </c>
      <c r="B1404" s="1" t="str">
        <f>VLOOKUP(A1404,Institutions!A:B,2,False)</f>
        <v>Denmark</v>
      </c>
      <c r="C1404" s="8">
        <v>44927.0</v>
      </c>
      <c r="D1404" s="1" t="s">
        <v>1271</v>
      </c>
    </row>
    <row r="1405">
      <c r="A1405" s="1" t="s">
        <v>244</v>
      </c>
      <c r="B1405" s="1" t="str">
        <f>VLOOKUP(A1405,Institutions!A:B,2,False)</f>
        <v>Denmark</v>
      </c>
      <c r="C1405" s="8">
        <v>44927.0</v>
      </c>
      <c r="D1405" s="1" t="s">
        <v>70</v>
      </c>
    </row>
    <row r="1406">
      <c r="A1406" s="1" t="s">
        <v>244</v>
      </c>
      <c r="B1406" s="1" t="str">
        <f>VLOOKUP(A1406,Institutions!A:B,2,False)</f>
        <v>Denmark</v>
      </c>
      <c r="C1406" s="8">
        <v>44927.0</v>
      </c>
      <c r="D1406" s="1" t="s">
        <v>925</v>
      </c>
    </row>
    <row r="1407">
      <c r="A1407" s="1" t="s">
        <v>245</v>
      </c>
      <c r="B1407" s="1" t="str">
        <f>VLOOKUP(A1407,Institutions!A:B,2,False)</f>
        <v>Netherlands</v>
      </c>
      <c r="C1407" s="8">
        <v>44927.0</v>
      </c>
      <c r="D1407" s="1" t="s">
        <v>438</v>
      </c>
    </row>
    <row r="1408">
      <c r="A1408" s="1" t="s">
        <v>245</v>
      </c>
      <c r="B1408" s="1" t="str">
        <f>VLOOKUP(A1408,Institutions!A:B,2,False)</f>
        <v>Netherlands</v>
      </c>
      <c r="C1408" s="8">
        <v>44562.0</v>
      </c>
      <c r="D1408" s="1" t="s">
        <v>485</v>
      </c>
    </row>
    <row r="1409">
      <c r="A1409" s="1" t="s">
        <v>245</v>
      </c>
      <c r="B1409" s="1" t="str">
        <f>VLOOKUP(A1409,Institutions!A:B,2,False)</f>
        <v>Netherlands</v>
      </c>
      <c r="C1409" s="8">
        <v>43466.0</v>
      </c>
      <c r="D1409" s="1" t="s">
        <v>603</v>
      </c>
    </row>
    <row r="1410">
      <c r="A1410" s="1" t="s">
        <v>245</v>
      </c>
      <c r="B1410" s="1" t="str">
        <f>VLOOKUP(A1410,Institutions!A:B,2,False)</f>
        <v>Netherlands</v>
      </c>
      <c r="C1410" s="8">
        <v>41640.0</v>
      </c>
      <c r="D1410" s="1" t="s">
        <v>1983</v>
      </c>
    </row>
    <row r="1411">
      <c r="A1411" s="1" t="s">
        <v>245</v>
      </c>
      <c r="B1411" s="1" t="str">
        <f>VLOOKUP(A1411,Institutions!A:B,2,False)</f>
        <v>Netherlands</v>
      </c>
      <c r="C1411" s="8">
        <v>39814.0</v>
      </c>
      <c r="D1411" s="1" t="s">
        <v>1762</v>
      </c>
    </row>
    <row r="1412">
      <c r="A1412" s="1" t="s">
        <v>246</v>
      </c>
      <c r="B1412" s="1" t="str">
        <f>VLOOKUP(A1412,Institutions!A:B,2,False)</f>
        <v>Spain</v>
      </c>
      <c r="C1412" s="8">
        <v>44927.0</v>
      </c>
      <c r="D1412" s="1" t="s">
        <v>1272</v>
      </c>
    </row>
    <row r="1413">
      <c r="A1413" s="1" t="s">
        <v>246</v>
      </c>
      <c r="B1413" s="1" t="str">
        <f>VLOOKUP(A1413,Institutions!A:B,2,False)</f>
        <v>Spain</v>
      </c>
      <c r="C1413" s="8">
        <v>44927.0</v>
      </c>
      <c r="D1413" s="1" t="s">
        <v>1273</v>
      </c>
    </row>
    <row r="1414">
      <c r="A1414" s="1" t="s">
        <v>246</v>
      </c>
      <c r="B1414" s="1" t="str">
        <f>VLOOKUP(A1414,Institutions!A:B,2,False)</f>
        <v>Spain</v>
      </c>
      <c r="C1414" s="8">
        <v>44562.0</v>
      </c>
      <c r="D1414" s="1" t="s">
        <v>1291</v>
      </c>
    </row>
    <row r="1415">
      <c r="A1415" s="1" t="s">
        <v>246</v>
      </c>
      <c r="B1415" s="1" t="str">
        <f>VLOOKUP(A1415,Institutions!A:B,2,False)</f>
        <v>Spain</v>
      </c>
      <c r="C1415" s="8">
        <v>44562.0</v>
      </c>
      <c r="D1415" s="1" t="s">
        <v>1292</v>
      </c>
    </row>
    <row r="1416">
      <c r="A1416" s="1" t="s">
        <v>246</v>
      </c>
      <c r="B1416" s="1" t="str">
        <f>VLOOKUP(A1416,Institutions!A:B,2,False)</f>
        <v>Spain</v>
      </c>
      <c r="C1416" s="8">
        <v>44562.0</v>
      </c>
      <c r="D1416" s="1" t="s">
        <v>1301</v>
      </c>
    </row>
    <row r="1417">
      <c r="A1417" s="1" t="s">
        <v>248</v>
      </c>
      <c r="B1417" s="1" t="str">
        <f>VLOOKUP(A1417,Institutions!A:B,2,False)</f>
        <v>Austria</v>
      </c>
      <c r="C1417" s="8">
        <v>44197.0</v>
      </c>
      <c r="D1417" s="1" t="s">
        <v>939</v>
      </c>
    </row>
    <row r="1418">
      <c r="A1418" s="1" t="s">
        <v>248</v>
      </c>
      <c r="B1418" s="1" t="str">
        <f>VLOOKUP(A1418,Institutions!A:B,2,False)</f>
        <v>Austria</v>
      </c>
      <c r="C1418" s="8">
        <v>43831.0</v>
      </c>
      <c r="D1418" s="1" t="s">
        <v>957</v>
      </c>
    </row>
    <row r="1419">
      <c r="A1419" s="1" t="s">
        <v>248</v>
      </c>
      <c r="B1419" s="1" t="str">
        <f>VLOOKUP(A1419,Institutions!A:B,2,False)</f>
        <v>Austria</v>
      </c>
      <c r="C1419" s="8">
        <v>43466.0</v>
      </c>
      <c r="D1419" s="1" t="s">
        <v>974</v>
      </c>
    </row>
    <row r="1420">
      <c r="A1420" s="1" t="s">
        <v>248</v>
      </c>
      <c r="B1420" s="1" t="str">
        <f>VLOOKUP(A1420,Institutions!A:B,2,False)</f>
        <v>Austria</v>
      </c>
      <c r="C1420" s="8">
        <v>43101.0</v>
      </c>
      <c r="D1420" s="1" t="s">
        <v>994</v>
      </c>
    </row>
    <row r="1421">
      <c r="A1421" s="1" t="s">
        <v>248</v>
      </c>
      <c r="B1421" s="1" t="str">
        <f>VLOOKUP(A1421,Institutions!A:B,2,False)</f>
        <v>Austria</v>
      </c>
      <c r="C1421" s="8">
        <v>42736.0</v>
      </c>
      <c r="D1421" s="1" t="s">
        <v>2201</v>
      </c>
    </row>
    <row r="1422">
      <c r="A1422" s="1" t="s">
        <v>250</v>
      </c>
      <c r="B1422" s="1" t="str">
        <f>VLOOKUP(A1422,Institutions!A:B,2,False)</f>
        <v>Germany</v>
      </c>
      <c r="C1422" s="8">
        <v>44197.0</v>
      </c>
      <c r="D1422" s="1" t="s">
        <v>939</v>
      </c>
    </row>
    <row r="1423">
      <c r="A1423" s="1" t="s">
        <v>250</v>
      </c>
      <c r="B1423" s="1" t="str">
        <f>VLOOKUP(A1423,Institutions!A:B,2,False)</f>
        <v>Germany</v>
      </c>
      <c r="C1423" s="8">
        <v>44197.0</v>
      </c>
      <c r="D1423" s="1" t="s">
        <v>941</v>
      </c>
    </row>
    <row r="1424">
      <c r="A1424" s="1" t="s">
        <v>250</v>
      </c>
      <c r="B1424" s="1" t="str">
        <f>VLOOKUP(A1424,Institutions!A:B,2,False)</f>
        <v>Germany</v>
      </c>
      <c r="C1424" s="8">
        <v>44197.0</v>
      </c>
      <c r="D1424" s="1" t="s">
        <v>856</v>
      </c>
    </row>
    <row r="1425">
      <c r="A1425" s="1" t="s">
        <v>250</v>
      </c>
      <c r="B1425" s="1" t="str">
        <f>VLOOKUP(A1425,Institutions!A:B,2,False)</f>
        <v>Germany</v>
      </c>
      <c r="C1425" s="8">
        <v>43831.0</v>
      </c>
      <c r="D1425" s="1" t="s">
        <v>950</v>
      </c>
    </row>
    <row r="1426">
      <c r="A1426" s="1" t="s">
        <v>250</v>
      </c>
      <c r="B1426" s="1" t="str">
        <f>VLOOKUP(A1426,Institutions!A:B,2,False)</f>
        <v>Germany</v>
      </c>
      <c r="C1426" s="8">
        <v>43466.0</v>
      </c>
      <c r="D1426" s="1" t="s">
        <v>974</v>
      </c>
    </row>
    <row r="1427">
      <c r="A1427" s="1" t="s">
        <v>251</v>
      </c>
      <c r="B1427" s="1" t="str">
        <f>VLOOKUP(A1427,Institutions!A:B,2,False)</f>
        <v>Germany</v>
      </c>
      <c r="C1427" s="8">
        <v>43101.0</v>
      </c>
      <c r="D1427" s="1" t="s">
        <v>981</v>
      </c>
    </row>
    <row r="1428">
      <c r="A1428" s="1" t="s">
        <v>251</v>
      </c>
      <c r="B1428" s="1" t="str">
        <f>VLOOKUP(A1428,Institutions!A:B,2,False)</f>
        <v>Germany</v>
      </c>
      <c r="C1428" s="8">
        <v>43101.0</v>
      </c>
      <c r="D1428" s="1" t="s">
        <v>994</v>
      </c>
    </row>
    <row r="1429">
      <c r="A1429" s="1" t="s">
        <v>251</v>
      </c>
      <c r="B1429" s="1" t="str">
        <f>VLOOKUP(A1429,Institutions!A:B,2,False)</f>
        <v>Germany</v>
      </c>
      <c r="C1429" s="8">
        <v>42736.0</v>
      </c>
      <c r="D1429" s="1" t="s">
        <v>2201</v>
      </c>
    </row>
    <row r="1430">
      <c r="A1430" s="1" t="s">
        <v>251</v>
      </c>
      <c r="B1430" s="1" t="str">
        <f>VLOOKUP(A1430,Institutions!A:B,2,False)</f>
        <v>Germany</v>
      </c>
      <c r="C1430" s="8">
        <v>42370.0</v>
      </c>
      <c r="D1430" s="1" t="s">
        <v>1905</v>
      </c>
    </row>
    <row r="1431">
      <c r="A1431" s="1" t="s">
        <v>251</v>
      </c>
      <c r="B1431" s="1" t="str">
        <f>VLOOKUP(A1431,Institutions!A:B,2,False)</f>
        <v>Germany</v>
      </c>
      <c r="C1431" s="8">
        <v>40179.0</v>
      </c>
      <c r="D1431" s="1" t="s">
        <v>2062</v>
      </c>
    </row>
    <row r="1432">
      <c r="A1432" s="2" t="s">
        <v>252</v>
      </c>
      <c r="B1432" s="1" t="str">
        <f>VLOOKUP(A1432,Institutions!A:B,2,False)</f>
        <v>Germany</v>
      </c>
      <c r="C1432" s="8">
        <v>44927.0</v>
      </c>
      <c r="D1432" s="1" t="s">
        <v>432</v>
      </c>
    </row>
    <row r="1433">
      <c r="A1433" s="2" t="s">
        <v>252</v>
      </c>
      <c r="B1433" s="1" t="str">
        <f>VLOOKUP(A1433,Institutions!A:B,2,False)</f>
        <v>Germany</v>
      </c>
      <c r="C1433" s="8">
        <v>44927.0</v>
      </c>
      <c r="D1433" s="1" t="s">
        <v>452</v>
      </c>
    </row>
    <row r="1434">
      <c r="A1434" s="2" t="s">
        <v>252</v>
      </c>
      <c r="B1434" s="1" t="str">
        <f>VLOOKUP(A1434,Institutions!A:B,2,False)</f>
        <v>Germany</v>
      </c>
      <c r="C1434" s="8">
        <v>44562.0</v>
      </c>
      <c r="D1434" s="1" t="s">
        <v>476</v>
      </c>
    </row>
    <row r="1435">
      <c r="A1435" s="2" t="s">
        <v>252</v>
      </c>
      <c r="B1435" s="1" t="str">
        <f>VLOOKUP(A1435,Institutions!A:B,2,False)</f>
        <v>Germany</v>
      </c>
      <c r="C1435" s="8">
        <v>43466.0</v>
      </c>
      <c r="D1435" s="1" t="s">
        <v>603</v>
      </c>
    </row>
    <row r="1436">
      <c r="A1436" s="2" t="s">
        <v>252</v>
      </c>
      <c r="B1436" s="1" t="str">
        <f>VLOOKUP(A1436,Institutions!A:B,2,False)</f>
        <v>Germany</v>
      </c>
      <c r="C1436" s="8">
        <v>43466.0</v>
      </c>
      <c r="D1436" s="1" t="s">
        <v>1894</v>
      </c>
    </row>
    <row r="1437">
      <c r="A1437" s="1" t="s">
        <v>254</v>
      </c>
      <c r="B1437" s="1" t="str">
        <f>VLOOKUP(A1437,Institutions!A:B,2,False)</f>
        <v>Belgium</v>
      </c>
      <c r="C1437" s="8">
        <v>45292.0</v>
      </c>
      <c r="D1437" s="1" t="s">
        <v>423</v>
      </c>
    </row>
    <row r="1438">
      <c r="A1438" s="1" t="s">
        <v>254</v>
      </c>
      <c r="B1438" s="1" t="str">
        <f>VLOOKUP(A1438,Institutions!A:B,2,False)</f>
        <v>Belgium</v>
      </c>
      <c r="C1438" s="8">
        <v>44927.0</v>
      </c>
      <c r="D1438" s="1" t="s">
        <v>1588</v>
      </c>
    </row>
    <row r="1439">
      <c r="A1439" s="1" t="s">
        <v>254</v>
      </c>
      <c r="B1439" s="1" t="str">
        <f>VLOOKUP(A1439,Institutions!A:B,2,False)</f>
        <v>Belgium</v>
      </c>
      <c r="C1439" s="8">
        <v>44562.0</v>
      </c>
      <c r="D1439" s="1" t="s">
        <v>493</v>
      </c>
    </row>
    <row r="1440">
      <c r="A1440" s="1" t="s">
        <v>254</v>
      </c>
      <c r="B1440" s="1" t="str">
        <f>VLOOKUP(A1440,Institutions!A:B,2,False)</f>
        <v>Belgium</v>
      </c>
      <c r="C1440" s="8">
        <v>44197.0</v>
      </c>
      <c r="D1440" s="1" t="s">
        <v>536</v>
      </c>
    </row>
    <row r="1441">
      <c r="A1441" s="1" t="s">
        <v>254</v>
      </c>
      <c r="B1441" s="1" t="str">
        <f>VLOOKUP(A1441,Institutions!A:B,2,False)</f>
        <v>Belgium</v>
      </c>
      <c r="C1441" s="8">
        <v>43466.0</v>
      </c>
      <c r="D1441" s="1" t="s">
        <v>601</v>
      </c>
    </row>
    <row r="1442">
      <c r="A1442" s="1" t="s">
        <v>256</v>
      </c>
      <c r="B1442" s="1" t="str">
        <f>VLOOKUP(A1442,Institutions!A:B,2,False)</f>
        <v>Germany</v>
      </c>
      <c r="C1442" s="8">
        <v>45292.0</v>
      </c>
      <c r="D1442" s="1" t="s">
        <v>1251</v>
      </c>
    </row>
    <row r="1443">
      <c r="A1443" s="1" t="s">
        <v>256</v>
      </c>
      <c r="B1443" s="1" t="str">
        <f>VLOOKUP(A1443,Institutions!A:B,2,False)</f>
        <v>Germany</v>
      </c>
      <c r="C1443" s="8">
        <v>44562.0</v>
      </c>
      <c r="D1443" s="1" t="s">
        <v>1281</v>
      </c>
    </row>
    <row r="1444">
      <c r="A1444" s="1" t="s">
        <v>256</v>
      </c>
      <c r="B1444" s="1" t="str">
        <f>VLOOKUP(A1444,Institutions!A:B,2,False)</f>
        <v>Germany</v>
      </c>
      <c r="C1444" s="8">
        <v>44562.0</v>
      </c>
      <c r="D1444" s="1" t="s">
        <v>1288</v>
      </c>
    </row>
    <row r="1445">
      <c r="A1445" s="1" t="s">
        <v>256</v>
      </c>
      <c r="B1445" s="1" t="str">
        <f>VLOOKUP(A1445,Institutions!A:B,2,False)</f>
        <v>Germany</v>
      </c>
      <c r="C1445" s="8">
        <v>44562.0</v>
      </c>
      <c r="D1445" s="1" t="s">
        <v>2240</v>
      </c>
    </row>
    <row r="1446">
      <c r="A1446" s="1" t="s">
        <v>256</v>
      </c>
      <c r="B1446" s="1" t="str">
        <f>VLOOKUP(A1446,Institutions!A:B,2,False)</f>
        <v>Germany</v>
      </c>
      <c r="C1446" s="8">
        <v>44197.0</v>
      </c>
      <c r="D1446" s="1" t="s">
        <v>1316</v>
      </c>
    </row>
    <row r="1447">
      <c r="A1447" s="1" t="s">
        <v>258</v>
      </c>
      <c r="B1447" s="1" t="str">
        <f>VLOOKUP(A1447,Institutions!A:B,2,False)</f>
        <v>Germany</v>
      </c>
      <c r="C1447" s="8">
        <v>44562.0</v>
      </c>
      <c r="D1447" s="1" t="s">
        <v>1598</v>
      </c>
    </row>
    <row r="1448">
      <c r="A1448" s="1" t="s">
        <v>258</v>
      </c>
      <c r="B1448" s="1" t="str">
        <f>VLOOKUP(A1448,Institutions!A:B,2,False)</f>
        <v>Germany</v>
      </c>
      <c r="C1448" s="8">
        <v>44562.0</v>
      </c>
      <c r="D1448" s="1" t="s">
        <v>1222</v>
      </c>
    </row>
    <row r="1449">
      <c r="A1449" s="1" t="s">
        <v>258</v>
      </c>
      <c r="B1449" s="1" t="str">
        <f>VLOOKUP(A1449,Institutions!A:B,2,False)</f>
        <v>Germany</v>
      </c>
      <c r="C1449" s="8">
        <v>44562.0</v>
      </c>
      <c r="D1449" s="1" t="s">
        <v>509</v>
      </c>
    </row>
    <row r="1450">
      <c r="A1450" s="1" t="s">
        <v>258</v>
      </c>
      <c r="B1450" s="1" t="str">
        <f>VLOOKUP(A1450,Institutions!A:B,2,False)</f>
        <v>Germany</v>
      </c>
      <c r="C1450" s="8">
        <v>44197.0</v>
      </c>
      <c r="D1450" s="1" t="s">
        <v>2114</v>
      </c>
    </row>
    <row r="1451">
      <c r="A1451" s="1" t="s">
        <v>258</v>
      </c>
      <c r="B1451" s="1" t="str">
        <f>VLOOKUP(A1451,Institutions!A:B,2,False)</f>
        <v>Germany</v>
      </c>
      <c r="C1451" s="8">
        <v>43101.0</v>
      </c>
      <c r="D1451" s="1" t="s">
        <v>1855</v>
      </c>
    </row>
    <row r="1452">
      <c r="A1452" s="1" t="s">
        <v>259</v>
      </c>
      <c r="B1452" s="1" t="str">
        <f>VLOOKUP(A1452,Institutions!A:B,2,False)</f>
        <v>Germany</v>
      </c>
      <c r="C1452" s="8">
        <v>44562.0</v>
      </c>
      <c r="D1452" s="1" t="s">
        <v>1288</v>
      </c>
    </row>
    <row r="1453">
      <c r="A1453" s="1" t="s">
        <v>259</v>
      </c>
      <c r="B1453" s="1" t="str">
        <f>VLOOKUP(A1453,Institutions!A:B,2,False)</f>
        <v>Germany</v>
      </c>
      <c r="C1453" s="8">
        <v>44562.0</v>
      </c>
      <c r="D1453" s="1" t="s">
        <v>1604</v>
      </c>
    </row>
    <row r="1454">
      <c r="A1454" s="1" t="s">
        <v>259</v>
      </c>
      <c r="B1454" s="1" t="str">
        <f>VLOOKUP(A1454,Institutions!A:B,2,False)</f>
        <v>Germany</v>
      </c>
      <c r="C1454" s="8">
        <v>44197.0</v>
      </c>
      <c r="D1454" s="1" t="s">
        <v>939</v>
      </c>
    </row>
    <row r="1455">
      <c r="A1455" s="1" t="s">
        <v>259</v>
      </c>
      <c r="B1455" s="1" t="str">
        <f>VLOOKUP(A1455,Institutions!A:B,2,False)</f>
        <v>Germany</v>
      </c>
      <c r="C1455" s="8">
        <v>43101.0</v>
      </c>
      <c r="D1455" s="1" t="s">
        <v>994</v>
      </c>
    </row>
    <row r="1456">
      <c r="A1456" s="1" t="s">
        <v>259</v>
      </c>
      <c r="B1456" s="1" t="str">
        <f>VLOOKUP(A1456,Institutions!A:B,2,False)</f>
        <v>Germany</v>
      </c>
      <c r="C1456" s="8">
        <v>42736.0</v>
      </c>
      <c r="D1456" s="1" t="s">
        <v>2201</v>
      </c>
    </row>
    <row r="1457">
      <c r="A1457" s="1" t="s">
        <v>261</v>
      </c>
      <c r="B1457" s="1" t="str">
        <f>VLOOKUP(A1457,Institutions!A:B,2,False)</f>
        <v>China</v>
      </c>
      <c r="C1457" s="8">
        <v>44197.0</v>
      </c>
      <c r="D1457" s="1" t="s">
        <v>1531</v>
      </c>
    </row>
    <row r="1458">
      <c r="A1458" s="1" t="s">
        <v>261</v>
      </c>
      <c r="B1458" s="1" t="str">
        <f>VLOOKUP(A1458,Institutions!A:B,2,False)</f>
        <v>China</v>
      </c>
      <c r="C1458" s="8">
        <v>43466.0</v>
      </c>
      <c r="D1458" s="1" t="s">
        <v>1627</v>
      </c>
    </row>
    <row r="1459">
      <c r="A1459" s="1" t="s">
        <v>261</v>
      </c>
      <c r="B1459" s="1" t="str">
        <f>VLOOKUP(A1459,Institutions!A:B,2,False)</f>
        <v>China</v>
      </c>
      <c r="C1459" s="8">
        <v>43466.0</v>
      </c>
      <c r="D1459" s="1" t="s">
        <v>1630</v>
      </c>
    </row>
    <row r="1460">
      <c r="A1460" s="1" t="s">
        <v>261</v>
      </c>
      <c r="B1460" s="1" t="str">
        <f>VLOOKUP(A1460,Institutions!A:B,2,False)</f>
        <v>China</v>
      </c>
      <c r="C1460" s="8">
        <v>43101.0</v>
      </c>
      <c r="D1460" s="1" t="s">
        <v>1637</v>
      </c>
    </row>
    <row r="1461">
      <c r="A1461" s="1" t="s">
        <v>261</v>
      </c>
      <c r="B1461" s="1" t="str">
        <f>VLOOKUP(A1461,Institutions!A:B,2,False)</f>
        <v>China</v>
      </c>
      <c r="C1461" s="8">
        <v>39814.0</v>
      </c>
      <c r="D1461" s="1" t="s">
        <v>1761</v>
      </c>
    </row>
    <row r="1462">
      <c r="A1462" s="1" t="s">
        <v>263</v>
      </c>
      <c r="B1462" s="1" t="str">
        <f>VLOOKUP(A1462,Institutions!A:B,2,False)</f>
        <v>Denmark</v>
      </c>
      <c r="C1462" s="8">
        <v>44927.0</v>
      </c>
      <c r="D1462" s="1" t="s">
        <v>769</v>
      </c>
    </row>
    <row r="1463">
      <c r="A1463" s="1" t="s">
        <v>263</v>
      </c>
      <c r="B1463" s="1" t="str">
        <f>VLOOKUP(A1463,Institutions!A:B,2,False)</f>
        <v>Denmark</v>
      </c>
      <c r="C1463" s="8">
        <v>44927.0</v>
      </c>
      <c r="D1463" s="1" t="s">
        <v>1192</v>
      </c>
    </row>
    <row r="1464">
      <c r="A1464" s="1" t="s">
        <v>263</v>
      </c>
      <c r="B1464" s="1" t="str">
        <f>VLOOKUP(A1464,Institutions!A:B,2,False)</f>
        <v>Denmark</v>
      </c>
      <c r="C1464" s="8">
        <v>44927.0</v>
      </c>
      <c r="D1464" s="1" t="s">
        <v>782</v>
      </c>
    </row>
    <row r="1465">
      <c r="A1465" s="1" t="s">
        <v>263</v>
      </c>
      <c r="B1465" s="1" t="str">
        <f>VLOOKUP(A1465,Institutions!A:B,2,False)</f>
        <v>Denmark</v>
      </c>
      <c r="C1465" s="8">
        <v>44927.0</v>
      </c>
      <c r="D1465" s="1" t="s">
        <v>456</v>
      </c>
    </row>
    <row r="1466">
      <c r="A1466" s="1" t="s">
        <v>263</v>
      </c>
      <c r="B1466" s="1" t="str">
        <f>VLOOKUP(A1466,Institutions!A:B,2,False)</f>
        <v>Denmark</v>
      </c>
      <c r="C1466" s="8">
        <v>44927.0</v>
      </c>
      <c r="D1466" s="1" t="s">
        <v>1207</v>
      </c>
    </row>
    <row r="1467">
      <c r="A1467" s="1" t="s">
        <v>265</v>
      </c>
      <c r="B1467" s="1" t="str">
        <f>VLOOKUP(A1467,Institutions!A:B,2,False)</f>
        <v>Australia</v>
      </c>
      <c r="C1467" s="8">
        <v>44562.0</v>
      </c>
      <c r="D1467" s="1" t="s">
        <v>78</v>
      </c>
    </row>
    <row r="1468">
      <c r="A1468" s="1" t="s">
        <v>265</v>
      </c>
      <c r="B1468" s="1" t="str">
        <f>VLOOKUP(A1468,Institutions!A:B,2,False)</f>
        <v>Australia</v>
      </c>
      <c r="C1468" s="8">
        <v>44562.0</v>
      </c>
      <c r="D1468" s="1" t="s">
        <v>126</v>
      </c>
    </row>
    <row r="1469">
      <c r="A1469" s="1" t="s">
        <v>265</v>
      </c>
      <c r="B1469" s="1" t="str">
        <f>VLOOKUP(A1469,Institutions!A:B,2,False)</f>
        <v>Australia</v>
      </c>
      <c r="C1469" s="8">
        <v>43466.0</v>
      </c>
      <c r="D1469" s="1" t="s">
        <v>1040</v>
      </c>
    </row>
    <row r="1470">
      <c r="A1470" s="1" t="s">
        <v>265</v>
      </c>
      <c r="B1470" s="1" t="str">
        <f>VLOOKUP(A1470,Institutions!A:B,2,False)</f>
        <v>Australia</v>
      </c>
      <c r="C1470" s="8">
        <v>42005.0</v>
      </c>
      <c r="D1470" s="1" t="s">
        <v>1099</v>
      </c>
    </row>
    <row r="1471">
      <c r="A1471" s="1" t="s">
        <v>265</v>
      </c>
      <c r="B1471" s="1" t="str">
        <f>VLOOKUP(A1471,Institutions!A:B,2,False)</f>
        <v>Australia</v>
      </c>
      <c r="C1471" s="8">
        <v>40544.0</v>
      </c>
      <c r="D1471" s="1" t="s">
        <v>2241</v>
      </c>
    </row>
    <row r="1472">
      <c r="A1472" s="1" t="s">
        <v>266</v>
      </c>
      <c r="B1472" s="1" t="str">
        <f>VLOOKUP(A1472,Institutions!A:B,2,False)</f>
        <v>United States</v>
      </c>
      <c r="C1472" s="8">
        <v>44927.0</v>
      </c>
      <c r="D1472" s="1" t="s">
        <v>1265</v>
      </c>
    </row>
    <row r="1473">
      <c r="A1473" s="1" t="s">
        <v>266</v>
      </c>
      <c r="B1473" s="1" t="str">
        <f>VLOOKUP(A1473,Institutions!A:B,2,False)</f>
        <v>United States</v>
      </c>
      <c r="C1473" s="8">
        <v>44927.0</v>
      </c>
      <c r="D1473" s="1" t="s">
        <v>1266</v>
      </c>
    </row>
    <row r="1474">
      <c r="A1474" s="1" t="s">
        <v>266</v>
      </c>
      <c r="B1474" s="1" t="str">
        <f>VLOOKUP(A1474,Institutions!A:B,2,False)</f>
        <v>United States</v>
      </c>
      <c r="C1474" s="8">
        <v>44927.0</v>
      </c>
      <c r="D1474" s="1" t="s">
        <v>1273</v>
      </c>
    </row>
    <row r="1475">
      <c r="A1475" s="1" t="s">
        <v>266</v>
      </c>
      <c r="B1475" s="1" t="str">
        <f>VLOOKUP(A1475,Institutions!A:B,2,False)</f>
        <v>United States</v>
      </c>
      <c r="C1475" s="8">
        <v>44562.0</v>
      </c>
      <c r="D1475" s="1" t="s">
        <v>1286</v>
      </c>
    </row>
    <row r="1476">
      <c r="A1476" s="1" t="s">
        <v>266</v>
      </c>
      <c r="B1476" s="1" t="str">
        <f>VLOOKUP(A1476,Institutions!A:B,2,False)</f>
        <v>United States</v>
      </c>
      <c r="C1476" s="8">
        <v>44562.0</v>
      </c>
      <c r="D1476" s="1" t="s">
        <v>1292</v>
      </c>
    </row>
    <row r="1477">
      <c r="A1477" s="1" t="s">
        <v>268</v>
      </c>
      <c r="B1477" s="1" t="str">
        <f>VLOOKUP(A1477,Institutions!A:B,2,False)</f>
        <v>Israel</v>
      </c>
      <c r="C1477" s="8">
        <v>44927.0</v>
      </c>
      <c r="D1477" s="1" t="s">
        <v>1259</v>
      </c>
    </row>
    <row r="1478">
      <c r="A1478" s="1" t="s">
        <v>268</v>
      </c>
      <c r="B1478" s="1" t="str">
        <f>VLOOKUP(A1478,Institutions!A:B,2,False)</f>
        <v>Israel</v>
      </c>
      <c r="C1478" s="8">
        <v>44927.0</v>
      </c>
      <c r="D1478" s="1" t="s">
        <v>1132</v>
      </c>
    </row>
    <row r="1479">
      <c r="A1479" s="1" t="s">
        <v>268</v>
      </c>
      <c r="B1479" s="1" t="str">
        <f>VLOOKUP(A1479,Institutions!A:B,2,False)</f>
        <v>Israel</v>
      </c>
      <c r="C1479" s="8">
        <v>44562.0</v>
      </c>
      <c r="D1479" s="1" t="s">
        <v>1281</v>
      </c>
    </row>
    <row r="1480">
      <c r="A1480" s="1" t="s">
        <v>268</v>
      </c>
      <c r="B1480" s="1" t="str">
        <f>VLOOKUP(A1480,Institutions!A:B,2,False)</f>
        <v>Israel</v>
      </c>
      <c r="C1480" s="8">
        <v>44197.0</v>
      </c>
      <c r="D1480" s="1" t="s">
        <v>227</v>
      </c>
    </row>
    <row r="1481">
      <c r="A1481" s="1" t="s">
        <v>268</v>
      </c>
      <c r="B1481" s="1" t="str">
        <f>VLOOKUP(A1481,Institutions!A:B,2,False)</f>
        <v>Israel</v>
      </c>
      <c r="C1481" s="8">
        <v>43466.0</v>
      </c>
      <c r="D1481" s="1" t="s">
        <v>1894</v>
      </c>
    </row>
    <row r="1482">
      <c r="A1482" s="1" t="s">
        <v>269</v>
      </c>
      <c r="B1482" s="1" t="str">
        <f>VLOOKUP(A1482,Institutions!A:B,2,False)</f>
        <v>Denmark</v>
      </c>
      <c r="C1482" s="8">
        <v>44927.0</v>
      </c>
      <c r="D1482" s="1" t="s">
        <v>1193</v>
      </c>
    </row>
    <row r="1483">
      <c r="A1483" s="1" t="s">
        <v>269</v>
      </c>
      <c r="B1483" s="1" t="str">
        <f>VLOOKUP(A1483,Institutions!A:B,2,False)</f>
        <v>Denmark</v>
      </c>
      <c r="C1483" s="8">
        <v>44927.0</v>
      </c>
      <c r="D1483" s="1" t="s">
        <v>780</v>
      </c>
    </row>
    <row r="1484">
      <c r="A1484" s="1" t="s">
        <v>269</v>
      </c>
      <c r="B1484" s="1" t="str">
        <f>VLOOKUP(A1484,Institutions!A:B,2,False)</f>
        <v>Denmark</v>
      </c>
      <c r="C1484" s="8">
        <v>43831.0</v>
      </c>
      <c r="D1484" s="1" t="s">
        <v>366</v>
      </c>
    </row>
    <row r="1485">
      <c r="A1485" s="1" t="s">
        <v>269</v>
      </c>
      <c r="B1485" s="1" t="str">
        <f>VLOOKUP(A1485,Institutions!A:B,2,False)</f>
        <v>Denmark</v>
      </c>
      <c r="C1485" s="8">
        <v>43466.0</v>
      </c>
      <c r="D1485" s="1" t="s">
        <v>1719</v>
      </c>
    </row>
    <row r="1486">
      <c r="A1486" s="1" t="s">
        <v>269</v>
      </c>
      <c r="B1486" s="1" t="str">
        <f>VLOOKUP(A1486,Institutions!A:B,2,False)</f>
        <v>Denmark</v>
      </c>
      <c r="C1486" s="8">
        <v>43101.0</v>
      </c>
      <c r="D1486" s="1" t="s">
        <v>2200</v>
      </c>
    </row>
    <row r="1487">
      <c r="A1487" s="1" t="s">
        <v>270</v>
      </c>
      <c r="B1487" s="1" t="str">
        <f>VLOOKUP(A1487,Institutions!A:B,2,False)</f>
        <v>United States</v>
      </c>
      <c r="C1487" s="8">
        <v>44927.0</v>
      </c>
      <c r="D1487" s="1" t="s">
        <v>1259</v>
      </c>
    </row>
    <row r="1488">
      <c r="A1488" s="1" t="s">
        <v>270</v>
      </c>
      <c r="B1488" s="1" t="str">
        <f>VLOOKUP(A1488,Institutions!A:B,2,False)</f>
        <v>United States</v>
      </c>
      <c r="C1488" s="8">
        <v>44927.0</v>
      </c>
      <c r="D1488" s="1" t="s">
        <v>1134</v>
      </c>
    </row>
    <row r="1489">
      <c r="A1489" s="1" t="s">
        <v>270</v>
      </c>
      <c r="B1489" s="1" t="str">
        <f>VLOOKUP(A1489,Institutions!A:B,2,False)</f>
        <v>United States</v>
      </c>
      <c r="C1489" s="8">
        <v>44562.0</v>
      </c>
      <c r="D1489" s="1" t="s">
        <v>1281</v>
      </c>
    </row>
    <row r="1490">
      <c r="A1490" s="1" t="s">
        <v>270</v>
      </c>
      <c r="B1490" s="1" t="str">
        <f>VLOOKUP(A1490,Institutions!A:B,2,False)</f>
        <v>United States</v>
      </c>
      <c r="C1490" s="8">
        <v>44197.0</v>
      </c>
      <c r="D1490" s="1" t="s">
        <v>2242</v>
      </c>
    </row>
    <row r="1491">
      <c r="A1491" s="1" t="s">
        <v>270</v>
      </c>
      <c r="B1491" s="1" t="str">
        <f>VLOOKUP(A1491,Institutions!A:B,2,False)</f>
        <v>United States</v>
      </c>
      <c r="C1491" s="8">
        <v>44197.0</v>
      </c>
      <c r="D1491" s="1" t="s">
        <v>1181</v>
      </c>
    </row>
    <row r="1492">
      <c r="A1492" s="1" t="s">
        <v>272</v>
      </c>
      <c r="B1492" s="1" t="str">
        <f>VLOOKUP(A1492,Institutions!A:B,2,False)</f>
        <v>United States</v>
      </c>
      <c r="C1492" s="8">
        <v>43831.0</v>
      </c>
      <c r="D1492" s="1" t="s">
        <v>1618</v>
      </c>
    </row>
    <row r="1493">
      <c r="A1493" s="1" t="s">
        <v>272</v>
      </c>
      <c r="B1493" s="1" t="str">
        <f>VLOOKUP(A1493,Institutions!A:B,2,False)</f>
        <v>United States</v>
      </c>
      <c r="C1493" s="8">
        <v>43101.0</v>
      </c>
      <c r="D1493" s="1" t="s">
        <v>1638</v>
      </c>
    </row>
    <row r="1494">
      <c r="A1494" s="1" t="s">
        <v>272</v>
      </c>
      <c r="B1494" s="1" t="str">
        <f>VLOOKUP(A1494,Institutions!A:B,2,False)</f>
        <v>United States</v>
      </c>
      <c r="C1494" s="8">
        <v>41275.0</v>
      </c>
      <c r="D1494" s="1" t="s">
        <v>1962</v>
      </c>
    </row>
    <row r="1495">
      <c r="A1495" s="1" t="s">
        <v>272</v>
      </c>
      <c r="B1495" s="1" t="str">
        <f>VLOOKUP(A1495,Institutions!A:B,2,False)</f>
        <v>United States</v>
      </c>
      <c r="C1495" s="8">
        <v>40909.0</v>
      </c>
      <c r="D1495" s="1" t="s">
        <v>1962</v>
      </c>
    </row>
    <row r="1496">
      <c r="A1496" s="1" t="s">
        <v>272</v>
      </c>
      <c r="B1496" s="1" t="str">
        <f>VLOOKUP(A1496,Institutions!A:B,2,False)</f>
        <v>United States</v>
      </c>
      <c r="C1496" s="8">
        <v>40544.0</v>
      </c>
      <c r="D1496" s="1" t="s">
        <v>1944</v>
      </c>
    </row>
    <row r="1497">
      <c r="A1497" s="1" t="s">
        <v>274</v>
      </c>
      <c r="B1497" s="1" t="str">
        <f>VLOOKUP(A1497,Institutions!A:B,2,False)</f>
        <v>United States</v>
      </c>
      <c r="C1497" s="8">
        <v>45292.0</v>
      </c>
      <c r="D1497" s="1" t="s">
        <v>1497</v>
      </c>
    </row>
    <row r="1498">
      <c r="A1498" s="1" t="s">
        <v>274</v>
      </c>
      <c r="B1498" s="1" t="str">
        <f>VLOOKUP(A1498,Institutions!A:B,2,False)</f>
        <v>United States</v>
      </c>
      <c r="C1498" s="8">
        <v>45292.0</v>
      </c>
      <c r="D1498" s="1" t="s">
        <v>1116</v>
      </c>
    </row>
    <row r="1499">
      <c r="A1499" s="1" t="s">
        <v>274</v>
      </c>
      <c r="B1499" s="1" t="str">
        <f>VLOOKUP(A1499,Institutions!A:B,2,False)</f>
        <v>United States</v>
      </c>
      <c r="C1499" s="8">
        <v>44197.0</v>
      </c>
      <c r="D1499" s="1" t="s">
        <v>203</v>
      </c>
    </row>
    <row r="1500">
      <c r="A1500" s="1" t="s">
        <v>274</v>
      </c>
      <c r="B1500" s="1" t="str">
        <f>VLOOKUP(A1500,Institutions!A:B,2,False)</f>
        <v>United States</v>
      </c>
      <c r="C1500" s="8">
        <v>43831.0</v>
      </c>
      <c r="D1500" s="1" t="s">
        <v>1542</v>
      </c>
    </row>
    <row r="1501">
      <c r="A1501" s="1" t="s">
        <v>274</v>
      </c>
      <c r="B1501" s="1" t="str">
        <f>VLOOKUP(A1501,Institutions!A:B,2,False)</f>
        <v>United States</v>
      </c>
      <c r="C1501" s="8">
        <v>43101.0</v>
      </c>
      <c r="D1501" s="1" t="s">
        <v>2168</v>
      </c>
    </row>
    <row r="1502">
      <c r="A1502" s="1" t="s">
        <v>276</v>
      </c>
      <c r="B1502" s="1" t="str">
        <f>VLOOKUP(A1502,Institutions!A:B,2,False)</f>
        <v>Sweden</v>
      </c>
      <c r="C1502" s="8">
        <v>43466.0</v>
      </c>
      <c r="D1502" s="1" t="s">
        <v>2057</v>
      </c>
    </row>
    <row r="1503">
      <c r="A1503" s="1" t="s">
        <v>276</v>
      </c>
      <c r="B1503" s="1" t="str">
        <f>VLOOKUP(A1503,Institutions!A:B,2,False)</f>
        <v>Sweden</v>
      </c>
      <c r="C1503" s="8">
        <v>43101.0</v>
      </c>
      <c r="D1503" s="1" t="s">
        <v>754</v>
      </c>
    </row>
    <row r="1504">
      <c r="A1504" s="1" t="s">
        <v>276</v>
      </c>
      <c r="B1504" s="1" t="str">
        <f>VLOOKUP(A1504,Institutions!A:B,2,False)</f>
        <v>Sweden</v>
      </c>
      <c r="C1504" s="8">
        <v>43101.0</v>
      </c>
      <c r="D1504" s="1" t="s">
        <v>1566</v>
      </c>
    </row>
    <row r="1505">
      <c r="A1505" s="1" t="s">
        <v>276</v>
      </c>
      <c r="B1505" s="1" t="str">
        <f>VLOOKUP(A1505,Institutions!A:B,2,False)</f>
        <v>Sweden</v>
      </c>
      <c r="C1505" s="8">
        <v>42736.0</v>
      </c>
      <c r="D1505" s="1" t="s">
        <v>1570</v>
      </c>
    </row>
    <row r="1506">
      <c r="A1506" s="1" t="s">
        <v>276</v>
      </c>
      <c r="B1506" s="1" t="str">
        <f>VLOOKUP(A1506,Institutions!A:B,2,False)</f>
        <v>Sweden</v>
      </c>
      <c r="C1506" s="8">
        <v>42370.0</v>
      </c>
      <c r="D1506" s="1" t="s">
        <v>2243</v>
      </c>
    </row>
    <row r="1507">
      <c r="A1507" s="1" t="s">
        <v>278</v>
      </c>
      <c r="B1507" s="1" t="str">
        <f>VLOOKUP(A1507,Institutions!A:B,2,False)</f>
        <v>Germany</v>
      </c>
      <c r="C1507" s="8">
        <v>44927.0</v>
      </c>
      <c r="D1507" s="1" t="s">
        <v>1138</v>
      </c>
    </row>
    <row r="1508">
      <c r="A1508" s="1" t="s">
        <v>278</v>
      </c>
      <c r="B1508" s="1" t="str">
        <f>VLOOKUP(A1508,Institutions!A:B,2,False)</f>
        <v>Germany</v>
      </c>
      <c r="C1508" s="8">
        <v>40179.0</v>
      </c>
      <c r="D1508" s="1" t="s">
        <v>1969</v>
      </c>
    </row>
    <row r="1509">
      <c r="A1509" s="1" t="s">
        <v>278</v>
      </c>
      <c r="B1509" s="1" t="str">
        <f>VLOOKUP(A1509,Institutions!A:B,2,False)</f>
        <v>Germany</v>
      </c>
      <c r="C1509" s="8">
        <v>40179.0</v>
      </c>
      <c r="D1509" s="1" t="s">
        <v>1970</v>
      </c>
    </row>
    <row r="1510">
      <c r="A1510" s="1" t="s">
        <v>278</v>
      </c>
      <c r="B1510" s="1" t="str">
        <f>VLOOKUP(A1510,Institutions!A:B,2,False)</f>
        <v>Germany</v>
      </c>
      <c r="C1510" s="8">
        <v>40179.0</v>
      </c>
      <c r="D1510" s="1" t="s">
        <v>1971</v>
      </c>
    </row>
    <row r="1511">
      <c r="A1511" s="1" t="s">
        <v>278</v>
      </c>
      <c r="B1511" s="1" t="str">
        <f>VLOOKUP(A1511,Institutions!A:B,2,False)</f>
        <v>Germany</v>
      </c>
      <c r="C1511" s="8">
        <v>40179.0</v>
      </c>
      <c r="D1511" s="1" t="s">
        <v>1972</v>
      </c>
    </row>
    <row r="1512">
      <c r="A1512" s="1" t="s">
        <v>279</v>
      </c>
      <c r="B1512" s="1" t="str">
        <f>VLOOKUP(A1512,Institutions!A:B,2,False)</f>
        <v>Switzerland</v>
      </c>
      <c r="C1512" s="8">
        <v>44927.0</v>
      </c>
      <c r="D1512" s="1" t="s">
        <v>1129</v>
      </c>
    </row>
    <row r="1513">
      <c r="A1513" s="1" t="s">
        <v>279</v>
      </c>
      <c r="B1513" s="1" t="str">
        <f>VLOOKUP(A1513,Institutions!A:B,2,False)</f>
        <v>Switzerland</v>
      </c>
      <c r="C1513" s="8">
        <v>44927.0</v>
      </c>
      <c r="D1513" s="1" t="s">
        <v>1141</v>
      </c>
    </row>
    <row r="1514">
      <c r="A1514" s="1" t="s">
        <v>279</v>
      </c>
      <c r="B1514" s="1" t="str">
        <f>VLOOKUP(A1514,Institutions!A:B,2,False)</f>
        <v>Switzerland</v>
      </c>
      <c r="C1514" s="8">
        <v>44197.0</v>
      </c>
      <c r="D1514" s="1" t="s">
        <v>1172</v>
      </c>
    </row>
    <row r="1515">
      <c r="A1515" s="1" t="s">
        <v>279</v>
      </c>
      <c r="B1515" s="1" t="str">
        <f>VLOOKUP(A1515,Institutions!A:B,2,False)</f>
        <v>Switzerland</v>
      </c>
      <c r="C1515" s="8">
        <v>44197.0</v>
      </c>
      <c r="D1515" s="1" t="s">
        <v>1184</v>
      </c>
    </row>
    <row r="1516">
      <c r="A1516" s="1" t="s">
        <v>279</v>
      </c>
      <c r="B1516" s="1" t="str">
        <f>VLOOKUP(A1516,Institutions!A:B,2,False)</f>
        <v>Switzerland</v>
      </c>
      <c r="C1516" s="8">
        <v>44197.0</v>
      </c>
      <c r="D1516" s="1" t="s">
        <v>1317</v>
      </c>
    </row>
    <row r="1517">
      <c r="A1517" s="1" t="s">
        <v>280</v>
      </c>
      <c r="B1517" s="1" t="str">
        <f>VLOOKUP(A1517,Institutions!A:B,2,False)</f>
        <v>Hong Kong</v>
      </c>
      <c r="C1517" s="8">
        <v>44927.0</v>
      </c>
      <c r="D1517" s="1" t="s">
        <v>1132</v>
      </c>
    </row>
    <row r="1518">
      <c r="A1518" s="1" t="s">
        <v>280</v>
      </c>
      <c r="B1518" s="1" t="str">
        <f>VLOOKUP(A1518,Institutions!A:B,2,False)</f>
        <v>Hong Kong</v>
      </c>
      <c r="C1518" s="8">
        <v>44927.0</v>
      </c>
      <c r="D1518" s="1" t="s">
        <v>1270</v>
      </c>
    </row>
    <row r="1519">
      <c r="A1519" s="1" t="s">
        <v>280</v>
      </c>
      <c r="B1519" s="1" t="str">
        <f>VLOOKUP(A1519,Institutions!A:B,2,False)</f>
        <v>Hong Kong</v>
      </c>
      <c r="C1519" s="8">
        <v>44927.0</v>
      </c>
      <c r="D1519" s="1" t="s">
        <v>1150</v>
      </c>
    </row>
    <row r="1520">
      <c r="A1520" s="1" t="s">
        <v>280</v>
      </c>
      <c r="B1520" s="1" t="str">
        <f>VLOOKUP(A1520,Institutions!A:B,2,False)</f>
        <v>Hong Kong</v>
      </c>
      <c r="C1520" s="8">
        <v>41640.0</v>
      </c>
      <c r="D1520" s="1" t="s">
        <v>1800</v>
      </c>
    </row>
    <row r="1521">
      <c r="A1521" s="1" t="s">
        <v>280</v>
      </c>
      <c r="B1521" s="1" t="str">
        <f>VLOOKUP(A1521,Institutions!A:B,2,False)</f>
        <v>Hong Kong</v>
      </c>
      <c r="C1521" s="8">
        <v>40179.0</v>
      </c>
      <c r="D1521" s="1" t="s">
        <v>1800</v>
      </c>
    </row>
    <row r="1522">
      <c r="A1522" s="1" t="s">
        <v>282</v>
      </c>
      <c r="B1522" s="1" t="str">
        <f>VLOOKUP(A1522,Institutions!A:B,2,False)</f>
        <v>United States</v>
      </c>
      <c r="C1522" s="8">
        <v>44927.0</v>
      </c>
      <c r="D1522" s="1" t="s">
        <v>1259</v>
      </c>
    </row>
    <row r="1523">
      <c r="A1523" s="1" t="s">
        <v>282</v>
      </c>
      <c r="B1523" s="1" t="str">
        <f>VLOOKUP(A1523,Institutions!A:B,2,False)</f>
        <v>United States</v>
      </c>
      <c r="C1523" s="8">
        <v>44562.0</v>
      </c>
      <c r="D1523" s="1" t="s">
        <v>1281</v>
      </c>
    </row>
    <row r="1524">
      <c r="A1524" s="1" t="s">
        <v>282</v>
      </c>
      <c r="B1524" s="1" t="str">
        <f>VLOOKUP(A1524,Institutions!A:B,2,False)</f>
        <v>United States</v>
      </c>
      <c r="C1524" s="8">
        <v>43466.0</v>
      </c>
      <c r="D1524" s="1" t="s">
        <v>1333</v>
      </c>
    </row>
    <row r="1525">
      <c r="A1525" s="1" t="s">
        <v>282</v>
      </c>
      <c r="B1525" s="1" t="str">
        <f>VLOOKUP(A1525,Institutions!A:B,2,False)</f>
        <v>United States</v>
      </c>
      <c r="C1525" s="8">
        <v>43466.0</v>
      </c>
      <c r="D1525" s="1" t="s">
        <v>1340</v>
      </c>
    </row>
    <row r="1526">
      <c r="A1526" s="1" t="s">
        <v>284</v>
      </c>
      <c r="B1526" s="1" t="str">
        <f>VLOOKUP(A1526,Institutions!A:B,2,False)</f>
        <v>Denmark</v>
      </c>
      <c r="C1526" s="8">
        <v>42736.0</v>
      </c>
      <c r="D1526" s="1" t="s">
        <v>1857</v>
      </c>
    </row>
    <row r="1527">
      <c r="A1527" s="1" t="s">
        <v>284</v>
      </c>
      <c r="B1527" s="1" t="str">
        <f>VLOOKUP(A1527,Institutions!A:B,2,False)</f>
        <v>Denmark</v>
      </c>
      <c r="C1527" s="8">
        <v>42370.0</v>
      </c>
      <c r="D1527" s="1" t="s">
        <v>1861</v>
      </c>
    </row>
    <row r="1528">
      <c r="A1528" s="1" t="s">
        <v>284</v>
      </c>
      <c r="B1528" s="1" t="str">
        <f>VLOOKUP(A1528,Institutions!A:B,2,False)</f>
        <v>Denmark</v>
      </c>
      <c r="C1528" s="8">
        <v>42370.0</v>
      </c>
      <c r="D1528" s="1" t="s">
        <v>1862</v>
      </c>
    </row>
    <row r="1529">
      <c r="A1529" s="1" t="s">
        <v>284</v>
      </c>
      <c r="B1529" s="1" t="str">
        <f>VLOOKUP(A1529,Institutions!A:B,2,False)</f>
        <v>Denmark</v>
      </c>
      <c r="C1529" s="8">
        <v>42370.0</v>
      </c>
      <c r="D1529" s="1" t="s">
        <v>1863</v>
      </c>
    </row>
    <row r="1530">
      <c r="A1530" s="1" t="s">
        <v>286</v>
      </c>
      <c r="B1530" s="1" t="str">
        <f>VLOOKUP(A1530,Institutions!A:B,2,False)</f>
        <v>France</v>
      </c>
      <c r="C1530" s="8">
        <v>44197.0</v>
      </c>
      <c r="D1530" s="1" t="s">
        <v>2032</v>
      </c>
    </row>
    <row r="1531">
      <c r="A1531" s="1" t="s">
        <v>286</v>
      </c>
      <c r="B1531" s="1" t="str">
        <f>VLOOKUP(A1531,Institutions!A:B,2,False)</f>
        <v>France</v>
      </c>
      <c r="C1531" s="8">
        <v>42005.0</v>
      </c>
      <c r="D1531" s="1" t="s">
        <v>1094</v>
      </c>
    </row>
    <row r="1532">
      <c r="A1532" s="1" t="s">
        <v>286</v>
      </c>
      <c r="B1532" s="1" t="str">
        <f>VLOOKUP(A1532,Institutions!A:B,2,False)</f>
        <v>France</v>
      </c>
      <c r="C1532" s="8">
        <v>41640.0</v>
      </c>
      <c r="D1532" s="1" t="s">
        <v>1936</v>
      </c>
    </row>
    <row r="1533">
      <c r="A1533" s="1" t="s">
        <v>286</v>
      </c>
      <c r="B1533" s="1" t="str">
        <f>VLOOKUP(A1533,Institutions!A:B,2,False)</f>
        <v>France</v>
      </c>
      <c r="C1533" s="8">
        <v>41640.0</v>
      </c>
      <c r="D1533" s="1" t="s">
        <v>1940</v>
      </c>
    </row>
    <row r="1534">
      <c r="A1534" s="1" t="s">
        <v>287</v>
      </c>
      <c r="B1534" s="1" t="str">
        <f>VLOOKUP(A1534,Institutions!A:B,2,False)</f>
        <v>Portugal</v>
      </c>
      <c r="C1534" s="8">
        <v>45292.0</v>
      </c>
      <c r="D1534" s="1" t="s">
        <v>1106</v>
      </c>
    </row>
    <row r="1535">
      <c r="A1535" s="1" t="s">
        <v>287</v>
      </c>
      <c r="B1535" s="1" t="str">
        <f>VLOOKUP(A1535,Institutions!A:B,2,False)</f>
        <v>Portugal</v>
      </c>
      <c r="C1535" s="8">
        <v>45292.0</v>
      </c>
      <c r="D1535" s="1" t="s">
        <v>1122</v>
      </c>
    </row>
    <row r="1536">
      <c r="A1536" s="1" t="s">
        <v>287</v>
      </c>
      <c r="B1536" s="1" t="str">
        <f>VLOOKUP(A1536,Institutions!A:B,2,False)</f>
        <v>Portugal</v>
      </c>
      <c r="C1536" s="8">
        <v>44197.0</v>
      </c>
      <c r="D1536" s="1" t="s">
        <v>199</v>
      </c>
    </row>
    <row r="1537">
      <c r="A1537" s="1" t="s">
        <v>287</v>
      </c>
      <c r="B1537" s="1" t="str">
        <f>VLOOKUP(A1537,Institutions!A:B,2,False)</f>
        <v>Portugal</v>
      </c>
      <c r="C1537" s="8">
        <v>42370.0</v>
      </c>
      <c r="D1537" s="1" t="s">
        <v>1077</v>
      </c>
    </row>
    <row r="1538">
      <c r="A1538" s="1" t="s">
        <v>288</v>
      </c>
      <c r="B1538" s="1" t="str">
        <f>VLOOKUP(A1538,Institutions!A:B,2,False)</f>
        <v>Germany</v>
      </c>
      <c r="C1538" s="8">
        <v>44562.0</v>
      </c>
      <c r="D1538" s="1" t="s">
        <v>1159</v>
      </c>
    </row>
    <row r="1539">
      <c r="A1539" s="1" t="s">
        <v>288</v>
      </c>
      <c r="B1539" s="1" t="str">
        <f>VLOOKUP(A1539,Institutions!A:B,2,False)</f>
        <v>Germany</v>
      </c>
      <c r="C1539" s="8">
        <v>43101.0</v>
      </c>
      <c r="D1539" s="1" t="s">
        <v>2244</v>
      </c>
    </row>
    <row r="1540">
      <c r="A1540" s="1" t="s">
        <v>288</v>
      </c>
      <c r="B1540" s="1" t="str">
        <f>VLOOKUP(A1540,Institutions!A:B,2,False)</f>
        <v>Germany</v>
      </c>
      <c r="C1540" s="8">
        <v>42005.0</v>
      </c>
      <c r="D1540" s="1" t="s">
        <v>1980</v>
      </c>
    </row>
    <row r="1541">
      <c r="A1541" s="1" t="s">
        <v>288</v>
      </c>
      <c r="B1541" s="1" t="str">
        <f>VLOOKUP(A1541,Institutions!A:B,2,False)</f>
        <v>Germany</v>
      </c>
      <c r="C1541" s="8">
        <v>40544.0</v>
      </c>
      <c r="D1541" s="1" t="s">
        <v>2245</v>
      </c>
    </row>
    <row r="1542">
      <c r="A1542" s="1" t="s">
        <v>289</v>
      </c>
      <c r="B1542" s="1" t="str">
        <f>VLOOKUP(A1542,Institutions!A:B,2,False)</f>
        <v>Italy</v>
      </c>
      <c r="C1542" s="8">
        <v>44927.0</v>
      </c>
      <c r="D1542" s="1" t="s">
        <v>1270</v>
      </c>
    </row>
    <row r="1543">
      <c r="A1543" s="1" t="s">
        <v>289</v>
      </c>
      <c r="B1543" s="1" t="str">
        <f>VLOOKUP(A1543,Institutions!A:B,2,False)</f>
        <v>Italy</v>
      </c>
      <c r="C1543" s="8">
        <v>44197.0</v>
      </c>
      <c r="D1543" s="1" t="s">
        <v>532</v>
      </c>
    </row>
    <row r="1544">
      <c r="A1544" s="1" t="s">
        <v>289</v>
      </c>
      <c r="B1544" s="1" t="str">
        <f>VLOOKUP(A1544,Institutions!A:B,2,False)</f>
        <v>Italy</v>
      </c>
      <c r="C1544" s="8">
        <v>43831.0</v>
      </c>
      <c r="D1544" s="1" t="s">
        <v>957</v>
      </c>
    </row>
    <row r="1545">
      <c r="A1545" s="1" t="s">
        <v>289</v>
      </c>
      <c r="B1545" s="1" t="str">
        <f>VLOOKUP(A1545,Institutions!A:B,2,False)</f>
        <v>Italy</v>
      </c>
      <c r="C1545" s="8">
        <v>43466.0</v>
      </c>
      <c r="D1545" s="1" t="s">
        <v>973</v>
      </c>
    </row>
    <row r="1546">
      <c r="A1546" s="1" t="s">
        <v>291</v>
      </c>
      <c r="B1546" s="1" t="str">
        <f>VLOOKUP(A1546,Institutions!A:B,2,False)</f>
        <v>Austria</v>
      </c>
      <c r="C1546" s="8">
        <v>42736.0</v>
      </c>
      <c r="D1546" s="1" t="s">
        <v>2141</v>
      </c>
    </row>
    <row r="1547">
      <c r="A1547" s="1" t="s">
        <v>291</v>
      </c>
      <c r="B1547" s="1" t="str">
        <f>VLOOKUP(A1547,Institutions!A:B,2,False)</f>
        <v>Austria</v>
      </c>
      <c r="C1547" s="8">
        <v>42736.0</v>
      </c>
      <c r="D1547" s="1" t="s">
        <v>2142</v>
      </c>
    </row>
    <row r="1548">
      <c r="A1548" s="1" t="s">
        <v>291</v>
      </c>
      <c r="B1548" s="1" t="str">
        <f>VLOOKUP(A1548,Institutions!A:B,2,False)</f>
        <v>Austria</v>
      </c>
      <c r="C1548" s="8">
        <v>42370.0</v>
      </c>
      <c r="D1548" s="1" t="s">
        <v>2117</v>
      </c>
    </row>
    <row r="1549">
      <c r="A1549" s="1" t="s">
        <v>291</v>
      </c>
      <c r="B1549" s="1" t="str">
        <f>VLOOKUP(A1549,Institutions!A:B,2,False)</f>
        <v>Austria</v>
      </c>
      <c r="C1549" s="8">
        <v>40909.0</v>
      </c>
      <c r="D1549" s="1" t="s">
        <v>1966</v>
      </c>
    </row>
    <row r="1550">
      <c r="A1550" s="1" t="s">
        <v>293</v>
      </c>
      <c r="B1550" s="1" t="str">
        <f>VLOOKUP(A1550,Institutions!A:B,2,False)</f>
        <v>United States</v>
      </c>
      <c r="C1550" s="8">
        <v>45292.0</v>
      </c>
      <c r="D1550" s="1" t="s">
        <v>7</v>
      </c>
    </row>
    <row r="1551">
      <c r="A1551" s="1" t="s">
        <v>293</v>
      </c>
      <c r="B1551" s="1" t="str">
        <f>VLOOKUP(A1551,Institutions!A:B,2,False)</f>
        <v>United States</v>
      </c>
      <c r="C1551" s="8">
        <v>44927.0</v>
      </c>
      <c r="D1551" s="1" t="s">
        <v>47</v>
      </c>
    </row>
    <row r="1552">
      <c r="A1552" s="1" t="s">
        <v>293</v>
      </c>
      <c r="B1552" s="1" t="str">
        <f>VLOOKUP(A1552,Institutions!A:B,2,False)</f>
        <v>United States</v>
      </c>
      <c r="C1552" s="8">
        <v>44562.0</v>
      </c>
      <c r="D1552" s="1" t="s">
        <v>109</v>
      </c>
    </row>
    <row r="1553">
      <c r="A1553" s="1" t="s">
        <v>293</v>
      </c>
      <c r="B1553" s="1" t="str">
        <f>VLOOKUP(A1553,Institutions!A:B,2,False)</f>
        <v>United States</v>
      </c>
      <c r="C1553" s="8">
        <v>43466.0</v>
      </c>
      <c r="D1553" s="1" t="s">
        <v>2246</v>
      </c>
    </row>
    <row r="1554">
      <c r="A1554" s="1" t="s">
        <v>294</v>
      </c>
      <c r="B1554" s="1" t="str">
        <f>VLOOKUP(A1554,Institutions!A:B,2,False)</f>
        <v>United Kingdom</v>
      </c>
      <c r="C1554" s="8">
        <v>44562.0</v>
      </c>
      <c r="D1554" s="1" t="s">
        <v>2224</v>
      </c>
    </row>
    <row r="1555">
      <c r="A1555" s="1" t="s">
        <v>294</v>
      </c>
      <c r="B1555" s="1" t="str">
        <f>VLOOKUP(A1555,Institutions!A:B,2,False)</f>
        <v>United Kingdom</v>
      </c>
      <c r="C1555" s="8">
        <v>43831.0</v>
      </c>
      <c r="D1555" s="1" t="s">
        <v>1618</v>
      </c>
    </row>
    <row r="1556">
      <c r="A1556" s="1" t="s">
        <v>294</v>
      </c>
      <c r="B1556" s="1" t="str">
        <f>VLOOKUP(A1556,Institutions!A:B,2,False)</f>
        <v>United Kingdom</v>
      </c>
      <c r="C1556" s="8">
        <v>43101.0</v>
      </c>
      <c r="D1556" s="1" t="s">
        <v>754</v>
      </c>
    </row>
    <row r="1557">
      <c r="A1557" s="1" t="s">
        <v>294</v>
      </c>
      <c r="B1557" s="1" t="str">
        <f>VLOOKUP(A1557,Institutions!A:B,2,False)</f>
        <v>United Kingdom</v>
      </c>
      <c r="C1557" s="8">
        <v>43101.0</v>
      </c>
      <c r="D1557" s="1" t="s">
        <v>1638</v>
      </c>
    </row>
    <row r="1558">
      <c r="A1558" s="1" t="s">
        <v>295</v>
      </c>
      <c r="B1558" s="1" t="str">
        <f>VLOOKUP(A1558,Institutions!A:B,2,False)</f>
        <v>Australia</v>
      </c>
      <c r="C1558" s="8">
        <v>44927.0</v>
      </c>
      <c r="D1558" s="1" t="s">
        <v>1270</v>
      </c>
    </row>
    <row r="1559">
      <c r="A1559" s="1" t="s">
        <v>295</v>
      </c>
      <c r="B1559" s="1" t="str">
        <f>VLOOKUP(A1559,Institutions!A:B,2,False)</f>
        <v>Australia</v>
      </c>
      <c r="C1559" s="8">
        <v>44562.0</v>
      </c>
      <c r="D1559" s="1" t="s">
        <v>1442</v>
      </c>
    </row>
    <row r="1560">
      <c r="A1560" s="1" t="s">
        <v>295</v>
      </c>
      <c r="B1560" s="1" t="str">
        <f>VLOOKUP(A1560,Institutions!A:B,2,False)</f>
        <v>Australia</v>
      </c>
      <c r="C1560" s="8">
        <v>42370.0</v>
      </c>
      <c r="D1560" s="1" t="s">
        <v>2247</v>
      </c>
    </row>
    <row r="1561">
      <c r="A1561" s="1" t="s">
        <v>295</v>
      </c>
      <c r="B1561" s="1" t="str">
        <f>VLOOKUP(A1561,Institutions!A:B,2,False)</f>
        <v>Australia</v>
      </c>
      <c r="C1561" s="8">
        <v>40179.0</v>
      </c>
      <c r="D1561" s="1" t="s">
        <v>2248</v>
      </c>
    </row>
    <row r="1562">
      <c r="A1562" s="1" t="s">
        <v>296</v>
      </c>
      <c r="B1562" s="1" t="str">
        <f>VLOOKUP(A1562,Institutions!A:B,2,False)</f>
        <v>Netherlands</v>
      </c>
      <c r="C1562" s="8">
        <v>45292.0</v>
      </c>
      <c r="D1562" s="1" t="s">
        <v>1117</v>
      </c>
    </row>
    <row r="1563">
      <c r="A1563" s="1" t="s">
        <v>296</v>
      </c>
      <c r="B1563" s="1" t="str">
        <f>VLOOKUP(A1563,Institutions!A:B,2,False)</f>
        <v>Netherlands</v>
      </c>
      <c r="C1563" s="8">
        <v>44197.0</v>
      </c>
      <c r="D1563" s="1" t="s">
        <v>1025</v>
      </c>
    </row>
    <row r="1564">
      <c r="A1564" s="1" t="s">
        <v>296</v>
      </c>
      <c r="B1564" s="1" t="str">
        <f>VLOOKUP(A1564,Institutions!A:B,2,False)</f>
        <v>Netherlands</v>
      </c>
      <c r="C1564" s="8">
        <v>43466.0</v>
      </c>
      <c r="D1564" s="1" t="s">
        <v>2249</v>
      </c>
    </row>
    <row r="1565">
      <c r="A1565" s="1" t="s">
        <v>296</v>
      </c>
      <c r="B1565" s="1" t="str">
        <f>VLOOKUP(A1565,Institutions!A:B,2,False)</f>
        <v>Netherlands</v>
      </c>
      <c r="C1565" s="8">
        <v>42370.0</v>
      </c>
      <c r="D1565" s="1" t="s">
        <v>1557</v>
      </c>
    </row>
    <row r="1566">
      <c r="A1566" s="1" t="s">
        <v>297</v>
      </c>
      <c r="B1566" s="1" t="str">
        <f>VLOOKUP(A1566,Institutions!A:B,2,False)</f>
        <v>Italy</v>
      </c>
      <c r="C1566" s="8">
        <v>44927.0</v>
      </c>
      <c r="D1566" s="1" t="s">
        <v>1264</v>
      </c>
    </row>
    <row r="1567">
      <c r="A1567" s="1" t="s">
        <v>297</v>
      </c>
      <c r="B1567" s="1" t="str">
        <f>VLOOKUP(A1567,Institutions!A:B,2,False)</f>
        <v>Italy</v>
      </c>
      <c r="C1567" s="8">
        <v>44927.0</v>
      </c>
      <c r="D1567" s="1" t="s">
        <v>1437</v>
      </c>
    </row>
    <row r="1568">
      <c r="A1568" s="1" t="s">
        <v>297</v>
      </c>
      <c r="B1568" s="1" t="str">
        <f>VLOOKUP(A1568,Institutions!A:B,2,False)</f>
        <v>Italy</v>
      </c>
      <c r="C1568" s="8">
        <v>44197.0</v>
      </c>
      <c r="D1568" s="1" t="s">
        <v>949</v>
      </c>
    </row>
    <row r="1569">
      <c r="A1569" s="1" t="s">
        <v>297</v>
      </c>
      <c r="B1569" s="1" t="str">
        <f>VLOOKUP(A1569,Institutions!A:B,2,False)</f>
        <v>Italy</v>
      </c>
      <c r="C1569" s="8">
        <v>43101.0</v>
      </c>
      <c r="D1569" s="1" t="s">
        <v>1855</v>
      </c>
    </row>
    <row r="1570">
      <c r="A1570" s="1" t="s">
        <v>298</v>
      </c>
      <c r="B1570" s="1" t="str">
        <f>VLOOKUP(A1570,Institutions!A:B,2,False)</f>
        <v>United States</v>
      </c>
      <c r="C1570" s="8">
        <v>45292.0</v>
      </c>
      <c r="D1570" s="1" t="s">
        <v>1251</v>
      </c>
    </row>
    <row r="1571">
      <c r="A1571" s="1" t="s">
        <v>298</v>
      </c>
      <c r="B1571" s="1" t="str">
        <f>VLOOKUP(A1571,Institutions!A:B,2,False)</f>
        <v>United States</v>
      </c>
      <c r="C1571" s="8">
        <v>44927.0</v>
      </c>
      <c r="D1571" s="1" t="s">
        <v>1257</v>
      </c>
    </row>
    <row r="1572">
      <c r="A1572" s="1" t="s">
        <v>298</v>
      </c>
      <c r="B1572" s="1" t="str">
        <f>VLOOKUP(A1572,Institutions!A:B,2,False)</f>
        <v>United States</v>
      </c>
      <c r="C1572" s="8">
        <v>44927.0</v>
      </c>
      <c r="D1572" s="1" t="s">
        <v>1259</v>
      </c>
    </row>
    <row r="1573">
      <c r="A1573" s="1" t="s">
        <v>298</v>
      </c>
      <c r="B1573" s="1" t="str">
        <f>VLOOKUP(A1573,Institutions!A:B,2,False)</f>
        <v>United States</v>
      </c>
      <c r="C1573" s="8">
        <v>44197.0</v>
      </c>
      <c r="D1573" s="1" t="s">
        <v>1306</v>
      </c>
    </row>
    <row r="1574">
      <c r="A1574" s="1" t="s">
        <v>299</v>
      </c>
      <c r="B1574" s="1" t="str">
        <f>VLOOKUP(A1574,Institutions!A:B,2,False)</f>
        <v>Italy</v>
      </c>
      <c r="C1574" s="8">
        <v>40544.0</v>
      </c>
      <c r="D1574" s="1" t="s">
        <v>2250</v>
      </c>
    </row>
    <row r="1575">
      <c r="A1575" s="1" t="s">
        <v>299</v>
      </c>
      <c r="B1575" s="1" t="str">
        <f>VLOOKUP(A1575,Institutions!A:B,2,False)</f>
        <v>Italy</v>
      </c>
      <c r="C1575" s="8">
        <v>40179.0</v>
      </c>
      <c r="D1575" s="1" t="s">
        <v>2251</v>
      </c>
    </row>
    <row r="1576">
      <c r="A1576" s="1" t="s">
        <v>299</v>
      </c>
      <c r="B1576" s="1" t="str">
        <f>VLOOKUP(A1576,Institutions!A:B,2,False)</f>
        <v>Italy</v>
      </c>
      <c r="C1576" s="8">
        <v>39814.0</v>
      </c>
      <c r="D1576" s="1" t="s">
        <v>2252</v>
      </c>
    </row>
    <row r="1577">
      <c r="A1577" s="1" t="s">
        <v>299</v>
      </c>
      <c r="B1577" s="1" t="str">
        <f>VLOOKUP(A1577,Institutions!A:B,2,False)</f>
        <v>Italy</v>
      </c>
      <c r="C1577" s="8">
        <v>39814.0</v>
      </c>
      <c r="D1577" s="1" t="s">
        <v>2253</v>
      </c>
    </row>
    <row r="1578">
      <c r="A1578" s="1" t="s">
        <v>300</v>
      </c>
      <c r="B1578" s="1" t="str">
        <f>VLOOKUP(A1578,Institutions!A:B,2,False)</f>
        <v>Germany</v>
      </c>
      <c r="C1578" s="8">
        <v>45292.0</v>
      </c>
      <c r="D1578" s="1" t="s">
        <v>1117</v>
      </c>
    </row>
    <row r="1579">
      <c r="A1579" s="1" t="s">
        <v>300</v>
      </c>
      <c r="B1579" s="1" t="str">
        <f>VLOOKUP(A1579,Institutions!A:B,2,False)</f>
        <v>Germany</v>
      </c>
      <c r="C1579" s="8">
        <v>44562.0</v>
      </c>
      <c r="D1579" s="1" t="s">
        <v>828</v>
      </c>
    </row>
    <row r="1580">
      <c r="A1580" s="1" t="s">
        <v>300</v>
      </c>
      <c r="B1580" s="1" t="str">
        <f>VLOOKUP(A1580,Institutions!A:B,2,False)</f>
        <v>Germany</v>
      </c>
      <c r="C1580" s="8">
        <v>43101.0</v>
      </c>
      <c r="D1580" s="1" t="s">
        <v>1855</v>
      </c>
    </row>
    <row r="1581">
      <c r="A1581" s="1" t="s">
        <v>300</v>
      </c>
      <c r="B1581" s="1" t="str">
        <f>VLOOKUP(A1581,Institutions!A:B,2,False)</f>
        <v>Germany</v>
      </c>
      <c r="C1581" s="8">
        <v>41275.0</v>
      </c>
      <c r="D1581" s="1" t="s">
        <v>1738</v>
      </c>
    </row>
    <row r="1582">
      <c r="A1582" s="1" t="s">
        <v>301</v>
      </c>
      <c r="B1582" s="1" t="str">
        <f>VLOOKUP(A1582,Institutions!A:B,2,False)</f>
        <v>United States</v>
      </c>
      <c r="C1582" s="8">
        <v>44927.0</v>
      </c>
      <c r="D1582" s="1" t="s">
        <v>1132</v>
      </c>
    </row>
    <row r="1583">
      <c r="A1583" s="1" t="s">
        <v>301</v>
      </c>
      <c r="B1583" s="1" t="str">
        <f>VLOOKUP(A1583,Institutions!A:B,2,False)</f>
        <v>United States</v>
      </c>
      <c r="C1583" s="8">
        <v>44927.0</v>
      </c>
      <c r="D1583" s="1" t="s">
        <v>1150</v>
      </c>
    </row>
    <row r="1584">
      <c r="A1584" s="1" t="s">
        <v>301</v>
      </c>
      <c r="B1584" s="1" t="str">
        <f>VLOOKUP(A1584,Institutions!A:B,2,False)</f>
        <v>United States</v>
      </c>
      <c r="C1584" s="8">
        <v>44562.0</v>
      </c>
      <c r="D1584" s="1" t="s">
        <v>1281</v>
      </c>
    </row>
    <row r="1585">
      <c r="A1585" s="1" t="s">
        <v>301</v>
      </c>
      <c r="B1585" s="1" t="str">
        <f>VLOOKUP(A1585,Institutions!A:B,2,False)</f>
        <v>United States</v>
      </c>
      <c r="C1585" s="8">
        <v>44562.0</v>
      </c>
      <c r="D1585" s="1" t="s">
        <v>503</v>
      </c>
    </row>
    <row r="1586">
      <c r="A1586" s="1" t="s">
        <v>303</v>
      </c>
      <c r="B1586" s="1" t="str">
        <f>VLOOKUP(A1586,Institutions!A:B,2,False)</f>
        <v>United Kingdom</v>
      </c>
      <c r="C1586" s="8">
        <v>44562.0</v>
      </c>
      <c r="D1586" s="1" t="s">
        <v>1594</v>
      </c>
    </row>
    <row r="1587">
      <c r="A1587" s="1" t="s">
        <v>303</v>
      </c>
      <c r="B1587" s="1" t="str">
        <f>VLOOKUP(A1587,Institutions!A:B,2,False)</f>
        <v>United Kingdom</v>
      </c>
      <c r="C1587" s="8">
        <v>43831.0</v>
      </c>
      <c r="D1587" s="1" t="s">
        <v>910</v>
      </c>
    </row>
    <row r="1588">
      <c r="A1588" s="1" t="s">
        <v>303</v>
      </c>
      <c r="B1588" s="1" t="str">
        <f>VLOOKUP(A1588,Institutions!A:B,2,False)</f>
        <v>United Kingdom</v>
      </c>
      <c r="C1588" s="8">
        <v>40909.0</v>
      </c>
      <c r="D1588" s="1" t="s">
        <v>1742</v>
      </c>
    </row>
    <row r="1589">
      <c r="A1589" s="1" t="s">
        <v>303</v>
      </c>
      <c r="B1589" s="1" t="str">
        <f>VLOOKUP(A1589,Institutions!A:B,2,False)</f>
        <v>United Kingdom</v>
      </c>
      <c r="C1589" s="8">
        <v>40909.0</v>
      </c>
      <c r="D1589" s="1" t="s">
        <v>1744</v>
      </c>
    </row>
    <row r="1590">
      <c r="A1590" s="1" t="s">
        <v>305</v>
      </c>
      <c r="B1590" s="1" t="str">
        <f>VLOOKUP(A1590,Institutions!A:B,2,False)</f>
        <v>Germany</v>
      </c>
      <c r="C1590" s="8">
        <v>45292.0</v>
      </c>
      <c r="D1590" s="1" t="s">
        <v>1107</v>
      </c>
    </row>
    <row r="1591">
      <c r="A1591" s="1" t="s">
        <v>305</v>
      </c>
      <c r="B1591" s="1" t="str">
        <f>VLOOKUP(A1591,Institutions!A:B,2,False)</f>
        <v>Germany</v>
      </c>
      <c r="C1591" s="8">
        <v>45292.0</v>
      </c>
      <c r="D1591" s="1" t="s">
        <v>1110</v>
      </c>
    </row>
    <row r="1592">
      <c r="A1592" s="1" t="s">
        <v>305</v>
      </c>
      <c r="B1592" s="1" t="str">
        <f>VLOOKUP(A1592,Institutions!A:B,2,False)</f>
        <v>Germany</v>
      </c>
      <c r="C1592" s="8">
        <v>44927.0</v>
      </c>
      <c r="D1592" s="1" t="s">
        <v>1129</v>
      </c>
    </row>
    <row r="1593">
      <c r="A1593" s="1" t="s">
        <v>305</v>
      </c>
      <c r="B1593" s="1" t="str">
        <f>VLOOKUP(A1593,Institutions!A:B,2,False)</f>
        <v>Germany</v>
      </c>
      <c r="C1593" s="8">
        <v>43831.0</v>
      </c>
      <c r="D1593" s="1" t="s">
        <v>913</v>
      </c>
    </row>
    <row r="1594">
      <c r="A1594" s="1" t="s">
        <v>307</v>
      </c>
      <c r="B1594" s="1" t="str">
        <f>VLOOKUP(A1594,Institutions!A:B,2,False)</f>
        <v>United Kingdom</v>
      </c>
      <c r="C1594" s="8">
        <v>44562.0</v>
      </c>
      <c r="D1594" s="1" t="s">
        <v>1666</v>
      </c>
    </row>
    <row r="1595">
      <c r="A1595" s="1" t="s">
        <v>307</v>
      </c>
      <c r="B1595" s="1" t="str">
        <f>VLOOKUP(A1595,Institutions!A:B,2,False)</f>
        <v>United Kingdom</v>
      </c>
      <c r="C1595" s="8">
        <v>44562.0</v>
      </c>
      <c r="D1595" s="1" t="s">
        <v>1672</v>
      </c>
    </row>
    <row r="1596">
      <c r="A1596" s="1" t="s">
        <v>307</v>
      </c>
      <c r="B1596" s="1" t="str">
        <f>VLOOKUP(A1596,Institutions!A:B,2,False)</f>
        <v>United Kingdom</v>
      </c>
      <c r="C1596" s="8">
        <v>44562.0</v>
      </c>
      <c r="D1596" s="1" t="s">
        <v>1670</v>
      </c>
    </row>
    <row r="1597">
      <c r="A1597" s="1" t="s">
        <v>307</v>
      </c>
      <c r="B1597" s="1" t="str">
        <f>VLOOKUP(A1597,Institutions!A:B,2,False)</f>
        <v>United Kingdom</v>
      </c>
      <c r="C1597" s="8">
        <v>44562.0</v>
      </c>
      <c r="D1597" s="1" t="s">
        <v>1674</v>
      </c>
    </row>
    <row r="1598">
      <c r="A1598" s="1" t="s">
        <v>308</v>
      </c>
      <c r="B1598" s="1" t="str">
        <f>VLOOKUP(A1598,Institutions!A:B,2,False)</f>
        <v>United Kingdom</v>
      </c>
      <c r="C1598" s="8">
        <v>44197.0</v>
      </c>
      <c r="D1598" s="1" t="s">
        <v>171</v>
      </c>
    </row>
    <row r="1599">
      <c r="A1599" s="1" t="s">
        <v>308</v>
      </c>
      <c r="B1599" s="1" t="str">
        <f>VLOOKUP(A1599,Institutions!A:B,2,False)</f>
        <v>United Kingdom</v>
      </c>
      <c r="C1599" s="8">
        <v>43466.0</v>
      </c>
      <c r="D1599" s="1" t="s">
        <v>976</v>
      </c>
    </row>
    <row r="1600">
      <c r="A1600" s="1" t="s">
        <v>308</v>
      </c>
      <c r="B1600" s="1" t="str">
        <f>VLOOKUP(A1600,Institutions!A:B,2,False)</f>
        <v>United Kingdom</v>
      </c>
      <c r="C1600" s="8">
        <v>41275.0</v>
      </c>
      <c r="D1600" s="1" t="s">
        <v>2254</v>
      </c>
    </row>
    <row r="1601">
      <c r="A1601" s="1" t="s">
        <v>308</v>
      </c>
      <c r="B1601" s="1" t="str">
        <f>VLOOKUP(A1601,Institutions!A:B,2,False)</f>
        <v>United Kingdom</v>
      </c>
      <c r="C1601" s="8">
        <v>41275.0</v>
      </c>
      <c r="D1601" s="1" t="s">
        <v>2255</v>
      </c>
    </row>
    <row r="1602">
      <c r="A1602" s="1" t="s">
        <v>310</v>
      </c>
      <c r="B1602" s="1" t="str">
        <f>VLOOKUP(A1602,Institutions!A:B,2,False)</f>
        <v>Israel</v>
      </c>
      <c r="C1602" s="8">
        <v>45292.0</v>
      </c>
      <c r="D1602" s="1" t="s">
        <v>1117</v>
      </c>
    </row>
    <row r="1603">
      <c r="A1603" s="1" t="s">
        <v>310</v>
      </c>
      <c r="B1603" s="1" t="str">
        <f>VLOOKUP(A1603,Institutions!A:B,2,False)</f>
        <v>Israel</v>
      </c>
      <c r="C1603" s="8">
        <v>44927.0</v>
      </c>
      <c r="D1603" s="1" t="s">
        <v>1259</v>
      </c>
    </row>
    <row r="1604">
      <c r="A1604" s="1" t="s">
        <v>310</v>
      </c>
      <c r="B1604" s="1" t="str">
        <f>VLOOKUP(A1604,Institutions!A:B,2,False)</f>
        <v>Israel</v>
      </c>
      <c r="C1604" s="8">
        <v>44562.0</v>
      </c>
      <c r="D1604" s="1" t="s">
        <v>1151</v>
      </c>
    </row>
    <row r="1605">
      <c r="A1605" s="1" t="s">
        <v>310</v>
      </c>
      <c r="B1605" s="1" t="str">
        <f>VLOOKUP(A1605,Institutions!A:B,2,False)</f>
        <v>Israel</v>
      </c>
      <c r="C1605" s="8">
        <v>42736.0</v>
      </c>
      <c r="D1605" s="1" t="s">
        <v>1825</v>
      </c>
    </row>
    <row r="1606">
      <c r="A1606" s="1" t="s">
        <v>311</v>
      </c>
      <c r="B1606" s="1" t="str">
        <f>VLOOKUP(A1606,Institutions!A:B,2,False)</f>
        <v>Russia</v>
      </c>
      <c r="C1606" s="8">
        <v>44562.0</v>
      </c>
      <c r="D1606" s="1" t="s">
        <v>813</v>
      </c>
    </row>
    <row r="1607">
      <c r="A1607" s="1" t="s">
        <v>311</v>
      </c>
      <c r="B1607" s="1" t="str">
        <f>VLOOKUP(A1607,Institutions!A:B,2,False)</f>
        <v>Russia</v>
      </c>
      <c r="C1607" s="8">
        <v>44197.0</v>
      </c>
      <c r="D1607" s="1" t="s">
        <v>849</v>
      </c>
    </row>
    <row r="1608">
      <c r="A1608" s="1" t="s">
        <v>311</v>
      </c>
      <c r="B1608" s="1" t="str">
        <f>VLOOKUP(A1608,Institutions!A:B,2,False)</f>
        <v>Russia</v>
      </c>
      <c r="C1608" s="8">
        <v>43101.0</v>
      </c>
      <c r="D1608" s="1" t="s">
        <v>2256</v>
      </c>
    </row>
    <row r="1609">
      <c r="A1609" s="1" t="s">
        <v>311</v>
      </c>
      <c r="B1609" s="1" t="str">
        <f>VLOOKUP(A1609,Institutions!A:B,2,False)</f>
        <v>Russia</v>
      </c>
      <c r="C1609" s="8">
        <v>43101.0</v>
      </c>
      <c r="D1609" s="1" t="s">
        <v>2257</v>
      </c>
    </row>
    <row r="1610">
      <c r="A1610" s="1" t="s">
        <v>313</v>
      </c>
      <c r="B1610" s="1" t="str">
        <f>VLOOKUP(A1610,Institutions!A:B,2,False)</f>
        <v>United Kingdom</v>
      </c>
      <c r="C1610" s="8">
        <v>44927.0</v>
      </c>
      <c r="D1610" s="1" t="s">
        <v>1499</v>
      </c>
    </row>
    <row r="1611">
      <c r="A1611" s="1" t="s">
        <v>313</v>
      </c>
      <c r="B1611" s="1" t="str">
        <f>VLOOKUP(A1611,Institutions!A:B,2,False)</f>
        <v>United Kingdom</v>
      </c>
      <c r="C1611" s="8">
        <v>44927.0</v>
      </c>
      <c r="D1611" s="1" t="s">
        <v>438</v>
      </c>
    </row>
    <row r="1612">
      <c r="A1612" s="1" t="s">
        <v>313</v>
      </c>
      <c r="B1612" s="1" t="str">
        <f>VLOOKUP(A1612,Institutions!A:B,2,False)</f>
        <v>United Kingdom</v>
      </c>
      <c r="C1612" s="8">
        <v>44927.0</v>
      </c>
      <c r="D1612" s="1" t="s">
        <v>1264</v>
      </c>
    </row>
    <row r="1613">
      <c r="A1613" s="1" t="s">
        <v>313</v>
      </c>
      <c r="B1613" s="1" t="str">
        <f>VLOOKUP(A1613,Institutions!A:B,2,False)</f>
        <v>United Kingdom</v>
      </c>
      <c r="C1613" s="8">
        <v>43101.0</v>
      </c>
      <c r="D1613" s="1" t="s">
        <v>1779</v>
      </c>
    </row>
    <row r="1614">
      <c r="A1614" s="1" t="s">
        <v>316</v>
      </c>
      <c r="B1614" s="1" t="str">
        <f>VLOOKUP(A1614,Institutions!A:B,2,False)</f>
        <v>Switzerland</v>
      </c>
      <c r="C1614" s="8">
        <v>45292.0</v>
      </c>
      <c r="D1614" s="1" t="s">
        <v>1104</v>
      </c>
    </row>
    <row r="1615">
      <c r="A1615" s="1" t="s">
        <v>316</v>
      </c>
      <c r="B1615" s="1" t="str">
        <f>VLOOKUP(A1615,Institutions!A:B,2,False)</f>
        <v>Switzerland</v>
      </c>
      <c r="C1615" s="8">
        <v>45292.0</v>
      </c>
      <c r="D1615" s="1" t="s">
        <v>1115</v>
      </c>
    </row>
    <row r="1616">
      <c r="A1616" s="1" t="s">
        <v>316</v>
      </c>
      <c r="B1616" s="1" t="str">
        <f>VLOOKUP(A1616,Institutions!A:B,2,False)</f>
        <v>Switzerland</v>
      </c>
      <c r="C1616" s="8">
        <v>44927.0</v>
      </c>
      <c r="D1616" s="1" t="s">
        <v>1259</v>
      </c>
    </row>
    <row r="1617">
      <c r="A1617" s="1" t="s">
        <v>316</v>
      </c>
      <c r="B1617" s="1" t="str">
        <f>VLOOKUP(A1617,Institutions!A:B,2,False)</f>
        <v>Switzerland</v>
      </c>
      <c r="C1617" s="8">
        <v>43831.0</v>
      </c>
      <c r="D1617" s="1" t="s">
        <v>570</v>
      </c>
    </row>
    <row r="1618">
      <c r="A1618" s="1" t="s">
        <v>317</v>
      </c>
      <c r="B1618" s="1" t="str">
        <f>VLOOKUP(A1618,Institutions!A:B,2,False)</f>
        <v>Germany</v>
      </c>
      <c r="C1618" s="8">
        <v>44927.0</v>
      </c>
      <c r="D1618" s="1" t="s">
        <v>440</v>
      </c>
    </row>
    <row r="1619">
      <c r="A1619" s="1" t="s">
        <v>317</v>
      </c>
      <c r="B1619" s="1" t="str">
        <f>VLOOKUP(A1619,Institutions!A:B,2,False)</f>
        <v>Germany</v>
      </c>
      <c r="C1619" s="8">
        <v>44927.0</v>
      </c>
      <c r="D1619" s="1" t="s">
        <v>458</v>
      </c>
    </row>
    <row r="1620">
      <c r="A1620" s="1" t="s">
        <v>317</v>
      </c>
      <c r="B1620" s="1" t="str">
        <f>VLOOKUP(A1620,Institutions!A:B,2,False)</f>
        <v>Germany</v>
      </c>
      <c r="C1620" s="8">
        <v>42005.0</v>
      </c>
      <c r="D1620" s="1" t="s">
        <v>1827</v>
      </c>
    </row>
    <row r="1621">
      <c r="A1621" s="1" t="s">
        <v>317</v>
      </c>
      <c r="B1621" s="1" t="str">
        <f>VLOOKUP(A1621,Institutions!A:B,2,False)</f>
        <v>Germany</v>
      </c>
      <c r="C1621" s="8">
        <v>41640.0</v>
      </c>
      <c r="D1621" s="1" t="s">
        <v>1955</v>
      </c>
    </row>
    <row r="1622">
      <c r="A1622" s="1" t="s">
        <v>318</v>
      </c>
      <c r="B1622" s="1" t="str">
        <f>VLOOKUP(A1622,Institutions!A:B,2,False)</f>
        <v>Uganda</v>
      </c>
      <c r="C1622" s="8">
        <v>44197.0</v>
      </c>
      <c r="D1622" s="1" t="s">
        <v>939</v>
      </c>
    </row>
    <row r="1623">
      <c r="A1623" s="1" t="s">
        <v>318</v>
      </c>
      <c r="B1623" s="1" t="str">
        <f>VLOOKUP(A1623,Institutions!A:B,2,False)</f>
        <v>Uganda</v>
      </c>
      <c r="C1623" s="8">
        <v>43466.0</v>
      </c>
      <c r="D1623" s="1" t="s">
        <v>965</v>
      </c>
    </row>
    <row r="1624">
      <c r="A1624" s="1" t="s">
        <v>318</v>
      </c>
      <c r="B1624" s="1" t="str">
        <f>VLOOKUP(A1624,Institutions!A:B,2,False)</f>
        <v>Uganda</v>
      </c>
      <c r="C1624" s="8">
        <v>43466.0</v>
      </c>
      <c r="D1624" s="1" t="s">
        <v>974</v>
      </c>
    </row>
    <row r="1625">
      <c r="A1625" s="1" t="s">
        <v>318</v>
      </c>
      <c r="B1625" s="1" t="str">
        <f>VLOOKUP(A1625,Institutions!A:B,2,False)</f>
        <v>Uganda</v>
      </c>
      <c r="C1625" s="8">
        <v>43466.0</v>
      </c>
      <c r="D1625" s="1" t="s">
        <v>977</v>
      </c>
    </row>
    <row r="1626">
      <c r="A1626" s="1" t="s">
        <v>321</v>
      </c>
      <c r="B1626" s="1" t="str">
        <f>VLOOKUP(A1626,Institutions!A:B,2,False)</f>
        <v>China</v>
      </c>
      <c r="C1626" s="8">
        <v>44562.0</v>
      </c>
      <c r="D1626" s="1" t="s">
        <v>487</v>
      </c>
    </row>
    <row r="1627">
      <c r="A1627" s="1" t="s">
        <v>321</v>
      </c>
      <c r="B1627" s="1" t="str">
        <f>VLOOKUP(A1627,Institutions!A:B,2,False)</f>
        <v>China</v>
      </c>
      <c r="C1627" s="8">
        <v>42736.0</v>
      </c>
      <c r="D1627" s="1" t="s">
        <v>2258</v>
      </c>
    </row>
    <row r="1628">
      <c r="A1628" s="1" t="s">
        <v>321</v>
      </c>
      <c r="B1628" s="1" t="str">
        <f>VLOOKUP(A1628,Institutions!A:B,2,False)</f>
        <v>China</v>
      </c>
      <c r="C1628" s="8">
        <v>40909.0</v>
      </c>
      <c r="D1628" s="1" t="s">
        <v>2259</v>
      </c>
    </row>
    <row r="1629">
      <c r="A1629" s="1" t="s">
        <v>321</v>
      </c>
      <c r="B1629" s="1" t="str">
        <f>VLOOKUP(A1629,Institutions!A:B,2,False)</f>
        <v>China</v>
      </c>
      <c r="C1629" s="8">
        <v>40544.0</v>
      </c>
      <c r="D1629" s="1" t="s">
        <v>2235</v>
      </c>
    </row>
    <row r="1630">
      <c r="A1630" s="1" t="s">
        <v>323</v>
      </c>
      <c r="B1630" s="1" t="str">
        <f>VLOOKUP(A1630,Institutions!A:B,2,False)</f>
        <v>Italy</v>
      </c>
      <c r="C1630" s="8">
        <v>44927.0</v>
      </c>
      <c r="D1630" s="1" t="s">
        <v>55</v>
      </c>
    </row>
    <row r="1631">
      <c r="A1631" s="1" t="s">
        <v>323</v>
      </c>
      <c r="B1631" s="1" t="str">
        <f>VLOOKUP(A1631,Institutions!A:B,2,False)</f>
        <v>Italy</v>
      </c>
      <c r="C1631" s="8">
        <v>44927.0</v>
      </c>
      <c r="D1631" s="1" t="s">
        <v>59</v>
      </c>
    </row>
    <row r="1632">
      <c r="A1632" s="1" t="s">
        <v>323</v>
      </c>
      <c r="B1632" s="1" t="str">
        <f>VLOOKUP(A1632,Institutions!A:B,2,False)</f>
        <v>Italy</v>
      </c>
      <c r="C1632" s="8">
        <v>43831.0</v>
      </c>
      <c r="D1632" s="1" t="s">
        <v>1540</v>
      </c>
    </row>
    <row r="1633">
      <c r="A1633" s="1" t="s">
        <v>323</v>
      </c>
      <c r="B1633" s="1" t="str">
        <f>VLOOKUP(A1633,Institutions!A:B,2,False)</f>
        <v>Italy</v>
      </c>
      <c r="C1633" s="8">
        <v>43466.0</v>
      </c>
      <c r="D1633" s="1" t="s">
        <v>1550</v>
      </c>
    </row>
    <row r="1634">
      <c r="A1634" s="1" t="s">
        <v>325</v>
      </c>
      <c r="B1634" s="1" t="str">
        <f>VLOOKUP(A1634,Institutions!A:B,2,False)</f>
        <v>Brazil</v>
      </c>
      <c r="C1634" s="8">
        <v>44927.0</v>
      </c>
      <c r="D1634" s="1" t="s">
        <v>446</v>
      </c>
    </row>
    <row r="1635">
      <c r="A1635" s="1" t="s">
        <v>325</v>
      </c>
      <c r="B1635" s="1" t="str">
        <f>VLOOKUP(A1635,Institutions!A:B,2,False)</f>
        <v>Brazil</v>
      </c>
      <c r="C1635" s="8">
        <v>44927.0</v>
      </c>
      <c r="D1635" s="1" t="s">
        <v>452</v>
      </c>
    </row>
    <row r="1636">
      <c r="A1636" s="1" t="s">
        <v>325</v>
      </c>
      <c r="B1636" s="1" t="str">
        <f>VLOOKUP(A1636,Institutions!A:B,2,False)</f>
        <v>Brazil</v>
      </c>
      <c r="C1636" s="8">
        <v>44562.0</v>
      </c>
      <c r="D1636" s="1" t="s">
        <v>476</v>
      </c>
    </row>
    <row r="1637">
      <c r="A1637" s="1" t="s">
        <v>325</v>
      </c>
      <c r="B1637" s="1" t="str">
        <f>VLOOKUP(A1637,Institutions!A:B,2,False)</f>
        <v>Brazil</v>
      </c>
      <c r="C1637" s="8">
        <v>44562.0</v>
      </c>
      <c r="D1637" s="1" t="s">
        <v>499</v>
      </c>
    </row>
    <row r="1638">
      <c r="A1638" s="1" t="s">
        <v>327</v>
      </c>
      <c r="B1638" s="1" t="str">
        <f>VLOOKUP(A1638,Institutions!A:B,2,False)</f>
        <v>Ireland</v>
      </c>
      <c r="C1638" s="8">
        <v>44197.0</v>
      </c>
      <c r="D1638" s="1" t="s">
        <v>939</v>
      </c>
    </row>
    <row r="1639">
      <c r="A1639" s="1" t="s">
        <v>327</v>
      </c>
      <c r="B1639" s="1" t="str">
        <f>VLOOKUP(A1639,Institutions!A:B,2,False)</f>
        <v>Ireland</v>
      </c>
      <c r="C1639" s="8">
        <v>43466.0</v>
      </c>
      <c r="D1639" s="1" t="s">
        <v>974</v>
      </c>
    </row>
    <row r="1640">
      <c r="A1640" s="1" t="s">
        <v>327</v>
      </c>
      <c r="B1640" s="1" t="str">
        <f>VLOOKUP(A1640,Institutions!A:B,2,False)</f>
        <v>Ireland</v>
      </c>
      <c r="C1640" s="8">
        <v>43101.0</v>
      </c>
      <c r="D1640" s="1" t="s">
        <v>994</v>
      </c>
    </row>
    <row r="1641">
      <c r="A1641" s="1" t="s">
        <v>327</v>
      </c>
      <c r="B1641" s="1" t="str">
        <f>VLOOKUP(A1641,Institutions!A:B,2,False)</f>
        <v>Ireland</v>
      </c>
      <c r="C1641" s="8">
        <v>42736.0</v>
      </c>
      <c r="D1641" s="1" t="s">
        <v>2201</v>
      </c>
    </row>
    <row r="1642">
      <c r="A1642" s="1" t="s">
        <v>329</v>
      </c>
      <c r="B1642" s="1" t="str">
        <f>VLOOKUP(A1642,Institutions!A:B,2,False)</f>
        <v>United Kingdom</v>
      </c>
      <c r="C1642" s="8">
        <v>45292.0</v>
      </c>
      <c r="D1642" s="1" t="s">
        <v>423</v>
      </c>
    </row>
    <row r="1643">
      <c r="A1643" s="1" t="s">
        <v>329</v>
      </c>
      <c r="B1643" s="1" t="str">
        <f>VLOOKUP(A1643,Institutions!A:B,2,False)</f>
        <v>United Kingdom</v>
      </c>
      <c r="C1643" s="8">
        <v>43466.0</v>
      </c>
      <c r="D1643" s="1" t="s">
        <v>601</v>
      </c>
    </row>
    <row r="1644">
      <c r="A1644" s="1" t="s">
        <v>329</v>
      </c>
      <c r="B1644" s="1" t="str">
        <f>VLOOKUP(A1644,Institutions!A:B,2,False)</f>
        <v>United Kingdom</v>
      </c>
      <c r="C1644" s="8">
        <v>42370.0</v>
      </c>
      <c r="D1644" s="1" t="s">
        <v>1978</v>
      </c>
    </row>
    <row r="1645">
      <c r="A1645" s="1" t="s">
        <v>329</v>
      </c>
      <c r="B1645" s="1" t="str">
        <f>VLOOKUP(A1645,Institutions!A:B,2,False)</f>
        <v>United Kingdom</v>
      </c>
      <c r="C1645" s="8">
        <v>42005.0</v>
      </c>
      <c r="D1645" s="1" t="s">
        <v>2084</v>
      </c>
    </row>
    <row r="1646">
      <c r="A1646" s="1" t="s">
        <v>332</v>
      </c>
      <c r="B1646" s="1" t="str">
        <f>VLOOKUP(A1646,Institutions!A:B,2,False)</f>
        <v>France</v>
      </c>
      <c r="C1646" s="8">
        <v>42736.0</v>
      </c>
      <c r="D1646" s="1" t="s">
        <v>1784</v>
      </c>
    </row>
    <row r="1647">
      <c r="A1647" s="1" t="s">
        <v>332</v>
      </c>
      <c r="B1647" s="1" t="str">
        <f>VLOOKUP(A1647,Institutions!A:B,2,False)</f>
        <v>France</v>
      </c>
      <c r="C1647" s="8">
        <v>41640.0</v>
      </c>
      <c r="D1647" s="1" t="s">
        <v>2085</v>
      </c>
    </row>
    <row r="1648">
      <c r="A1648" s="1" t="s">
        <v>332</v>
      </c>
      <c r="B1648" s="1" t="str">
        <f>VLOOKUP(A1648,Institutions!A:B,2,False)</f>
        <v>France</v>
      </c>
      <c r="C1648" s="8">
        <v>40544.0</v>
      </c>
      <c r="D1648" s="1" t="s">
        <v>2250</v>
      </c>
    </row>
    <row r="1649">
      <c r="A1649" s="1" t="s">
        <v>332</v>
      </c>
      <c r="B1649" s="1" t="str">
        <f>VLOOKUP(A1649,Institutions!A:B,2,False)</f>
        <v>France</v>
      </c>
      <c r="C1649" s="8">
        <v>40179.0</v>
      </c>
      <c r="D1649" s="1" t="s">
        <v>2251</v>
      </c>
    </row>
    <row r="1650">
      <c r="A1650" s="1" t="s">
        <v>334</v>
      </c>
      <c r="B1650" s="1" t="str">
        <f>VLOOKUP(A1650,Institutions!A:B,2,False)</f>
        <v>United States</v>
      </c>
      <c r="C1650" s="8">
        <v>43831.0</v>
      </c>
      <c r="D1650" s="1" t="s">
        <v>564</v>
      </c>
    </row>
    <row r="1651">
      <c r="A1651" s="1" t="s">
        <v>334</v>
      </c>
      <c r="B1651" s="1" t="str">
        <f>VLOOKUP(A1651,Institutions!A:B,2,False)</f>
        <v>United States</v>
      </c>
      <c r="C1651" s="8">
        <v>41640.0</v>
      </c>
      <c r="D1651" s="1" t="s">
        <v>1984</v>
      </c>
    </row>
    <row r="1652">
      <c r="A1652" s="1" t="s">
        <v>334</v>
      </c>
      <c r="B1652" s="1" t="str">
        <f>VLOOKUP(A1652,Institutions!A:B,2,False)</f>
        <v>United States</v>
      </c>
      <c r="C1652" s="8">
        <v>41275.0</v>
      </c>
      <c r="D1652" s="1" t="s">
        <v>2216</v>
      </c>
    </row>
    <row r="1653">
      <c r="A1653" s="1" t="s">
        <v>334</v>
      </c>
      <c r="B1653" s="1" t="str">
        <f>VLOOKUP(A1653,Institutions!A:B,2,False)</f>
        <v>United States</v>
      </c>
      <c r="C1653" s="8">
        <v>40179.0</v>
      </c>
      <c r="D1653" s="1" t="s">
        <v>2186</v>
      </c>
    </row>
    <row r="1654">
      <c r="A1654" s="1" t="s">
        <v>336</v>
      </c>
      <c r="B1654" s="1" t="str">
        <f>VLOOKUP(A1654,Institutions!A:B,2,False)</f>
        <v>Denmark</v>
      </c>
      <c r="C1654" s="8">
        <v>44197.0</v>
      </c>
      <c r="D1654" s="1" t="s">
        <v>165</v>
      </c>
    </row>
    <row r="1655">
      <c r="A1655" s="1" t="s">
        <v>336</v>
      </c>
      <c r="B1655" s="1" t="str">
        <f>VLOOKUP(A1655,Institutions!A:B,2,False)</f>
        <v>Denmark</v>
      </c>
      <c r="C1655" s="8">
        <v>43466.0</v>
      </c>
      <c r="D1655" s="1" t="s">
        <v>379</v>
      </c>
    </row>
    <row r="1656">
      <c r="A1656" s="1" t="s">
        <v>336</v>
      </c>
      <c r="B1656" s="1" t="str">
        <f>VLOOKUP(A1656,Institutions!A:B,2,False)</f>
        <v>Denmark</v>
      </c>
      <c r="C1656" s="8">
        <v>43466.0</v>
      </c>
      <c r="D1656" s="1" t="s">
        <v>2260</v>
      </c>
    </row>
    <row r="1657">
      <c r="A1657" s="1" t="s">
        <v>336</v>
      </c>
      <c r="B1657" s="1" t="str">
        <f>VLOOKUP(A1657,Institutions!A:B,2,False)</f>
        <v>Denmark</v>
      </c>
      <c r="C1657" s="8">
        <v>40909.0</v>
      </c>
      <c r="D1657" s="1" t="s">
        <v>2261</v>
      </c>
    </row>
    <row r="1658">
      <c r="A1658" s="1" t="s">
        <v>338</v>
      </c>
      <c r="B1658" s="1" t="str">
        <f>VLOOKUP(A1658,Institutions!A:B,2,False)</f>
        <v>Australia</v>
      </c>
      <c r="C1658" s="8">
        <v>43101.0</v>
      </c>
      <c r="D1658" s="1" t="s">
        <v>1855</v>
      </c>
    </row>
    <row r="1659">
      <c r="A1659" s="1" t="s">
        <v>338</v>
      </c>
      <c r="B1659" s="1" t="str">
        <f>VLOOKUP(A1659,Institutions!A:B,2,False)</f>
        <v>Australia</v>
      </c>
      <c r="C1659" s="8">
        <v>43101.0</v>
      </c>
      <c r="D1659" s="1" t="s">
        <v>991</v>
      </c>
    </row>
    <row r="1660">
      <c r="A1660" s="1" t="s">
        <v>338</v>
      </c>
      <c r="B1660" s="1" t="str">
        <f>VLOOKUP(A1660,Institutions!A:B,2,False)</f>
        <v>Australia</v>
      </c>
      <c r="C1660" s="8">
        <v>42736.0</v>
      </c>
      <c r="D1660" s="1" t="s">
        <v>2124</v>
      </c>
    </row>
    <row r="1661">
      <c r="A1661" s="1" t="s">
        <v>338</v>
      </c>
      <c r="B1661" s="1" t="str">
        <f>VLOOKUP(A1661,Institutions!A:B,2,False)</f>
        <v>Australia</v>
      </c>
      <c r="C1661" s="8">
        <v>42736.0</v>
      </c>
      <c r="D1661" s="1" t="s">
        <v>2125</v>
      </c>
    </row>
    <row r="1662">
      <c r="A1662" s="1" t="s">
        <v>340</v>
      </c>
      <c r="B1662" s="1" t="str">
        <f>VLOOKUP(A1662,Institutions!A:B,2,False)</f>
        <v>South Korea</v>
      </c>
      <c r="C1662" s="8">
        <v>44927.0</v>
      </c>
      <c r="D1662" s="1" t="s">
        <v>1504</v>
      </c>
    </row>
    <row r="1663">
      <c r="A1663" s="1" t="s">
        <v>340</v>
      </c>
      <c r="B1663" s="1" t="str">
        <f>VLOOKUP(A1663,Institutions!A:B,2,False)</f>
        <v>South Korea</v>
      </c>
      <c r="C1663" s="8">
        <v>44562.0</v>
      </c>
      <c r="D1663" s="1" t="s">
        <v>491</v>
      </c>
    </row>
    <row r="1664">
      <c r="A1664" s="1" t="s">
        <v>340</v>
      </c>
      <c r="B1664" s="1" t="str">
        <f>VLOOKUP(A1664,Institutions!A:B,2,False)</f>
        <v>South Korea</v>
      </c>
      <c r="C1664" s="8">
        <v>44197.0</v>
      </c>
      <c r="D1664" s="1" t="s">
        <v>1317</v>
      </c>
    </row>
    <row r="1665">
      <c r="A1665" s="1" t="s">
        <v>340</v>
      </c>
      <c r="B1665" s="1" t="str">
        <f>VLOOKUP(A1665,Institutions!A:B,2,False)</f>
        <v>South Korea</v>
      </c>
      <c r="C1665" s="8">
        <v>41640.0</v>
      </c>
      <c r="D1665" s="1" t="s">
        <v>2262</v>
      </c>
    </row>
    <row r="1666">
      <c r="A1666" s="1" t="s">
        <v>343</v>
      </c>
      <c r="B1666" s="1" t="str">
        <f>VLOOKUP(A1666,Institutions!A:B,2,False)</f>
        <v>Germany</v>
      </c>
      <c r="C1666" s="8">
        <v>44197.0</v>
      </c>
      <c r="D1666" s="1" t="s">
        <v>949</v>
      </c>
    </row>
    <row r="1667">
      <c r="A1667" s="1" t="s">
        <v>343</v>
      </c>
      <c r="B1667" s="1" t="str">
        <f>VLOOKUP(A1667,Institutions!A:B,2,False)</f>
        <v>Germany</v>
      </c>
      <c r="C1667" s="8">
        <v>42005.0</v>
      </c>
      <c r="D1667" s="1" t="s">
        <v>1480</v>
      </c>
    </row>
    <row r="1668">
      <c r="A1668" s="1" t="s">
        <v>343</v>
      </c>
      <c r="B1668" s="1" t="str">
        <f>VLOOKUP(A1668,Institutions!A:B,2,False)</f>
        <v>Germany</v>
      </c>
      <c r="C1668" s="8">
        <v>41275.0</v>
      </c>
      <c r="D1668" s="1" t="s">
        <v>1834</v>
      </c>
    </row>
    <row r="1669">
      <c r="A1669" s="1" t="s">
        <v>343</v>
      </c>
      <c r="B1669" s="1" t="str">
        <f>VLOOKUP(A1669,Institutions!A:B,2,False)</f>
        <v>Germany</v>
      </c>
      <c r="C1669" s="8">
        <v>40544.0</v>
      </c>
      <c r="D1669" s="1" t="s">
        <v>1845</v>
      </c>
    </row>
    <row r="1670">
      <c r="A1670" s="1" t="s">
        <v>345</v>
      </c>
      <c r="B1670" s="1" t="str">
        <f>VLOOKUP(A1670,Institutions!A:B,2,False)</f>
        <v>Germany</v>
      </c>
      <c r="C1670" s="8">
        <v>43466.0</v>
      </c>
      <c r="D1670" s="1" t="s">
        <v>1038</v>
      </c>
    </row>
    <row r="1671">
      <c r="A1671" s="1" t="s">
        <v>345</v>
      </c>
      <c r="B1671" s="1" t="str">
        <f>VLOOKUP(A1671,Institutions!A:B,2,False)</f>
        <v>Germany</v>
      </c>
      <c r="C1671" s="8">
        <v>43101.0</v>
      </c>
      <c r="D1671" s="1" t="s">
        <v>1041</v>
      </c>
    </row>
    <row r="1672">
      <c r="A1672" s="1" t="s">
        <v>345</v>
      </c>
      <c r="B1672" s="1" t="str">
        <f>VLOOKUP(A1672,Institutions!A:B,2,False)</f>
        <v>Germany</v>
      </c>
      <c r="C1672" s="8">
        <v>43101.0</v>
      </c>
      <c r="D1672" s="1" t="s">
        <v>1041</v>
      </c>
    </row>
    <row r="1673">
      <c r="A1673" s="1" t="s">
        <v>345</v>
      </c>
      <c r="B1673" s="1" t="str">
        <f>VLOOKUP(A1673,Institutions!A:B,2,False)</f>
        <v>Germany</v>
      </c>
      <c r="C1673" s="8">
        <v>43101.0</v>
      </c>
      <c r="D1673" s="1" t="s">
        <v>1046</v>
      </c>
    </row>
    <row r="1674">
      <c r="A1674" s="1" t="s">
        <v>347</v>
      </c>
      <c r="B1674" s="1" t="str">
        <f>VLOOKUP(A1674,Institutions!A:B,2,False)</f>
        <v>United Kingdom</v>
      </c>
      <c r="C1674" s="8">
        <v>44927.0</v>
      </c>
      <c r="D1674" s="1" t="s">
        <v>1198</v>
      </c>
    </row>
    <row r="1675">
      <c r="A1675" s="1" t="s">
        <v>347</v>
      </c>
      <c r="B1675" s="1" t="str">
        <f>VLOOKUP(A1675,Institutions!A:B,2,False)</f>
        <v>United Kingdom</v>
      </c>
      <c r="C1675" s="8">
        <v>43831.0</v>
      </c>
      <c r="D1675" s="1" t="s">
        <v>1245</v>
      </c>
    </row>
    <row r="1676">
      <c r="A1676" s="1" t="s">
        <v>347</v>
      </c>
      <c r="B1676" s="1" t="str">
        <f>VLOOKUP(A1676,Institutions!A:B,2,False)</f>
        <v>United Kingdom</v>
      </c>
      <c r="C1676" s="8">
        <v>43466.0</v>
      </c>
      <c r="D1676" s="1" t="s">
        <v>2101</v>
      </c>
    </row>
    <row r="1677">
      <c r="A1677" s="1" t="s">
        <v>349</v>
      </c>
      <c r="B1677" s="1" t="str">
        <f>VLOOKUP(A1677,Institutions!A:B,2,False)</f>
        <v>France</v>
      </c>
      <c r="C1677" s="8">
        <v>44562.0</v>
      </c>
      <c r="D1677" s="1" t="s">
        <v>478</v>
      </c>
    </row>
    <row r="1678">
      <c r="A1678" s="1" t="s">
        <v>349</v>
      </c>
      <c r="B1678" s="1" t="str">
        <f>VLOOKUP(A1678,Institutions!A:B,2,False)</f>
        <v>France</v>
      </c>
      <c r="C1678" s="8">
        <v>44562.0</v>
      </c>
      <c r="D1678" s="1" t="s">
        <v>497</v>
      </c>
    </row>
    <row r="1679">
      <c r="A1679" s="1" t="s">
        <v>349</v>
      </c>
      <c r="B1679" s="1" t="str">
        <f>VLOOKUP(A1679,Institutions!A:B,2,False)</f>
        <v>France</v>
      </c>
      <c r="C1679" s="8">
        <v>44562.0</v>
      </c>
      <c r="D1679" s="1" t="s">
        <v>501</v>
      </c>
    </row>
    <row r="1680">
      <c r="A1680" s="1" t="s">
        <v>351</v>
      </c>
      <c r="B1680" s="1" t="str">
        <f>VLOOKUP(A1680,Institutions!A:B,2,False)</f>
        <v>Switzerland</v>
      </c>
      <c r="C1680" s="8">
        <v>44562.0</v>
      </c>
      <c r="D1680" s="1" t="s">
        <v>1510</v>
      </c>
    </row>
    <row r="1681">
      <c r="A1681" s="1" t="s">
        <v>351</v>
      </c>
      <c r="B1681" s="1" t="str">
        <f>VLOOKUP(A1681,Institutions!A:B,2,False)</f>
        <v>Switzerland</v>
      </c>
      <c r="C1681" s="8">
        <v>44562.0</v>
      </c>
      <c r="D1681" s="1" t="s">
        <v>1519</v>
      </c>
    </row>
    <row r="1682">
      <c r="A1682" s="1" t="s">
        <v>351</v>
      </c>
      <c r="B1682" s="1" t="str">
        <f>VLOOKUP(A1682,Institutions!A:B,2,False)</f>
        <v>Switzerland</v>
      </c>
      <c r="C1682" s="8">
        <v>44562.0</v>
      </c>
      <c r="D1682" s="1" t="s">
        <v>1445</v>
      </c>
    </row>
    <row r="1683">
      <c r="A1683" s="1" t="s">
        <v>353</v>
      </c>
      <c r="B1683" s="1" t="str">
        <f>VLOOKUP(A1683,Institutions!A:B,2,False)</f>
        <v>Denmark</v>
      </c>
      <c r="C1683" s="8">
        <v>39814.0</v>
      </c>
      <c r="D1683" s="1" t="s">
        <v>1874</v>
      </c>
    </row>
    <row r="1684">
      <c r="A1684" s="1" t="s">
        <v>353</v>
      </c>
      <c r="B1684" s="1" t="str">
        <f>VLOOKUP(A1684,Institutions!A:B,2,False)</f>
        <v>Denmark</v>
      </c>
      <c r="C1684" s="8">
        <v>39814.0</v>
      </c>
      <c r="D1684" s="1" t="s">
        <v>1879</v>
      </c>
    </row>
    <row r="1685">
      <c r="A1685" s="1" t="s">
        <v>353</v>
      </c>
      <c r="B1685" s="1" t="str">
        <f>VLOOKUP(A1685,Institutions!A:B,2,False)</f>
        <v>Denmark</v>
      </c>
      <c r="C1685" s="8">
        <v>39448.0</v>
      </c>
      <c r="D1685" s="1" t="s">
        <v>2263</v>
      </c>
    </row>
    <row r="1686">
      <c r="A1686" s="1" t="s">
        <v>355</v>
      </c>
      <c r="B1686" s="1" t="str">
        <f>VLOOKUP(A1686,Institutions!A:B,2,False)</f>
        <v>Italy</v>
      </c>
      <c r="C1686" s="8">
        <v>44927.0</v>
      </c>
      <c r="D1686" s="1" t="s">
        <v>59</v>
      </c>
    </row>
    <row r="1687">
      <c r="A1687" s="1" t="s">
        <v>355</v>
      </c>
      <c r="B1687" s="1" t="str">
        <f>VLOOKUP(A1687,Institutions!A:B,2,False)</f>
        <v>Italy</v>
      </c>
      <c r="C1687" s="8">
        <v>43831.0</v>
      </c>
      <c r="D1687" s="1" t="s">
        <v>1540</v>
      </c>
    </row>
    <row r="1688">
      <c r="A1688" s="1" t="s">
        <v>355</v>
      </c>
      <c r="B1688" s="1" t="str">
        <f>VLOOKUP(A1688,Institutions!A:B,2,False)</f>
        <v>Italy</v>
      </c>
      <c r="C1688" s="8">
        <v>43466.0</v>
      </c>
      <c r="D1688" s="1" t="s">
        <v>1554</v>
      </c>
    </row>
    <row r="1689">
      <c r="A1689" s="1" t="s">
        <v>357</v>
      </c>
      <c r="B1689" s="1" t="str">
        <f>VLOOKUP(A1689,Institutions!A:B,2,False)</f>
        <v>Canada</v>
      </c>
      <c r="C1689" s="8">
        <v>44927.0</v>
      </c>
      <c r="D1689" s="1" t="s">
        <v>1257</v>
      </c>
    </row>
    <row r="1690">
      <c r="A1690" s="1" t="s">
        <v>357</v>
      </c>
      <c r="B1690" s="1" t="str">
        <f>VLOOKUP(A1690,Institutions!A:B,2,False)</f>
        <v>Canada</v>
      </c>
      <c r="C1690" s="8">
        <v>44927.0</v>
      </c>
      <c r="D1690" s="1" t="s">
        <v>1270</v>
      </c>
    </row>
    <row r="1691">
      <c r="A1691" s="1" t="s">
        <v>357</v>
      </c>
      <c r="B1691" s="1" t="str">
        <f>VLOOKUP(A1691,Institutions!A:B,2,False)</f>
        <v>Canada</v>
      </c>
      <c r="C1691" s="8">
        <v>41275.0</v>
      </c>
      <c r="D1691" s="1" t="s">
        <v>2221</v>
      </c>
    </row>
    <row r="1692">
      <c r="A1692" s="1" t="s">
        <v>359</v>
      </c>
      <c r="B1692" s="1" t="str">
        <f>VLOOKUP(A1692,Institutions!A:B,2,False)</f>
        <v>Slovenia</v>
      </c>
      <c r="C1692" s="8">
        <v>44927.0</v>
      </c>
      <c r="D1692" s="1" t="s">
        <v>1129</v>
      </c>
    </row>
    <row r="1693">
      <c r="A1693" s="1" t="s">
        <v>359</v>
      </c>
      <c r="B1693" s="1" t="str">
        <f>VLOOKUP(A1693,Institutions!A:B,2,False)</f>
        <v>Slovenia</v>
      </c>
      <c r="C1693" s="8">
        <v>44197.0</v>
      </c>
      <c r="D1693" s="1" t="s">
        <v>1931</v>
      </c>
    </row>
    <row r="1694">
      <c r="A1694" s="1" t="s">
        <v>359</v>
      </c>
      <c r="B1694" s="1" t="str">
        <f>VLOOKUP(A1694,Institutions!A:B,2,False)</f>
        <v>Slovenia</v>
      </c>
      <c r="C1694" s="8">
        <v>43101.0</v>
      </c>
      <c r="D1694" s="1" t="s">
        <v>2027</v>
      </c>
    </row>
    <row r="1695">
      <c r="A1695" s="1" t="s">
        <v>362</v>
      </c>
      <c r="B1695" s="1" t="str">
        <f>VLOOKUP(A1695,Institutions!A:B,2,False)</f>
        <v>Mexico</v>
      </c>
      <c r="C1695" s="8">
        <v>44562.0</v>
      </c>
      <c r="D1695" s="1" t="s">
        <v>1607</v>
      </c>
    </row>
    <row r="1696">
      <c r="A1696" s="1" t="s">
        <v>362</v>
      </c>
      <c r="B1696" s="1" t="str">
        <f>VLOOKUP(A1696,Institutions!A:B,2,False)</f>
        <v>Mexico</v>
      </c>
      <c r="C1696" s="8">
        <v>44197.0</v>
      </c>
      <c r="D1696" s="1" t="s">
        <v>1238</v>
      </c>
    </row>
    <row r="1697">
      <c r="A1697" s="1" t="s">
        <v>362</v>
      </c>
      <c r="B1697" s="1" t="str">
        <f>VLOOKUP(A1697,Institutions!A:B,2,False)</f>
        <v>Mexico</v>
      </c>
      <c r="C1697" s="8">
        <v>43831.0</v>
      </c>
      <c r="D1697" s="1" t="s">
        <v>1617</v>
      </c>
    </row>
    <row r="1698">
      <c r="A1698" s="1" t="s">
        <v>365</v>
      </c>
      <c r="B1698" s="1" t="str">
        <f>VLOOKUP(A1698,Institutions!A:B,2,False)</f>
        <v>Canada</v>
      </c>
      <c r="C1698" s="8">
        <v>45292.0</v>
      </c>
      <c r="D1698" s="1" t="s">
        <v>1117</v>
      </c>
    </row>
    <row r="1699">
      <c r="A1699" s="1" t="s">
        <v>365</v>
      </c>
      <c r="B1699" s="1" t="str">
        <f>VLOOKUP(A1699,Institutions!A:B,2,False)</f>
        <v>Canada</v>
      </c>
      <c r="C1699" s="8">
        <v>40179.0</v>
      </c>
      <c r="D1699" s="1" t="s">
        <v>2105</v>
      </c>
    </row>
    <row r="1700">
      <c r="A1700" s="1" t="s">
        <v>365</v>
      </c>
      <c r="B1700" s="1" t="str">
        <f>VLOOKUP(A1700,Institutions!A:B,2,False)</f>
        <v>Canada</v>
      </c>
      <c r="C1700" s="8">
        <v>40179.0</v>
      </c>
      <c r="D1700" s="1" t="s">
        <v>2264</v>
      </c>
    </row>
    <row r="1701">
      <c r="A1701" s="1" t="s">
        <v>367</v>
      </c>
      <c r="B1701" s="1" t="str">
        <f>VLOOKUP(A1701,Institutions!A:B,2,False)</f>
        <v>France</v>
      </c>
      <c r="C1701" s="8">
        <v>44927.0</v>
      </c>
      <c r="D1701" s="1" t="s">
        <v>1134</v>
      </c>
    </row>
    <row r="1702">
      <c r="A1702" s="1" t="s">
        <v>367</v>
      </c>
      <c r="B1702" s="1" t="str">
        <f>VLOOKUP(A1702,Institutions!A:B,2,False)</f>
        <v>France</v>
      </c>
      <c r="C1702" s="8">
        <v>44197.0</v>
      </c>
      <c r="D1702" s="1" t="s">
        <v>1181</v>
      </c>
    </row>
    <row r="1703">
      <c r="A1703" s="1" t="s">
        <v>367</v>
      </c>
      <c r="B1703" s="1" t="str">
        <f>VLOOKUP(A1703,Institutions!A:B,2,False)</f>
        <v>France</v>
      </c>
      <c r="C1703" s="8">
        <v>40179.0</v>
      </c>
      <c r="D1703" s="1" t="s">
        <v>2071</v>
      </c>
    </row>
    <row r="1704">
      <c r="A1704" s="1" t="s">
        <v>369</v>
      </c>
      <c r="B1704" s="1" t="str">
        <f>VLOOKUP(A1704,Institutions!A:B,2,False)</f>
        <v>Turkey</v>
      </c>
      <c r="C1704" s="8">
        <v>44197.0</v>
      </c>
      <c r="D1704" s="1" t="s">
        <v>939</v>
      </c>
    </row>
    <row r="1705">
      <c r="A1705" s="1" t="s">
        <v>369</v>
      </c>
      <c r="B1705" s="1" t="str">
        <f>VLOOKUP(A1705,Institutions!A:B,2,False)</f>
        <v>Turkey</v>
      </c>
      <c r="C1705" s="8">
        <v>43831.0</v>
      </c>
      <c r="D1705" s="1" t="s">
        <v>951</v>
      </c>
    </row>
    <row r="1706">
      <c r="A1706" s="1" t="s">
        <v>369</v>
      </c>
      <c r="B1706" s="1" t="str">
        <f>VLOOKUP(A1706,Institutions!A:B,2,False)</f>
        <v>Turkey</v>
      </c>
      <c r="C1706" s="8">
        <v>43466.0</v>
      </c>
      <c r="D1706" s="1" t="s">
        <v>974</v>
      </c>
    </row>
    <row r="1707">
      <c r="A1707" s="1" t="s">
        <v>371</v>
      </c>
      <c r="B1707" s="1" t="str">
        <f>VLOOKUP(A1707,Institutions!A:B,2,False)</f>
        <v>Denmark</v>
      </c>
      <c r="C1707" s="8">
        <v>42005.0</v>
      </c>
      <c r="D1707" s="1" t="s">
        <v>1996</v>
      </c>
    </row>
    <row r="1708">
      <c r="A1708" s="1" t="s">
        <v>371</v>
      </c>
      <c r="B1708" s="1" t="str">
        <f>VLOOKUP(A1708,Institutions!A:B,2,False)</f>
        <v>Denmark</v>
      </c>
      <c r="C1708" s="8">
        <v>41275.0</v>
      </c>
      <c r="D1708" s="1" t="s">
        <v>1808</v>
      </c>
    </row>
    <row r="1709">
      <c r="A1709" s="1" t="s">
        <v>371</v>
      </c>
      <c r="B1709" s="1" t="str">
        <f>VLOOKUP(A1709,Institutions!A:B,2,False)</f>
        <v>Denmark</v>
      </c>
      <c r="C1709" s="8">
        <v>41275.0</v>
      </c>
      <c r="D1709" s="1" t="s">
        <v>2265</v>
      </c>
    </row>
    <row r="1710">
      <c r="A1710" s="1" t="s">
        <v>373</v>
      </c>
      <c r="B1710" s="1" t="str">
        <f>VLOOKUP(A1710,Institutions!A:B,2,False)</f>
        <v>Singapore</v>
      </c>
      <c r="C1710" s="8">
        <v>44927.0</v>
      </c>
      <c r="D1710" s="1" t="s">
        <v>1259</v>
      </c>
    </row>
    <row r="1711">
      <c r="A1711" s="1" t="s">
        <v>373</v>
      </c>
      <c r="B1711" s="1" t="str">
        <f>VLOOKUP(A1711,Institutions!A:B,2,False)</f>
        <v>Singapore</v>
      </c>
      <c r="C1711" s="8">
        <v>44927.0</v>
      </c>
      <c r="D1711" s="1" t="s">
        <v>1270</v>
      </c>
    </row>
    <row r="1712">
      <c r="A1712" s="1" t="s">
        <v>373</v>
      </c>
      <c r="B1712" s="1" t="str">
        <f>VLOOKUP(A1712,Institutions!A:B,2,False)</f>
        <v>Singapore</v>
      </c>
      <c r="C1712" s="8">
        <v>44562.0</v>
      </c>
      <c r="D1712" s="1" t="s">
        <v>1281</v>
      </c>
    </row>
    <row r="1713">
      <c r="A1713" s="1" t="s">
        <v>375</v>
      </c>
      <c r="B1713" s="1" t="str">
        <f>VLOOKUP(A1713,Institutions!A:B,2,False)</f>
        <v>Finland</v>
      </c>
      <c r="C1713" s="8">
        <v>45292.0</v>
      </c>
      <c r="D1713" s="1" t="s">
        <v>21</v>
      </c>
    </row>
    <row r="1714">
      <c r="A1714" s="1" t="s">
        <v>375</v>
      </c>
      <c r="B1714" s="1" t="str">
        <f>VLOOKUP(A1714,Institutions!A:B,2,False)</f>
        <v>Finland</v>
      </c>
      <c r="C1714" s="8">
        <v>44562.0</v>
      </c>
      <c r="D1714" s="1" t="s">
        <v>926</v>
      </c>
    </row>
    <row r="1715">
      <c r="A1715" s="1" t="s">
        <v>375</v>
      </c>
      <c r="B1715" s="1" t="str">
        <f>VLOOKUP(A1715,Institutions!A:B,2,False)</f>
        <v>Finland</v>
      </c>
      <c r="C1715" s="8">
        <v>44562.0</v>
      </c>
      <c r="D1715" s="1" t="s">
        <v>930</v>
      </c>
    </row>
    <row r="1716">
      <c r="A1716" s="1" t="s">
        <v>377</v>
      </c>
      <c r="B1716" s="1" t="str">
        <f>VLOOKUP(A1716,Institutions!A:B,2,False)</f>
        <v>United States</v>
      </c>
      <c r="C1716" s="8">
        <v>44197.0</v>
      </c>
      <c r="D1716" s="1" t="s">
        <v>1174</v>
      </c>
    </row>
    <row r="1717">
      <c r="A1717" s="1" t="s">
        <v>377</v>
      </c>
      <c r="B1717" s="1" t="str">
        <f>VLOOKUP(A1717,Institutions!A:B,2,False)</f>
        <v>United States</v>
      </c>
      <c r="C1717" s="8">
        <v>44197.0</v>
      </c>
      <c r="D1717" s="1" t="s">
        <v>1186</v>
      </c>
    </row>
    <row r="1718">
      <c r="A1718" s="1" t="s">
        <v>377</v>
      </c>
      <c r="B1718" s="1" t="str">
        <f>VLOOKUP(A1718,Institutions!A:B,2,False)</f>
        <v>United States</v>
      </c>
      <c r="C1718" s="8">
        <v>44197.0</v>
      </c>
      <c r="D1718" s="1" t="s">
        <v>2018</v>
      </c>
    </row>
    <row r="1719">
      <c r="A1719" s="1" t="s">
        <v>380</v>
      </c>
      <c r="B1719" s="1" t="str">
        <f>VLOOKUP(A1719,Institutions!A:B,2,False)</f>
        <v>Greece</v>
      </c>
      <c r="C1719" s="8">
        <v>44927.0</v>
      </c>
      <c r="D1719" s="1" t="s">
        <v>1259</v>
      </c>
    </row>
    <row r="1720">
      <c r="A1720" s="1" t="s">
        <v>380</v>
      </c>
      <c r="B1720" s="1" t="str">
        <f>VLOOKUP(A1720,Institutions!A:B,2,False)</f>
        <v>Greece</v>
      </c>
      <c r="C1720" s="8">
        <v>44562.0</v>
      </c>
      <c r="D1720" s="1" t="s">
        <v>1281</v>
      </c>
    </row>
    <row r="1721">
      <c r="A1721" s="1" t="s">
        <v>380</v>
      </c>
      <c r="B1721" s="1" t="str">
        <f>VLOOKUP(A1721,Institutions!A:B,2,False)</f>
        <v>Greece</v>
      </c>
      <c r="C1721" s="8">
        <v>43831.0</v>
      </c>
      <c r="D1721" s="1" t="s">
        <v>957</v>
      </c>
    </row>
    <row r="1722">
      <c r="A1722" s="1" t="s">
        <v>382</v>
      </c>
      <c r="B1722" s="1" t="str">
        <f>VLOOKUP(A1722,Institutions!A:B,2,False)</f>
        <v>Germany</v>
      </c>
      <c r="C1722" s="8">
        <v>45292.0</v>
      </c>
      <c r="D1722" s="1" t="s">
        <v>1433</v>
      </c>
    </row>
    <row r="1723">
      <c r="A1723" s="1" t="s">
        <v>382</v>
      </c>
      <c r="B1723" s="1" t="str">
        <f>VLOOKUP(A1723,Institutions!A:B,2,False)</f>
        <v>Germany</v>
      </c>
      <c r="C1723" s="8">
        <v>43831.0</v>
      </c>
      <c r="D1723" s="1" t="s">
        <v>1683</v>
      </c>
    </row>
    <row r="1724">
      <c r="A1724" s="1" t="s">
        <v>382</v>
      </c>
      <c r="B1724" s="1" t="str">
        <f>VLOOKUP(A1724,Institutions!A:B,2,False)</f>
        <v>Germany</v>
      </c>
      <c r="C1724" s="8">
        <v>43831.0</v>
      </c>
      <c r="D1724" s="1" t="s">
        <v>1686</v>
      </c>
    </row>
    <row r="1725">
      <c r="A1725" s="1" t="s">
        <v>384</v>
      </c>
      <c r="B1725" s="1" t="str">
        <f>VLOOKUP(A1725,Institutions!A:B,2,False)</f>
        <v>Spain</v>
      </c>
      <c r="C1725" s="8">
        <v>44562.0</v>
      </c>
      <c r="D1725" s="1" t="s">
        <v>1151</v>
      </c>
    </row>
    <row r="1726">
      <c r="A1726" s="1" t="s">
        <v>384</v>
      </c>
      <c r="B1726" s="1" t="str">
        <f>VLOOKUP(A1726,Institutions!A:B,2,False)</f>
        <v>Spain</v>
      </c>
      <c r="C1726" s="8">
        <v>44197.0</v>
      </c>
      <c r="D1726" s="1" t="s">
        <v>1173</v>
      </c>
    </row>
    <row r="1727">
      <c r="A1727" s="1" t="s">
        <v>384</v>
      </c>
      <c r="B1727" s="1" t="str">
        <f>VLOOKUP(A1727,Institutions!A:B,2,False)</f>
        <v>Spain</v>
      </c>
      <c r="C1727" s="8">
        <v>44197.0</v>
      </c>
      <c r="D1727" s="1" t="s">
        <v>2074</v>
      </c>
    </row>
    <row r="1728">
      <c r="A1728" s="1" t="s">
        <v>386</v>
      </c>
      <c r="B1728" s="1" t="str">
        <f>VLOOKUP(A1728,Institutions!A:B,2,False)</f>
        <v>Denmark</v>
      </c>
      <c r="C1728" s="8">
        <v>41275.0</v>
      </c>
      <c r="D1728" s="1" t="s">
        <v>1802</v>
      </c>
    </row>
    <row r="1729">
      <c r="A1729" s="1" t="s">
        <v>386</v>
      </c>
      <c r="B1729" s="1" t="str">
        <f>VLOOKUP(A1729,Institutions!A:B,2,False)</f>
        <v>Denmark</v>
      </c>
      <c r="C1729" s="8">
        <v>41275.0</v>
      </c>
      <c r="D1729" s="1" t="s">
        <v>1809</v>
      </c>
    </row>
    <row r="1730">
      <c r="A1730" s="1" t="s">
        <v>386</v>
      </c>
      <c r="B1730" s="1" t="str">
        <f>VLOOKUP(A1730,Institutions!A:B,2,False)</f>
        <v>Denmark</v>
      </c>
      <c r="C1730" s="8">
        <v>40909.0</v>
      </c>
      <c r="D1730" s="1" t="s">
        <v>1816</v>
      </c>
    </row>
    <row r="1731">
      <c r="A1731" s="1" t="s">
        <v>388</v>
      </c>
      <c r="B1731" s="1" t="str">
        <f>VLOOKUP(A1731,Institutions!A:B,2,False)</f>
        <v>Italy</v>
      </c>
      <c r="C1731" s="8">
        <v>44927.0</v>
      </c>
      <c r="D1731" s="1" t="s">
        <v>1259</v>
      </c>
    </row>
    <row r="1732">
      <c r="A1732" s="1" t="s">
        <v>388</v>
      </c>
      <c r="B1732" s="1" t="str">
        <f>VLOOKUP(A1732,Institutions!A:B,2,False)</f>
        <v>Italy</v>
      </c>
      <c r="C1732" s="8">
        <v>44562.0</v>
      </c>
      <c r="D1732" s="1" t="s">
        <v>1281</v>
      </c>
    </row>
    <row r="1733">
      <c r="A1733" s="1" t="s">
        <v>388</v>
      </c>
      <c r="B1733" s="1" t="str">
        <f>VLOOKUP(A1733,Institutions!A:B,2,False)</f>
        <v>Italy</v>
      </c>
      <c r="C1733" s="8">
        <v>39448.0</v>
      </c>
      <c r="D1733" s="1" t="s">
        <v>2266</v>
      </c>
    </row>
    <row r="1734">
      <c r="A1734" s="1" t="s">
        <v>390</v>
      </c>
      <c r="B1734" s="1" t="str">
        <f>VLOOKUP(A1734,Institutions!A:B,2,False)</f>
        <v>New Zealand</v>
      </c>
      <c r="C1734" s="8">
        <v>44927.0</v>
      </c>
      <c r="D1734" s="1" t="s">
        <v>1259</v>
      </c>
    </row>
    <row r="1735">
      <c r="A1735" s="1" t="s">
        <v>390</v>
      </c>
      <c r="B1735" s="1" t="str">
        <f>VLOOKUP(A1735,Institutions!A:B,2,False)</f>
        <v>New Zealand</v>
      </c>
      <c r="C1735" s="8">
        <v>44562.0</v>
      </c>
      <c r="D1735" s="1" t="s">
        <v>1607</v>
      </c>
    </row>
    <row r="1736">
      <c r="A1736" s="1" t="s">
        <v>390</v>
      </c>
      <c r="B1736" s="1" t="str">
        <f>VLOOKUP(A1736,Institutions!A:B,2,False)</f>
        <v>New Zealand</v>
      </c>
      <c r="C1736" s="8">
        <v>43466.0</v>
      </c>
      <c r="D1736" s="1" t="s">
        <v>975</v>
      </c>
    </row>
    <row r="1737">
      <c r="A1737" s="1" t="s">
        <v>392</v>
      </c>
      <c r="B1737" s="1" t="str">
        <f>VLOOKUP(A1737,Institutions!A:B,2,False)</f>
        <v>Canada</v>
      </c>
      <c r="C1737" s="8">
        <v>44927.0</v>
      </c>
      <c r="D1737" s="1" t="s">
        <v>1659</v>
      </c>
    </row>
    <row r="1738">
      <c r="A1738" s="1" t="s">
        <v>392</v>
      </c>
      <c r="B1738" s="1" t="str">
        <f>VLOOKUP(A1738,Institutions!A:B,2,False)</f>
        <v>Canada</v>
      </c>
      <c r="C1738" s="8">
        <v>44927.0</v>
      </c>
      <c r="D1738" s="1" t="s">
        <v>1661</v>
      </c>
    </row>
    <row r="1739">
      <c r="A1739" s="1" t="s">
        <v>392</v>
      </c>
      <c r="B1739" s="1" t="str">
        <f>VLOOKUP(A1739,Institutions!A:B,2,False)</f>
        <v>Canada</v>
      </c>
      <c r="C1739" s="8">
        <v>44927.0</v>
      </c>
      <c r="D1739" s="1" t="s">
        <v>1662</v>
      </c>
    </row>
    <row r="1740">
      <c r="A1740" s="1" t="s">
        <v>394</v>
      </c>
      <c r="B1740" s="1" t="str">
        <f>VLOOKUP(A1740,Institutions!A:B,2,False)</f>
        <v>United States</v>
      </c>
      <c r="C1740" s="8">
        <v>45292.0</v>
      </c>
      <c r="D1740" s="1" t="s">
        <v>1117</v>
      </c>
    </row>
    <row r="1741">
      <c r="A1741" s="1" t="s">
        <v>394</v>
      </c>
      <c r="B1741" s="1" t="str">
        <f>VLOOKUP(A1741,Institutions!A:B,2,False)</f>
        <v>United States</v>
      </c>
      <c r="C1741" s="8">
        <v>44927.0</v>
      </c>
      <c r="D1741" s="1" t="s">
        <v>1132</v>
      </c>
    </row>
    <row r="1742">
      <c r="A1742" s="1" t="s">
        <v>394</v>
      </c>
      <c r="B1742" s="1" t="str">
        <f>VLOOKUP(A1742,Institutions!A:B,2,False)</f>
        <v>United States</v>
      </c>
      <c r="C1742" s="8">
        <v>44927.0</v>
      </c>
      <c r="D1742" s="1" t="s">
        <v>1150</v>
      </c>
    </row>
    <row r="1743">
      <c r="A1743" s="1" t="s">
        <v>396</v>
      </c>
      <c r="B1743" s="1" t="str">
        <f>VLOOKUP(A1743,Institutions!A:B,2,False)</f>
        <v>Germany</v>
      </c>
      <c r="C1743" s="8">
        <v>45292.0</v>
      </c>
      <c r="D1743" s="1" t="s">
        <v>1248</v>
      </c>
    </row>
    <row r="1744">
      <c r="A1744" s="1" t="s">
        <v>396</v>
      </c>
      <c r="B1744" s="1" t="str">
        <f>VLOOKUP(A1744,Institutions!A:B,2,False)</f>
        <v>Germany</v>
      </c>
      <c r="C1744" s="8">
        <v>45292.0</v>
      </c>
      <c r="D1744" s="1" t="s">
        <v>1253</v>
      </c>
    </row>
    <row r="1745">
      <c r="A1745" s="1" t="s">
        <v>396</v>
      </c>
      <c r="B1745" s="1" t="str">
        <f>VLOOKUP(A1745,Institutions!A:B,2,False)</f>
        <v>Germany</v>
      </c>
      <c r="C1745" s="8">
        <v>44562.0</v>
      </c>
      <c r="D1745" s="1" t="s">
        <v>936</v>
      </c>
    </row>
    <row r="1746">
      <c r="A1746" s="1" t="s">
        <v>398</v>
      </c>
      <c r="B1746" s="1" t="str">
        <f>VLOOKUP(A1746,Institutions!A:B,2,False)</f>
        <v>United States</v>
      </c>
      <c r="C1746" s="8">
        <v>43466.0</v>
      </c>
      <c r="D1746" s="1" t="s">
        <v>383</v>
      </c>
    </row>
    <row r="1747">
      <c r="A1747" s="1" t="s">
        <v>398</v>
      </c>
      <c r="B1747" s="1" t="str">
        <f>VLOOKUP(A1747,Institutions!A:B,2,False)</f>
        <v>United States</v>
      </c>
      <c r="C1747" s="8">
        <v>42370.0</v>
      </c>
      <c r="D1747" s="1" t="s">
        <v>2080</v>
      </c>
    </row>
    <row r="1748">
      <c r="A1748" s="1" t="s">
        <v>398</v>
      </c>
      <c r="B1748" s="1" t="str">
        <f>VLOOKUP(A1748,Institutions!A:B,2,False)</f>
        <v>United States</v>
      </c>
      <c r="C1748" s="8">
        <v>41640.0</v>
      </c>
      <c r="D1748" s="1" t="s">
        <v>2267</v>
      </c>
    </row>
    <row r="1749">
      <c r="A1749" s="1" t="s">
        <v>400</v>
      </c>
      <c r="B1749" s="1" t="str">
        <f>VLOOKUP(A1749,Institutions!A:B,2,False)</f>
        <v>India</v>
      </c>
      <c r="C1749" s="8">
        <v>44562.0</v>
      </c>
      <c r="D1749" s="1" t="s">
        <v>462</v>
      </c>
    </row>
    <row r="1750">
      <c r="A1750" s="1" t="s">
        <v>400</v>
      </c>
      <c r="B1750" s="1" t="str">
        <f>VLOOKUP(A1750,Institutions!A:B,2,False)</f>
        <v>India</v>
      </c>
      <c r="C1750" s="8">
        <v>44562.0</v>
      </c>
      <c r="D1750" s="1" t="s">
        <v>478</v>
      </c>
    </row>
    <row r="1751">
      <c r="A1751" s="1" t="s">
        <v>400</v>
      </c>
      <c r="B1751" s="1" t="str">
        <f>VLOOKUP(A1751,Institutions!A:B,2,False)</f>
        <v>India</v>
      </c>
      <c r="C1751" s="8">
        <v>44562.0</v>
      </c>
      <c r="D1751" s="1" t="s">
        <v>483</v>
      </c>
    </row>
    <row r="1752">
      <c r="A1752" s="1" t="s">
        <v>402</v>
      </c>
      <c r="B1752" s="1" t="str">
        <f>VLOOKUP(A1752,Institutions!A:B,2,False)</f>
        <v>Brazil</v>
      </c>
      <c r="C1752" s="8">
        <v>44927.0</v>
      </c>
      <c r="D1752" s="1" t="s">
        <v>452</v>
      </c>
    </row>
    <row r="1753">
      <c r="A1753" s="1" t="s">
        <v>402</v>
      </c>
      <c r="B1753" s="1" t="str">
        <f>VLOOKUP(A1753,Institutions!A:B,2,False)</f>
        <v>Brazil</v>
      </c>
      <c r="C1753" s="8">
        <v>44562.0</v>
      </c>
      <c r="D1753" s="1" t="s">
        <v>476</v>
      </c>
    </row>
    <row r="1754">
      <c r="A1754" s="1" t="s">
        <v>402</v>
      </c>
      <c r="B1754" s="1" t="str">
        <f>VLOOKUP(A1754,Institutions!A:B,2,False)</f>
        <v>Brazil</v>
      </c>
      <c r="C1754" s="8">
        <v>41275.0</v>
      </c>
      <c r="D1754" s="1" t="s">
        <v>2268</v>
      </c>
    </row>
    <row r="1755">
      <c r="A1755" s="1" t="s">
        <v>405</v>
      </c>
      <c r="B1755" s="1" t="str">
        <f>VLOOKUP(A1755,Institutions!A:B,2,False)</f>
        <v>United Kingdom</v>
      </c>
      <c r="C1755" s="8">
        <v>44927.0</v>
      </c>
      <c r="D1755" s="1" t="s">
        <v>1500</v>
      </c>
    </row>
    <row r="1756">
      <c r="A1756" s="1" t="s">
        <v>405</v>
      </c>
      <c r="B1756" s="1" t="str">
        <f>VLOOKUP(A1756,Institutions!A:B,2,False)</f>
        <v>United Kingdom</v>
      </c>
      <c r="C1756" s="8">
        <v>44562.0</v>
      </c>
      <c r="D1756" s="1" t="s">
        <v>802</v>
      </c>
    </row>
    <row r="1757">
      <c r="A1757" s="1" t="s">
        <v>405</v>
      </c>
      <c r="B1757" s="1" t="str">
        <f>VLOOKUP(A1757,Institutions!A:B,2,False)</f>
        <v>United Kingdom</v>
      </c>
      <c r="C1757" s="8">
        <v>43831.0</v>
      </c>
      <c r="D1757" s="1" t="s">
        <v>896</v>
      </c>
    </row>
    <row r="1758">
      <c r="A1758" s="1" t="s">
        <v>407</v>
      </c>
      <c r="B1758" s="1" t="str">
        <f>VLOOKUP(A1758,Institutions!A:B,2,False)</f>
        <v>United Kingdom</v>
      </c>
      <c r="C1758" s="8">
        <v>44562.0</v>
      </c>
      <c r="D1758" s="1" t="s">
        <v>1515</v>
      </c>
    </row>
    <row r="1759">
      <c r="A1759" s="1" t="s">
        <v>407</v>
      </c>
      <c r="B1759" s="1" t="str">
        <f>VLOOKUP(A1759,Institutions!A:B,2,False)</f>
        <v>United Kingdom</v>
      </c>
      <c r="C1759" s="8">
        <v>44562.0</v>
      </c>
      <c r="D1759" s="1" t="s">
        <v>1519</v>
      </c>
    </row>
    <row r="1760">
      <c r="A1760" s="1" t="s">
        <v>407</v>
      </c>
      <c r="B1760" s="1" t="str">
        <f>VLOOKUP(A1760,Institutions!A:B,2,False)</f>
        <v>United Kingdom</v>
      </c>
      <c r="C1760" s="8">
        <v>44197.0</v>
      </c>
      <c r="D1760" s="1" t="s">
        <v>1535</v>
      </c>
    </row>
    <row r="1761">
      <c r="A1761" s="1" t="s">
        <v>409</v>
      </c>
      <c r="B1761" s="1" t="str">
        <f>VLOOKUP(A1761,Institutions!A:B,2,False)</f>
        <v>Greece</v>
      </c>
      <c r="C1761" s="8">
        <v>44927.0</v>
      </c>
      <c r="D1761" s="1" t="s">
        <v>1262</v>
      </c>
    </row>
    <row r="1762">
      <c r="A1762" s="1" t="s">
        <v>409</v>
      </c>
      <c r="B1762" s="1" t="str">
        <f>VLOOKUP(A1762,Institutions!A:B,2,False)</f>
        <v>Greece</v>
      </c>
      <c r="C1762" s="8">
        <v>44927.0</v>
      </c>
      <c r="D1762" s="1" t="s">
        <v>1270</v>
      </c>
    </row>
    <row r="1763">
      <c r="A1763" s="1" t="s">
        <v>409</v>
      </c>
      <c r="B1763" s="1" t="str">
        <f>VLOOKUP(A1763,Institutions!A:B,2,False)</f>
        <v>Greece</v>
      </c>
      <c r="C1763" s="8">
        <v>44562.0</v>
      </c>
      <c r="D1763" s="1" t="s">
        <v>505</v>
      </c>
    </row>
    <row r="1764">
      <c r="A1764" s="1" t="s">
        <v>411</v>
      </c>
      <c r="B1764" s="1" t="str">
        <f>VLOOKUP(A1764,Institutions!A:B,2,False)</f>
        <v>Germany</v>
      </c>
      <c r="C1764" s="8">
        <v>45292.0</v>
      </c>
      <c r="D1764" s="1" t="s">
        <v>1248</v>
      </c>
    </row>
    <row r="1765">
      <c r="A1765" s="1" t="s">
        <v>411</v>
      </c>
      <c r="B1765" s="1" t="str">
        <f>VLOOKUP(A1765,Institutions!A:B,2,False)</f>
        <v>Germany</v>
      </c>
      <c r="C1765" s="8">
        <v>45292.0</v>
      </c>
      <c r="D1765" s="1" t="s">
        <v>1253</v>
      </c>
    </row>
    <row r="1766">
      <c r="A1766" s="1" t="s">
        <v>411</v>
      </c>
      <c r="B1766" s="1" t="str">
        <f>VLOOKUP(A1766,Institutions!A:B,2,False)</f>
        <v>Germany</v>
      </c>
      <c r="C1766" s="8">
        <v>44927.0</v>
      </c>
      <c r="D1766" s="1" t="s">
        <v>1264</v>
      </c>
    </row>
    <row r="1767">
      <c r="A1767" s="1" t="s">
        <v>413</v>
      </c>
      <c r="B1767" s="1" t="str">
        <f>VLOOKUP(A1767,Institutions!A:B,2,False)</f>
        <v>Spain</v>
      </c>
      <c r="C1767" s="8">
        <v>44927.0</v>
      </c>
      <c r="D1767" s="1" t="s">
        <v>1196</v>
      </c>
    </row>
    <row r="1768">
      <c r="A1768" s="1" t="s">
        <v>413</v>
      </c>
      <c r="B1768" s="1" t="str">
        <f>VLOOKUP(A1768,Institutions!A:B,2,False)</f>
        <v>Spain</v>
      </c>
      <c r="C1768" s="8">
        <v>44927.0</v>
      </c>
      <c r="D1768" s="1" t="s">
        <v>1201</v>
      </c>
    </row>
    <row r="1769">
      <c r="A1769" s="1" t="s">
        <v>413</v>
      </c>
      <c r="B1769" s="1" t="str">
        <f>VLOOKUP(A1769,Institutions!A:B,2,False)</f>
        <v>Spain</v>
      </c>
      <c r="C1769" s="8">
        <v>43466.0</v>
      </c>
      <c r="D1769" s="1" t="s">
        <v>1894</v>
      </c>
    </row>
    <row r="1770">
      <c r="A1770" s="1" t="s">
        <v>415</v>
      </c>
      <c r="B1770" s="1" t="str">
        <f>VLOOKUP(A1770,Institutions!A:B,2,False)</f>
        <v>India</v>
      </c>
      <c r="C1770" s="8">
        <v>45292.0</v>
      </c>
      <c r="D1770" s="1" t="s">
        <v>21</v>
      </c>
    </row>
    <row r="1771">
      <c r="A1771" s="1" t="s">
        <v>415</v>
      </c>
      <c r="B1771" s="1" t="str">
        <f>VLOOKUP(A1771,Institutions!A:B,2,False)</f>
        <v>India</v>
      </c>
      <c r="C1771" s="8">
        <v>44927.0</v>
      </c>
      <c r="D1771" s="1" t="s">
        <v>35</v>
      </c>
    </row>
    <row r="1772">
      <c r="A1772" s="1" t="s">
        <v>415</v>
      </c>
      <c r="B1772" s="1" t="str">
        <f>VLOOKUP(A1772,Institutions!A:B,2,False)</f>
        <v>India</v>
      </c>
      <c r="C1772" s="8">
        <v>42736.0</v>
      </c>
      <c r="D1772" s="1" t="s">
        <v>2269</v>
      </c>
    </row>
    <row r="1773">
      <c r="A1773" s="1" t="s">
        <v>417</v>
      </c>
      <c r="B1773" s="1" t="str">
        <f>VLOOKUP(A1773,Institutions!A:B,2,False)</f>
        <v>Canada</v>
      </c>
      <c r="C1773" s="8">
        <v>45292.0</v>
      </c>
      <c r="D1773" s="1" t="s">
        <v>1117</v>
      </c>
    </row>
    <row r="1774">
      <c r="A1774" s="1" t="s">
        <v>417</v>
      </c>
      <c r="B1774" s="1" t="str">
        <f>VLOOKUP(A1774,Institutions!A:B,2,False)</f>
        <v>Canada</v>
      </c>
      <c r="C1774" s="8">
        <v>42736.0</v>
      </c>
      <c r="D1774" s="1" t="s">
        <v>1643</v>
      </c>
    </row>
    <row r="1775">
      <c r="A1775" s="1" t="s">
        <v>417</v>
      </c>
      <c r="B1775" s="1" t="str">
        <f>VLOOKUP(A1775,Institutions!A:B,2,False)</f>
        <v>Canada</v>
      </c>
      <c r="C1775" s="8">
        <v>42005.0</v>
      </c>
      <c r="D1775" s="1" t="s">
        <v>2270</v>
      </c>
    </row>
    <row r="1776">
      <c r="A1776" s="1" t="s">
        <v>419</v>
      </c>
      <c r="B1776" s="1" t="str">
        <f>VLOOKUP(A1776,Institutions!A:B,2,False)</f>
        <v>United States</v>
      </c>
      <c r="C1776" s="8">
        <v>44927.0</v>
      </c>
      <c r="D1776" s="1" t="s">
        <v>1189</v>
      </c>
    </row>
    <row r="1777">
      <c r="A1777" s="1" t="s">
        <v>419</v>
      </c>
      <c r="B1777" s="1" t="str">
        <f>VLOOKUP(A1777,Institutions!A:B,2,False)</f>
        <v>United States</v>
      </c>
      <c r="C1777" s="8">
        <v>44562.0</v>
      </c>
      <c r="D1777" s="1" t="s">
        <v>1225</v>
      </c>
    </row>
    <row r="1778">
      <c r="A1778" s="1" t="s">
        <v>419</v>
      </c>
      <c r="B1778" s="1" t="str">
        <f>VLOOKUP(A1778,Institutions!A:B,2,False)</f>
        <v>United States</v>
      </c>
      <c r="C1778" s="8">
        <v>43466.0</v>
      </c>
      <c r="D1778" s="1" t="s">
        <v>1894</v>
      </c>
    </row>
    <row r="1779">
      <c r="A1779" s="1" t="s">
        <v>421</v>
      </c>
      <c r="B1779" s="1" t="str">
        <f>VLOOKUP(A1779,Institutions!A:B,2,False)</f>
        <v>Estonia</v>
      </c>
      <c r="C1779" s="8">
        <v>43101.0</v>
      </c>
      <c r="D1779" s="1" t="s">
        <v>2176</v>
      </c>
    </row>
    <row r="1780">
      <c r="A1780" s="1" t="s">
        <v>421</v>
      </c>
      <c r="B1780" s="1" t="str">
        <f>VLOOKUP(A1780,Institutions!A:B,2,False)</f>
        <v>Estonia</v>
      </c>
      <c r="C1780" s="8">
        <v>43101.0</v>
      </c>
      <c r="D1780" s="1" t="s">
        <v>2177</v>
      </c>
    </row>
    <row r="1781">
      <c r="A1781" s="1" t="s">
        <v>421</v>
      </c>
      <c r="B1781" s="1" t="str">
        <f>VLOOKUP(A1781,Institutions!A:B,2,False)</f>
        <v>Estonia</v>
      </c>
      <c r="C1781" s="8">
        <v>43101.0</v>
      </c>
      <c r="D1781" s="1" t="s">
        <v>2178</v>
      </c>
    </row>
    <row r="1782">
      <c r="A1782" s="1" t="s">
        <v>424</v>
      </c>
      <c r="B1782" s="1" t="str">
        <f>VLOOKUP(A1782,Institutions!A:B,2,False)</f>
        <v>United States</v>
      </c>
      <c r="C1782" s="8">
        <v>45292.0</v>
      </c>
      <c r="D1782" s="1" t="s">
        <v>1497</v>
      </c>
    </row>
    <row r="1783">
      <c r="A1783" s="1" t="s">
        <v>424</v>
      </c>
      <c r="B1783" s="1" t="str">
        <f>VLOOKUP(A1783,Institutions!A:B,2,False)</f>
        <v>United States</v>
      </c>
      <c r="C1783" s="8">
        <v>44927.0</v>
      </c>
      <c r="D1783" s="1" t="s">
        <v>1501</v>
      </c>
    </row>
    <row r="1784">
      <c r="A1784" s="1" t="s">
        <v>424</v>
      </c>
      <c r="B1784" s="1" t="str">
        <f>VLOOKUP(A1784,Institutions!A:B,2,False)</f>
        <v>United States</v>
      </c>
      <c r="C1784" s="8">
        <v>43831.0</v>
      </c>
      <c r="D1784" s="1" t="s">
        <v>1547</v>
      </c>
    </row>
    <row r="1785">
      <c r="A1785" s="1" t="s">
        <v>426</v>
      </c>
      <c r="B1785" s="1" t="str">
        <f>VLOOKUP(A1785,Institutions!A:B,2,False)</f>
        <v>China</v>
      </c>
      <c r="C1785" s="8">
        <v>42736.0</v>
      </c>
      <c r="D1785" s="1" t="s">
        <v>2194</v>
      </c>
    </row>
    <row r="1786">
      <c r="A1786" s="1" t="s">
        <v>426</v>
      </c>
      <c r="B1786" s="1" t="str">
        <f>VLOOKUP(A1786,Institutions!A:B,2,False)</f>
        <v>China</v>
      </c>
      <c r="C1786" s="8">
        <v>42736.0</v>
      </c>
      <c r="D1786" s="1" t="s">
        <v>2195</v>
      </c>
    </row>
    <row r="1787">
      <c r="A1787" s="1" t="s">
        <v>426</v>
      </c>
      <c r="B1787" s="1" t="str">
        <f>VLOOKUP(A1787,Institutions!A:B,2,False)</f>
        <v>China</v>
      </c>
      <c r="C1787" s="8">
        <v>42736.0</v>
      </c>
      <c r="D1787" s="1" t="s">
        <v>2196</v>
      </c>
    </row>
    <row r="1788">
      <c r="A1788" s="1" t="s">
        <v>428</v>
      </c>
      <c r="B1788" s="1" t="str">
        <f>VLOOKUP(A1788,Institutions!A:B,2,False)</f>
        <v>Germany</v>
      </c>
      <c r="C1788" s="8">
        <v>44562.0</v>
      </c>
      <c r="D1788" s="1" t="s">
        <v>1288</v>
      </c>
    </row>
    <row r="1789">
      <c r="A1789" s="1" t="s">
        <v>428</v>
      </c>
      <c r="B1789" s="1" t="str">
        <f>VLOOKUP(A1789,Institutions!A:B,2,False)</f>
        <v>Germany</v>
      </c>
      <c r="C1789" s="8">
        <v>44197.0</v>
      </c>
      <c r="D1789" s="1" t="s">
        <v>1931</v>
      </c>
    </row>
    <row r="1790">
      <c r="A1790" s="1" t="s">
        <v>428</v>
      </c>
      <c r="B1790" s="1" t="str">
        <f>VLOOKUP(A1790,Institutions!A:B,2,False)</f>
        <v>Germany</v>
      </c>
      <c r="C1790" s="8">
        <v>43101.0</v>
      </c>
      <c r="D1790" s="1" t="s">
        <v>1855</v>
      </c>
    </row>
    <row r="1791">
      <c r="A1791" s="1" t="s">
        <v>430</v>
      </c>
      <c r="B1791" s="1" t="str">
        <f>VLOOKUP(A1791,Institutions!A:B,2,False)</f>
        <v>Namibia</v>
      </c>
      <c r="C1791" s="8">
        <v>40179.0</v>
      </c>
      <c r="D1791" s="1" t="s">
        <v>2163</v>
      </c>
    </row>
    <row r="1792">
      <c r="A1792" s="1" t="s">
        <v>430</v>
      </c>
      <c r="B1792" s="1" t="str">
        <f>VLOOKUP(A1792,Institutions!A:B,2,False)</f>
        <v>Namibia</v>
      </c>
      <c r="C1792" s="8">
        <v>40179.0</v>
      </c>
      <c r="D1792" s="1" t="s">
        <v>2165</v>
      </c>
    </row>
    <row r="1793">
      <c r="A1793" s="1" t="s">
        <v>430</v>
      </c>
      <c r="B1793" s="1" t="str">
        <f>VLOOKUP(A1793,Institutions!A:B,2,False)</f>
        <v>Namibia</v>
      </c>
      <c r="C1793" s="8">
        <v>40179.0</v>
      </c>
      <c r="D1793" s="1" t="s">
        <v>2166</v>
      </c>
    </row>
    <row r="1794">
      <c r="A1794" s="1" t="s">
        <v>433</v>
      </c>
      <c r="B1794" s="1" t="str">
        <f>VLOOKUP(A1794,Institutions!A:B,2,False)</f>
        <v>Ireland</v>
      </c>
      <c r="C1794" s="8">
        <v>38353.0</v>
      </c>
      <c r="D1794" s="1" t="s">
        <v>2271</v>
      </c>
    </row>
    <row r="1795">
      <c r="A1795" s="1" t="s">
        <v>433</v>
      </c>
      <c r="B1795" s="1" t="str">
        <f>VLOOKUP(A1795,Institutions!A:B,2,False)</f>
        <v>Ireland</v>
      </c>
      <c r="C1795" s="8">
        <v>37987.0</v>
      </c>
      <c r="D1795" s="1" t="s">
        <v>2272</v>
      </c>
    </row>
    <row r="1796">
      <c r="A1796" s="1" t="s">
        <v>433</v>
      </c>
      <c r="B1796" s="1" t="str">
        <f>VLOOKUP(A1796,Institutions!A:B,2,False)</f>
        <v>Ireland</v>
      </c>
      <c r="C1796" s="8">
        <v>37987.0</v>
      </c>
      <c r="D1796" s="1" t="s">
        <v>2273</v>
      </c>
    </row>
    <row r="1797">
      <c r="A1797" s="1" t="s">
        <v>435</v>
      </c>
      <c r="B1797" s="1" t="str">
        <f>VLOOKUP(A1797,Institutions!A:B,2,False)</f>
        <v>United Kingdom</v>
      </c>
      <c r="C1797" s="8">
        <v>44197.0</v>
      </c>
      <c r="D1797" s="1" t="s">
        <v>1019</v>
      </c>
    </row>
    <row r="1798">
      <c r="A1798" s="1" t="s">
        <v>435</v>
      </c>
      <c r="B1798" s="1" t="str">
        <f>VLOOKUP(A1798,Institutions!A:B,2,False)</f>
        <v>United Kingdom</v>
      </c>
      <c r="C1798" s="8">
        <v>43466.0</v>
      </c>
      <c r="D1798" s="1" t="s">
        <v>1039</v>
      </c>
    </row>
    <row r="1799">
      <c r="A1799" s="1" t="s">
        <v>435</v>
      </c>
      <c r="B1799" s="1" t="str">
        <f>VLOOKUP(A1799,Institutions!A:B,2,False)</f>
        <v>United Kingdom</v>
      </c>
      <c r="C1799" s="8">
        <v>43101.0</v>
      </c>
      <c r="D1799" s="1" t="s">
        <v>1045</v>
      </c>
    </row>
    <row r="1800">
      <c r="A1800" s="1" t="s">
        <v>437</v>
      </c>
      <c r="B1800" s="1" t="str">
        <f>VLOOKUP(A1800,Institutions!A:B,2,False)</f>
        <v>United States</v>
      </c>
      <c r="C1800" s="8">
        <v>44927.0</v>
      </c>
      <c r="D1800" s="1" t="s">
        <v>1150</v>
      </c>
    </row>
    <row r="1801">
      <c r="A1801" s="1" t="s">
        <v>437</v>
      </c>
      <c r="B1801" s="1" t="str">
        <f>VLOOKUP(A1801,Institutions!A:B,2,False)</f>
        <v>United States</v>
      </c>
      <c r="C1801" s="8">
        <v>44197.0</v>
      </c>
      <c r="D1801" s="1" t="s">
        <v>2074</v>
      </c>
    </row>
    <row r="1802">
      <c r="A1802" s="1" t="s">
        <v>439</v>
      </c>
      <c r="B1802" s="1" t="str">
        <f>VLOOKUP(A1802,Institutions!A:B,2,False)</f>
        <v>France</v>
      </c>
      <c r="C1802" s="8">
        <v>44562.0</v>
      </c>
      <c r="D1802" s="1" t="s">
        <v>253</v>
      </c>
    </row>
    <row r="1803">
      <c r="A1803" s="1" t="s">
        <v>439</v>
      </c>
      <c r="B1803" s="1" t="str">
        <f>VLOOKUP(A1803,Institutions!A:B,2,False)</f>
        <v>France</v>
      </c>
      <c r="C1803" s="8">
        <v>44562.0</v>
      </c>
      <c r="D1803" s="1" t="s">
        <v>283</v>
      </c>
    </row>
    <row r="1804">
      <c r="A1804" s="1" t="s">
        <v>439</v>
      </c>
      <c r="B1804" s="1" t="str">
        <f>VLOOKUP(A1804,Institutions!A:B,2,False)</f>
        <v>France</v>
      </c>
      <c r="C1804" s="8">
        <v>43831.0</v>
      </c>
      <c r="D1804" s="1" t="s">
        <v>2274</v>
      </c>
    </row>
    <row r="1805">
      <c r="A1805" s="1" t="s">
        <v>441</v>
      </c>
      <c r="B1805" s="1" t="str">
        <f>VLOOKUP(A1805,Institutions!A:B,2,False)</f>
        <v>United States</v>
      </c>
      <c r="C1805" s="8">
        <v>44562.0</v>
      </c>
      <c r="D1805" s="1" t="s">
        <v>146</v>
      </c>
    </row>
    <row r="1806">
      <c r="A1806" s="1" t="s">
        <v>441</v>
      </c>
      <c r="B1806" s="1" t="str">
        <f>VLOOKUP(A1806,Institutions!A:B,2,False)</f>
        <v>United States</v>
      </c>
      <c r="C1806" s="8">
        <v>43831.0</v>
      </c>
      <c r="D1806" s="1" t="s">
        <v>719</v>
      </c>
    </row>
    <row r="1807">
      <c r="A1807" s="1" t="s">
        <v>441</v>
      </c>
      <c r="B1807" s="1" t="str">
        <f>VLOOKUP(A1807,Institutions!A:B,2,False)</f>
        <v>United States</v>
      </c>
      <c r="C1807" s="8">
        <v>43831.0</v>
      </c>
      <c r="D1807" s="1" t="s">
        <v>725</v>
      </c>
    </row>
    <row r="1808">
      <c r="A1808" s="1" t="s">
        <v>443</v>
      </c>
      <c r="B1808" s="1" t="str">
        <f>VLOOKUP(A1808,Institutions!A:B,2,False)</f>
        <v>Australia</v>
      </c>
      <c r="C1808" s="8">
        <v>45292.0</v>
      </c>
      <c r="D1808" s="1" t="s">
        <v>1117</v>
      </c>
    </row>
    <row r="1809">
      <c r="A1809" s="1" t="s">
        <v>443</v>
      </c>
      <c r="B1809" s="1" t="str">
        <f>VLOOKUP(A1809,Institutions!A:B,2,False)</f>
        <v>Australia</v>
      </c>
      <c r="C1809" s="8">
        <v>44927.0</v>
      </c>
      <c r="D1809" s="1" t="s">
        <v>1200</v>
      </c>
    </row>
    <row r="1810">
      <c r="A1810" s="1" t="s">
        <v>443</v>
      </c>
      <c r="B1810" s="1" t="str">
        <f>VLOOKUP(A1810,Institutions!A:B,2,False)</f>
        <v>Australia</v>
      </c>
      <c r="C1810" s="8">
        <v>43831.0</v>
      </c>
      <c r="D1810" s="1" t="s">
        <v>957</v>
      </c>
    </row>
    <row r="1811">
      <c r="A1811" s="1" t="s">
        <v>445</v>
      </c>
      <c r="B1811" s="1" t="str">
        <f>VLOOKUP(A1811,Institutions!A:B,2,False)</f>
        <v>Brazil</v>
      </c>
      <c r="C1811" s="8">
        <v>42370.0</v>
      </c>
      <c r="D1811" s="1" t="s">
        <v>2160</v>
      </c>
    </row>
    <row r="1812">
      <c r="A1812" s="1" t="s">
        <v>445</v>
      </c>
      <c r="B1812" s="1" t="str">
        <f>VLOOKUP(A1812,Institutions!A:B,2,False)</f>
        <v>Brazil</v>
      </c>
      <c r="C1812" s="8">
        <v>42005.0</v>
      </c>
      <c r="D1812" s="1" t="s">
        <v>2230</v>
      </c>
    </row>
    <row r="1813">
      <c r="A1813" s="1" t="s">
        <v>445</v>
      </c>
      <c r="B1813" s="1" t="str">
        <f>VLOOKUP(A1813,Institutions!A:B,2,False)</f>
        <v>Brazil</v>
      </c>
      <c r="C1813" s="8">
        <v>39814.0</v>
      </c>
      <c r="D1813" s="1" t="s">
        <v>2167</v>
      </c>
    </row>
    <row r="1814">
      <c r="A1814" s="1" t="s">
        <v>447</v>
      </c>
      <c r="B1814" s="1" t="str">
        <f>VLOOKUP(A1814,Institutions!A:B,2,False)</f>
        <v>Germany</v>
      </c>
      <c r="C1814" s="8">
        <v>43466.0</v>
      </c>
      <c r="D1814" s="1" t="s">
        <v>379</v>
      </c>
    </row>
    <row r="1815">
      <c r="A1815" s="1" t="s">
        <v>447</v>
      </c>
      <c r="B1815" s="1" t="str">
        <f>VLOOKUP(A1815,Institutions!A:B,2,False)</f>
        <v>Germany</v>
      </c>
      <c r="C1815" s="8">
        <v>43466.0</v>
      </c>
      <c r="D1815" s="1" t="s">
        <v>2260</v>
      </c>
    </row>
    <row r="1816">
      <c r="A1816" s="1" t="s">
        <v>447</v>
      </c>
      <c r="B1816" s="1" t="str">
        <f>VLOOKUP(A1816,Institutions!A:B,2,False)</f>
        <v>Germany</v>
      </c>
      <c r="C1816" s="8">
        <v>43466.0</v>
      </c>
      <c r="D1816" s="1" t="s">
        <v>2275</v>
      </c>
    </row>
    <row r="1817">
      <c r="A1817" s="1" t="s">
        <v>449</v>
      </c>
      <c r="B1817" s="1" t="str">
        <f>VLOOKUP(A1817,Institutions!A:B,2,False)</f>
        <v>United States</v>
      </c>
      <c r="C1817" s="8">
        <v>44927.0</v>
      </c>
      <c r="D1817" s="1" t="s">
        <v>1270</v>
      </c>
    </row>
    <row r="1818">
      <c r="A1818" s="1" t="s">
        <v>449</v>
      </c>
      <c r="B1818" s="1" t="str">
        <f>VLOOKUP(A1818,Institutions!A:B,2,False)</f>
        <v>United States</v>
      </c>
      <c r="C1818" s="8">
        <v>41640.0</v>
      </c>
      <c r="D1818" s="1" t="s">
        <v>2276</v>
      </c>
    </row>
    <row r="1819">
      <c r="A1819" s="1" t="s">
        <v>449</v>
      </c>
      <c r="B1819" s="1" t="str">
        <f>VLOOKUP(A1819,Institutions!A:B,2,False)</f>
        <v>United States</v>
      </c>
      <c r="C1819" s="8">
        <v>40544.0</v>
      </c>
      <c r="D1819" s="1" t="s">
        <v>2277</v>
      </c>
    </row>
    <row r="1820">
      <c r="A1820" s="1" t="s">
        <v>451</v>
      </c>
      <c r="B1820" s="1" t="str">
        <f>VLOOKUP(A1820,Institutions!A:B,2,False)</f>
        <v>United States</v>
      </c>
      <c r="C1820" s="8">
        <v>45292.0</v>
      </c>
      <c r="D1820" s="1" t="s">
        <v>1123</v>
      </c>
    </row>
    <row r="1821">
      <c r="A1821" s="1" t="s">
        <v>451</v>
      </c>
      <c r="B1821" s="1" t="str">
        <f>VLOOKUP(A1821,Institutions!A:B,2,False)</f>
        <v>United States</v>
      </c>
      <c r="C1821" s="8">
        <v>44927.0</v>
      </c>
      <c r="D1821" s="1" t="s">
        <v>1278</v>
      </c>
    </row>
    <row r="1822">
      <c r="A1822" s="1" t="s">
        <v>451</v>
      </c>
      <c r="B1822" s="1" t="str">
        <f>VLOOKUP(A1822,Institutions!A:B,2,False)</f>
        <v>United States</v>
      </c>
      <c r="C1822" s="8">
        <v>44562.0</v>
      </c>
      <c r="D1822" s="1" t="s">
        <v>151</v>
      </c>
    </row>
    <row r="1823">
      <c r="A1823" s="1" t="s">
        <v>453</v>
      </c>
      <c r="B1823" s="1" t="str">
        <f>VLOOKUP(A1823,Institutions!A:B,2,False)</f>
        <v>United Kingdom</v>
      </c>
      <c r="C1823" s="8">
        <v>43466.0</v>
      </c>
      <c r="D1823" s="1" t="s">
        <v>387</v>
      </c>
    </row>
    <row r="1824">
      <c r="A1824" s="1" t="s">
        <v>453</v>
      </c>
      <c r="B1824" s="1" t="str">
        <f>VLOOKUP(A1824,Institutions!A:B,2,False)</f>
        <v>United Kingdom</v>
      </c>
      <c r="C1824" s="8">
        <v>42736.0</v>
      </c>
      <c r="D1824" s="1" t="s">
        <v>2278</v>
      </c>
    </row>
    <row r="1825">
      <c r="A1825" s="1" t="s">
        <v>453</v>
      </c>
      <c r="B1825" s="1" t="str">
        <f>VLOOKUP(A1825,Institutions!A:B,2,False)</f>
        <v>United Kingdom</v>
      </c>
      <c r="C1825" s="8">
        <v>42370.0</v>
      </c>
      <c r="D1825" s="1" t="s">
        <v>2279</v>
      </c>
    </row>
    <row r="1826">
      <c r="A1826" s="1" t="s">
        <v>455</v>
      </c>
      <c r="B1826" s="1" t="str">
        <f>VLOOKUP(A1826,Institutions!A:B,2,False)</f>
        <v>United Kingdom</v>
      </c>
      <c r="C1826" s="8">
        <v>44927.0</v>
      </c>
      <c r="D1826" s="1" t="s">
        <v>1198</v>
      </c>
    </row>
    <row r="1827">
      <c r="A1827" s="1" t="s">
        <v>455</v>
      </c>
      <c r="B1827" s="1" t="str">
        <f>VLOOKUP(A1827,Institutions!A:B,2,False)</f>
        <v>United Kingdom</v>
      </c>
      <c r="C1827" s="8">
        <v>44562.0</v>
      </c>
      <c r="D1827" s="1" t="s">
        <v>1513</v>
      </c>
    </row>
    <row r="1828">
      <c r="A1828" s="1" t="s">
        <v>455</v>
      </c>
      <c r="B1828" s="1" t="str">
        <f>VLOOKUP(A1828,Institutions!A:B,2,False)</f>
        <v>United Kingdom</v>
      </c>
      <c r="C1828" s="8">
        <v>44197.0</v>
      </c>
      <c r="D1828" s="1" t="s">
        <v>1234</v>
      </c>
    </row>
    <row r="1829">
      <c r="A1829" s="1" t="s">
        <v>457</v>
      </c>
      <c r="B1829" s="1" t="str">
        <f>VLOOKUP(A1829,Institutions!A:B,2,False)</f>
        <v>Finland</v>
      </c>
      <c r="C1829" s="8">
        <v>40179.0</v>
      </c>
      <c r="D1829" s="1" t="s">
        <v>2163</v>
      </c>
    </row>
    <row r="1830">
      <c r="A1830" s="1" t="s">
        <v>457</v>
      </c>
      <c r="B1830" s="1" t="str">
        <f>VLOOKUP(A1830,Institutions!A:B,2,False)</f>
        <v>Finland</v>
      </c>
      <c r="C1830" s="8">
        <v>40179.0</v>
      </c>
      <c r="D1830" s="1" t="s">
        <v>2165</v>
      </c>
    </row>
    <row r="1831">
      <c r="A1831" s="1" t="s">
        <v>457</v>
      </c>
      <c r="B1831" s="1" t="str">
        <f>VLOOKUP(A1831,Institutions!A:B,2,False)</f>
        <v>Finland</v>
      </c>
      <c r="C1831" s="8">
        <v>40179.0</v>
      </c>
      <c r="D1831" s="1" t="s">
        <v>2166</v>
      </c>
    </row>
    <row r="1832">
      <c r="A1832" s="1" t="s">
        <v>459</v>
      </c>
      <c r="B1832" s="1" t="str">
        <f>VLOOKUP(A1832,Institutions!A:B,2,False)</f>
        <v>Sweden</v>
      </c>
      <c r="C1832" s="8">
        <v>41640.0</v>
      </c>
      <c r="D1832" s="1" t="s">
        <v>2280</v>
      </c>
    </row>
    <row r="1833">
      <c r="A1833" s="1" t="s">
        <v>459</v>
      </c>
      <c r="B1833" s="1" t="str">
        <f>VLOOKUP(A1833,Institutions!A:B,2,False)</f>
        <v>Sweden</v>
      </c>
      <c r="C1833" s="8">
        <v>41640.0</v>
      </c>
      <c r="D1833" s="1" t="s">
        <v>2281</v>
      </c>
    </row>
    <row r="1834">
      <c r="A1834" s="1" t="s">
        <v>459</v>
      </c>
      <c r="B1834" s="1" t="str">
        <f>VLOOKUP(A1834,Institutions!A:B,2,False)</f>
        <v>Sweden</v>
      </c>
      <c r="C1834" s="8">
        <v>40179.0</v>
      </c>
      <c r="D1834" s="1" t="s">
        <v>2282</v>
      </c>
    </row>
    <row r="1835">
      <c r="A1835" s="1" t="s">
        <v>461</v>
      </c>
      <c r="B1835" s="1" t="str">
        <f>VLOOKUP(A1835,Institutions!A:B,2,False)</f>
        <v>Denmark</v>
      </c>
      <c r="C1835" s="8">
        <v>42370.0</v>
      </c>
      <c r="D1835" s="1" t="s">
        <v>1786</v>
      </c>
    </row>
    <row r="1836">
      <c r="A1836" s="1" t="s">
        <v>461</v>
      </c>
      <c r="B1836" s="1" t="str">
        <f>VLOOKUP(A1836,Institutions!A:B,2,False)</f>
        <v>Denmark</v>
      </c>
      <c r="C1836" s="8">
        <v>41640.0</v>
      </c>
      <c r="D1836" s="1" t="s">
        <v>2283</v>
      </c>
    </row>
    <row r="1837">
      <c r="A1837" s="1" t="s">
        <v>461</v>
      </c>
      <c r="B1837" s="1" t="str">
        <f>VLOOKUP(A1837,Institutions!A:B,2,False)</f>
        <v>Denmark</v>
      </c>
      <c r="C1837" s="8">
        <v>41275.0</v>
      </c>
      <c r="D1837" s="1" t="s">
        <v>2284</v>
      </c>
    </row>
    <row r="1838">
      <c r="A1838" s="1" t="s">
        <v>463</v>
      </c>
      <c r="B1838" s="1" t="str">
        <f>VLOOKUP(A1838,Institutions!A:B,2,False)</f>
        <v>France</v>
      </c>
      <c r="C1838" s="8">
        <v>44927.0</v>
      </c>
      <c r="D1838" s="1" t="s">
        <v>1259</v>
      </c>
    </row>
    <row r="1839">
      <c r="A1839" s="1" t="s">
        <v>463</v>
      </c>
      <c r="B1839" s="1" t="str">
        <f>VLOOKUP(A1839,Institutions!A:B,2,False)</f>
        <v>France</v>
      </c>
      <c r="C1839" s="8">
        <v>44562.0</v>
      </c>
      <c r="D1839" s="1" t="s">
        <v>1281</v>
      </c>
    </row>
    <row r="1840">
      <c r="A1840" s="1" t="s">
        <v>463</v>
      </c>
      <c r="B1840" s="1" t="str">
        <f>VLOOKUP(A1840,Institutions!A:B,2,False)</f>
        <v>France</v>
      </c>
      <c r="C1840" s="8">
        <v>42370.0</v>
      </c>
      <c r="D1840" s="1" t="s">
        <v>1860</v>
      </c>
    </row>
    <row r="1841">
      <c r="A1841" s="1" t="s">
        <v>465</v>
      </c>
      <c r="B1841" s="1" t="str">
        <f>VLOOKUP(A1841,Institutions!A:B,2,False)</f>
        <v>Switzerland</v>
      </c>
      <c r="C1841" s="8">
        <v>44927.0</v>
      </c>
      <c r="D1841" s="1" t="s">
        <v>1257</v>
      </c>
    </row>
    <row r="1842">
      <c r="A1842" s="1" t="s">
        <v>465</v>
      </c>
      <c r="B1842" s="1" t="str">
        <f>VLOOKUP(A1842,Institutions!A:B,2,False)</f>
        <v>Switzerland</v>
      </c>
      <c r="C1842" s="8">
        <v>44927.0</v>
      </c>
      <c r="D1842" s="1" t="s">
        <v>1267</v>
      </c>
    </row>
    <row r="1843">
      <c r="A1843" s="1" t="s">
        <v>465</v>
      </c>
      <c r="B1843" s="1" t="str">
        <f>VLOOKUP(A1843,Institutions!A:B,2,False)</f>
        <v>Switzerland</v>
      </c>
      <c r="C1843" s="8">
        <v>44197.0</v>
      </c>
      <c r="D1843" s="1" t="s">
        <v>1303</v>
      </c>
    </row>
    <row r="1844">
      <c r="A1844" s="1" t="s">
        <v>467</v>
      </c>
      <c r="B1844" s="1" t="str">
        <f>VLOOKUP(A1844,Institutions!A:B,2,False)</f>
        <v>Denmark</v>
      </c>
      <c r="C1844" s="8">
        <v>44562.0</v>
      </c>
      <c r="D1844" s="1" t="s">
        <v>78</v>
      </c>
    </row>
    <row r="1845">
      <c r="A1845" s="1" t="s">
        <v>467</v>
      </c>
      <c r="B1845" s="1" t="str">
        <f>VLOOKUP(A1845,Institutions!A:B,2,False)</f>
        <v>Denmark</v>
      </c>
      <c r="C1845" s="8">
        <v>44562.0</v>
      </c>
      <c r="D1845" s="1" t="s">
        <v>91</v>
      </c>
    </row>
    <row r="1846">
      <c r="A1846" s="1" t="s">
        <v>467</v>
      </c>
      <c r="B1846" s="1" t="str">
        <f>VLOOKUP(A1846,Institutions!A:B,2,False)</f>
        <v>Denmark</v>
      </c>
      <c r="C1846" s="8">
        <v>44562.0</v>
      </c>
      <c r="D1846" s="1" t="s">
        <v>126</v>
      </c>
    </row>
    <row r="1847">
      <c r="A1847" s="1" t="s">
        <v>469</v>
      </c>
      <c r="B1847" s="1" t="str">
        <f>VLOOKUP(A1847,Institutions!A:B,2,False)</f>
        <v>United Kingdom</v>
      </c>
      <c r="C1847" s="8">
        <v>44562.0</v>
      </c>
      <c r="D1847" s="1" t="s">
        <v>472</v>
      </c>
    </row>
    <row r="1848">
      <c r="A1848" s="1" t="s">
        <v>469</v>
      </c>
      <c r="B1848" s="1" t="str">
        <f>VLOOKUP(A1848,Institutions!A:B,2,False)</f>
        <v>United Kingdom</v>
      </c>
      <c r="C1848" s="8">
        <v>43831.0</v>
      </c>
      <c r="D1848" s="1" t="s">
        <v>558</v>
      </c>
    </row>
    <row r="1849">
      <c r="A1849" s="1" t="s">
        <v>469</v>
      </c>
      <c r="B1849" s="1" t="str">
        <f>VLOOKUP(A1849,Institutions!A:B,2,False)</f>
        <v>United Kingdom</v>
      </c>
      <c r="C1849" s="8">
        <v>43101.0</v>
      </c>
      <c r="D1849" s="1" t="s">
        <v>754</v>
      </c>
    </row>
    <row r="1850">
      <c r="A1850" s="1" t="s">
        <v>471</v>
      </c>
      <c r="B1850" s="1" t="str">
        <f>VLOOKUP(A1850,Institutions!A:B,2,False)</f>
        <v>United States</v>
      </c>
      <c r="C1850" s="8">
        <v>44927.0</v>
      </c>
      <c r="D1850" s="1" t="s">
        <v>1259</v>
      </c>
    </row>
    <row r="1851">
      <c r="A1851" s="1" t="s">
        <v>471</v>
      </c>
      <c r="B1851" s="1" t="str">
        <f>VLOOKUP(A1851,Institutions!A:B,2,False)</f>
        <v>United States</v>
      </c>
      <c r="C1851" s="8">
        <v>44562.0</v>
      </c>
      <c r="D1851" s="1" t="s">
        <v>1281</v>
      </c>
    </row>
    <row r="1852">
      <c r="A1852" s="1" t="s">
        <v>471</v>
      </c>
      <c r="B1852" s="1" t="str">
        <f>VLOOKUP(A1852,Institutions!A:B,2,False)</f>
        <v>United States</v>
      </c>
      <c r="C1852" s="8">
        <v>44562.0</v>
      </c>
      <c r="D1852" s="1" t="s">
        <v>1284</v>
      </c>
    </row>
    <row r="1853">
      <c r="A1853" s="1" t="s">
        <v>473</v>
      </c>
      <c r="B1853" s="1" t="str">
        <f>VLOOKUP(A1853,Institutions!A:B,2,False)</f>
        <v>United States</v>
      </c>
      <c r="C1853" s="8">
        <v>44197.0</v>
      </c>
      <c r="D1853" s="1" t="s">
        <v>939</v>
      </c>
    </row>
    <row r="1854">
      <c r="A1854" s="1" t="s">
        <v>473</v>
      </c>
      <c r="B1854" s="1" t="str">
        <f>VLOOKUP(A1854,Institutions!A:B,2,False)</f>
        <v>United States</v>
      </c>
      <c r="C1854" s="8">
        <v>44197.0</v>
      </c>
      <c r="D1854" s="1" t="s">
        <v>941</v>
      </c>
    </row>
    <row r="1855">
      <c r="A1855" s="1" t="s">
        <v>473</v>
      </c>
      <c r="B1855" s="1" t="str">
        <f>VLOOKUP(A1855,Institutions!A:B,2,False)</f>
        <v>United States</v>
      </c>
      <c r="C1855" s="8">
        <v>43831.0</v>
      </c>
      <c r="D1855" s="1" t="s">
        <v>951</v>
      </c>
    </row>
    <row r="1856">
      <c r="A1856" s="1" t="s">
        <v>475</v>
      </c>
      <c r="B1856" s="1" t="str">
        <f>VLOOKUP(A1856,Institutions!A:B,2,False)</f>
        <v>Australia</v>
      </c>
      <c r="C1856" s="8">
        <v>45292.0</v>
      </c>
      <c r="D1856" s="1" t="s">
        <v>1117</v>
      </c>
    </row>
    <row r="1857">
      <c r="A1857" s="1" t="s">
        <v>475</v>
      </c>
      <c r="B1857" s="1" t="str">
        <f>VLOOKUP(A1857,Institutions!A:B,2,False)</f>
        <v>Australia</v>
      </c>
      <c r="C1857" s="8">
        <v>44927.0</v>
      </c>
      <c r="D1857" s="1" t="s">
        <v>1658</v>
      </c>
    </row>
    <row r="1858">
      <c r="A1858" s="1" t="s">
        <v>475</v>
      </c>
      <c r="B1858" s="1" t="str">
        <f>VLOOKUP(A1858,Institutions!A:B,2,False)</f>
        <v>Australia</v>
      </c>
      <c r="C1858" s="8">
        <v>42736.0</v>
      </c>
      <c r="D1858" s="1" t="s">
        <v>2285</v>
      </c>
    </row>
    <row r="1859">
      <c r="A1859" s="1" t="s">
        <v>477</v>
      </c>
      <c r="B1859" s="1" t="str">
        <f>VLOOKUP(A1859,Institutions!A:B,2,False)</f>
        <v>United States</v>
      </c>
      <c r="C1859" s="8">
        <v>39814.0</v>
      </c>
      <c r="D1859" s="1" t="s">
        <v>2286</v>
      </c>
    </row>
    <row r="1860">
      <c r="A1860" s="1" t="s">
        <v>477</v>
      </c>
      <c r="B1860" s="1" t="str">
        <f>VLOOKUP(A1860,Institutions!A:B,2,False)</f>
        <v>United States</v>
      </c>
      <c r="C1860" s="8">
        <v>39814.0</v>
      </c>
      <c r="D1860" s="1" t="s">
        <v>2287</v>
      </c>
    </row>
    <row r="1861">
      <c r="A1861" s="1" t="s">
        <v>477</v>
      </c>
      <c r="B1861" s="1" t="str">
        <f>VLOOKUP(A1861,Institutions!A:B,2,False)</f>
        <v>United States</v>
      </c>
      <c r="C1861" s="8">
        <v>39448.0</v>
      </c>
      <c r="D1861" s="1" t="s">
        <v>2288</v>
      </c>
    </row>
    <row r="1862">
      <c r="A1862" s="1" t="s">
        <v>479</v>
      </c>
      <c r="B1862" s="1" t="str">
        <f>VLOOKUP(A1862,Institutions!A:B,2,False)</f>
        <v>Italy</v>
      </c>
      <c r="C1862" s="8">
        <v>44562.0</v>
      </c>
      <c r="D1862" s="1" t="s">
        <v>81</v>
      </c>
    </row>
    <row r="1863">
      <c r="A1863" s="1" t="s">
        <v>479</v>
      </c>
      <c r="B1863" s="1" t="str">
        <f>VLOOKUP(A1863,Institutions!A:B,2,False)</f>
        <v>Italy</v>
      </c>
      <c r="C1863" s="8">
        <v>44197.0</v>
      </c>
      <c r="D1863" s="1" t="s">
        <v>201</v>
      </c>
    </row>
    <row r="1864">
      <c r="A1864" s="1" t="s">
        <v>479</v>
      </c>
      <c r="B1864" s="1" t="str">
        <f>VLOOKUP(A1864,Institutions!A:B,2,False)</f>
        <v>Italy</v>
      </c>
      <c r="C1864" s="8">
        <v>43466.0</v>
      </c>
      <c r="D1864" s="1" t="s">
        <v>1550</v>
      </c>
    </row>
    <row r="1865">
      <c r="A1865" s="1" t="s">
        <v>481</v>
      </c>
      <c r="B1865" s="1" t="str">
        <f>VLOOKUP(A1865,Institutions!A:B,2,False)</f>
        <v>South Africa</v>
      </c>
      <c r="C1865" s="8">
        <v>44927.0</v>
      </c>
      <c r="D1865" s="1" t="s">
        <v>1198</v>
      </c>
    </row>
    <row r="1866">
      <c r="A1866" s="1" t="s">
        <v>481</v>
      </c>
      <c r="B1866" s="1" t="str">
        <f>VLOOKUP(A1866,Institutions!A:B,2,False)</f>
        <v>South Africa</v>
      </c>
      <c r="C1866" s="8">
        <v>44197.0</v>
      </c>
      <c r="D1866" s="1" t="s">
        <v>1234</v>
      </c>
    </row>
    <row r="1867">
      <c r="A1867" s="1" t="s">
        <v>481</v>
      </c>
      <c r="B1867" s="1" t="str">
        <f>VLOOKUP(A1867,Institutions!A:B,2,False)</f>
        <v>South Africa</v>
      </c>
      <c r="C1867" s="8">
        <v>43831.0</v>
      </c>
      <c r="D1867" s="1" t="s">
        <v>1245</v>
      </c>
    </row>
    <row r="1868">
      <c r="A1868" s="1" t="s">
        <v>484</v>
      </c>
      <c r="B1868" s="1" t="str">
        <f>VLOOKUP(A1868,Institutions!A:B,2,False)</f>
        <v>Italy</v>
      </c>
      <c r="C1868" s="8">
        <v>44562.0</v>
      </c>
      <c r="D1868" s="1" t="s">
        <v>932</v>
      </c>
    </row>
    <row r="1869">
      <c r="A1869" s="1" t="s">
        <v>484</v>
      </c>
      <c r="B1869" s="1" t="str">
        <f>VLOOKUP(A1869,Institutions!A:B,2,False)</f>
        <v>Italy</v>
      </c>
      <c r="C1869" s="8">
        <v>44197.0</v>
      </c>
      <c r="D1869" s="1" t="s">
        <v>943</v>
      </c>
    </row>
    <row r="1870">
      <c r="A1870" s="1" t="s">
        <v>484</v>
      </c>
      <c r="B1870" s="1" t="str">
        <f>VLOOKUP(A1870,Institutions!A:B,2,False)</f>
        <v>Italy</v>
      </c>
      <c r="C1870" s="8">
        <v>43466.0</v>
      </c>
      <c r="D1870" s="1" t="s">
        <v>970</v>
      </c>
    </row>
    <row r="1871">
      <c r="A1871" s="1" t="s">
        <v>486</v>
      </c>
      <c r="B1871" s="1" t="str">
        <f>VLOOKUP(A1871,Institutions!A:B,2,False)</f>
        <v>Germany</v>
      </c>
      <c r="C1871" s="8">
        <v>44927.0</v>
      </c>
      <c r="D1871" s="1" t="s">
        <v>1583</v>
      </c>
    </row>
    <row r="1872">
      <c r="A1872" s="1" t="s">
        <v>486</v>
      </c>
      <c r="B1872" s="1" t="str">
        <f>VLOOKUP(A1872,Institutions!A:B,2,False)</f>
        <v>Germany</v>
      </c>
      <c r="C1872" s="8">
        <v>44927.0</v>
      </c>
      <c r="D1872" s="1" t="s">
        <v>1143</v>
      </c>
    </row>
    <row r="1873">
      <c r="A1873" s="1" t="s">
        <v>486</v>
      </c>
      <c r="B1873" s="1" t="str">
        <f>VLOOKUP(A1873,Institutions!A:B,2,False)</f>
        <v>Germany</v>
      </c>
      <c r="C1873" s="8">
        <v>44927.0</v>
      </c>
      <c r="D1873" s="1" t="s">
        <v>1589</v>
      </c>
    </row>
    <row r="1874">
      <c r="A1874" s="1" t="s">
        <v>488</v>
      </c>
      <c r="B1874" s="1" t="str">
        <f>VLOOKUP(A1874,Institutions!A:B,2,False)</f>
        <v>France</v>
      </c>
      <c r="C1874" s="8">
        <v>43466.0</v>
      </c>
      <c r="D1874" s="1" t="s">
        <v>1337</v>
      </c>
    </row>
    <row r="1875">
      <c r="A1875" s="1" t="s">
        <v>488</v>
      </c>
      <c r="B1875" s="1" t="str">
        <f>VLOOKUP(A1875,Institutions!A:B,2,False)</f>
        <v>France</v>
      </c>
      <c r="C1875" s="8">
        <v>42736.0</v>
      </c>
      <c r="D1875" s="1" t="s">
        <v>1934</v>
      </c>
    </row>
    <row r="1876">
      <c r="A1876" s="1" t="s">
        <v>488</v>
      </c>
      <c r="B1876" s="1" t="str">
        <f>VLOOKUP(A1876,Institutions!A:B,2,False)</f>
        <v>France</v>
      </c>
      <c r="C1876" s="8">
        <v>40909.0</v>
      </c>
      <c r="D1876" s="1" t="s">
        <v>1943</v>
      </c>
    </row>
    <row r="1877">
      <c r="A1877" s="1" t="s">
        <v>490</v>
      </c>
      <c r="B1877" s="1" t="str">
        <f>VLOOKUP(A1877,Institutions!A:B,2,False)</f>
        <v>Canada</v>
      </c>
      <c r="C1877" s="8">
        <v>40179.0</v>
      </c>
      <c r="D1877" s="1" t="s">
        <v>2163</v>
      </c>
    </row>
    <row r="1878">
      <c r="A1878" s="1" t="s">
        <v>490</v>
      </c>
      <c r="B1878" s="1" t="str">
        <f>VLOOKUP(A1878,Institutions!A:B,2,False)</f>
        <v>Canada</v>
      </c>
      <c r="C1878" s="8">
        <v>40179.0</v>
      </c>
      <c r="D1878" s="1" t="s">
        <v>2165</v>
      </c>
    </row>
    <row r="1879">
      <c r="A1879" s="1" t="s">
        <v>490</v>
      </c>
      <c r="B1879" s="1" t="str">
        <f>VLOOKUP(A1879,Institutions!A:B,2,False)</f>
        <v>Canada</v>
      </c>
      <c r="C1879" s="8">
        <v>40179.0</v>
      </c>
      <c r="D1879" s="1" t="s">
        <v>2166</v>
      </c>
    </row>
    <row r="1880">
      <c r="A1880" s="1" t="s">
        <v>492</v>
      </c>
      <c r="B1880" s="1" t="str">
        <f>VLOOKUP(A1880,Institutions!A:B,2,False)</f>
        <v>United States</v>
      </c>
      <c r="C1880" s="8">
        <v>45292.0</v>
      </c>
      <c r="D1880" s="1" t="s">
        <v>1118</v>
      </c>
    </row>
    <row r="1881">
      <c r="A1881" s="1" t="s">
        <v>492</v>
      </c>
      <c r="B1881" s="1" t="str">
        <f>VLOOKUP(A1881,Institutions!A:B,2,False)</f>
        <v>United States</v>
      </c>
      <c r="C1881" s="8">
        <v>44927.0</v>
      </c>
      <c r="D1881" s="1" t="s">
        <v>1138</v>
      </c>
    </row>
    <row r="1882">
      <c r="A1882" s="1" t="s">
        <v>492</v>
      </c>
      <c r="B1882" s="1" t="str">
        <f>VLOOKUP(A1882,Institutions!A:B,2,False)</f>
        <v>United States</v>
      </c>
      <c r="C1882" s="8">
        <v>44927.0</v>
      </c>
      <c r="D1882" s="1" t="s">
        <v>1145</v>
      </c>
    </row>
    <row r="1883">
      <c r="A1883" s="1" t="s">
        <v>494</v>
      </c>
      <c r="B1883" s="1" t="str">
        <f>VLOOKUP(A1883,Institutions!A:B,2,False)</f>
        <v>United States</v>
      </c>
      <c r="C1883" s="8">
        <v>43831.0</v>
      </c>
      <c r="D1883" s="1" t="s">
        <v>913</v>
      </c>
    </row>
    <row r="1884">
      <c r="A1884" s="1" t="s">
        <v>494</v>
      </c>
      <c r="B1884" s="1" t="str">
        <f>VLOOKUP(A1884,Institutions!A:B,2,False)</f>
        <v>United States</v>
      </c>
      <c r="C1884" s="8">
        <v>43466.0</v>
      </c>
      <c r="D1884" s="1" t="s">
        <v>2289</v>
      </c>
    </row>
    <row r="1885">
      <c r="A1885" s="1" t="s">
        <v>494</v>
      </c>
      <c r="B1885" s="1" t="str">
        <f>VLOOKUP(A1885,Institutions!A:B,2,False)</f>
        <v>United States</v>
      </c>
      <c r="C1885" s="8">
        <v>42736.0</v>
      </c>
      <c r="D1885" s="1" t="s">
        <v>2290</v>
      </c>
    </row>
    <row r="1886">
      <c r="A1886" s="1" t="s">
        <v>496</v>
      </c>
      <c r="B1886" s="1" t="str">
        <f>VLOOKUP(A1886,Institutions!A:B,2,False)</f>
        <v>United States</v>
      </c>
      <c r="C1886" s="8">
        <v>44562.0</v>
      </c>
      <c r="D1886" s="1" t="s">
        <v>507</v>
      </c>
    </row>
    <row r="1887">
      <c r="A1887" s="1" t="s">
        <v>496</v>
      </c>
      <c r="B1887" s="1" t="str">
        <f>VLOOKUP(A1887,Institutions!A:B,2,False)</f>
        <v>United States</v>
      </c>
      <c r="C1887" s="8">
        <v>44197.0</v>
      </c>
      <c r="D1887" s="1" t="s">
        <v>516</v>
      </c>
    </row>
    <row r="1888">
      <c r="A1888" s="1" t="s">
        <v>496</v>
      </c>
      <c r="B1888" s="1" t="str">
        <f>VLOOKUP(A1888,Institutions!A:B,2,False)</f>
        <v>United States</v>
      </c>
      <c r="C1888" s="8">
        <v>38718.0</v>
      </c>
      <c r="D1888" s="1" t="s">
        <v>2291</v>
      </c>
    </row>
    <row r="1889">
      <c r="A1889" s="1" t="s">
        <v>498</v>
      </c>
      <c r="B1889" s="1" t="str">
        <f>VLOOKUP(A1889,Institutions!A:B,2,False)</f>
        <v>United Kingdom</v>
      </c>
      <c r="C1889" s="8">
        <v>44927.0</v>
      </c>
      <c r="D1889" s="1" t="s">
        <v>1014</v>
      </c>
    </row>
    <row r="1890">
      <c r="A1890" s="1" t="s">
        <v>498</v>
      </c>
      <c r="B1890" s="1" t="str">
        <f>VLOOKUP(A1890,Institutions!A:B,2,False)</f>
        <v>United Kingdom</v>
      </c>
      <c r="C1890" s="8">
        <v>43101.0</v>
      </c>
      <c r="D1890" s="1" t="s">
        <v>2140</v>
      </c>
    </row>
    <row r="1891">
      <c r="A1891" s="1" t="s">
        <v>498</v>
      </c>
      <c r="B1891" s="1" t="str">
        <f>VLOOKUP(A1891,Institutions!A:B,2,False)</f>
        <v>United Kingdom</v>
      </c>
      <c r="C1891" s="8">
        <v>42370.0</v>
      </c>
      <c r="D1891" s="1" t="s">
        <v>1074</v>
      </c>
    </row>
    <row r="1892">
      <c r="A1892" s="1" t="s">
        <v>500</v>
      </c>
      <c r="B1892" s="1" t="str">
        <f>VLOOKUP(A1892,Institutions!A:B,2,False)</f>
        <v>Austria</v>
      </c>
      <c r="C1892" s="8">
        <v>43466.0</v>
      </c>
      <c r="D1892" s="1" t="s">
        <v>379</v>
      </c>
    </row>
    <row r="1893">
      <c r="A1893" s="1" t="s">
        <v>500</v>
      </c>
      <c r="B1893" s="1" t="str">
        <f>VLOOKUP(A1893,Institutions!A:B,2,False)</f>
        <v>Austria</v>
      </c>
      <c r="C1893" s="8">
        <v>43466.0</v>
      </c>
      <c r="D1893" s="1" t="s">
        <v>2292</v>
      </c>
    </row>
    <row r="1894">
      <c r="A1894" s="1" t="s">
        <v>500</v>
      </c>
      <c r="B1894" s="1" t="str">
        <f>VLOOKUP(A1894,Institutions!A:B,2,False)</f>
        <v>Austria</v>
      </c>
      <c r="C1894" s="8">
        <v>43466.0</v>
      </c>
      <c r="D1894" s="1" t="s">
        <v>2260</v>
      </c>
    </row>
    <row r="1895">
      <c r="A1895" s="1" t="s">
        <v>502</v>
      </c>
      <c r="B1895" s="1" t="str">
        <f>VLOOKUP(A1895,Institutions!A:B,2,False)</f>
        <v>New Zealand</v>
      </c>
      <c r="C1895" s="8">
        <v>44197.0</v>
      </c>
      <c r="D1895" s="1" t="s">
        <v>939</v>
      </c>
    </row>
    <row r="1896">
      <c r="A1896" s="1" t="s">
        <v>502</v>
      </c>
      <c r="B1896" s="1" t="str">
        <f>VLOOKUP(A1896,Institutions!A:B,2,False)</f>
        <v>New Zealand</v>
      </c>
      <c r="C1896" s="8">
        <v>43466.0</v>
      </c>
      <c r="D1896" s="1" t="s">
        <v>974</v>
      </c>
    </row>
    <row r="1897">
      <c r="A1897" s="1" t="s">
        <v>502</v>
      </c>
      <c r="B1897" s="1" t="str">
        <f>VLOOKUP(A1897,Institutions!A:B,2,False)</f>
        <v>New Zealand</v>
      </c>
      <c r="C1897" s="8">
        <v>43101.0</v>
      </c>
      <c r="D1897" s="1" t="s">
        <v>993</v>
      </c>
    </row>
    <row r="1898">
      <c r="A1898" s="1" t="s">
        <v>504</v>
      </c>
      <c r="B1898" s="1" t="str">
        <f>VLOOKUP(A1898,Institutions!A:B,2,False)</f>
        <v>Austria</v>
      </c>
      <c r="C1898" s="8">
        <v>44927.0</v>
      </c>
      <c r="D1898" s="1" t="s">
        <v>55</v>
      </c>
    </row>
    <row r="1899">
      <c r="A1899" s="1" t="s">
        <v>504</v>
      </c>
      <c r="B1899" s="1" t="str">
        <f>VLOOKUP(A1899,Institutions!A:B,2,False)</f>
        <v>Austria</v>
      </c>
      <c r="C1899" s="8">
        <v>44562.0</v>
      </c>
      <c r="D1899" s="1" t="s">
        <v>81</v>
      </c>
    </row>
    <row r="1900">
      <c r="A1900" s="1" t="s">
        <v>504</v>
      </c>
      <c r="B1900" s="1" t="str">
        <f>VLOOKUP(A1900,Institutions!A:B,2,False)</f>
        <v>Austria</v>
      </c>
      <c r="C1900" s="8">
        <v>43101.0</v>
      </c>
      <c r="D1900" s="1" t="s">
        <v>1855</v>
      </c>
    </row>
    <row r="1901">
      <c r="A1901" s="1" t="s">
        <v>506</v>
      </c>
      <c r="B1901" s="1" t="str">
        <f>VLOOKUP(A1901,Institutions!A:B,2,False)</f>
        <v>Belgium</v>
      </c>
      <c r="C1901" s="8">
        <v>43101.0</v>
      </c>
      <c r="D1901" s="1" t="s">
        <v>2082</v>
      </c>
    </row>
    <row r="1902">
      <c r="A1902" s="1" t="s">
        <v>506</v>
      </c>
      <c r="B1902" s="1" t="str">
        <f>VLOOKUP(A1902,Institutions!A:B,2,False)</f>
        <v>Belgium</v>
      </c>
      <c r="C1902" s="8">
        <v>39814.0</v>
      </c>
      <c r="D1902" s="1" t="s">
        <v>2293</v>
      </c>
    </row>
    <row r="1903">
      <c r="A1903" s="1" t="s">
        <v>508</v>
      </c>
      <c r="B1903" s="1" t="str">
        <f>VLOOKUP(A1903,Institutions!A:B,2,False)</f>
        <v>Canada</v>
      </c>
      <c r="C1903" s="8">
        <v>44562.0</v>
      </c>
      <c r="D1903" s="1" t="s">
        <v>493</v>
      </c>
    </row>
    <row r="1904">
      <c r="A1904" s="1" t="s">
        <v>508</v>
      </c>
      <c r="B1904" s="1" t="str">
        <f>VLOOKUP(A1904,Institutions!A:B,2,False)</f>
        <v>Canada</v>
      </c>
      <c r="C1904" s="8">
        <v>44197.0</v>
      </c>
      <c r="D1904" s="1" t="s">
        <v>536</v>
      </c>
    </row>
    <row r="1905">
      <c r="A1905" s="1" t="s">
        <v>510</v>
      </c>
      <c r="B1905" s="1" t="str">
        <f>VLOOKUP(A1905,Institutions!A:B,2,False)</f>
        <v>Germany</v>
      </c>
      <c r="C1905" s="8">
        <v>44927.0</v>
      </c>
      <c r="D1905" s="1" t="s">
        <v>1588</v>
      </c>
    </row>
    <row r="1906">
      <c r="A1906" s="1" t="s">
        <v>510</v>
      </c>
      <c r="B1906" s="1" t="str">
        <f>VLOOKUP(A1906,Institutions!A:B,2,False)</f>
        <v>Germany</v>
      </c>
      <c r="C1906" s="8">
        <v>44562.0</v>
      </c>
      <c r="D1906" s="1" t="s">
        <v>1595</v>
      </c>
    </row>
    <row r="1907">
      <c r="A1907" s="1" t="s">
        <v>512</v>
      </c>
      <c r="B1907" s="1" t="str">
        <f>VLOOKUP(A1907,Institutions!A:B,2,False)</f>
        <v>United States</v>
      </c>
      <c r="C1907" s="8">
        <v>44927.0</v>
      </c>
      <c r="D1907" s="1" t="s">
        <v>1134</v>
      </c>
    </row>
    <row r="1908">
      <c r="A1908" s="1" t="s">
        <v>512</v>
      </c>
      <c r="B1908" s="1" t="str">
        <f>VLOOKUP(A1908,Institutions!A:B,2,False)</f>
        <v>United States</v>
      </c>
      <c r="C1908" s="8">
        <v>44197.0</v>
      </c>
      <c r="D1908" s="1" t="s">
        <v>1181</v>
      </c>
    </row>
    <row r="1909">
      <c r="A1909" s="1" t="s">
        <v>514</v>
      </c>
      <c r="B1909" s="1" t="str">
        <f>VLOOKUP(A1909,Institutions!A:B,2,False)</f>
        <v>Cuba</v>
      </c>
      <c r="C1909" s="8">
        <v>44562.0</v>
      </c>
      <c r="D1909" s="1" t="s">
        <v>1292</v>
      </c>
    </row>
    <row r="1910">
      <c r="A1910" s="1" t="s">
        <v>514</v>
      </c>
      <c r="B1910" s="1" t="str">
        <f>VLOOKUP(A1910,Institutions!A:B,2,False)</f>
        <v>Cuba</v>
      </c>
      <c r="C1910" s="8">
        <v>44197.0</v>
      </c>
      <c r="D1910" s="1" t="s">
        <v>2294</v>
      </c>
    </row>
    <row r="1911">
      <c r="A1911" s="1" t="s">
        <v>517</v>
      </c>
      <c r="B1911" s="1" t="str">
        <f>VLOOKUP(A1911,Institutions!A:B,2,False)</f>
        <v>United States</v>
      </c>
      <c r="C1911" s="8">
        <v>43831.0</v>
      </c>
      <c r="D1911" s="1" t="s">
        <v>366</v>
      </c>
    </row>
    <row r="1912">
      <c r="A1912" s="1" t="s">
        <v>517</v>
      </c>
      <c r="B1912" s="1" t="str">
        <f>VLOOKUP(A1912,Institutions!A:B,2,False)</f>
        <v>United States</v>
      </c>
      <c r="C1912" s="8">
        <v>43101.0</v>
      </c>
      <c r="D1912" s="1" t="s">
        <v>624</v>
      </c>
    </row>
    <row r="1913">
      <c r="A1913" s="1" t="s">
        <v>519</v>
      </c>
      <c r="B1913" s="1" t="str">
        <f>VLOOKUP(A1913,Institutions!A:B,2,False)</f>
        <v>Brazil</v>
      </c>
      <c r="C1913" s="8">
        <v>44197.0</v>
      </c>
      <c r="D1913" s="1" t="s">
        <v>939</v>
      </c>
    </row>
    <row r="1914">
      <c r="A1914" s="1" t="s">
        <v>519</v>
      </c>
      <c r="B1914" s="1" t="str">
        <f>VLOOKUP(A1914,Institutions!A:B,2,False)</f>
        <v>Brazil</v>
      </c>
      <c r="C1914" s="8">
        <v>43466.0</v>
      </c>
      <c r="D1914" s="1" t="s">
        <v>977</v>
      </c>
    </row>
    <row r="1915">
      <c r="A1915" s="1" t="s">
        <v>521</v>
      </c>
      <c r="B1915" s="1" t="str">
        <f>VLOOKUP(A1915,Institutions!A:B,2,False)</f>
        <v>Germany</v>
      </c>
      <c r="C1915" s="8">
        <v>43831.0</v>
      </c>
      <c r="D1915" s="1" t="s">
        <v>2295</v>
      </c>
    </row>
    <row r="1916">
      <c r="A1916" s="1" t="s">
        <v>521</v>
      </c>
      <c r="B1916" s="1" t="str">
        <f>VLOOKUP(A1916,Institutions!A:B,2,False)</f>
        <v>Germany</v>
      </c>
      <c r="C1916" s="8">
        <v>43466.0</v>
      </c>
      <c r="D1916" s="1" t="s">
        <v>2296</v>
      </c>
    </row>
    <row r="1917">
      <c r="A1917" s="1" t="s">
        <v>523</v>
      </c>
      <c r="B1917" s="1" t="str">
        <f>VLOOKUP(A1917,Institutions!A:B,2,False)</f>
        <v>Finland</v>
      </c>
      <c r="C1917" s="8">
        <v>43101.0</v>
      </c>
      <c r="D1917" s="1" t="s">
        <v>622</v>
      </c>
    </row>
    <row r="1918">
      <c r="A1918" s="1" t="s">
        <v>523</v>
      </c>
      <c r="B1918" s="1" t="str">
        <f>VLOOKUP(A1918,Institutions!A:B,2,False)</f>
        <v>Finland</v>
      </c>
      <c r="C1918" s="8">
        <v>40544.0</v>
      </c>
      <c r="D1918" s="1" t="s">
        <v>1986</v>
      </c>
    </row>
    <row r="1919">
      <c r="A1919" s="1" t="s">
        <v>525</v>
      </c>
      <c r="B1919" s="1" t="str">
        <f>VLOOKUP(A1919,Institutions!A:B,2,False)</f>
        <v>New Zealand</v>
      </c>
      <c r="C1919" s="8">
        <v>44197.0</v>
      </c>
      <c r="D1919" s="1" t="s">
        <v>939</v>
      </c>
    </row>
    <row r="1920">
      <c r="A1920" s="1" t="s">
        <v>525</v>
      </c>
      <c r="B1920" s="1" t="str">
        <f>VLOOKUP(A1920,Institutions!A:B,2,False)</f>
        <v>New Zealand</v>
      </c>
      <c r="C1920" s="8">
        <v>43101.0</v>
      </c>
      <c r="D1920" s="1" t="s">
        <v>408</v>
      </c>
    </row>
    <row r="1921">
      <c r="A1921" s="1" t="s">
        <v>527</v>
      </c>
      <c r="B1921" s="1" t="str">
        <f>VLOOKUP(A1921,Institutions!A:B,2,False)</f>
        <v>Denmark</v>
      </c>
      <c r="C1921" s="8">
        <v>44927.0</v>
      </c>
      <c r="D1921" s="1" t="s">
        <v>1504</v>
      </c>
    </row>
    <row r="1922">
      <c r="A1922" s="1" t="s">
        <v>527</v>
      </c>
      <c r="B1922" s="1" t="str">
        <f>VLOOKUP(A1922,Institutions!A:B,2,False)</f>
        <v>Denmark</v>
      </c>
      <c r="C1922" s="8">
        <v>44927.0</v>
      </c>
      <c r="D1922" s="1" t="s">
        <v>1505</v>
      </c>
    </row>
    <row r="1923">
      <c r="A1923" s="1" t="s">
        <v>529</v>
      </c>
      <c r="B1923" s="1" t="str">
        <f>VLOOKUP(A1923,Institutions!A:B,2,False)</f>
        <v>France</v>
      </c>
      <c r="C1923" s="8">
        <v>44927.0</v>
      </c>
      <c r="D1923" s="1" t="s">
        <v>1259</v>
      </c>
    </row>
    <row r="1924">
      <c r="A1924" s="1" t="s">
        <v>529</v>
      </c>
      <c r="B1924" s="1" t="str">
        <f>VLOOKUP(A1924,Institutions!A:B,2,False)</f>
        <v>France</v>
      </c>
      <c r="C1924" s="8">
        <v>44562.0</v>
      </c>
      <c r="D1924" s="1" t="s">
        <v>1281</v>
      </c>
    </row>
    <row r="1925">
      <c r="A1925" s="1" t="s">
        <v>531</v>
      </c>
      <c r="B1925" s="1" t="str">
        <f>VLOOKUP(A1925,Institutions!A:B,2,False)</f>
        <v>Spain</v>
      </c>
      <c r="C1925" s="8">
        <v>43831.0</v>
      </c>
      <c r="D1925" s="1" t="s">
        <v>372</v>
      </c>
    </row>
    <row r="1926">
      <c r="A1926" s="1" t="s">
        <v>531</v>
      </c>
      <c r="B1926" s="1" t="str">
        <f>VLOOKUP(A1926,Institutions!A:B,2,False)</f>
        <v>Spain</v>
      </c>
      <c r="C1926" s="8">
        <v>42370.0</v>
      </c>
      <c r="D1926" s="1" t="s">
        <v>2173</v>
      </c>
    </row>
    <row r="1927">
      <c r="A1927" s="1" t="s">
        <v>533</v>
      </c>
      <c r="B1927" s="1" t="str">
        <f>VLOOKUP(A1927,Institutions!A:B,2,False)</f>
        <v>Canada</v>
      </c>
      <c r="C1927" s="8">
        <v>44562.0</v>
      </c>
      <c r="D1927" s="1" t="s">
        <v>936</v>
      </c>
    </row>
    <row r="1928">
      <c r="A1928" s="1" t="s">
        <v>533</v>
      </c>
      <c r="B1928" s="1" t="str">
        <f>VLOOKUP(A1928,Institutions!A:B,2,False)</f>
        <v>Canada</v>
      </c>
      <c r="C1928" s="8">
        <v>42736.0</v>
      </c>
      <c r="D1928" s="1" t="s">
        <v>1064</v>
      </c>
    </row>
    <row r="1929">
      <c r="A1929" s="1" t="s">
        <v>535</v>
      </c>
      <c r="B1929" s="1" t="str">
        <f>VLOOKUP(A1929,Institutions!A:B,2,False)</f>
        <v>Switzerland</v>
      </c>
      <c r="C1929" s="8">
        <v>44197.0</v>
      </c>
      <c r="D1929" s="1" t="s">
        <v>1236</v>
      </c>
    </row>
    <row r="1930">
      <c r="A1930" s="1" t="s">
        <v>535</v>
      </c>
      <c r="B1930" s="1" t="str">
        <f>VLOOKUP(A1930,Institutions!A:B,2,False)</f>
        <v>Switzerland</v>
      </c>
      <c r="C1930" s="8">
        <v>43466.0</v>
      </c>
      <c r="D1930" s="1" t="s">
        <v>1333</v>
      </c>
    </row>
    <row r="1931">
      <c r="A1931" s="1" t="s">
        <v>537</v>
      </c>
      <c r="B1931" s="1" t="str">
        <f>VLOOKUP(A1931,Institutions!A:B,2,False)</f>
        <v>Norway</v>
      </c>
      <c r="C1931" s="8">
        <v>43101.0</v>
      </c>
      <c r="D1931" s="1" t="s">
        <v>747</v>
      </c>
    </row>
    <row r="1932">
      <c r="A1932" s="1" t="s">
        <v>537</v>
      </c>
      <c r="B1932" s="1" t="str">
        <f>VLOOKUP(A1932,Institutions!A:B,2,False)</f>
        <v>Norway</v>
      </c>
      <c r="C1932" s="8">
        <v>42736.0</v>
      </c>
      <c r="D1932" s="1" t="s">
        <v>1350</v>
      </c>
    </row>
    <row r="1933">
      <c r="A1933" s="1" t="s">
        <v>539</v>
      </c>
      <c r="B1933" s="1" t="str">
        <f>VLOOKUP(A1933,Institutions!A:B,2,False)</f>
        <v>Italy</v>
      </c>
      <c r="C1933" s="8">
        <v>44927.0</v>
      </c>
      <c r="D1933" s="1" t="s">
        <v>1658</v>
      </c>
    </row>
    <row r="1934">
      <c r="A1934" s="1" t="s">
        <v>539</v>
      </c>
      <c r="B1934" s="1" t="str">
        <f>VLOOKUP(A1934,Institutions!A:B,2,False)</f>
        <v>Italy</v>
      </c>
      <c r="C1934" s="8">
        <v>40179.0</v>
      </c>
      <c r="D1934" s="1" t="s">
        <v>2264</v>
      </c>
    </row>
    <row r="1935">
      <c r="A1935" s="1" t="s">
        <v>541</v>
      </c>
      <c r="B1935" s="1" t="str">
        <f>VLOOKUP(A1935,Institutions!A:B,2,False)</f>
        <v>Japan</v>
      </c>
      <c r="C1935" s="8">
        <v>44197.0</v>
      </c>
      <c r="D1935" s="1" t="s">
        <v>1174</v>
      </c>
    </row>
    <row r="1936">
      <c r="A1936" s="1" t="s">
        <v>541</v>
      </c>
      <c r="B1936" s="1" t="str">
        <f>VLOOKUP(A1936,Institutions!A:B,2,False)</f>
        <v>Japan</v>
      </c>
      <c r="C1936" s="8">
        <v>44197.0</v>
      </c>
      <c r="D1936" s="1" t="s">
        <v>1186</v>
      </c>
    </row>
    <row r="1937">
      <c r="A1937" s="1" t="s">
        <v>543</v>
      </c>
      <c r="B1937" s="1" t="str">
        <f>VLOOKUP(A1937,Institutions!A:B,2,False)</f>
        <v>United Kingdom</v>
      </c>
      <c r="C1937" s="8">
        <v>43831.0</v>
      </c>
      <c r="D1937" s="1" t="s">
        <v>719</v>
      </c>
    </row>
    <row r="1938">
      <c r="A1938" s="1" t="s">
        <v>543</v>
      </c>
      <c r="B1938" s="1" t="str">
        <f>VLOOKUP(A1938,Institutions!A:B,2,False)</f>
        <v>United Kingdom</v>
      </c>
      <c r="C1938" s="8">
        <v>43466.0</v>
      </c>
      <c r="D1938" s="1" t="s">
        <v>731</v>
      </c>
    </row>
    <row r="1939">
      <c r="A1939" s="1" t="s">
        <v>545</v>
      </c>
      <c r="B1939" s="1" t="str">
        <f>VLOOKUP(A1939,Institutions!A:B,2,False)</f>
        <v>Finland</v>
      </c>
      <c r="C1939" s="8">
        <v>44927.0</v>
      </c>
      <c r="D1939" s="1" t="s">
        <v>1147</v>
      </c>
    </row>
    <row r="1940">
      <c r="A1940" s="1" t="s">
        <v>545</v>
      </c>
      <c r="B1940" s="1" t="str">
        <f>VLOOKUP(A1940,Institutions!A:B,2,False)</f>
        <v>Finland</v>
      </c>
      <c r="C1940" s="8">
        <v>44927.0</v>
      </c>
      <c r="D1940" s="1" t="s">
        <v>1148</v>
      </c>
    </row>
    <row r="1941">
      <c r="A1941" s="1" t="s">
        <v>547</v>
      </c>
      <c r="B1941" s="1" t="str">
        <f>VLOOKUP(A1941,Institutions!A:B,2,False)</f>
        <v>Germany</v>
      </c>
      <c r="C1941" s="8">
        <v>44927.0</v>
      </c>
      <c r="D1941" s="1" t="s">
        <v>1134</v>
      </c>
    </row>
    <row r="1942">
      <c r="A1942" s="1" t="s">
        <v>547</v>
      </c>
      <c r="B1942" s="1" t="str">
        <f>VLOOKUP(A1942,Institutions!A:B,2,False)</f>
        <v>Germany</v>
      </c>
      <c r="C1942" s="8">
        <v>44197.0</v>
      </c>
      <c r="D1942" s="1" t="s">
        <v>1181</v>
      </c>
    </row>
    <row r="1943">
      <c r="A1943" s="1" t="s">
        <v>549</v>
      </c>
      <c r="B1943" s="1" t="str">
        <f>VLOOKUP(A1943,Institutions!A:B,2,False)</f>
        <v>Denmark</v>
      </c>
      <c r="C1943" s="8">
        <v>37987.0</v>
      </c>
      <c r="D1943" s="1" t="s">
        <v>2272</v>
      </c>
    </row>
    <row r="1944">
      <c r="A1944" s="1" t="s">
        <v>549</v>
      </c>
      <c r="B1944" s="1" t="str">
        <f>VLOOKUP(A1944,Institutions!A:B,2,False)</f>
        <v>Denmark</v>
      </c>
      <c r="C1944" s="8">
        <v>37987.0</v>
      </c>
      <c r="D1944" s="1" t="s">
        <v>2273</v>
      </c>
    </row>
    <row r="1945">
      <c r="A1945" s="1" t="s">
        <v>551</v>
      </c>
      <c r="B1945" s="1" t="str">
        <f>VLOOKUP(A1945,Institutions!A:B,2,False)</f>
        <v>Italy</v>
      </c>
      <c r="C1945" s="8">
        <v>43101.0</v>
      </c>
      <c r="D1945" s="1" t="s">
        <v>2297</v>
      </c>
    </row>
    <row r="1946">
      <c r="A1946" s="1" t="s">
        <v>551</v>
      </c>
      <c r="B1946" s="1" t="str">
        <f>VLOOKUP(A1946,Institutions!A:B,2,False)</f>
        <v>Italy</v>
      </c>
      <c r="C1946" s="8">
        <v>40909.0</v>
      </c>
      <c r="D1946" s="1" t="s">
        <v>2180</v>
      </c>
    </row>
    <row r="1947">
      <c r="A1947" s="1" t="s">
        <v>553</v>
      </c>
      <c r="B1947" s="1" t="str">
        <f>VLOOKUP(A1947,Institutions!A:B,2,False)</f>
        <v>Hong Kong</v>
      </c>
      <c r="C1947" s="8">
        <v>45292.0</v>
      </c>
      <c r="D1947" s="1" t="s">
        <v>1694</v>
      </c>
    </row>
    <row r="1948">
      <c r="A1948" s="1" t="s">
        <v>553</v>
      </c>
      <c r="B1948" s="1" t="str">
        <f>VLOOKUP(A1948,Institutions!A:B,2,False)</f>
        <v>Hong Kong</v>
      </c>
      <c r="C1948" s="8">
        <v>44927.0</v>
      </c>
      <c r="D1948" s="1" t="s">
        <v>1270</v>
      </c>
    </row>
    <row r="1949">
      <c r="A1949" s="1" t="s">
        <v>555</v>
      </c>
      <c r="B1949" s="1" t="str">
        <f>VLOOKUP(A1949,Institutions!A:B,2,False)</f>
        <v>United Kingdom</v>
      </c>
      <c r="C1949" s="8">
        <v>44927.0</v>
      </c>
      <c r="D1949" s="1" t="s">
        <v>1150</v>
      </c>
    </row>
    <row r="1950">
      <c r="A1950" s="1" t="s">
        <v>555</v>
      </c>
      <c r="B1950" s="1" t="str">
        <f>VLOOKUP(A1950,Institutions!A:B,2,False)</f>
        <v>United Kingdom</v>
      </c>
      <c r="C1950" s="8">
        <v>43466.0</v>
      </c>
      <c r="D1950" s="1" t="s">
        <v>2289</v>
      </c>
    </row>
    <row r="1951">
      <c r="A1951" s="1" t="s">
        <v>557</v>
      </c>
      <c r="B1951" s="1" t="str">
        <f>VLOOKUP(A1951,Institutions!A:B,2,False)</f>
        <v>Belgium</v>
      </c>
      <c r="C1951" s="8">
        <v>43101.0</v>
      </c>
      <c r="D1951" s="1" t="s">
        <v>2083</v>
      </c>
    </row>
    <row r="1952">
      <c r="A1952" s="1" t="s">
        <v>557</v>
      </c>
      <c r="B1952" s="1" t="str">
        <f>VLOOKUP(A1952,Institutions!A:B,2,False)</f>
        <v>Belgium</v>
      </c>
      <c r="C1952" s="8">
        <v>41275.0</v>
      </c>
      <c r="D1952" s="1" t="s">
        <v>2298</v>
      </c>
    </row>
    <row r="1953">
      <c r="A1953" s="1" t="s">
        <v>559</v>
      </c>
      <c r="B1953" s="1" t="str">
        <f>VLOOKUP(A1953,Institutions!A:B,2,False)</f>
        <v>Germany</v>
      </c>
      <c r="C1953" s="8">
        <v>43101.0</v>
      </c>
      <c r="D1953" s="1" t="s">
        <v>2219</v>
      </c>
    </row>
    <row r="1954">
      <c r="A1954" s="1" t="s">
        <v>559</v>
      </c>
      <c r="B1954" s="1" t="str">
        <f>VLOOKUP(A1954,Institutions!A:B,2,False)</f>
        <v>Germany</v>
      </c>
      <c r="C1954" s="8">
        <v>43101.0</v>
      </c>
      <c r="D1954" s="1" t="s">
        <v>2012</v>
      </c>
    </row>
    <row r="1955">
      <c r="A1955" s="1" t="s">
        <v>561</v>
      </c>
      <c r="B1955" s="1" t="str">
        <f>VLOOKUP(A1955,Institutions!A:B,2,False)</f>
        <v>Germany</v>
      </c>
      <c r="C1955" s="8">
        <v>44197.0</v>
      </c>
      <c r="D1955" s="1" t="s">
        <v>2114</v>
      </c>
    </row>
    <row r="1956">
      <c r="A1956" s="1" t="s">
        <v>561</v>
      </c>
      <c r="B1956" s="1" t="str">
        <f>VLOOKUP(A1956,Institutions!A:B,2,False)</f>
        <v>Germany</v>
      </c>
      <c r="C1956" s="8">
        <v>43831.0</v>
      </c>
      <c r="D1956" s="1" t="s">
        <v>2102</v>
      </c>
    </row>
    <row r="1957">
      <c r="A1957" s="1" t="s">
        <v>563</v>
      </c>
      <c r="B1957" s="1" t="str">
        <f>VLOOKUP(A1957,Institutions!A:B,2,False)</f>
        <v>Germany</v>
      </c>
      <c r="C1957" s="8">
        <v>43101.0</v>
      </c>
      <c r="D1957" s="1" t="s">
        <v>994</v>
      </c>
    </row>
    <row r="1958">
      <c r="A1958" s="1" t="s">
        <v>563</v>
      </c>
      <c r="B1958" s="1" t="str">
        <f>VLOOKUP(A1958,Institutions!A:B,2,False)</f>
        <v>Germany</v>
      </c>
      <c r="C1958" s="8">
        <v>42736.0</v>
      </c>
      <c r="D1958" s="1" t="s">
        <v>2201</v>
      </c>
    </row>
    <row r="1959">
      <c r="A1959" s="1" t="s">
        <v>565</v>
      </c>
      <c r="B1959" s="1" t="str">
        <f>VLOOKUP(A1959,Institutions!A:B,2,False)</f>
        <v>Japan</v>
      </c>
      <c r="C1959" s="8">
        <v>45292.0</v>
      </c>
      <c r="D1959" s="1" t="s">
        <v>1119</v>
      </c>
    </row>
    <row r="1960">
      <c r="A1960" s="1" t="s">
        <v>565</v>
      </c>
      <c r="B1960" s="1" t="str">
        <f>VLOOKUP(A1960,Institutions!A:B,2,False)</f>
        <v>Japan</v>
      </c>
      <c r="C1960" s="8">
        <v>44927.0</v>
      </c>
      <c r="D1960" s="1" t="s">
        <v>1127</v>
      </c>
    </row>
    <row r="1961">
      <c r="A1961" s="1" t="s">
        <v>567</v>
      </c>
      <c r="B1961" s="1" t="str">
        <f>VLOOKUP(A1961,Institutions!A:B,2,False)</f>
        <v>Sweden</v>
      </c>
      <c r="C1961" s="8">
        <v>44197.0</v>
      </c>
      <c r="D1961" s="1" t="s">
        <v>1026</v>
      </c>
    </row>
    <row r="1962">
      <c r="A1962" s="1" t="s">
        <v>567</v>
      </c>
      <c r="B1962" s="1" t="str">
        <f>VLOOKUP(A1962,Institutions!A:B,2,False)</f>
        <v>Sweden</v>
      </c>
      <c r="C1962" s="8">
        <v>43831.0</v>
      </c>
      <c r="D1962" s="1" t="s">
        <v>1026</v>
      </c>
    </row>
    <row r="1963">
      <c r="A1963" s="1" t="s">
        <v>569</v>
      </c>
      <c r="B1963" s="1" t="str">
        <f>VLOOKUP(A1963,Institutions!A:B,2,False)</f>
        <v>France</v>
      </c>
      <c r="C1963" s="8">
        <v>39814.0</v>
      </c>
      <c r="D1963" s="1" t="s">
        <v>2252</v>
      </c>
    </row>
    <row r="1964">
      <c r="A1964" s="1" t="s">
        <v>569</v>
      </c>
      <c r="B1964" s="1" t="str">
        <f>VLOOKUP(A1964,Institutions!A:B,2,False)</f>
        <v>France</v>
      </c>
      <c r="C1964" s="8">
        <v>39814.0</v>
      </c>
      <c r="D1964" s="1" t="s">
        <v>2253</v>
      </c>
    </row>
    <row r="1965">
      <c r="A1965" s="1" t="s">
        <v>571</v>
      </c>
      <c r="B1965" s="1" t="str">
        <f>VLOOKUP(A1965,Institutions!A:B,2,False)</f>
        <v>Denmark</v>
      </c>
      <c r="C1965" s="8">
        <v>44927.0</v>
      </c>
      <c r="D1965" s="1" t="s">
        <v>780</v>
      </c>
    </row>
    <row r="1966">
      <c r="A1966" s="1" t="s">
        <v>571</v>
      </c>
      <c r="B1966" s="1" t="str">
        <f>VLOOKUP(A1966,Institutions!A:B,2,False)</f>
        <v>Denmark</v>
      </c>
      <c r="C1966" s="8">
        <v>43101.0</v>
      </c>
      <c r="D1966" s="1" t="s">
        <v>1856</v>
      </c>
    </row>
    <row r="1967">
      <c r="A1967" s="1" t="s">
        <v>573</v>
      </c>
      <c r="B1967" s="1" t="str">
        <f>VLOOKUP(A1967,Institutions!A:B,2,False)</f>
        <v>Germany</v>
      </c>
      <c r="C1967" s="8">
        <v>44562.0</v>
      </c>
      <c r="D1967" s="1" t="s">
        <v>1288</v>
      </c>
    </row>
    <row r="1968">
      <c r="A1968" s="1" t="s">
        <v>573</v>
      </c>
      <c r="B1968" s="1" t="str">
        <f>VLOOKUP(A1968,Institutions!A:B,2,False)</f>
        <v>Germany</v>
      </c>
      <c r="C1968" s="8">
        <v>41640.0</v>
      </c>
      <c r="D1968" s="1" t="s">
        <v>1954</v>
      </c>
    </row>
    <row r="1969">
      <c r="A1969" s="1" t="s">
        <v>575</v>
      </c>
      <c r="B1969" s="1" t="str">
        <f>VLOOKUP(A1969,Institutions!A:B,2,False)</f>
        <v>India</v>
      </c>
      <c r="C1969" s="8">
        <v>44927.0</v>
      </c>
      <c r="D1969" s="1" t="s">
        <v>452</v>
      </c>
    </row>
    <row r="1970">
      <c r="A1970" s="1" t="s">
        <v>575</v>
      </c>
      <c r="B1970" s="1" t="str">
        <f>VLOOKUP(A1970,Institutions!A:B,2,False)</f>
        <v>India</v>
      </c>
      <c r="C1970" s="8">
        <v>44562.0</v>
      </c>
      <c r="D1970" s="1" t="s">
        <v>476</v>
      </c>
    </row>
    <row r="1971">
      <c r="A1971" s="1" t="s">
        <v>577</v>
      </c>
      <c r="B1971" s="1" t="str">
        <f>VLOOKUP(A1971,Institutions!A:B,2,False)</f>
        <v>Italy</v>
      </c>
      <c r="C1971" s="8">
        <v>44562.0</v>
      </c>
      <c r="D1971" s="1" t="s">
        <v>1519</v>
      </c>
    </row>
    <row r="1972">
      <c r="A1972" s="1" t="s">
        <v>577</v>
      </c>
      <c r="B1972" s="1" t="str">
        <f>VLOOKUP(A1972,Institutions!A:B,2,False)</f>
        <v>Italy</v>
      </c>
      <c r="C1972" s="8">
        <v>44197.0</v>
      </c>
      <c r="D1972" s="1" t="s">
        <v>1931</v>
      </c>
    </row>
    <row r="1973">
      <c r="A1973" s="1" t="s">
        <v>579</v>
      </c>
      <c r="B1973" s="1" t="str">
        <f>VLOOKUP(A1973,Institutions!A:B,2,False)</f>
        <v>India</v>
      </c>
      <c r="C1973" s="8">
        <v>45292.0</v>
      </c>
      <c r="D1973" s="1" t="s">
        <v>1117</v>
      </c>
    </row>
    <row r="1974">
      <c r="A1974" s="1" t="s">
        <v>579</v>
      </c>
      <c r="B1974" s="1" t="str">
        <f>VLOOKUP(A1974,Institutions!A:B,2,False)</f>
        <v>India</v>
      </c>
      <c r="C1974" s="8">
        <v>44927.0</v>
      </c>
      <c r="D1974" s="1" t="s">
        <v>1277</v>
      </c>
    </row>
    <row r="1975">
      <c r="A1975" s="1" t="s">
        <v>581</v>
      </c>
      <c r="B1975" s="1" t="str">
        <f>VLOOKUP(A1975,Institutions!A:B,2,False)</f>
        <v>Morocco</v>
      </c>
      <c r="C1975" s="8">
        <v>44562.0</v>
      </c>
      <c r="D1975" s="1" t="s">
        <v>1291</v>
      </c>
    </row>
    <row r="1976">
      <c r="A1976" s="1" t="s">
        <v>581</v>
      </c>
      <c r="B1976" s="1" t="str">
        <f>VLOOKUP(A1976,Institutions!A:B,2,False)</f>
        <v>Morocco</v>
      </c>
      <c r="C1976" s="8">
        <v>44197.0</v>
      </c>
      <c r="D1976" s="1" t="s">
        <v>2294</v>
      </c>
    </row>
    <row r="1977">
      <c r="A1977" s="1" t="s">
        <v>584</v>
      </c>
      <c r="B1977" s="1" t="str">
        <f>VLOOKUP(A1977,Institutions!A:B,2,False)</f>
        <v>Austria</v>
      </c>
      <c r="C1977" s="8">
        <v>44197.0</v>
      </c>
      <c r="D1977" s="1" t="s">
        <v>1317</v>
      </c>
    </row>
    <row r="1978">
      <c r="A1978" s="1" t="s">
        <v>584</v>
      </c>
      <c r="B1978" s="1" t="str">
        <f>VLOOKUP(A1978,Institutions!A:B,2,False)</f>
        <v>Austria</v>
      </c>
      <c r="C1978" s="8">
        <v>43101.0</v>
      </c>
      <c r="D1978" s="1" t="s">
        <v>2237</v>
      </c>
    </row>
    <row r="1979">
      <c r="A1979" s="1" t="s">
        <v>586</v>
      </c>
      <c r="B1979" s="1" t="str">
        <f>VLOOKUP(A1979,Institutions!A:B,2,False)</f>
        <v>United Kingdom</v>
      </c>
      <c r="C1979" s="8">
        <v>44927.0</v>
      </c>
      <c r="D1979" s="1" t="s">
        <v>1264</v>
      </c>
    </row>
    <row r="1980">
      <c r="A1980" s="1" t="s">
        <v>586</v>
      </c>
      <c r="B1980" s="1" t="str">
        <f>VLOOKUP(A1980,Institutions!A:B,2,False)</f>
        <v>United Kingdom</v>
      </c>
      <c r="C1980" s="8">
        <v>44197.0</v>
      </c>
      <c r="D1980" s="1" t="s">
        <v>1703</v>
      </c>
    </row>
    <row r="1981">
      <c r="A1981" s="1" t="s">
        <v>588</v>
      </c>
      <c r="B1981" s="1" t="str">
        <f>VLOOKUP(A1981,Institutions!A:B,2,False)</f>
        <v>Italy</v>
      </c>
      <c r="C1981" s="8">
        <v>44197.0</v>
      </c>
      <c r="D1981" s="1" t="s">
        <v>1535</v>
      </c>
    </row>
    <row r="1982">
      <c r="A1982" s="1" t="s">
        <v>588</v>
      </c>
      <c r="B1982" s="1" t="str">
        <f>VLOOKUP(A1982,Institutions!A:B,2,False)</f>
        <v>Italy</v>
      </c>
      <c r="C1982" s="8">
        <v>43831.0</v>
      </c>
      <c r="D1982" s="1" t="s">
        <v>1543</v>
      </c>
    </row>
    <row r="1983">
      <c r="A1983" s="1" t="s">
        <v>590</v>
      </c>
      <c r="B1983" s="1" t="str">
        <f>VLOOKUP(A1983,Institutions!A:B,2,False)</f>
        <v>Brazil</v>
      </c>
      <c r="C1983" s="8">
        <v>44197.0</v>
      </c>
      <c r="D1983" s="1" t="s">
        <v>939</v>
      </c>
    </row>
    <row r="1984">
      <c r="A1984" s="1" t="s">
        <v>590</v>
      </c>
      <c r="B1984" s="1" t="str">
        <f>VLOOKUP(A1984,Institutions!A:B,2,False)</f>
        <v>Brazil</v>
      </c>
      <c r="C1984" s="8">
        <v>43466.0</v>
      </c>
      <c r="D1984" s="1" t="s">
        <v>974</v>
      </c>
    </row>
    <row r="1985">
      <c r="A1985" s="1" t="s">
        <v>592</v>
      </c>
      <c r="B1985" s="1" t="str">
        <f>VLOOKUP(A1985,Institutions!A:B,2,False)</f>
        <v>France</v>
      </c>
      <c r="C1985" s="8">
        <v>43101.0</v>
      </c>
      <c r="D1985" s="1" t="s">
        <v>1932</v>
      </c>
    </row>
    <row r="1986">
      <c r="A1986" s="1" t="s">
        <v>592</v>
      </c>
      <c r="B1986" s="1" t="str">
        <f>VLOOKUP(A1986,Institutions!A:B,2,False)</f>
        <v>France</v>
      </c>
      <c r="C1986" s="8">
        <v>43101.0</v>
      </c>
      <c r="D1986" s="1" t="s">
        <v>1933</v>
      </c>
    </row>
    <row r="1987">
      <c r="A1987" s="1" t="s">
        <v>594</v>
      </c>
      <c r="B1987" s="1" t="str">
        <f>VLOOKUP(A1987,Institutions!A:B,2,False)</f>
        <v>Japan</v>
      </c>
      <c r="C1987" s="8">
        <v>43831.0</v>
      </c>
      <c r="D1987" s="1" t="s">
        <v>544</v>
      </c>
    </row>
    <row r="1988">
      <c r="A1988" s="1" t="s">
        <v>594</v>
      </c>
      <c r="B1988" s="1" t="str">
        <f>VLOOKUP(A1988,Institutions!A:B,2,False)</f>
        <v>Japan</v>
      </c>
      <c r="C1988" s="8">
        <v>43466.0</v>
      </c>
      <c r="D1988" s="1" t="s">
        <v>580</v>
      </c>
    </row>
    <row r="1989">
      <c r="A1989" s="1" t="s">
        <v>596</v>
      </c>
      <c r="B1989" s="1" t="str">
        <f>VLOOKUP(A1989,Institutions!A:B,2,False)</f>
        <v>United States</v>
      </c>
      <c r="C1989" s="8">
        <v>44197.0</v>
      </c>
      <c r="D1989" s="1" t="s">
        <v>1306</v>
      </c>
    </row>
    <row r="1990">
      <c r="A1990" s="1" t="s">
        <v>596</v>
      </c>
      <c r="B1990" s="1" t="str">
        <f>VLOOKUP(A1990,Institutions!A:B,2,False)</f>
        <v>United States</v>
      </c>
      <c r="C1990" s="8">
        <v>40179.0</v>
      </c>
      <c r="D1990" s="1" t="s">
        <v>1872</v>
      </c>
    </row>
    <row r="1991">
      <c r="A1991" s="1" t="s">
        <v>598</v>
      </c>
      <c r="B1991" s="1" t="str">
        <f>VLOOKUP(A1991,Institutions!A:B,2,False)</f>
        <v>Japan</v>
      </c>
      <c r="C1991" s="8">
        <v>43831.0</v>
      </c>
      <c r="D1991" s="1" t="s">
        <v>544</v>
      </c>
    </row>
    <row r="1992">
      <c r="A1992" s="1" t="s">
        <v>598</v>
      </c>
      <c r="B1992" s="1" t="str">
        <f>VLOOKUP(A1992,Institutions!A:B,2,False)</f>
        <v>Japan</v>
      </c>
      <c r="C1992" s="8">
        <v>43466.0</v>
      </c>
      <c r="D1992" s="1" t="s">
        <v>580</v>
      </c>
    </row>
    <row r="1993">
      <c r="A1993" s="1" t="s">
        <v>600</v>
      </c>
      <c r="B1993" s="1" t="str">
        <f>VLOOKUP(A1993,Institutions!A:B,2,False)</f>
        <v>France</v>
      </c>
      <c r="C1993" s="8">
        <v>44927.0</v>
      </c>
      <c r="D1993" s="1" t="s">
        <v>1150</v>
      </c>
    </row>
    <row r="1994">
      <c r="A1994" s="1" t="s">
        <v>600</v>
      </c>
      <c r="B1994" s="1" t="str">
        <f>VLOOKUP(A1994,Institutions!A:B,2,False)</f>
        <v>France</v>
      </c>
      <c r="C1994" s="8">
        <v>44562.0</v>
      </c>
      <c r="D1994" s="1" t="s">
        <v>485</v>
      </c>
    </row>
    <row r="1995">
      <c r="A1995" s="1" t="s">
        <v>602</v>
      </c>
      <c r="B1995" s="1" t="str">
        <f>VLOOKUP(A1995,Institutions!A:B,2,False)</f>
        <v>Netherlands</v>
      </c>
      <c r="C1995" s="8">
        <v>43831.0</v>
      </c>
      <c r="D1995" s="1" t="s">
        <v>1685</v>
      </c>
    </row>
    <row r="1996">
      <c r="A1996" s="1" t="s">
        <v>602</v>
      </c>
      <c r="B1996" s="1" t="str">
        <f>VLOOKUP(A1996,Institutions!A:B,2,False)</f>
        <v>Netherlands</v>
      </c>
      <c r="C1996" s="8">
        <v>43466.0</v>
      </c>
      <c r="D1996" s="1" t="s">
        <v>1689</v>
      </c>
    </row>
    <row r="1997">
      <c r="A1997" s="1" t="s">
        <v>604</v>
      </c>
      <c r="B1997" s="1" t="str">
        <f>VLOOKUP(A1997,Institutions!A:B,2,False)</f>
        <v>Hungary</v>
      </c>
      <c r="C1997" s="8">
        <v>45292.0</v>
      </c>
      <c r="D1997" s="1" t="s">
        <v>1497</v>
      </c>
    </row>
    <row r="1998">
      <c r="A1998" s="1" t="s">
        <v>604</v>
      </c>
      <c r="B1998" s="1" t="str">
        <f>VLOOKUP(A1998,Institutions!A:B,2,False)</f>
        <v>Hungary</v>
      </c>
      <c r="C1998" s="8">
        <v>44927.0</v>
      </c>
      <c r="D1998" s="1" t="s">
        <v>1501</v>
      </c>
    </row>
    <row r="1999">
      <c r="A1999" s="1" t="s">
        <v>606</v>
      </c>
      <c r="B1999" s="1" t="str">
        <f>VLOOKUP(A1999,Institutions!A:B,2,False)</f>
        <v>Switzerland</v>
      </c>
      <c r="C1999" s="8">
        <v>44927.0</v>
      </c>
      <c r="D1999" s="1" t="s">
        <v>1260</v>
      </c>
    </row>
    <row r="2000">
      <c r="A2000" s="1" t="s">
        <v>606</v>
      </c>
      <c r="B2000" s="1" t="str">
        <f>VLOOKUP(A2000,Institutions!A:B,2,False)</f>
        <v>Switzerland</v>
      </c>
      <c r="C2000" s="8">
        <v>44562.0</v>
      </c>
      <c r="D2000" s="1" t="s">
        <v>1294</v>
      </c>
    </row>
    <row r="2001">
      <c r="A2001" s="1" t="s">
        <v>608</v>
      </c>
      <c r="B2001" s="1" t="str">
        <f>VLOOKUP(A2001,Institutions!A:B,2,False)</f>
        <v>United Kingdom</v>
      </c>
      <c r="C2001" s="8">
        <v>39814.0</v>
      </c>
      <c r="D2001" s="1" t="s">
        <v>2299</v>
      </c>
    </row>
    <row r="2002">
      <c r="A2002" s="1" t="s">
        <v>608</v>
      </c>
      <c r="B2002" s="1" t="str">
        <f>VLOOKUP(A2002,Institutions!A:B,2,False)</f>
        <v>United Kingdom</v>
      </c>
      <c r="C2002" s="8">
        <v>39814.0</v>
      </c>
      <c r="D2002" s="1" t="s">
        <v>2300</v>
      </c>
    </row>
    <row r="2003">
      <c r="A2003" s="1" t="s">
        <v>610</v>
      </c>
      <c r="B2003" s="1" t="str">
        <f>VLOOKUP(A2003,Institutions!A:B,2,False)</f>
        <v>Portugal</v>
      </c>
      <c r="C2003" s="8">
        <v>45292.0</v>
      </c>
      <c r="D2003" s="1" t="s">
        <v>1106</v>
      </c>
    </row>
    <row r="2004">
      <c r="A2004" s="1" t="s">
        <v>610</v>
      </c>
      <c r="B2004" s="1" t="str">
        <f>VLOOKUP(A2004,Institutions!A:B,2,False)</f>
        <v>Portugal</v>
      </c>
      <c r="C2004" s="8">
        <v>45292.0</v>
      </c>
      <c r="D2004" s="1" t="s">
        <v>1122</v>
      </c>
    </row>
    <row r="2005">
      <c r="A2005" s="1" t="s">
        <v>612</v>
      </c>
      <c r="B2005" s="1" t="str">
        <f>VLOOKUP(A2005,Institutions!A:B,2,False)</f>
        <v>Australia</v>
      </c>
      <c r="C2005" s="8">
        <v>41275.0</v>
      </c>
      <c r="D2005" s="1" t="s">
        <v>2301</v>
      </c>
    </row>
    <row r="2006">
      <c r="A2006" s="1" t="s">
        <v>612</v>
      </c>
      <c r="B2006" s="1" t="str">
        <f>VLOOKUP(A2006,Institutions!A:B,2,False)</f>
        <v>Australia</v>
      </c>
      <c r="C2006" s="8">
        <v>40179.0</v>
      </c>
      <c r="D2006" s="1" t="s">
        <v>2031</v>
      </c>
    </row>
    <row r="2007">
      <c r="A2007" s="1" t="s">
        <v>614</v>
      </c>
      <c r="B2007" s="1" t="str">
        <f>VLOOKUP(A2007,Institutions!A:B,2,False)</f>
        <v>United States</v>
      </c>
      <c r="C2007" s="8">
        <v>44562.0</v>
      </c>
      <c r="D2007" s="1" t="s">
        <v>132</v>
      </c>
    </row>
    <row r="2008">
      <c r="A2008" s="1" t="s">
        <v>614</v>
      </c>
      <c r="B2008" s="1" t="str">
        <f>VLOOKUP(A2008,Institutions!A:B,2,False)</f>
        <v>United States</v>
      </c>
      <c r="C2008" s="8">
        <v>43466.0</v>
      </c>
      <c r="D2008" s="1" t="s">
        <v>2246</v>
      </c>
    </row>
    <row r="2009">
      <c r="A2009" s="1" t="s">
        <v>616</v>
      </c>
      <c r="B2009" s="1" t="str">
        <f>VLOOKUP(A2009,Institutions!A:B,2,False)</f>
        <v>France</v>
      </c>
      <c r="C2009" s="8">
        <v>44562.0</v>
      </c>
      <c r="D2009" s="1" t="s">
        <v>1281</v>
      </c>
    </row>
    <row r="2010">
      <c r="A2010" s="1" t="s">
        <v>616</v>
      </c>
      <c r="B2010" s="1" t="str">
        <f>VLOOKUP(A2010,Institutions!A:B,2,False)</f>
        <v>France</v>
      </c>
      <c r="C2010" s="8">
        <v>44197.0</v>
      </c>
      <c r="D2010" s="1" t="s">
        <v>227</v>
      </c>
    </row>
    <row r="2011">
      <c r="A2011" s="1" t="s">
        <v>618</v>
      </c>
      <c r="B2011" s="1" t="str">
        <f>VLOOKUP(A2011,Institutions!A:B,2,False)</f>
        <v>United States</v>
      </c>
      <c r="C2011" s="8">
        <v>45292.0</v>
      </c>
      <c r="D2011" s="1" t="s">
        <v>1107</v>
      </c>
    </row>
    <row r="2012">
      <c r="A2012" s="1" t="s">
        <v>618</v>
      </c>
      <c r="B2012" s="1" t="str">
        <f>VLOOKUP(A2012,Institutions!A:B,2,False)</f>
        <v>United States</v>
      </c>
      <c r="C2012" s="8">
        <v>45292.0</v>
      </c>
      <c r="D2012" s="1" t="s">
        <v>1110</v>
      </c>
    </row>
    <row r="2013">
      <c r="A2013" s="1" t="s">
        <v>2302</v>
      </c>
      <c r="B2013" s="1" t="str">
        <f>VLOOKUP(A2013,Institutions!A:B,2,False)</f>
        <v>Qatar</v>
      </c>
      <c r="C2013" s="8">
        <v>43831.0</v>
      </c>
      <c r="D2013" s="1" t="s">
        <v>913</v>
      </c>
    </row>
    <row r="2014">
      <c r="A2014" s="1" t="s">
        <v>2302</v>
      </c>
      <c r="B2014" s="1" t="str">
        <f>VLOOKUP(A2014,Institutions!A:B,2,False)</f>
        <v>Qatar</v>
      </c>
      <c r="C2014" s="8">
        <v>43831.0</v>
      </c>
      <c r="D2014" s="1" t="s">
        <v>1547</v>
      </c>
    </row>
    <row r="2015">
      <c r="A2015" s="1" t="s">
        <v>623</v>
      </c>
      <c r="B2015" s="1" t="str">
        <f>VLOOKUP(A2015,Institutions!A:B,2,False)</f>
        <v>Sweden</v>
      </c>
      <c r="C2015" s="8">
        <v>42736.0</v>
      </c>
      <c r="D2015" s="1" t="s">
        <v>999</v>
      </c>
    </row>
    <row r="2016">
      <c r="A2016" s="1" t="s">
        <v>623</v>
      </c>
      <c r="B2016" s="1" t="str">
        <f>VLOOKUP(A2016,Institutions!A:B,2,False)</f>
        <v>Sweden</v>
      </c>
      <c r="C2016" s="8">
        <v>42736.0</v>
      </c>
      <c r="D2016" s="1" t="s">
        <v>1734</v>
      </c>
    </row>
    <row r="2017">
      <c r="A2017" s="1" t="s">
        <v>625</v>
      </c>
      <c r="B2017" s="1" t="str">
        <f>VLOOKUP(A2017,Institutions!A:B,2,False)</f>
        <v>Germany</v>
      </c>
      <c r="C2017" s="8">
        <v>44927.0</v>
      </c>
      <c r="D2017" s="1" t="s">
        <v>1150</v>
      </c>
    </row>
    <row r="2018">
      <c r="A2018" s="1" t="s">
        <v>625</v>
      </c>
      <c r="B2018" s="1" t="str">
        <f>VLOOKUP(A2018,Institutions!A:B,2,False)</f>
        <v>Germany</v>
      </c>
      <c r="C2018" s="8">
        <v>44562.0</v>
      </c>
      <c r="D2018" s="1" t="s">
        <v>124</v>
      </c>
    </row>
    <row r="2019">
      <c r="A2019" s="1" t="s">
        <v>627</v>
      </c>
      <c r="B2019" s="1" t="str">
        <f>VLOOKUP(A2019,Institutions!A:B,2,False)</f>
        <v>Israel</v>
      </c>
      <c r="C2019" s="8">
        <v>42005.0</v>
      </c>
      <c r="D2019" s="1" t="s">
        <v>2303</v>
      </c>
    </row>
    <row r="2020">
      <c r="A2020" s="1" t="s">
        <v>627</v>
      </c>
      <c r="B2020" s="1" t="str">
        <f>VLOOKUP(A2020,Institutions!A:B,2,False)</f>
        <v>Israel</v>
      </c>
      <c r="C2020" s="8">
        <v>41640.0</v>
      </c>
      <c r="D2020" s="1" t="s">
        <v>1984</v>
      </c>
    </row>
    <row r="2021">
      <c r="A2021" s="1" t="s">
        <v>629</v>
      </c>
      <c r="B2021" s="1" t="str">
        <f>VLOOKUP(A2021,Institutions!A:B,2,False)</f>
        <v>Canada</v>
      </c>
      <c r="C2021" s="8">
        <v>44197.0</v>
      </c>
      <c r="D2021" s="1" t="s">
        <v>939</v>
      </c>
    </row>
    <row r="2022">
      <c r="A2022" s="1" t="s">
        <v>629</v>
      </c>
      <c r="B2022" s="1" t="str">
        <f>VLOOKUP(A2022,Institutions!A:B,2,False)</f>
        <v>Canada</v>
      </c>
      <c r="C2022" s="8">
        <v>40909.0</v>
      </c>
      <c r="D2022" s="1" t="s">
        <v>2162</v>
      </c>
    </row>
    <row r="2023">
      <c r="A2023" s="1" t="s">
        <v>630</v>
      </c>
      <c r="B2023" s="1" t="str">
        <f>VLOOKUP(A2023,Institutions!A:B,2,False)</f>
        <v>Japan</v>
      </c>
      <c r="C2023" s="8">
        <v>44927.0</v>
      </c>
      <c r="D2023" s="1" t="s">
        <v>440</v>
      </c>
    </row>
    <row r="2024">
      <c r="A2024" s="1" t="s">
        <v>630</v>
      </c>
      <c r="B2024" s="1" t="str">
        <f>VLOOKUP(A2024,Institutions!A:B,2,False)</f>
        <v>Japan</v>
      </c>
      <c r="C2024" s="8">
        <v>43101.0</v>
      </c>
      <c r="D2024" s="1" t="s">
        <v>2179</v>
      </c>
    </row>
    <row r="2025">
      <c r="A2025" s="1" t="s">
        <v>631</v>
      </c>
      <c r="B2025" s="1" t="str">
        <f>VLOOKUP(A2025,Institutions!A:B,2,False)</f>
        <v>United Kingdom</v>
      </c>
      <c r="C2025" s="8">
        <v>44197.0</v>
      </c>
      <c r="D2025" s="1" t="s">
        <v>949</v>
      </c>
    </row>
    <row r="2026">
      <c r="A2026" s="1" t="s">
        <v>631</v>
      </c>
      <c r="B2026" s="1" t="str">
        <f>VLOOKUP(A2026,Institutions!A:B,2,False)</f>
        <v>United Kingdom</v>
      </c>
      <c r="C2026" s="8">
        <v>43101.0</v>
      </c>
      <c r="D2026" s="1" t="s">
        <v>754</v>
      </c>
    </row>
    <row r="2027">
      <c r="A2027" s="1" t="s">
        <v>632</v>
      </c>
      <c r="B2027" s="1" t="str">
        <f>VLOOKUP(A2027,Institutions!A:B,2,False)</f>
        <v>Spain</v>
      </c>
      <c r="C2027" s="8">
        <v>43831.0</v>
      </c>
      <c r="D2027" s="1" t="s">
        <v>372</v>
      </c>
    </row>
    <row r="2028">
      <c r="A2028" s="1" t="s">
        <v>632</v>
      </c>
      <c r="B2028" s="1" t="str">
        <f>VLOOKUP(A2028,Institutions!A:B,2,False)</f>
        <v>Spain</v>
      </c>
      <c r="C2028" s="8">
        <v>43101.0</v>
      </c>
      <c r="D2028" s="1" t="s">
        <v>2219</v>
      </c>
    </row>
    <row r="2029">
      <c r="A2029" s="1" t="s">
        <v>633</v>
      </c>
      <c r="B2029" s="1" t="str">
        <f>VLOOKUP(A2029,Institutions!A:B,2,False)</f>
        <v>Norway</v>
      </c>
      <c r="C2029" s="8">
        <v>43101.0</v>
      </c>
      <c r="D2029" s="1" t="s">
        <v>1638</v>
      </c>
    </row>
    <row r="2030">
      <c r="A2030" s="1" t="s">
        <v>633</v>
      </c>
      <c r="B2030" s="1" t="str">
        <f>VLOOKUP(A2030,Institutions!A:B,2,False)</f>
        <v>Norway</v>
      </c>
      <c r="C2030" s="8">
        <v>42736.0</v>
      </c>
      <c r="D2030" s="1" t="s">
        <v>1347</v>
      </c>
    </row>
    <row r="2031">
      <c r="A2031" s="1" t="s">
        <v>634</v>
      </c>
      <c r="B2031" s="1" t="str">
        <f>VLOOKUP(A2031,Institutions!A:B,2,False)</f>
        <v>United States</v>
      </c>
      <c r="C2031" s="8">
        <v>43831.0</v>
      </c>
      <c r="D2031" s="1" t="s">
        <v>951</v>
      </c>
    </row>
    <row r="2032">
      <c r="A2032" s="1" t="s">
        <v>634</v>
      </c>
      <c r="B2032" s="1" t="str">
        <f>VLOOKUP(A2032,Institutions!A:B,2,False)</f>
        <v>United States</v>
      </c>
      <c r="C2032" s="8">
        <v>43466.0</v>
      </c>
      <c r="D2032" s="1" t="s">
        <v>975</v>
      </c>
    </row>
    <row r="2033">
      <c r="A2033" s="1" t="s">
        <v>635</v>
      </c>
      <c r="B2033" s="1" t="str">
        <f>VLOOKUP(A2033,Institutions!A:B,2,False)</f>
        <v>Belgium</v>
      </c>
      <c r="C2033" s="8">
        <v>45292.0</v>
      </c>
      <c r="D2033" s="1" t="s">
        <v>1123</v>
      </c>
    </row>
    <row r="2034">
      <c r="A2034" s="1" t="s">
        <v>635</v>
      </c>
      <c r="B2034" s="1" t="str">
        <f>VLOOKUP(A2034,Institutions!A:B,2,False)</f>
        <v>Belgium</v>
      </c>
      <c r="C2034" s="8">
        <v>43831.0</v>
      </c>
      <c r="D2034" s="1" t="s">
        <v>1615</v>
      </c>
    </row>
    <row r="2035">
      <c r="A2035" s="1" t="s">
        <v>636</v>
      </c>
      <c r="B2035" s="1" t="str">
        <f>VLOOKUP(A2035,Institutions!A:B,2,False)</f>
        <v>Canada</v>
      </c>
      <c r="C2035" s="8">
        <v>43831.0</v>
      </c>
      <c r="D2035" s="1" t="s">
        <v>2102</v>
      </c>
    </row>
    <row r="2036">
      <c r="A2036" s="1" t="s">
        <v>636</v>
      </c>
      <c r="B2036" s="1" t="str">
        <f>VLOOKUP(A2036,Institutions!A:B,2,False)</f>
        <v>Canada</v>
      </c>
      <c r="C2036" s="8">
        <v>43831.0</v>
      </c>
      <c r="D2036" s="1" t="s">
        <v>358</v>
      </c>
    </row>
    <row r="2037">
      <c r="A2037" s="1" t="s">
        <v>637</v>
      </c>
      <c r="B2037" s="1" t="str">
        <f>VLOOKUP(A2037,Institutions!A:B,2,False)</f>
        <v>Canada</v>
      </c>
      <c r="C2037" s="8">
        <v>41640.0</v>
      </c>
      <c r="D2037" s="1" t="s">
        <v>1864</v>
      </c>
    </row>
    <row r="2038">
      <c r="A2038" s="1" t="s">
        <v>637</v>
      </c>
      <c r="B2038" s="1" t="str">
        <f>VLOOKUP(A2038,Institutions!A:B,2,False)</f>
        <v>Canada</v>
      </c>
      <c r="C2038" s="8">
        <v>41275.0</v>
      </c>
      <c r="D2038" s="1" t="s">
        <v>1867</v>
      </c>
    </row>
    <row r="2039">
      <c r="A2039" s="1" t="s">
        <v>638</v>
      </c>
      <c r="B2039" s="1" t="str">
        <f>VLOOKUP(A2039,Institutions!A:B,2,False)</f>
        <v>United States</v>
      </c>
      <c r="C2039" s="8">
        <v>43831.0</v>
      </c>
      <c r="D2039" s="1" t="s">
        <v>951</v>
      </c>
    </row>
    <row r="2040">
      <c r="A2040" s="1" t="s">
        <v>638</v>
      </c>
      <c r="B2040" s="1" t="str">
        <f>VLOOKUP(A2040,Institutions!A:B,2,False)</f>
        <v>United States</v>
      </c>
      <c r="C2040" s="8">
        <v>40544.0</v>
      </c>
      <c r="D2040" s="1" t="s">
        <v>2235</v>
      </c>
    </row>
    <row r="2041">
      <c r="A2041" s="1" t="s">
        <v>639</v>
      </c>
      <c r="B2041" s="1" t="str">
        <f>VLOOKUP(A2041,Institutions!A:B,2,False)</f>
        <v>Costa Rica</v>
      </c>
      <c r="C2041" s="8">
        <v>44197.0</v>
      </c>
      <c r="D2041" s="1" t="s">
        <v>939</v>
      </c>
    </row>
    <row r="2042">
      <c r="A2042" s="1" t="s">
        <v>639</v>
      </c>
      <c r="B2042" s="1" t="str">
        <f>VLOOKUP(A2042,Institutions!A:B,2,False)</f>
        <v>Costa Rica</v>
      </c>
      <c r="C2042" s="8">
        <v>43466.0</v>
      </c>
      <c r="D2042" s="1" t="s">
        <v>974</v>
      </c>
    </row>
    <row r="2043">
      <c r="A2043" s="1" t="s">
        <v>641</v>
      </c>
      <c r="B2043" s="1" t="str">
        <f>VLOOKUP(A2043,Institutions!A:B,2,False)</f>
        <v>Germany</v>
      </c>
      <c r="C2043" s="8">
        <v>44197.0</v>
      </c>
      <c r="D2043" s="1" t="s">
        <v>949</v>
      </c>
    </row>
    <row r="2044">
      <c r="A2044" s="1" t="s">
        <v>641</v>
      </c>
      <c r="B2044" s="1" t="str">
        <f>VLOOKUP(A2044,Institutions!A:B,2,False)</f>
        <v>Germany</v>
      </c>
      <c r="C2044" s="8">
        <v>43466.0</v>
      </c>
      <c r="D2044" s="1" t="s">
        <v>1343</v>
      </c>
    </row>
    <row r="2045">
      <c r="A2045" s="1" t="s">
        <v>642</v>
      </c>
      <c r="B2045" s="1" t="str">
        <f>VLOOKUP(A2045,Institutions!A:B,2,False)</f>
        <v>Brazil</v>
      </c>
      <c r="C2045" s="8">
        <v>44562.0</v>
      </c>
      <c r="D2045" s="1" t="s">
        <v>100</v>
      </c>
    </row>
    <row r="2046">
      <c r="A2046" s="1" t="s">
        <v>642</v>
      </c>
      <c r="B2046" s="1" t="str">
        <f>VLOOKUP(A2046,Institutions!A:B,2,False)</f>
        <v>Brazil</v>
      </c>
      <c r="C2046" s="8">
        <v>43466.0</v>
      </c>
      <c r="D2046" s="1" t="s">
        <v>383</v>
      </c>
    </row>
    <row r="2047">
      <c r="A2047" s="1" t="s">
        <v>643</v>
      </c>
      <c r="B2047" s="1" t="str">
        <f>VLOOKUP(A2047,Institutions!A:B,2,False)</f>
        <v>Luxembourg</v>
      </c>
      <c r="C2047" s="8">
        <v>44197.0</v>
      </c>
      <c r="D2047" s="1" t="s">
        <v>1231</v>
      </c>
    </row>
    <row r="2048">
      <c r="A2048" s="1" t="s">
        <v>643</v>
      </c>
      <c r="B2048" s="1" t="str">
        <f>VLOOKUP(A2048,Institutions!A:B,2,False)</f>
        <v>Luxembourg</v>
      </c>
      <c r="C2048" s="8">
        <v>43831.0</v>
      </c>
      <c r="D2048" s="1" t="s">
        <v>957</v>
      </c>
    </row>
    <row r="2049">
      <c r="A2049" s="1" t="s">
        <v>644</v>
      </c>
      <c r="B2049" s="1" t="str">
        <f>VLOOKUP(A2049,Institutions!A:B,2,False)</f>
        <v>Belgium</v>
      </c>
      <c r="C2049" s="8">
        <v>44927.0</v>
      </c>
      <c r="D2049" s="1" t="s">
        <v>442</v>
      </c>
    </row>
    <row r="2050">
      <c r="A2050" s="1" t="s">
        <v>644</v>
      </c>
      <c r="B2050" s="1" t="str">
        <f>VLOOKUP(A2050,Institutions!A:B,2,False)</f>
        <v>Belgium</v>
      </c>
      <c r="C2050" s="8">
        <v>44197.0</v>
      </c>
      <c r="D2050" s="1" t="s">
        <v>229</v>
      </c>
    </row>
    <row r="2051">
      <c r="A2051" s="1" t="s">
        <v>645</v>
      </c>
      <c r="B2051" s="1" t="str">
        <f>VLOOKUP(A2051,Institutions!A:B,2,False)</f>
        <v>China</v>
      </c>
      <c r="C2051" s="8">
        <v>44927.0</v>
      </c>
      <c r="D2051" s="1" t="s">
        <v>1259</v>
      </c>
    </row>
    <row r="2052">
      <c r="A2052" s="1" t="s">
        <v>645</v>
      </c>
      <c r="B2052" s="1" t="str">
        <f>VLOOKUP(A2052,Institutions!A:B,2,False)</f>
        <v>China</v>
      </c>
      <c r="C2052" s="8">
        <v>44562.0</v>
      </c>
      <c r="D2052" s="1" t="s">
        <v>1281</v>
      </c>
    </row>
    <row r="2053">
      <c r="A2053" s="1" t="s">
        <v>646</v>
      </c>
      <c r="B2053" s="1" t="str">
        <f>VLOOKUP(A2053,Institutions!A:B,2,False)</f>
        <v>South Korea</v>
      </c>
      <c r="C2053" s="8">
        <v>45292.0</v>
      </c>
      <c r="D2053" s="1" t="s">
        <v>1107</v>
      </c>
    </row>
    <row r="2054">
      <c r="A2054" s="1" t="s">
        <v>646</v>
      </c>
      <c r="B2054" s="1" t="str">
        <f>VLOOKUP(A2054,Institutions!A:B,2,False)</f>
        <v>South Korea</v>
      </c>
      <c r="C2054" s="8">
        <v>45292.0</v>
      </c>
      <c r="D2054" s="1" t="s">
        <v>1110</v>
      </c>
    </row>
    <row r="2055">
      <c r="A2055" s="1" t="s">
        <v>647</v>
      </c>
      <c r="B2055" s="1" t="str">
        <f>VLOOKUP(A2055,Institutions!A:B,2,False)</f>
        <v>Switzerland</v>
      </c>
      <c r="C2055" s="8">
        <v>39814.0</v>
      </c>
      <c r="D2055" s="1" t="s">
        <v>2304</v>
      </c>
    </row>
    <row r="2056">
      <c r="A2056" s="1" t="s">
        <v>647</v>
      </c>
      <c r="B2056" s="1" t="str">
        <f>VLOOKUP(A2056,Institutions!A:B,2,False)</f>
        <v>Switzerland</v>
      </c>
      <c r="C2056" s="8">
        <v>39814.0</v>
      </c>
      <c r="D2056" s="1" t="s">
        <v>2167</v>
      </c>
    </row>
    <row r="2057">
      <c r="A2057" s="1" t="s">
        <v>648</v>
      </c>
      <c r="B2057" s="1" t="str">
        <f>VLOOKUP(A2057,Institutions!A:B,2,False)</f>
        <v>Australia</v>
      </c>
      <c r="C2057" s="8">
        <v>44197.0</v>
      </c>
      <c r="D2057" s="1" t="s">
        <v>229</v>
      </c>
    </row>
    <row r="2058">
      <c r="A2058" s="1" t="s">
        <v>648</v>
      </c>
      <c r="B2058" s="1" t="str">
        <f>VLOOKUP(A2058,Institutions!A:B,2,False)</f>
        <v>Australia</v>
      </c>
      <c r="C2058" s="8">
        <v>43101.0</v>
      </c>
      <c r="D2058" s="1" t="s">
        <v>1855</v>
      </c>
    </row>
    <row r="2059">
      <c r="A2059" s="1" t="s">
        <v>649</v>
      </c>
      <c r="B2059" s="1" t="str">
        <f>VLOOKUP(A2059,Institutions!A:B,2,False)</f>
        <v>Switzerland</v>
      </c>
      <c r="C2059" s="8">
        <v>44562.0</v>
      </c>
      <c r="D2059" s="1" t="s">
        <v>1595</v>
      </c>
    </row>
    <row r="2060">
      <c r="A2060" s="1" t="s">
        <v>649</v>
      </c>
      <c r="B2060" s="1" t="str">
        <f>VLOOKUP(A2060,Institutions!A:B,2,False)</f>
        <v>Switzerland</v>
      </c>
      <c r="C2060" s="8">
        <v>40179.0</v>
      </c>
      <c r="D2060" s="1" t="s">
        <v>2282</v>
      </c>
    </row>
    <row r="2061">
      <c r="A2061" s="1" t="s">
        <v>650</v>
      </c>
      <c r="B2061" s="1" t="str">
        <f>VLOOKUP(A2061,Institutions!A:B,2,False)</f>
        <v>South Africa</v>
      </c>
      <c r="C2061" s="8">
        <v>44927.0</v>
      </c>
      <c r="D2061" s="1" t="s">
        <v>1198</v>
      </c>
    </row>
    <row r="2062">
      <c r="A2062" s="1" t="s">
        <v>650</v>
      </c>
      <c r="B2062" s="1" t="str">
        <f>VLOOKUP(A2062,Institutions!A:B,2,False)</f>
        <v>South Africa</v>
      </c>
      <c r="C2062" s="8">
        <v>44197.0</v>
      </c>
      <c r="D2062" s="1" t="s">
        <v>1234</v>
      </c>
    </row>
    <row r="2063">
      <c r="A2063" s="1" t="s">
        <v>651</v>
      </c>
      <c r="B2063" s="1" t="str">
        <f>VLOOKUP(A2063,Institutions!A:B,2,False)</f>
        <v>Netherlands</v>
      </c>
      <c r="C2063" s="8">
        <v>44927.0</v>
      </c>
      <c r="D2063" s="1" t="s">
        <v>1503</v>
      </c>
    </row>
    <row r="2064">
      <c r="A2064" s="1" t="s">
        <v>651</v>
      </c>
      <c r="B2064" s="1" t="str">
        <f>VLOOKUP(A2064,Institutions!A:B,2,False)</f>
        <v>Netherlands</v>
      </c>
      <c r="C2064" s="8">
        <v>44927.0</v>
      </c>
      <c r="D2064" s="1" t="s">
        <v>1506</v>
      </c>
    </row>
    <row r="2065">
      <c r="A2065" s="1" t="s">
        <v>652</v>
      </c>
      <c r="B2065" s="1" t="str">
        <f>VLOOKUP(A2065,Institutions!A:B,2,False)</f>
        <v>Germany</v>
      </c>
      <c r="C2065" s="8">
        <v>43831.0</v>
      </c>
      <c r="D2065" s="1" t="s">
        <v>2295</v>
      </c>
    </row>
    <row r="2066">
      <c r="A2066" s="1" t="s">
        <v>652</v>
      </c>
      <c r="B2066" s="1" t="str">
        <f>VLOOKUP(A2066,Institutions!A:B,2,False)</f>
        <v>Germany</v>
      </c>
      <c r="C2066" s="8">
        <v>43466.0</v>
      </c>
      <c r="D2066" s="1" t="s">
        <v>2296</v>
      </c>
    </row>
    <row r="2067">
      <c r="A2067" s="1" t="s">
        <v>653</v>
      </c>
      <c r="B2067" s="1" t="str">
        <f>VLOOKUP(A2067,Institutions!A:B,2,False)</f>
        <v>United States</v>
      </c>
      <c r="C2067" s="8">
        <v>44927.0</v>
      </c>
      <c r="D2067" s="1" t="s">
        <v>1270</v>
      </c>
    </row>
    <row r="2068">
      <c r="A2068" s="1" t="s">
        <v>653</v>
      </c>
      <c r="B2068" s="1" t="str">
        <f>VLOOKUP(A2068,Institutions!A:B,2,False)</f>
        <v>United States</v>
      </c>
      <c r="C2068" s="8">
        <v>44197.0</v>
      </c>
      <c r="D2068" s="1" t="s">
        <v>1529</v>
      </c>
    </row>
    <row r="2069">
      <c r="A2069" s="1" t="s">
        <v>654</v>
      </c>
      <c r="B2069" s="1" t="str">
        <f>VLOOKUP(A2069,Institutions!A:B,2,False)</f>
        <v>Spain</v>
      </c>
      <c r="C2069" s="8">
        <v>42736.0</v>
      </c>
      <c r="D2069" s="1" t="s">
        <v>2192</v>
      </c>
    </row>
    <row r="2070">
      <c r="A2070" s="1" t="s">
        <v>654</v>
      </c>
      <c r="B2070" s="1" t="str">
        <f>VLOOKUP(A2070,Institutions!A:B,2,False)</f>
        <v>Spain</v>
      </c>
      <c r="C2070" s="8">
        <v>42005.0</v>
      </c>
      <c r="D2070" s="1" t="s">
        <v>2169</v>
      </c>
    </row>
    <row r="2071">
      <c r="A2071" s="1" t="s">
        <v>655</v>
      </c>
      <c r="B2071" s="1" t="str">
        <f>VLOOKUP(A2071,Institutions!A:B,2,False)</f>
        <v>Italy</v>
      </c>
      <c r="C2071" s="8">
        <v>44562.0</v>
      </c>
      <c r="D2071" s="1" t="s">
        <v>1281</v>
      </c>
    </row>
    <row r="2072">
      <c r="A2072" s="1" t="s">
        <v>655</v>
      </c>
      <c r="B2072" s="1" t="str">
        <f>VLOOKUP(A2072,Institutions!A:B,2,False)</f>
        <v>Italy</v>
      </c>
      <c r="C2072" s="8">
        <v>43831.0</v>
      </c>
      <c r="D2072" s="1" t="s">
        <v>957</v>
      </c>
    </row>
    <row r="2073">
      <c r="A2073" s="1" t="s">
        <v>656</v>
      </c>
      <c r="B2073" s="1" t="str">
        <f>VLOOKUP(A2073,Institutions!A:B,2,False)</f>
        <v>Sweden</v>
      </c>
      <c r="C2073" s="8">
        <v>42736.0</v>
      </c>
      <c r="D2073" s="1" t="s">
        <v>1734</v>
      </c>
    </row>
    <row r="2074">
      <c r="A2074" s="1" t="s">
        <v>656</v>
      </c>
      <c r="B2074" s="1" t="str">
        <f>VLOOKUP(A2074,Institutions!A:B,2,False)</f>
        <v>Sweden</v>
      </c>
      <c r="C2074" s="8">
        <v>39814.0</v>
      </c>
      <c r="D2074" s="1" t="s">
        <v>1749</v>
      </c>
    </row>
    <row r="2075">
      <c r="A2075" s="1" t="s">
        <v>657</v>
      </c>
      <c r="B2075" s="1" t="str">
        <f>VLOOKUP(A2075,Institutions!A:B,2,False)</f>
        <v>Spain</v>
      </c>
      <c r="C2075" s="8">
        <v>44197.0</v>
      </c>
      <c r="D2075" s="1" t="s">
        <v>939</v>
      </c>
    </row>
    <row r="2076">
      <c r="A2076" s="1" t="s">
        <v>657</v>
      </c>
      <c r="B2076" s="1" t="str">
        <f>VLOOKUP(A2076,Institutions!A:B,2,False)</f>
        <v>Spain</v>
      </c>
      <c r="C2076" s="8">
        <v>43466.0</v>
      </c>
      <c r="D2076" s="1" t="s">
        <v>974</v>
      </c>
    </row>
    <row r="2077">
      <c r="A2077" s="1" t="s">
        <v>658</v>
      </c>
      <c r="B2077" s="1" t="str">
        <f>VLOOKUP(A2077,Institutions!A:B,2,False)</f>
        <v>France</v>
      </c>
      <c r="C2077" s="8">
        <v>44927.0</v>
      </c>
      <c r="D2077" s="1" t="s">
        <v>452</v>
      </c>
    </row>
    <row r="2078">
      <c r="A2078" s="1" t="s">
        <v>658</v>
      </c>
      <c r="B2078" s="1" t="str">
        <f>VLOOKUP(A2078,Institutions!A:B,2,False)</f>
        <v>France</v>
      </c>
      <c r="C2078" s="8">
        <v>44562.0</v>
      </c>
      <c r="D2078" s="1" t="s">
        <v>476</v>
      </c>
    </row>
    <row r="2079">
      <c r="A2079" s="1" t="s">
        <v>659</v>
      </c>
      <c r="B2079" s="1" t="str">
        <f>VLOOKUP(A2079,Institutions!A:B,2,False)</f>
        <v>United States</v>
      </c>
      <c r="C2079" s="8">
        <v>43466.0</v>
      </c>
      <c r="D2079" s="1" t="s">
        <v>976</v>
      </c>
    </row>
    <row r="2080">
      <c r="A2080" s="1" t="s">
        <v>659</v>
      </c>
      <c r="B2080" s="1" t="str">
        <f>VLOOKUP(A2080,Institutions!A:B,2,False)</f>
        <v>United States</v>
      </c>
      <c r="C2080" s="8">
        <v>40544.0</v>
      </c>
      <c r="D2080" s="1" t="s">
        <v>2175</v>
      </c>
    </row>
    <row r="2081">
      <c r="A2081" s="1" t="s">
        <v>660</v>
      </c>
      <c r="B2081" s="1" t="str">
        <f>VLOOKUP(A2081,Institutions!A:B,2,False)</f>
        <v>United States</v>
      </c>
      <c r="C2081" s="8">
        <v>44562.0</v>
      </c>
      <c r="D2081" s="1" t="s">
        <v>507</v>
      </c>
    </row>
    <row r="2082">
      <c r="A2082" s="1" t="s">
        <v>660</v>
      </c>
      <c r="B2082" s="1" t="str">
        <f>VLOOKUP(A2082,Institutions!A:B,2,False)</f>
        <v>United States</v>
      </c>
      <c r="C2082" s="8">
        <v>44197.0</v>
      </c>
      <c r="D2082" s="1" t="s">
        <v>516</v>
      </c>
    </row>
    <row r="2083">
      <c r="A2083" s="1" t="s">
        <v>661</v>
      </c>
      <c r="B2083" s="1" t="str">
        <f>VLOOKUP(A2083,Institutions!A:B,2,False)</f>
        <v>Austria</v>
      </c>
      <c r="C2083" s="8">
        <v>44927.0</v>
      </c>
      <c r="D2083" s="1" t="s">
        <v>782</v>
      </c>
    </row>
    <row r="2084">
      <c r="A2084" s="1" t="s">
        <v>661</v>
      </c>
      <c r="B2084" s="1" t="str">
        <f>VLOOKUP(A2084,Institutions!A:B,2,False)</f>
        <v>Austria</v>
      </c>
      <c r="C2084" s="8">
        <v>44562.0</v>
      </c>
      <c r="D2084" s="1" t="s">
        <v>804</v>
      </c>
    </row>
    <row r="2085">
      <c r="A2085" s="1" t="s">
        <v>662</v>
      </c>
      <c r="B2085" s="1" t="str">
        <f>VLOOKUP(A2085,Institutions!A:B,2,False)</f>
        <v>Brazil</v>
      </c>
      <c r="C2085" s="8">
        <v>43101.0</v>
      </c>
      <c r="D2085" s="1" t="s">
        <v>2305</v>
      </c>
    </row>
    <row r="2086">
      <c r="A2086" s="1" t="s">
        <v>662</v>
      </c>
      <c r="B2086" s="1" t="str">
        <f>VLOOKUP(A2086,Institutions!A:B,2,False)</f>
        <v>Brazil</v>
      </c>
      <c r="C2086" s="8">
        <v>41640.0</v>
      </c>
      <c r="D2086" s="1" t="s">
        <v>2149</v>
      </c>
    </row>
    <row r="2087">
      <c r="A2087" s="1" t="s">
        <v>663</v>
      </c>
      <c r="B2087" s="1" t="str">
        <f>VLOOKUP(A2087,Institutions!A:B,2,False)</f>
        <v>Germany</v>
      </c>
      <c r="C2087" s="8">
        <v>45292.0</v>
      </c>
      <c r="D2087" s="1" t="s">
        <v>1107</v>
      </c>
    </row>
    <row r="2088">
      <c r="A2088" s="1" t="s">
        <v>663</v>
      </c>
      <c r="B2088" s="1" t="str">
        <f>VLOOKUP(A2088,Institutions!A:B,2,False)</f>
        <v>Germany</v>
      </c>
      <c r="C2088" s="8">
        <v>45292.0</v>
      </c>
      <c r="D2088" s="1" t="s">
        <v>1110</v>
      </c>
    </row>
    <row r="2089">
      <c r="A2089" s="1" t="s">
        <v>664</v>
      </c>
      <c r="B2089" s="1" t="str">
        <f>VLOOKUP(A2089,Institutions!A:B,2,False)</f>
        <v>Canada</v>
      </c>
      <c r="C2089" s="8">
        <v>43831.0</v>
      </c>
      <c r="D2089" s="1" t="s">
        <v>957</v>
      </c>
    </row>
    <row r="2090">
      <c r="A2090" s="1" t="s">
        <v>664</v>
      </c>
      <c r="B2090" s="1" t="str">
        <f>VLOOKUP(A2090,Institutions!A:B,2,False)</f>
        <v>Canada</v>
      </c>
      <c r="C2090" s="8">
        <v>41640.0</v>
      </c>
      <c r="D2090" s="1" t="s">
        <v>1955</v>
      </c>
    </row>
    <row r="2091">
      <c r="A2091" s="1" t="s">
        <v>665</v>
      </c>
      <c r="B2091" s="1" t="str">
        <f>VLOOKUP(A2091,Institutions!A:B,2,False)</f>
        <v>Spain</v>
      </c>
      <c r="C2091" s="8">
        <v>44197.0</v>
      </c>
      <c r="D2091" s="1" t="s">
        <v>1612</v>
      </c>
    </row>
    <row r="2092">
      <c r="A2092" s="1" t="s">
        <v>665</v>
      </c>
      <c r="B2092" s="1" t="str">
        <f>VLOOKUP(A2092,Institutions!A:B,2,False)</f>
        <v>Spain</v>
      </c>
      <c r="C2092" s="8">
        <v>43831.0</v>
      </c>
      <c r="D2092" s="1" t="s">
        <v>957</v>
      </c>
    </row>
    <row r="2093">
      <c r="A2093" s="1" t="s">
        <v>666</v>
      </c>
      <c r="B2093" s="1" t="str">
        <f>VLOOKUP(A2093,Institutions!A:B,2,False)</f>
        <v>Germany</v>
      </c>
      <c r="C2093" s="8">
        <v>44197.0</v>
      </c>
      <c r="D2093" s="1" t="s">
        <v>939</v>
      </c>
    </row>
    <row r="2094">
      <c r="A2094" s="1" t="s">
        <v>666</v>
      </c>
      <c r="B2094" s="1" t="str">
        <f>VLOOKUP(A2094,Institutions!A:B,2,False)</f>
        <v>Germany</v>
      </c>
      <c r="C2094" s="8">
        <v>43466.0</v>
      </c>
      <c r="D2094" s="1" t="s">
        <v>974</v>
      </c>
    </row>
    <row r="2095">
      <c r="A2095" s="1" t="s">
        <v>667</v>
      </c>
      <c r="B2095" s="1" t="str">
        <f>VLOOKUP(A2095,Institutions!A:B,2,False)</f>
        <v>United Kingdom</v>
      </c>
      <c r="C2095" s="8">
        <v>43831.0</v>
      </c>
      <c r="D2095" s="1" t="s">
        <v>957</v>
      </c>
    </row>
    <row r="2096">
      <c r="A2096" s="1" t="s">
        <v>667</v>
      </c>
      <c r="B2096" s="1" t="str">
        <f>VLOOKUP(A2096,Institutions!A:B,2,False)</f>
        <v>United Kingdom</v>
      </c>
      <c r="C2096" s="8">
        <v>40179.0</v>
      </c>
      <c r="D2096" s="1" t="s">
        <v>2248</v>
      </c>
    </row>
    <row r="2097">
      <c r="A2097" s="1" t="s">
        <v>668</v>
      </c>
      <c r="B2097" s="1" t="str">
        <f>VLOOKUP(A2097,Institutions!A:B,2,False)</f>
        <v>Switzerland</v>
      </c>
      <c r="C2097" s="8">
        <v>44197.0</v>
      </c>
      <c r="D2097" s="1" t="s">
        <v>1306</v>
      </c>
    </row>
    <row r="2098">
      <c r="A2098" s="1" t="s">
        <v>668</v>
      </c>
      <c r="B2098" s="1" t="str">
        <f>VLOOKUP(A2098,Institutions!A:B,2,False)</f>
        <v>Switzerland</v>
      </c>
      <c r="C2098" s="8">
        <v>44197.0</v>
      </c>
      <c r="D2098" s="1" t="s">
        <v>227</v>
      </c>
    </row>
    <row r="2099">
      <c r="A2099" s="1" t="s">
        <v>669</v>
      </c>
      <c r="B2099" s="1" t="str">
        <f>VLOOKUP(A2099,Institutions!A:B,2,False)</f>
        <v>India</v>
      </c>
      <c r="C2099" s="8">
        <v>43466.0</v>
      </c>
      <c r="D2099" s="1" t="s">
        <v>603</v>
      </c>
    </row>
    <row r="2100">
      <c r="A2100" s="1" t="s">
        <v>669</v>
      </c>
      <c r="B2100" s="1" t="str">
        <f>VLOOKUP(A2100,Institutions!A:B,2,False)</f>
        <v>India</v>
      </c>
      <c r="C2100" s="8">
        <v>42736.0</v>
      </c>
      <c r="D2100" s="1" t="s">
        <v>2269</v>
      </c>
    </row>
    <row r="2101">
      <c r="A2101" s="1" t="s">
        <v>670</v>
      </c>
      <c r="B2101" s="1" t="str">
        <f>VLOOKUP(A2101,Institutions!A:B,2,False)</f>
        <v>Germany</v>
      </c>
      <c r="C2101" s="8">
        <v>43101.0</v>
      </c>
      <c r="D2101" s="1" t="s">
        <v>1472</v>
      </c>
    </row>
    <row r="2102">
      <c r="A2102" s="1" t="s">
        <v>671</v>
      </c>
      <c r="B2102" s="1" t="str">
        <f>VLOOKUP(A2102,Institutions!A:B,2,False)</f>
        <v>Germany</v>
      </c>
      <c r="C2102" s="8">
        <v>44562.0</v>
      </c>
      <c r="D2102" s="1" t="s">
        <v>1602</v>
      </c>
    </row>
    <row r="2103">
      <c r="A2103" s="1" t="s">
        <v>671</v>
      </c>
      <c r="B2103" s="1" t="str">
        <f>VLOOKUP(A2103,Institutions!A:B,2,False)</f>
        <v>Germany</v>
      </c>
      <c r="C2103" s="8">
        <v>40909.0</v>
      </c>
      <c r="D2103" s="1" t="s">
        <v>1966</v>
      </c>
    </row>
    <row r="2104">
      <c r="A2104" s="1" t="s">
        <v>672</v>
      </c>
      <c r="B2104" s="1" t="str">
        <f>VLOOKUP(A2104,Institutions!A:B,2,False)</f>
        <v>Germany</v>
      </c>
      <c r="C2104" s="8">
        <v>44927.0</v>
      </c>
      <c r="D2104" s="1" t="s">
        <v>1257</v>
      </c>
    </row>
    <row r="2105">
      <c r="A2105" s="1" t="s">
        <v>672</v>
      </c>
      <c r="B2105" s="1" t="str">
        <f>VLOOKUP(A2105,Institutions!A:B,2,False)</f>
        <v>Germany</v>
      </c>
      <c r="C2105" s="8">
        <v>44562.0</v>
      </c>
      <c r="D2105" s="1" t="s">
        <v>1296</v>
      </c>
    </row>
    <row r="2106">
      <c r="A2106" s="1" t="s">
        <v>673</v>
      </c>
      <c r="B2106" s="1" t="str">
        <f>VLOOKUP(A2106,Institutions!A:B,2,False)</f>
        <v>United States</v>
      </c>
      <c r="C2106" s="8">
        <v>43101.0</v>
      </c>
      <c r="D2106" s="1" t="s">
        <v>2011</v>
      </c>
    </row>
    <row r="2107">
      <c r="A2107" s="1" t="s">
        <v>673</v>
      </c>
      <c r="B2107" s="1" t="str">
        <f>VLOOKUP(A2107,Institutions!A:B,2,False)</f>
        <v>United States</v>
      </c>
      <c r="C2107" s="8">
        <v>39814.0</v>
      </c>
      <c r="D2107" s="1" t="s">
        <v>2306</v>
      </c>
    </row>
    <row r="2108">
      <c r="A2108" s="1" t="s">
        <v>674</v>
      </c>
      <c r="B2108" s="1" t="str">
        <f>VLOOKUP(A2108,Institutions!A:B,2,False)</f>
        <v>Italy</v>
      </c>
      <c r="C2108" s="8">
        <v>44927.0</v>
      </c>
      <c r="D2108" s="1" t="s">
        <v>1505</v>
      </c>
    </row>
    <row r="2109">
      <c r="A2109" s="1" t="s">
        <v>674</v>
      </c>
      <c r="B2109" s="1" t="str">
        <f>VLOOKUP(A2109,Institutions!A:B,2,False)</f>
        <v>Italy</v>
      </c>
      <c r="C2109" s="8">
        <v>44197.0</v>
      </c>
      <c r="D2109" s="1" t="s">
        <v>163</v>
      </c>
    </row>
    <row r="2110">
      <c r="A2110" s="1" t="s">
        <v>675</v>
      </c>
      <c r="B2110" s="1" t="str">
        <f>VLOOKUP(A2110,Institutions!A:B,2,False)</f>
        <v>United States</v>
      </c>
      <c r="C2110" s="8">
        <v>43831.0</v>
      </c>
      <c r="D2110" s="1" t="s">
        <v>352</v>
      </c>
    </row>
    <row r="2111">
      <c r="A2111" s="1" t="s">
        <v>675</v>
      </c>
      <c r="B2111" s="1" t="str">
        <f>VLOOKUP(A2111,Institutions!A:B,2,False)</f>
        <v>United States</v>
      </c>
      <c r="C2111" s="8">
        <v>43831.0</v>
      </c>
      <c r="D2111" s="1" t="s">
        <v>372</v>
      </c>
    </row>
    <row r="2112">
      <c r="A2112" s="1" t="s">
        <v>676</v>
      </c>
      <c r="B2112" s="1" t="str">
        <f>VLOOKUP(A2112,Institutions!A:B,2,False)</f>
        <v>Finland</v>
      </c>
      <c r="C2112" s="8">
        <v>44197.0</v>
      </c>
      <c r="D2112" s="1" t="s">
        <v>1527</v>
      </c>
    </row>
    <row r="2113">
      <c r="A2113" s="1" t="s">
        <v>676</v>
      </c>
      <c r="B2113" s="1" t="str">
        <f>VLOOKUP(A2113,Institutions!A:B,2,False)</f>
        <v>Finland</v>
      </c>
      <c r="C2113" s="8">
        <v>40909.0</v>
      </c>
      <c r="D2113" s="1" t="s">
        <v>2307</v>
      </c>
    </row>
    <row r="2114">
      <c r="A2114" s="1" t="s">
        <v>677</v>
      </c>
      <c r="B2114" s="1" t="str">
        <f>VLOOKUP(A2114,Institutions!A:B,2,False)</f>
        <v>United States</v>
      </c>
      <c r="C2114" s="8">
        <v>39814.0</v>
      </c>
      <c r="D2114" s="1" t="s">
        <v>2308</v>
      </c>
    </row>
    <row r="2115">
      <c r="A2115" s="1" t="s">
        <v>677</v>
      </c>
      <c r="B2115" s="1" t="str">
        <f>VLOOKUP(A2115,Institutions!A:B,2,False)</f>
        <v>United States</v>
      </c>
      <c r="C2115" s="8">
        <v>39814.0</v>
      </c>
      <c r="D2115" s="1" t="s">
        <v>2309</v>
      </c>
    </row>
    <row r="2116">
      <c r="A2116" s="1" t="s">
        <v>678</v>
      </c>
      <c r="B2116" s="1" t="str">
        <f>VLOOKUP(A2116,Institutions!A:B,2,False)</f>
        <v>Switzerland</v>
      </c>
      <c r="C2116" s="8">
        <v>44562.0</v>
      </c>
      <c r="D2116" s="1" t="s">
        <v>1288</v>
      </c>
    </row>
    <row r="2117">
      <c r="A2117" s="1" t="s">
        <v>678</v>
      </c>
      <c r="B2117" s="1" t="str">
        <f>VLOOKUP(A2117,Institutions!A:B,2,False)</f>
        <v>Switzerland</v>
      </c>
      <c r="C2117" s="8">
        <v>44197.0</v>
      </c>
      <c r="D2117" s="1" t="s">
        <v>1317</v>
      </c>
    </row>
    <row r="2118">
      <c r="A2118" s="1" t="s">
        <v>679</v>
      </c>
      <c r="B2118" s="1" t="str">
        <f>VLOOKUP(A2118,Institutions!A:B,2,False)</f>
        <v>India</v>
      </c>
      <c r="C2118" s="8">
        <v>44197.0</v>
      </c>
      <c r="D2118" s="1" t="s">
        <v>940</v>
      </c>
    </row>
    <row r="2119">
      <c r="A2119" s="1" t="s">
        <v>679</v>
      </c>
      <c r="B2119" s="1" t="str">
        <f>VLOOKUP(A2119,Institutions!A:B,2,False)</f>
        <v>India</v>
      </c>
      <c r="C2119" s="8">
        <v>43466.0</v>
      </c>
      <c r="D2119" s="1" t="s">
        <v>966</v>
      </c>
    </row>
    <row r="2120">
      <c r="A2120" s="1" t="s">
        <v>680</v>
      </c>
      <c r="B2120" s="1" t="str">
        <f>VLOOKUP(A2120,Institutions!A:B,2,False)</f>
        <v>France</v>
      </c>
      <c r="C2120" s="8">
        <v>44562.0</v>
      </c>
      <c r="D2120" s="1" t="s">
        <v>1229</v>
      </c>
    </row>
    <row r="2121">
      <c r="A2121" s="1" t="s">
        <v>681</v>
      </c>
      <c r="B2121" s="1" t="str">
        <f>VLOOKUP(A2121,Institutions!A:B,2,False)</f>
        <v>Denmark</v>
      </c>
      <c r="C2121" s="8">
        <v>44562.0</v>
      </c>
      <c r="D2121" s="1" t="s">
        <v>1696</v>
      </c>
    </row>
    <row r="2122">
      <c r="A2122" s="1" t="s">
        <v>682</v>
      </c>
      <c r="B2122" s="1" t="str">
        <f>VLOOKUP(A2122,Institutions!A:B,2,False)</f>
        <v>United Kingdom</v>
      </c>
      <c r="C2122" s="8">
        <v>45292.0</v>
      </c>
      <c r="D2122" s="1" t="s">
        <v>1008</v>
      </c>
    </row>
    <row r="2123">
      <c r="A2123" s="1" t="s">
        <v>683</v>
      </c>
      <c r="B2123" s="1" t="str">
        <f>VLOOKUP(A2123,Institutions!A:B,2,False)</f>
        <v>Italy</v>
      </c>
      <c r="C2123" s="8">
        <v>43101.0</v>
      </c>
      <c r="D2123" s="1" t="s">
        <v>996</v>
      </c>
    </row>
    <row r="2124">
      <c r="A2124" s="1" t="s">
        <v>684</v>
      </c>
      <c r="B2124" s="1" t="str">
        <f>VLOOKUP(A2124,Institutions!A:B,2,False)</f>
        <v>United Kingdom</v>
      </c>
      <c r="C2124" s="8">
        <v>42370.0</v>
      </c>
      <c r="D2124" s="1" t="s">
        <v>1077</v>
      </c>
    </row>
    <row r="2125">
      <c r="A2125" s="1" t="s">
        <v>685</v>
      </c>
      <c r="B2125" s="1" t="str">
        <f>VLOOKUP(A2125,Institutions!A:B,2,False)</f>
        <v>Spain</v>
      </c>
      <c r="C2125" s="8">
        <v>44197.0</v>
      </c>
      <c r="D2125" s="1" t="s">
        <v>1703</v>
      </c>
    </row>
    <row r="2126">
      <c r="A2126" s="1" t="s">
        <v>687</v>
      </c>
      <c r="B2126" s="1" t="str">
        <f>VLOOKUP(A2126,Institutions!A:B,2,False)</f>
        <v>United States</v>
      </c>
      <c r="C2126" s="8">
        <v>44562.0</v>
      </c>
      <c r="D2126" s="1" t="s">
        <v>466</v>
      </c>
    </row>
    <row r="2127">
      <c r="A2127" s="2" t="s">
        <v>688</v>
      </c>
      <c r="B2127" s="1" t="str">
        <f>VLOOKUP(A2127,Institutions!A:B,2,False)</f>
        <v>United States</v>
      </c>
      <c r="C2127" s="8">
        <v>42736.0</v>
      </c>
      <c r="D2127" s="1" t="s">
        <v>2269</v>
      </c>
    </row>
    <row r="2128">
      <c r="A2128" s="1" t="s">
        <v>689</v>
      </c>
      <c r="B2128" s="1" t="str">
        <f>VLOOKUP(A2128,Institutions!A:B,2,False)</f>
        <v>United Kingdom</v>
      </c>
      <c r="C2128" s="8">
        <v>44927.0</v>
      </c>
      <c r="D2128" s="1" t="s">
        <v>1132</v>
      </c>
    </row>
    <row r="2129">
      <c r="A2129" s="1" t="s">
        <v>691</v>
      </c>
      <c r="B2129" s="1" t="str">
        <f>VLOOKUP(A2129,Institutions!A:B,2,False)</f>
        <v>Spain</v>
      </c>
      <c r="C2129" s="8">
        <v>44562.0</v>
      </c>
      <c r="D2129" s="1" t="s">
        <v>1297</v>
      </c>
    </row>
    <row r="2130">
      <c r="A2130" s="1" t="s">
        <v>693</v>
      </c>
      <c r="B2130" s="1" t="str">
        <f>VLOOKUP(A2130,Institutions!A:B,2,False)</f>
        <v>Australia</v>
      </c>
      <c r="C2130" s="8">
        <v>43101.0</v>
      </c>
      <c r="D2130" s="1" t="s">
        <v>983</v>
      </c>
    </row>
    <row r="2131">
      <c r="A2131" s="1" t="s">
        <v>695</v>
      </c>
      <c r="B2131" s="1" t="str">
        <f>VLOOKUP(A2131,Institutions!A:B,2,False)</f>
        <v>India</v>
      </c>
      <c r="C2131" s="8">
        <v>43466.0</v>
      </c>
      <c r="D2131" s="1" t="s">
        <v>603</v>
      </c>
    </row>
    <row r="2132">
      <c r="A2132" s="1" t="s">
        <v>697</v>
      </c>
      <c r="B2132" s="1" t="str">
        <f>VLOOKUP(A2132,Institutions!A:B,2,False)</f>
        <v>Germany</v>
      </c>
      <c r="C2132" s="8">
        <v>40179.0</v>
      </c>
      <c r="D2132" s="1" t="s">
        <v>2311</v>
      </c>
    </row>
    <row r="2133">
      <c r="A2133" s="1" t="s">
        <v>698</v>
      </c>
      <c r="B2133" s="1" t="str">
        <f>VLOOKUP(A2133,Institutions!A:B,2,False)</f>
        <v>Germany</v>
      </c>
      <c r="C2133" s="8">
        <v>45292.0</v>
      </c>
      <c r="D2133" s="1" t="s">
        <v>1117</v>
      </c>
    </row>
    <row r="2134">
      <c r="A2134" s="1" t="s">
        <v>700</v>
      </c>
      <c r="B2134" s="1" t="str">
        <f>VLOOKUP(A2134,Institutions!A:B,2,False)</f>
        <v>United States</v>
      </c>
      <c r="C2134" s="8">
        <v>44562.0</v>
      </c>
      <c r="D2134" s="1" t="s">
        <v>1298</v>
      </c>
    </row>
    <row r="2135">
      <c r="A2135" s="1" t="s">
        <v>701</v>
      </c>
      <c r="B2135" s="1" t="str">
        <f>VLOOKUP(A2135,Institutions!A:B,2,False)</f>
        <v>France</v>
      </c>
      <c r="C2135" s="8">
        <v>43466.0</v>
      </c>
      <c r="D2135" s="1" t="s">
        <v>1337</v>
      </c>
    </row>
    <row r="2136">
      <c r="A2136" s="1" t="s">
        <v>703</v>
      </c>
      <c r="B2136" s="1" t="str">
        <f>VLOOKUP(A2136,Institutions!A:B,2,False)</f>
        <v>South Africa</v>
      </c>
      <c r="C2136" s="8">
        <v>44927.0</v>
      </c>
      <c r="D2136" s="1" t="s">
        <v>52</v>
      </c>
    </row>
    <row r="2137">
      <c r="A2137" s="1" t="s">
        <v>705</v>
      </c>
      <c r="B2137" s="1" t="str">
        <f>VLOOKUP(A2137,Institutions!A:B,2,False)</f>
        <v>United States</v>
      </c>
      <c r="C2137" s="8">
        <v>44197.0</v>
      </c>
      <c r="D2137" s="1" t="s">
        <v>1526</v>
      </c>
    </row>
    <row r="2138">
      <c r="A2138" s="1" t="s">
        <v>707</v>
      </c>
      <c r="B2138" s="1" t="str">
        <f>VLOOKUP(A2138,Institutions!A:B,2,False)</f>
        <v>India</v>
      </c>
      <c r="C2138" s="8">
        <v>44197.0</v>
      </c>
      <c r="D2138" s="1" t="s">
        <v>940</v>
      </c>
    </row>
    <row r="2139">
      <c r="A2139" s="1" t="s">
        <v>709</v>
      </c>
      <c r="B2139" s="1" t="str">
        <f>VLOOKUP(A2139,Institutions!A:B,2,False)</f>
        <v>Denmark</v>
      </c>
      <c r="C2139" s="8">
        <v>42736.0</v>
      </c>
      <c r="D2139" s="1" t="s">
        <v>2312</v>
      </c>
    </row>
    <row r="2140">
      <c r="A2140" s="1" t="s">
        <v>711</v>
      </c>
      <c r="B2140" s="1" t="str">
        <f>VLOOKUP(A2140,Institutions!A:B,2,False)</f>
        <v>Denmark</v>
      </c>
      <c r="C2140" s="8">
        <v>44562.0</v>
      </c>
      <c r="D2140" s="1" t="s">
        <v>1295</v>
      </c>
    </row>
    <row r="2141">
      <c r="A2141" s="1" t="s">
        <v>712</v>
      </c>
      <c r="B2141" s="1" t="str">
        <f>VLOOKUP(A2141,Institutions!A:B,2,False)</f>
        <v>Germany</v>
      </c>
      <c r="C2141" s="8">
        <v>43466.0</v>
      </c>
      <c r="D2141" s="1" t="s">
        <v>2260</v>
      </c>
    </row>
    <row r="2142">
      <c r="A2142" s="1" t="s">
        <v>714</v>
      </c>
      <c r="B2142" s="1" t="str">
        <f>VLOOKUP(A2142,Institutions!A:B,2,False)</f>
        <v>Italy</v>
      </c>
      <c r="C2142" s="8">
        <v>43831.0</v>
      </c>
      <c r="D2142" s="1" t="s">
        <v>1543</v>
      </c>
    </row>
    <row r="2143">
      <c r="A2143" s="1" t="s">
        <v>716</v>
      </c>
      <c r="B2143" s="1" t="str">
        <f>VLOOKUP(A2143,Institutions!A:B,2,False)</f>
        <v>India</v>
      </c>
      <c r="C2143" s="8">
        <v>45292.0</v>
      </c>
      <c r="D2143" s="1" t="s">
        <v>21</v>
      </c>
    </row>
    <row r="2144">
      <c r="A2144" s="1" t="s">
        <v>718</v>
      </c>
      <c r="B2144" s="1" t="str">
        <f>VLOOKUP(A2144,Institutions!A:B,2,False)</f>
        <v>Germany</v>
      </c>
      <c r="C2144" s="8">
        <v>44197.0</v>
      </c>
      <c r="D2144" s="1" t="s">
        <v>949</v>
      </c>
    </row>
    <row r="2145">
      <c r="A2145" s="1" t="s">
        <v>720</v>
      </c>
      <c r="B2145" s="1" t="str">
        <f>VLOOKUP(A2145,Institutions!A:B,2,False)</f>
        <v>France</v>
      </c>
      <c r="C2145" s="8">
        <v>44927.0</v>
      </c>
      <c r="D2145" s="1" t="s">
        <v>1259</v>
      </c>
    </row>
    <row r="2146">
      <c r="A2146" s="1" t="s">
        <v>722</v>
      </c>
      <c r="B2146" s="1" t="str">
        <f>VLOOKUP(A2146,Institutions!A:B,2,False)</f>
        <v>United States</v>
      </c>
      <c r="C2146" s="8">
        <v>44562.0</v>
      </c>
      <c r="D2146" s="1" t="s">
        <v>1672</v>
      </c>
    </row>
    <row r="2147">
      <c r="A2147" s="1" t="s">
        <v>724</v>
      </c>
      <c r="B2147" s="1" t="str">
        <f>VLOOKUP(A2147,Institutions!A:B,2,False)</f>
        <v>China</v>
      </c>
      <c r="C2147" s="8">
        <v>44927.0</v>
      </c>
      <c r="D2147" s="1" t="s">
        <v>1270</v>
      </c>
    </row>
    <row r="2148">
      <c r="A2148" s="1" t="s">
        <v>726</v>
      </c>
      <c r="B2148" s="1" t="str">
        <f>VLOOKUP(A2148,Institutions!A:B,2,False)</f>
        <v>France</v>
      </c>
      <c r="C2148" s="8">
        <v>44927.0</v>
      </c>
      <c r="D2148" s="1" t="s">
        <v>1259</v>
      </c>
    </row>
    <row r="2149">
      <c r="A2149" s="1" t="s">
        <v>727</v>
      </c>
      <c r="B2149" s="1" t="str">
        <f>VLOOKUP(A2149,Institutions!A:B,2,False)</f>
        <v>Spain</v>
      </c>
      <c r="C2149" s="8">
        <v>44927.0</v>
      </c>
      <c r="D2149" s="1" t="s">
        <v>1264</v>
      </c>
    </row>
    <row r="2150">
      <c r="A2150" s="1" t="s">
        <v>729</v>
      </c>
      <c r="B2150" s="1" t="str">
        <f>VLOOKUP(A2150,Institutions!A:B,2,False)</f>
        <v>Sweden</v>
      </c>
      <c r="C2150" s="8">
        <v>43831.0</v>
      </c>
      <c r="D2150" s="1" t="s">
        <v>696</v>
      </c>
    </row>
    <row r="2151">
      <c r="A2151" s="1" t="s">
        <v>730</v>
      </c>
      <c r="B2151" s="1" t="str">
        <f>VLOOKUP(A2151,Institutions!A:B,2,False)</f>
        <v>Canada</v>
      </c>
      <c r="C2151" s="8">
        <v>44927.0</v>
      </c>
      <c r="D2151" s="1" t="s">
        <v>1587</v>
      </c>
    </row>
    <row r="2152">
      <c r="A2152" s="1" t="s">
        <v>732</v>
      </c>
      <c r="B2152" s="1" t="str">
        <f>VLOOKUP(A2152,Institutions!A:B,2,False)</f>
        <v>United States</v>
      </c>
      <c r="C2152" s="8">
        <v>43831.0</v>
      </c>
      <c r="D2152" s="1" t="s">
        <v>342</v>
      </c>
    </row>
    <row r="2153">
      <c r="A2153" s="1" t="s">
        <v>733</v>
      </c>
      <c r="B2153" s="1" t="str">
        <f>VLOOKUP(A2153,Institutions!A:B,2,False)</f>
        <v>Germany</v>
      </c>
      <c r="C2153" s="8">
        <v>43831.0</v>
      </c>
      <c r="D2153" s="1" t="s">
        <v>2102</v>
      </c>
    </row>
    <row r="2154">
      <c r="A2154" s="1" t="s">
        <v>735</v>
      </c>
      <c r="B2154" s="1" t="str">
        <f>VLOOKUP(A2154,Institutions!A:B,2,False)</f>
        <v>Germany</v>
      </c>
      <c r="C2154" s="8">
        <v>44562.0</v>
      </c>
      <c r="D2154" s="1" t="s">
        <v>1288</v>
      </c>
    </row>
    <row r="2155">
      <c r="A2155" s="1" t="s">
        <v>736</v>
      </c>
      <c r="B2155" s="1" t="str">
        <f>VLOOKUP(A2155,Institutions!A:B,2,False)</f>
        <v>Australia</v>
      </c>
      <c r="C2155" s="8">
        <v>44927.0</v>
      </c>
      <c r="D2155" s="1" t="s">
        <v>1259</v>
      </c>
    </row>
    <row r="2156">
      <c r="A2156" s="1" t="s">
        <v>738</v>
      </c>
      <c r="B2156" s="1" t="str">
        <f>VLOOKUP(A2156,Institutions!A:B,2,False)</f>
        <v>Norway</v>
      </c>
      <c r="C2156" s="8">
        <v>45292.0</v>
      </c>
      <c r="D2156" s="1" t="s">
        <v>1655</v>
      </c>
    </row>
    <row r="2157">
      <c r="A2157" s="1" t="s">
        <v>739</v>
      </c>
      <c r="B2157" s="1" t="str">
        <f>VLOOKUP(A2157,Institutions!A:B,2,False)</f>
        <v>Germany</v>
      </c>
      <c r="C2157" s="8">
        <v>44562.0</v>
      </c>
      <c r="D2157" s="1" t="s">
        <v>1152</v>
      </c>
    </row>
    <row r="2158">
      <c r="A2158" s="1" t="s">
        <v>741</v>
      </c>
      <c r="B2158" s="1" t="str">
        <f>VLOOKUP(A2158,Institutions!A:B,2,False)</f>
        <v>Spain</v>
      </c>
      <c r="C2158" s="8">
        <v>44197.0</v>
      </c>
      <c r="D2158" s="1" t="s">
        <v>2313</v>
      </c>
    </row>
    <row r="2159">
      <c r="A2159" s="1" t="s">
        <v>742</v>
      </c>
      <c r="B2159" s="1" t="str">
        <f>VLOOKUP(A2159,Institutions!A:B,2,False)</f>
        <v>Poland</v>
      </c>
      <c r="C2159" s="8">
        <v>43466.0</v>
      </c>
      <c r="D2159" s="1" t="s">
        <v>379</v>
      </c>
    </row>
    <row r="2160">
      <c r="A2160" s="1" t="s">
        <v>743</v>
      </c>
      <c r="B2160" s="1" t="str">
        <f>VLOOKUP(A2160,Institutions!A:B,2,False)</f>
        <v>Australia</v>
      </c>
      <c r="C2160" s="8">
        <v>44197.0</v>
      </c>
      <c r="D2160" s="1" t="s">
        <v>1173</v>
      </c>
    </row>
    <row r="2161">
      <c r="A2161" s="1" t="s">
        <v>744</v>
      </c>
      <c r="B2161" s="1" t="str">
        <f>VLOOKUP(A2161,Institutions!A:B,2,False)</f>
        <v>United States</v>
      </c>
      <c r="C2161" s="8">
        <v>44927.0</v>
      </c>
      <c r="D2161" s="1" t="s">
        <v>1129</v>
      </c>
    </row>
    <row r="2162">
      <c r="A2162" s="1" t="s">
        <v>746</v>
      </c>
      <c r="B2162" s="1" t="str">
        <f>VLOOKUP(A2162,Institutions!A:B,2,False)</f>
        <v>United Kingdom</v>
      </c>
      <c r="C2162" s="8">
        <v>43466.0</v>
      </c>
      <c r="D2162" s="1" t="s">
        <v>2079</v>
      </c>
    </row>
    <row r="2163">
      <c r="A2163" s="1" t="s">
        <v>748</v>
      </c>
      <c r="B2163" s="1" t="str">
        <f>VLOOKUP(A2163,Institutions!A:B,2,False)</f>
        <v>Denmark</v>
      </c>
      <c r="C2163" s="8">
        <v>41275.0</v>
      </c>
      <c r="D2163" s="1" t="s">
        <v>2314</v>
      </c>
    </row>
    <row r="2164">
      <c r="A2164" s="1" t="s">
        <v>749</v>
      </c>
      <c r="B2164" s="1" t="str">
        <f>VLOOKUP(A2164,Institutions!A:B,2,False)</f>
        <v>Germany</v>
      </c>
      <c r="C2164" s="8">
        <v>44927.0</v>
      </c>
      <c r="D2164" s="1" t="s">
        <v>1263</v>
      </c>
    </row>
    <row r="2165">
      <c r="A2165" s="1" t="s">
        <v>751</v>
      </c>
      <c r="B2165" s="1" t="str">
        <f>VLOOKUP(A2165,Institutions!A:B,2,False)</f>
        <v>Czech Republic</v>
      </c>
      <c r="C2165" s="8">
        <v>44562.0</v>
      </c>
      <c r="D2165" s="1" t="s">
        <v>1511</v>
      </c>
    </row>
    <row r="2166">
      <c r="A2166" s="1" t="s">
        <v>752</v>
      </c>
      <c r="B2166" s="1" t="str">
        <f>VLOOKUP(A2166,Institutions!A:B,2,False)</f>
        <v>China</v>
      </c>
      <c r="C2166" s="8">
        <v>42736.0</v>
      </c>
      <c r="D2166" s="1" t="s">
        <v>1641</v>
      </c>
    </row>
    <row r="2167">
      <c r="A2167" s="1" t="s">
        <v>753</v>
      </c>
      <c r="B2167" s="1" t="str">
        <f>VLOOKUP(A2167,Institutions!A:B,2,False)</f>
        <v>Greece</v>
      </c>
      <c r="C2167" s="8">
        <v>43466.0</v>
      </c>
      <c r="D2167" s="1" t="s">
        <v>965</v>
      </c>
    </row>
    <row r="2168">
      <c r="A2168" s="1" t="s">
        <v>755</v>
      </c>
      <c r="B2168" s="1" t="str">
        <f>VLOOKUP(A2168,Institutions!A:B,2,False)</f>
        <v>Germany</v>
      </c>
      <c r="C2168" s="8">
        <v>43101.0</v>
      </c>
      <c r="D2168" s="1" t="s">
        <v>2026</v>
      </c>
    </row>
    <row r="2169">
      <c r="A2169" s="1" t="s">
        <v>757</v>
      </c>
      <c r="B2169" s="1" t="str">
        <f>VLOOKUP(A2169,Institutions!A:B,2,False)</f>
        <v>Denmark</v>
      </c>
      <c r="C2169" s="8">
        <v>38353.0</v>
      </c>
      <c r="D2169" s="1" t="s">
        <v>1891</v>
      </c>
    </row>
    <row r="2170">
      <c r="A2170" s="1" t="s">
        <v>759</v>
      </c>
      <c r="B2170" s="1" t="str">
        <f>VLOOKUP(A2170,Institutions!A:B,2,False)</f>
        <v>Germany</v>
      </c>
      <c r="C2170" s="8">
        <v>43831.0</v>
      </c>
      <c r="D2170" s="1" t="s">
        <v>2102</v>
      </c>
    </row>
    <row r="2171">
      <c r="A2171" s="1" t="s">
        <v>760</v>
      </c>
      <c r="B2171" s="1" t="str">
        <f>VLOOKUP(A2171,Institutions!A:B,2,False)</f>
        <v>Denmark</v>
      </c>
      <c r="C2171" s="8">
        <v>44927.0</v>
      </c>
      <c r="D2171" s="1" t="s">
        <v>1502</v>
      </c>
    </row>
    <row r="2172">
      <c r="A2172" s="1" t="s">
        <v>762</v>
      </c>
      <c r="B2172" s="1" t="str">
        <f>VLOOKUP(A2172,Institutions!A:B,2,False)</f>
        <v>Canada</v>
      </c>
      <c r="C2172" s="8">
        <v>41640.0</v>
      </c>
      <c r="D2172" s="1" t="s">
        <v>1955</v>
      </c>
    </row>
    <row r="2173">
      <c r="A2173" s="1" t="s">
        <v>764</v>
      </c>
      <c r="B2173" s="1" t="str">
        <f>VLOOKUP(A2173,Institutions!A:B,2,False)</f>
        <v>United States</v>
      </c>
      <c r="C2173" s="8">
        <v>43101.0</v>
      </c>
      <c r="D2173" s="1" t="s">
        <v>408</v>
      </c>
    </row>
    <row r="2174">
      <c r="A2174" s="1" t="s">
        <v>765</v>
      </c>
      <c r="B2174" s="1" t="str">
        <f>VLOOKUP(A2174,Institutions!A:B,2,False)</f>
        <v>Sweden</v>
      </c>
      <c r="C2174" s="8">
        <v>44927.0</v>
      </c>
      <c r="D2174" s="1" t="s">
        <v>1201</v>
      </c>
    </row>
    <row r="2175">
      <c r="A2175" s="1" t="s">
        <v>767</v>
      </c>
      <c r="B2175" s="1" t="str">
        <f>VLOOKUP(A2175,Institutions!A:B,2,False)</f>
        <v>South Korea</v>
      </c>
      <c r="C2175" s="8">
        <v>44562.0</v>
      </c>
      <c r="D2175" s="1" t="s">
        <v>491</v>
      </c>
    </row>
    <row r="2176">
      <c r="A2176" s="1" t="s">
        <v>768</v>
      </c>
      <c r="B2176" s="1" t="str">
        <f>VLOOKUP(A2176,Institutions!A:B,2,False)</f>
        <v>United Kingdom</v>
      </c>
      <c r="C2176" s="8">
        <v>43831.0</v>
      </c>
      <c r="D2176" s="1" t="s">
        <v>913</v>
      </c>
    </row>
    <row r="2177">
      <c r="A2177" s="1" t="s">
        <v>770</v>
      </c>
      <c r="B2177" s="1" t="str">
        <f>VLOOKUP(A2177,Institutions!A:B,2,False)</f>
        <v>Austria</v>
      </c>
      <c r="C2177" s="8">
        <v>44562.0</v>
      </c>
      <c r="D2177" s="1" t="s">
        <v>1447</v>
      </c>
    </row>
    <row r="2178">
      <c r="A2178" s="1" t="s">
        <v>772</v>
      </c>
      <c r="B2178" s="1" t="str">
        <f>VLOOKUP(A2178,Institutions!A:B,2,False)</f>
        <v>Iran</v>
      </c>
      <c r="C2178" s="8">
        <v>44927.0</v>
      </c>
      <c r="D2178" s="1" t="s">
        <v>1584</v>
      </c>
    </row>
    <row r="2179">
      <c r="A2179" s="1" t="s">
        <v>775</v>
      </c>
      <c r="B2179" s="1" t="str">
        <f>VLOOKUP(A2179,Institutions!A:B,2,False)</f>
        <v>United States</v>
      </c>
      <c r="C2179" s="8">
        <v>44562.0</v>
      </c>
      <c r="D2179" s="1" t="s">
        <v>260</v>
      </c>
    </row>
    <row r="2180">
      <c r="A2180" s="1" t="s">
        <v>776</v>
      </c>
      <c r="B2180" s="1" t="str">
        <f>VLOOKUP(A2180,Institutions!A:B,2,False)</f>
        <v>Canada</v>
      </c>
      <c r="C2180" s="8">
        <v>44197.0</v>
      </c>
      <c r="D2180" s="1" t="s">
        <v>939</v>
      </c>
    </row>
    <row r="2181">
      <c r="A2181" s="1" t="s">
        <v>777</v>
      </c>
      <c r="B2181" s="1" t="str">
        <f>VLOOKUP(A2181,Institutions!A:B,2,False)</f>
        <v>Denmark</v>
      </c>
      <c r="C2181" s="8">
        <v>42370.0</v>
      </c>
      <c r="D2181" s="1" t="s">
        <v>1083</v>
      </c>
    </row>
    <row r="2182">
      <c r="A2182" s="1" t="s">
        <v>779</v>
      </c>
      <c r="B2182" s="1" t="str">
        <f>VLOOKUP(A2182,Institutions!A:B,2,False)</f>
        <v>Germany</v>
      </c>
      <c r="C2182" s="8">
        <v>40179.0</v>
      </c>
      <c r="D2182" s="1" t="s">
        <v>2186</v>
      </c>
    </row>
    <row r="2183">
      <c r="A2183" s="1" t="s">
        <v>781</v>
      </c>
      <c r="B2183" s="1" t="str">
        <f>VLOOKUP(A2183,Institutions!A:B,2,False)</f>
        <v>United Kingdom</v>
      </c>
      <c r="C2183" s="8">
        <v>43831.0</v>
      </c>
      <c r="D2183" s="1" t="s">
        <v>704</v>
      </c>
    </row>
    <row r="2184">
      <c r="A2184" s="1" t="s">
        <v>783</v>
      </c>
      <c r="B2184" s="1" t="str">
        <f>VLOOKUP(A2184,Institutions!A:B,2,False)</f>
        <v>United Arab Emirates</v>
      </c>
      <c r="C2184" s="8">
        <v>45292.0</v>
      </c>
      <c r="D2184" s="1" t="s">
        <v>1117</v>
      </c>
    </row>
    <row r="2185">
      <c r="A2185" s="1" t="s">
        <v>786</v>
      </c>
      <c r="B2185" s="1" t="str">
        <f>VLOOKUP(A2185,Institutions!A:B,2,False)</f>
        <v>United States</v>
      </c>
      <c r="C2185" s="8">
        <v>44197.0</v>
      </c>
      <c r="D2185" s="1" t="s">
        <v>1534</v>
      </c>
    </row>
    <row r="2186">
      <c r="A2186" s="1" t="s">
        <v>788</v>
      </c>
      <c r="B2186" s="1" t="str">
        <f>VLOOKUP(A2186,Institutions!A:B,2,False)</f>
        <v>Mexico</v>
      </c>
      <c r="C2186" s="8">
        <v>44927.0</v>
      </c>
      <c r="D2186" s="1" t="s">
        <v>434</v>
      </c>
    </row>
    <row r="2187">
      <c r="A2187" s="1" t="s">
        <v>790</v>
      </c>
      <c r="B2187" s="1" t="str">
        <f>VLOOKUP(A2187,Institutions!A:B,2,False)</f>
        <v>France</v>
      </c>
      <c r="C2187" s="8">
        <v>45292.0</v>
      </c>
      <c r="D2187" s="1" t="s">
        <v>1117</v>
      </c>
    </row>
    <row r="2188">
      <c r="A2188" s="1" t="s">
        <v>791</v>
      </c>
      <c r="B2188" s="1" t="str">
        <f>VLOOKUP(A2188,Institutions!A:B,2,False)</f>
        <v>United States</v>
      </c>
      <c r="C2188" s="8">
        <v>40544.0</v>
      </c>
      <c r="D2188" s="1" t="s">
        <v>2315</v>
      </c>
    </row>
    <row r="2189">
      <c r="A2189" s="1" t="s">
        <v>793</v>
      </c>
      <c r="B2189" s="1" t="str">
        <f>VLOOKUP(A2189,Institutions!A:B,2,False)</f>
        <v>United States</v>
      </c>
      <c r="C2189" s="8">
        <v>44197.0</v>
      </c>
      <c r="D2189" s="1" t="s">
        <v>534</v>
      </c>
    </row>
    <row r="2190">
      <c r="A2190" s="1" t="s">
        <v>794</v>
      </c>
      <c r="B2190" s="1" t="str">
        <f>VLOOKUP(A2190,Institutions!A:B,2,False)</f>
        <v>United States</v>
      </c>
      <c r="C2190" s="8">
        <v>43101.0</v>
      </c>
      <c r="D2190" s="1" t="s">
        <v>624</v>
      </c>
    </row>
    <row r="2191">
      <c r="A2191" s="1" t="s">
        <v>795</v>
      </c>
      <c r="B2191" s="1" t="str">
        <f>VLOOKUP(A2191,Institutions!A:B,2,False)</f>
        <v>Nigeria</v>
      </c>
      <c r="C2191" s="8">
        <v>44562.0</v>
      </c>
      <c r="D2191" s="1" t="s">
        <v>2224</v>
      </c>
    </row>
    <row r="2192">
      <c r="A2192" s="1" t="s">
        <v>797</v>
      </c>
      <c r="B2192" s="1" t="str">
        <f>VLOOKUP(A2192,Institutions!A:B,2,False)</f>
        <v>United States</v>
      </c>
      <c r="C2192" s="8">
        <v>44927.0</v>
      </c>
      <c r="D2192" s="1" t="s">
        <v>1138</v>
      </c>
    </row>
    <row r="2193">
      <c r="A2193" s="1" t="s">
        <v>799</v>
      </c>
      <c r="B2193" s="1" t="str">
        <f>VLOOKUP(A2193,Institutions!A:B,2,False)</f>
        <v>Brazil</v>
      </c>
      <c r="C2193" s="8">
        <v>43466.0</v>
      </c>
      <c r="D2193" s="1" t="s">
        <v>2231</v>
      </c>
    </row>
    <row r="2194">
      <c r="A2194" s="1" t="s">
        <v>801</v>
      </c>
      <c r="B2194" s="1" t="str">
        <f>VLOOKUP(A2194,Institutions!A:B,2,False)</f>
        <v>Italy</v>
      </c>
      <c r="C2194" s="8">
        <v>44927.0</v>
      </c>
      <c r="D2194" s="1" t="s">
        <v>1499</v>
      </c>
    </row>
    <row r="2195">
      <c r="A2195" s="1" t="s">
        <v>803</v>
      </c>
      <c r="B2195" s="1" t="str">
        <f>VLOOKUP(A2195,Institutions!A:B,2,False)</f>
        <v>Spain</v>
      </c>
      <c r="C2195" s="8">
        <v>44562.0</v>
      </c>
      <c r="D2195" s="1" t="s">
        <v>1229</v>
      </c>
    </row>
    <row r="2196">
      <c r="A2196" s="1" t="s">
        <v>805</v>
      </c>
      <c r="B2196" s="1" t="str">
        <f>VLOOKUP(A2196,Institutions!A:B,2,False)</f>
        <v>Denmark</v>
      </c>
      <c r="C2196" s="8">
        <v>44197.0</v>
      </c>
      <c r="D2196" s="1" t="s">
        <v>841</v>
      </c>
    </row>
    <row r="2197">
      <c r="A2197" s="1" t="s">
        <v>807</v>
      </c>
      <c r="B2197" s="1" t="str">
        <f>VLOOKUP(A2197,Institutions!A:B,2,False)</f>
        <v>United States</v>
      </c>
      <c r="C2197" s="8">
        <v>43831.0</v>
      </c>
      <c r="D2197" s="1" t="s">
        <v>344</v>
      </c>
    </row>
    <row r="2198">
      <c r="A2198" s="1" t="s">
        <v>809</v>
      </c>
      <c r="B2198" s="1" t="str">
        <f>VLOOKUP(A2198,Institutions!A:B,2,False)</f>
        <v>United Kingdom</v>
      </c>
      <c r="C2198" s="8">
        <v>41640.0</v>
      </c>
      <c r="D2198" s="1" t="s">
        <v>2215</v>
      </c>
    </row>
    <row r="2199">
      <c r="A2199" s="1" t="s">
        <v>810</v>
      </c>
      <c r="B2199" s="1" t="str">
        <f>VLOOKUP(A2199,Institutions!A:B,2,False)</f>
        <v>Germany</v>
      </c>
      <c r="C2199" s="8">
        <v>44562.0</v>
      </c>
      <c r="D2199" s="1" t="s">
        <v>503</v>
      </c>
    </row>
    <row r="2200">
      <c r="A2200" s="1" t="s">
        <v>812</v>
      </c>
      <c r="B2200" s="1" t="str">
        <f>VLOOKUP(A2200,Institutions!A:B,2,False)</f>
        <v>United Kingdom</v>
      </c>
      <c r="C2200" s="8">
        <v>44927.0</v>
      </c>
      <c r="D2200" s="1" t="s">
        <v>1132</v>
      </c>
    </row>
    <row r="2201">
      <c r="A2201" s="1" t="s">
        <v>814</v>
      </c>
      <c r="B2201" s="1" t="str">
        <f>VLOOKUP(A2201,Institutions!A:B,2,False)</f>
        <v>Slovenia</v>
      </c>
      <c r="C2201" s="8">
        <v>44927.0</v>
      </c>
      <c r="D2201" s="1" t="s">
        <v>438</v>
      </c>
    </row>
    <row r="2202">
      <c r="A2202" s="1" t="s">
        <v>815</v>
      </c>
      <c r="B2202" s="1" t="str">
        <f>VLOOKUP(A2202,Institutions!A:B,2,False)</f>
        <v>Italy</v>
      </c>
      <c r="C2202" s="8">
        <v>43831.0</v>
      </c>
      <c r="D2202" s="1" t="s">
        <v>2316</v>
      </c>
    </row>
    <row r="2203">
      <c r="A2203" s="1" t="s">
        <v>817</v>
      </c>
      <c r="B2203" s="1" t="str">
        <f>VLOOKUP(A2203,Institutions!A:B,2,False)</f>
        <v>Argentina</v>
      </c>
      <c r="C2203" s="8">
        <v>44197.0</v>
      </c>
      <c r="D2203" s="1" t="s">
        <v>939</v>
      </c>
    </row>
    <row r="2204">
      <c r="A2204" s="1" t="s">
        <v>820</v>
      </c>
      <c r="B2204" s="1" t="str">
        <f>VLOOKUP(A2204,Institutions!A:B,2,False)</f>
        <v>Denmark</v>
      </c>
      <c r="C2204" s="8">
        <v>43466.0</v>
      </c>
      <c r="D2204" s="1" t="s">
        <v>1462</v>
      </c>
    </row>
    <row r="2205">
      <c r="A2205" s="1" t="s">
        <v>822</v>
      </c>
      <c r="B2205" s="1" t="str">
        <f>VLOOKUP(A2205,Institutions!A:B,2,False)</f>
        <v>France</v>
      </c>
      <c r="C2205" s="8">
        <v>44197.0</v>
      </c>
      <c r="D2205" s="1" t="s">
        <v>1308</v>
      </c>
    </row>
    <row r="2206">
      <c r="A2206" s="1" t="s">
        <v>823</v>
      </c>
      <c r="B2206" s="1" t="str">
        <f>VLOOKUP(A2206,Institutions!A:B,2,False)</f>
        <v>Czech Republic</v>
      </c>
      <c r="C2206" s="8">
        <v>44197.0</v>
      </c>
      <c r="D2206" s="1" t="s">
        <v>1317</v>
      </c>
    </row>
    <row r="2207">
      <c r="A2207" s="1" t="s">
        <v>825</v>
      </c>
      <c r="B2207" s="1" t="str">
        <f>VLOOKUP(A2207,Institutions!A:B,2,False)</f>
        <v>Denmark</v>
      </c>
      <c r="C2207" s="8">
        <v>44197.0</v>
      </c>
      <c r="D2207" s="1" t="s">
        <v>180</v>
      </c>
    </row>
    <row r="2208">
      <c r="A2208" s="1" t="s">
        <v>827</v>
      </c>
      <c r="B2208" s="1" t="str">
        <f>VLOOKUP(A2208,Institutions!A:B,2,False)</f>
        <v>United States</v>
      </c>
      <c r="C2208" s="8">
        <v>43101.0</v>
      </c>
      <c r="D2208" s="1" t="s">
        <v>624</v>
      </c>
    </row>
    <row r="2209">
      <c r="A2209" s="1" t="s">
        <v>829</v>
      </c>
      <c r="B2209" s="1" t="str">
        <f>VLOOKUP(A2209,Institutions!A:B,2,False)</f>
        <v>Germany</v>
      </c>
      <c r="C2209" s="8">
        <v>43831.0</v>
      </c>
      <c r="D2209" s="1" t="s">
        <v>372</v>
      </c>
    </row>
    <row r="2210">
      <c r="A2210" s="1" t="s">
        <v>830</v>
      </c>
      <c r="B2210" s="1" t="str">
        <f>VLOOKUP(A2210,Institutions!A:B,2,False)</f>
        <v>Romania</v>
      </c>
      <c r="C2210" s="8">
        <v>44562.0</v>
      </c>
      <c r="D2210" s="1" t="s">
        <v>2224</v>
      </c>
    </row>
    <row r="2211">
      <c r="A2211" s="1" t="s">
        <v>833</v>
      </c>
      <c r="B2211" s="1" t="str">
        <f>VLOOKUP(A2211,Institutions!A:B,2,False)</f>
        <v>France</v>
      </c>
      <c r="C2211" s="8">
        <v>44562.0</v>
      </c>
      <c r="D2211" s="1" t="s">
        <v>813</v>
      </c>
    </row>
    <row r="2212">
      <c r="A2212" s="1" t="s">
        <v>834</v>
      </c>
      <c r="B2212" s="1" t="str">
        <f>VLOOKUP(A2212,Institutions!A:B,2,False)</f>
        <v>Norway</v>
      </c>
      <c r="C2212" s="8">
        <v>44927.0</v>
      </c>
      <c r="D2212" s="1" t="s">
        <v>52</v>
      </c>
    </row>
    <row r="2213">
      <c r="A2213" s="1" t="s">
        <v>835</v>
      </c>
      <c r="B2213" s="1" t="str">
        <f>VLOOKUP(A2213,Institutions!A:B,2,False)</f>
        <v>United States</v>
      </c>
      <c r="C2213" s="8">
        <v>41640.0</v>
      </c>
      <c r="D2213" s="1" t="s">
        <v>1938</v>
      </c>
    </row>
    <row r="2214">
      <c r="A2214" s="1" t="s">
        <v>837</v>
      </c>
      <c r="B2214" s="1" t="str">
        <f>VLOOKUP(A2214,Institutions!A:B,2,False)</f>
        <v>Germany</v>
      </c>
      <c r="C2214" s="8">
        <v>44927.0</v>
      </c>
      <c r="D2214" s="1" t="s">
        <v>1586</v>
      </c>
    </row>
    <row r="2215">
      <c r="A2215" s="1" t="s">
        <v>838</v>
      </c>
      <c r="B2215" s="1" t="str">
        <f>VLOOKUP(A2215,Institutions!A:B,2,False)</f>
        <v>Denmark</v>
      </c>
      <c r="C2215" s="8">
        <v>44927.0</v>
      </c>
      <c r="D2215" s="1" t="s">
        <v>1206</v>
      </c>
    </row>
    <row r="2216">
      <c r="A2216" s="1" t="s">
        <v>839</v>
      </c>
      <c r="B2216" s="1" t="str">
        <f>VLOOKUP(A2216,Institutions!A:B,2,False)</f>
        <v>United Kingdom</v>
      </c>
      <c r="C2216" s="8">
        <v>42370.0</v>
      </c>
      <c r="D2216" s="1" t="s">
        <v>1557</v>
      </c>
    </row>
    <row r="2217">
      <c r="A2217" s="1" t="s">
        <v>840</v>
      </c>
      <c r="B2217" s="1" t="str">
        <f>VLOOKUP(A2217,Institutions!A:B,2,False)</f>
        <v>United States</v>
      </c>
      <c r="C2217" s="8">
        <v>40179.0</v>
      </c>
      <c r="D2217" s="1" t="s">
        <v>2317</v>
      </c>
    </row>
    <row r="2218">
      <c r="A2218" s="1" t="s">
        <v>842</v>
      </c>
      <c r="B2218" s="1" t="str">
        <f>VLOOKUP(A2218,Institutions!A:B,2,False)</f>
        <v>Germany</v>
      </c>
      <c r="C2218" s="8">
        <v>44562.0</v>
      </c>
      <c r="D2218" s="1" t="s">
        <v>88</v>
      </c>
    </row>
    <row r="2219">
      <c r="A2219" s="1" t="s">
        <v>844</v>
      </c>
      <c r="B2219" s="1" t="str">
        <f>VLOOKUP(A2219,Institutions!A:B,2,False)</f>
        <v>North Macedonia</v>
      </c>
      <c r="C2219" s="8">
        <v>44562.0</v>
      </c>
      <c r="D2219" s="1" t="s">
        <v>2224</v>
      </c>
    </row>
    <row r="2220">
      <c r="A2220" s="1" t="s">
        <v>846</v>
      </c>
      <c r="B2220" s="1" t="str">
        <f>VLOOKUP(A2220,Institutions!A:B,2,False)</f>
        <v>Italy</v>
      </c>
      <c r="C2220" s="8">
        <v>44197.0</v>
      </c>
      <c r="D2220" s="1" t="s">
        <v>2076</v>
      </c>
    </row>
    <row r="2221">
      <c r="A2221" s="1" t="s">
        <v>848</v>
      </c>
      <c r="B2221" s="1" t="str">
        <f>VLOOKUP(A2221,Institutions!A:B,2,False)</f>
        <v>Ireland</v>
      </c>
      <c r="C2221" s="8">
        <v>44927.0</v>
      </c>
      <c r="D2221" s="1" t="s">
        <v>1138</v>
      </c>
    </row>
    <row r="2222">
      <c r="A2222" s="1" t="s">
        <v>850</v>
      </c>
      <c r="B2222" s="1" t="str">
        <f>VLOOKUP(A2222,Institutions!A:B,2,False)</f>
        <v>China</v>
      </c>
      <c r="C2222" s="8">
        <v>44927.0</v>
      </c>
      <c r="D2222" s="1" t="s">
        <v>1270</v>
      </c>
    </row>
    <row r="2223">
      <c r="A2223" s="1" t="s">
        <v>852</v>
      </c>
      <c r="B2223" s="1" t="str">
        <f>VLOOKUP(A2223,Institutions!A:B,2,False)</f>
        <v>Spain</v>
      </c>
      <c r="C2223" s="8">
        <v>40179.0</v>
      </c>
      <c r="D2223" s="1" t="s">
        <v>2318</v>
      </c>
    </row>
    <row r="2224">
      <c r="A2224" s="1" t="s">
        <v>853</v>
      </c>
      <c r="B2224" s="1" t="str">
        <f>VLOOKUP(A2224,Institutions!A:B,2,False)</f>
        <v>Sweden</v>
      </c>
      <c r="C2224" s="8">
        <v>40909.0</v>
      </c>
      <c r="D2224" s="1" t="s">
        <v>2319</v>
      </c>
    </row>
    <row r="2225">
      <c r="A2225" s="1" t="s">
        <v>855</v>
      </c>
      <c r="B2225" s="1" t="str">
        <f>VLOOKUP(A2225,Institutions!A:B,2,False)</f>
        <v>Greece</v>
      </c>
      <c r="C2225" s="8">
        <v>44562.0</v>
      </c>
      <c r="D2225" s="1" t="s">
        <v>1288</v>
      </c>
    </row>
    <row r="2226">
      <c r="A2226" s="1" t="s">
        <v>857</v>
      </c>
      <c r="B2226" s="1" t="str">
        <f>VLOOKUP(A2226,Institutions!A:B,2,False)</f>
        <v>France</v>
      </c>
      <c r="C2226" s="8">
        <v>40909.0</v>
      </c>
      <c r="D2226" s="1" t="s">
        <v>1838</v>
      </c>
    </row>
    <row r="2227">
      <c r="A2227" s="1" t="s">
        <v>858</v>
      </c>
      <c r="B2227" s="1" t="str">
        <f>VLOOKUP(A2227,Institutions!A:B,2,False)</f>
        <v>Israel</v>
      </c>
      <c r="C2227" s="8">
        <v>44562.0</v>
      </c>
      <c r="D2227" s="1" t="s">
        <v>936</v>
      </c>
    </row>
    <row r="2228">
      <c r="A2228" s="1" t="s">
        <v>860</v>
      </c>
      <c r="B2228" s="1" t="str">
        <f>VLOOKUP(A2228,Institutions!A:B,2,False)</f>
        <v>Austria</v>
      </c>
      <c r="C2228" s="8">
        <v>44927.0</v>
      </c>
      <c r="D2228" s="1" t="s">
        <v>782</v>
      </c>
    </row>
    <row r="2229">
      <c r="A2229" s="1" t="s">
        <v>862</v>
      </c>
      <c r="B2229" s="1" t="str">
        <f>VLOOKUP(A2229,Institutions!A:B,2,False)</f>
        <v>United States</v>
      </c>
      <c r="C2229" s="8">
        <v>44562.0</v>
      </c>
      <c r="D2229" s="1" t="s">
        <v>802</v>
      </c>
    </row>
    <row r="2230">
      <c r="A2230" s="1" t="s">
        <v>863</v>
      </c>
      <c r="B2230" s="1" t="str">
        <f>VLOOKUP(A2230,Institutions!A:B,2,False)</f>
        <v>United Kingdom</v>
      </c>
      <c r="C2230" s="8">
        <v>40909.0</v>
      </c>
      <c r="D2230" s="1" t="s">
        <v>2307</v>
      </c>
    </row>
    <row r="2231">
      <c r="A2231" s="1" t="s">
        <v>865</v>
      </c>
      <c r="B2231" s="1" t="str">
        <f>VLOOKUP(A2231,Institutions!A:B,2,False)</f>
        <v>India</v>
      </c>
      <c r="C2231" s="8">
        <v>43831.0</v>
      </c>
      <c r="D2231" s="1" t="s">
        <v>1615</v>
      </c>
    </row>
    <row r="2232">
      <c r="A2232" s="1" t="s">
        <v>867</v>
      </c>
      <c r="B2232" s="1" t="str">
        <f>VLOOKUP(A2232,Institutions!A:B,2,False)</f>
        <v>Brazil</v>
      </c>
      <c r="C2232" s="8">
        <v>44197.0</v>
      </c>
      <c r="D2232" s="1" t="s">
        <v>215</v>
      </c>
    </row>
    <row r="2233">
      <c r="A2233" s="1" t="s">
        <v>868</v>
      </c>
      <c r="B2233" s="1" t="str">
        <f>VLOOKUP(A2233,Institutions!A:B,2,False)</f>
        <v>China</v>
      </c>
      <c r="C2233" s="8">
        <v>44927.0</v>
      </c>
      <c r="D2233" s="1" t="s">
        <v>1130</v>
      </c>
    </row>
    <row r="2234">
      <c r="A2234" s="1" t="s">
        <v>869</v>
      </c>
      <c r="B2234" s="1" t="str">
        <f>VLOOKUP(A2234,Institutions!A:B,2,False)</f>
        <v>Germany</v>
      </c>
      <c r="C2234" s="8">
        <v>43466.0</v>
      </c>
      <c r="D2234" s="1" t="s">
        <v>2320</v>
      </c>
    </row>
    <row r="2235">
      <c r="A2235" s="1" t="s">
        <v>870</v>
      </c>
      <c r="B2235" s="1" t="str">
        <f>VLOOKUP(A2235,Institutions!A:B,2,False)</f>
        <v>Egypt</v>
      </c>
      <c r="C2235" s="8">
        <v>44562.0</v>
      </c>
      <c r="D2235" s="1" t="s">
        <v>1151</v>
      </c>
    </row>
    <row r="2236">
      <c r="A2236" s="1" t="s">
        <v>873</v>
      </c>
      <c r="B2236" s="1" t="str">
        <f>VLOOKUP(A2236,Institutions!A:B,2,False)</f>
        <v>United Kingdom</v>
      </c>
      <c r="C2236" s="8">
        <v>42736.0</v>
      </c>
      <c r="D2236" s="1" t="s">
        <v>999</v>
      </c>
    </row>
    <row r="2237">
      <c r="A2237" s="1" t="s">
        <v>875</v>
      </c>
      <c r="B2237" s="1" t="str">
        <f>VLOOKUP(A2237,Institutions!A:B,2,False)</f>
        <v>Germany</v>
      </c>
      <c r="C2237" s="8">
        <v>44927.0</v>
      </c>
      <c r="D2237" s="1" t="s">
        <v>1507</v>
      </c>
    </row>
    <row r="2238">
      <c r="A2238" s="1" t="s">
        <v>876</v>
      </c>
      <c r="B2238" s="1" t="str">
        <f>VLOOKUP(A2238,Institutions!A:B,2,False)</f>
        <v>Croatia</v>
      </c>
      <c r="C2238" s="8">
        <v>44927.0</v>
      </c>
      <c r="D2238" s="1" t="s">
        <v>1129</v>
      </c>
    </row>
    <row r="2239">
      <c r="A2239" s="1" t="s">
        <v>878</v>
      </c>
      <c r="B2239" s="1" t="str">
        <f>VLOOKUP(A2239,Institutions!A:B,2,False)</f>
        <v>India</v>
      </c>
      <c r="C2239" s="8">
        <v>43466.0</v>
      </c>
      <c r="D2239" s="1" t="s">
        <v>1720</v>
      </c>
    </row>
    <row r="2240">
      <c r="A2240" s="1" t="s">
        <v>880</v>
      </c>
      <c r="B2240" s="1" t="str">
        <f>VLOOKUP(A2240,Institutions!A:B,2,False)</f>
        <v>Russia</v>
      </c>
      <c r="C2240" s="8">
        <v>44562.0</v>
      </c>
      <c r="D2240" s="1" t="s">
        <v>503</v>
      </c>
    </row>
    <row r="2241">
      <c r="A2241" s="1" t="s">
        <v>881</v>
      </c>
      <c r="B2241" s="1" t="str">
        <f>VLOOKUP(A2241,Institutions!A:B,2,False)</f>
        <v>United States</v>
      </c>
      <c r="C2241" s="8">
        <v>41275.0</v>
      </c>
      <c r="D2241" s="1" t="s">
        <v>2321</v>
      </c>
    </row>
    <row r="2242">
      <c r="A2242" s="1" t="s">
        <v>882</v>
      </c>
      <c r="B2242" s="1" t="str">
        <f>VLOOKUP(A2242,Institutions!A:B,2,False)</f>
        <v>Poland</v>
      </c>
      <c r="C2242" s="8">
        <v>44562.0</v>
      </c>
      <c r="D2242" s="1" t="s">
        <v>499</v>
      </c>
    </row>
    <row r="2243">
      <c r="A2243" s="1" t="s">
        <v>883</v>
      </c>
      <c r="B2243" s="1" t="str">
        <f>VLOOKUP(A2243,Institutions!A:B,2,False)</f>
        <v>United States</v>
      </c>
      <c r="C2243" s="8">
        <v>43831.0</v>
      </c>
      <c r="D2243" s="1" t="s">
        <v>1542</v>
      </c>
    </row>
    <row r="2244">
      <c r="A2244" s="1" t="s">
        <v>884</v>
      </c>
      <c r="B2244" s="1" t="str">
        <f>VLOOKUP(A2244,Institutions!A:B,2,False)</f>
        <v>Colombia</v>
      </c>
      <c r="C2244" s="8">
        <v>44197.0</v>
      </c>
      <c r="D2244" s="1" t="s">
        <v>2294</v>
      </c>
    </row>
    <row r="2245">
      <c r="A2245" s="1" t="s">
        <v>885</v>
      </c>
      <c r="B2245" s="1" t="str">
        <f>VLOOKUP(A2245,Institutions!A:B,2,False)</f>
        <v>United Kingdom</v>
      </c>
      <c r="C2245" s="8">
        <v>39814.0</v>
      </c>
      <c r="D2245" s="1" t="s">
        <v>2304</v>
      </c>
    </row>
    <row r="2246">
      <c r="A2246" s="1" t="s">
        <v>887</v>
      </c>
      <c r="B2246" s="1" t="str">
        <f>VLOOKUP(A2246,Institutions!A:B,2,False)</f>
        <v>South Korea</v>
      </c>
      <c r="C2246" s="8">
        <v>39814.0</v>
      </c>
      <c r="D2246" s="1" t="s">
        <v>2322</v>
      </c>
    </row>
    <row r="2247">
      <c r="A2247" s="1" t="s">
        <v>889</v>
      </c>
      <c r="B2247" s="1" t="str">
        <f>VLOOKUP(A2247,Institutions!A:B,2,False)</f>
        <v>United States</v>
      </c>
      <c r="C2247" s="8">
        <v>45292.0</v>
      </c>
      <c r="D2247" s="1" t="s">
        <v>1117</v>
      </c>
    </row>
    <row r="2248">
      <c r="A2248" s="1" t="s">
        <v>890</v>
      </c>
      <c r="B2248" s="1" t="str">
        <f>VLOOKUP(A2248,Institutions!A:B,2,False)</f>
        <v>Germany</v>
      </c>
      <c r="C2248" s="8">
        <v>43101.0</v>
      </c>
      <c r="D2248" s="1" t="s">
        <v>2026</v>
      </c>
    </row>
    <row r="2249">
      <c r="A2249" s="1" t="s">
        <v>892</v>
      </c>
      <c r="B2249" s="1" t="str">
        <f>VLOOKUP(A2249,Institutions!A:B,2,False)</f>
        <v>United States</v>
      </c>
      <c r="C2249" s="8">
        <v>42370.0</v>
      </c>
      <c r="D2249" s="1" t="s">
        <v>2133</v>
      </c>
    </row>
    <row r="2250">
      <c r="A2250" s="1" t="s">
        <v>894</v>
      </c>
      <c r="B2250" s="1" t="str">
        <f>VLOOKUP(A2250,Institutions!A:B,2,False)</f>
        <v>Ireland</v>
      </c>
      <c r="C2250" s="8">
        <v>43831.0</v>
      </c>
      <c r="D2250" s="1" t="s">
        <v>957</v>
      </c>
    </row>
    <row r="2251">
      <c r="A2251" s="1" t="s">
        <v>895</v>
      </c>
      <c r="B2251" s="1" t="str">
        <f>VLOOKUP(A2251,Institutions!A:B,2,False)</f>
        <v>Luxembourg</v>
      </c>
      <c r="C2251" s="8">
        <v>42736.0</v>
      </c>
      <c r="D2251" s="1" t="s">
        <v>2201</v>
      </c>
    </row>
    <row r="2252">
      <c r="A2252" s="1" t="s">
        <v>897</v>
      </c>
      <c r="B2252" s="1" t="str">
        <f>VLOOKUP(A2252,Institutions!A:B,2,False)</f>
        <v>United Kingdom</v>
      </c>
      <c r="C2252" s="8">
        <v>44197.0</v>
      </c>
      <c r="D2252" s="1" t="s">
        <v>2032</v>
      </c>
    </row>
    <row r="2253">
      <c r="A2253" s="1" t="s">
        <v>898</v>
      </c>
      <c r="B2253" s="1" t="str">
        <f>VLOOKUP(A2253,Institutions!A:B,2,False)</f>
        <v>United States</v>
      </c>
      <c r="C2253" s="8">
        <v>43101.0</v>
      </c>
      <c r="D2253" s="1" t="s">
        <v>624</v>
      </c>
    </row>
    <row r="2254">
      <c r="A2254" s="1" t="s">
        <v>900</v>
      </c>
      <c r="B2254" s="1" t="str">
        <f>VLOOKUP(A2254,Institutions!A:B,2,False)</f>
        <v>United Kingdom</v>
      </c>
      <c r="C2254" s="8">
        <v>45292.0</v>
      </c>
      <c r="D2254" s="1" t="s">
        <v>1119</v>
      </c>
    </row>
    <row r="2255">
      <c r="A2255" s="1" t="s">
        <v>901</v>
      </c>
      <c r="B2255" s="1" t="str">
        <f>VLOOKUP(A2255,Institutions!A:B,2,False)</f>
        <v>United States</v>
      </c>
      <c r="C2255" s="8">
        <v>42370.0</v>
      </c>
      <c r="D2255" s="1" t="s">
        <v>2238</v>
      </c>
    </row>
    <row r="2256">
      <c r="A2256" s="1" t="s">
        <v>902</v>
      </c>
      <c r="B2256" s="1" t="str">
        <f>VLOOKUP(A2256,Institutions!A:B,2,False)</f>
        <v>Portugal</v>
      </c>
      <c r="C2256" s="8">
        <v>44562.0</v>
      </c>
      <c r="D2256" s="1" t="s">
        <v>1159</v>
      </c>
    </row>
    <row r="2257">
      <c r="A2257" s="1" t="s">
        <v>904</v>
      </c>
      <c r="B2257" s="1" t="str">
        <f>VLOOKUP(A2257,Institutions!A:B,2,False)</f>
        <v>Slovenia</v>
      </c>
      <c r="C2257" s="8">
        <v>44562.0</v>
      </c>
      <c r="D2257" s="1" t="s">
        <v>1288</v>
      </c>
    </row>
    <row r="2258">
      <c r="A2258" s="1" t="s">
        <v>905</v>
      </c>
      <c r="B2258" s="1" t="str">
        <f>VLOOKUP(A2258,Institutions!A:B,2,False)</f>
        <v>United Kingdom</v>
      </c>
      <c r="C2258" s="8">
        <v>44197.0</v>
      </c>
      <c r="D2258" s="1" t="s">
        <v>2032</v>
      </c>
    </row>
    <row r="2259">
      <c r="A2259" s="1" t="s">
        <v>906</v>
      </c>
      <c r="B2259" s="1" t="str">
        <f>VLOOKUP(A2259,Institutions!A:B,2,False)</f>
        <v>Czech Republic</v>
      </c>
      <c r="C2259" s="8">
        <v>42370.0</v>
      </c>
      <c r="D2259" s="1" t="s">
        <v>2323</v>
      </c>
    </row>
    <row r="2260">
      <c r="A2260" s="1" t="s">
        <v>907</v>
      </c>
      <c r="B2260" s="1" t="str">
        <f>VLOOKUP(A2260,Institutions!A:B,2,False)</f>
        <v>Italy</v>
      </c>
      <c r="C2260" s="8">
        <v>39814.0</v>
      </c>
      <c r="D2260" s="1" t="s">
        <v>2324</v>
      </c>
    </row>
    <row r="2261">
      <c r="A2261" s="1" t="s">
        <v>908</v>
      </c>
      <c r="B2261" s="1" t="str">
        <f>VLOOKUP(A2261,Institutions!A:B,2,False)</f>
        <v>Spain</v>
      </c>
      <c r="C2261" s="8">
        <v>45292.0</v>
      </c>
      <c r="D2261" s="1" t="s">
        <v>1497</v>
      </c>
    </row>
    <row r="2262">
      <c r="A2262" s="1" t="s">
        <v>909</v>
      </c>
      <c r="B2262" s="1" t="str">
        <f>VLOOKUP(A2262,Institutions!A:B,2,False)</f>
        <v>Norway</v>
      </c>
      <c r="C2262" s="8">
        <v>45292.0</v>
      </c>
      <c r="D2262" s="1" t="s">
        <v>761</v>
      </c>
    </row>
    <row r="2263">
      <c r="A2263" s="1" t="s">
        <v>911</v>
      </c>
      <c r="B2263" s="1" t="str">
        <f>VLOOKUP(A2263,Institutions!A:B,2,False)</f>
        <v>Switzerland</v>
      </c>
      <c r="C2263" s="8">
        <v>44562.0</v>
      </c>
      <c r="D2263" s="1" t="s">
        <v>1216</v>
      </c>
    </row>
    <row r="2264">
      <c r="A2264" s="1" t="s">
        <v>912</v>
      </c>
      <c r="B2264" s="1" t="str">
        <f>VLOOKUP(A2264,Institutions!A:B,2,False)</f>
        <v>India</v>
      </c>
      <c r="C2264" s="8">
        <v>41275.0</v>
      </c>
      <c r="D2264" s="1" t="s">
        <v>2325</v>
      </c>
    </row>
    <row r="2265">
      <c r="A2265" s="1" t="s">
        <v>914</v>
      </c>
      <c r="B2265" s="1" t="str">
        <f>VLOOKUP(A2265,Institutions!A:B,2,False)</f>
        <v>China</v>
      </c>
      <c r="C2265" s="8">
        <v>44927.0</v>
      </c>
      <c r="D2265" s="1" t="s">
        <v>1270</v>
      </c>
    </row>
    <row r="2266">
      <c r="A2266" s="1" t="s">
        <v>915</v>
      </c>
      <c r="B2266" s="1" t="str">
        <f>VLOOKUP(A2266,Institutions!A:B,2,False)</f>
        <v>Netherlands</v>
      </c>
      <c r="C2266" s="8">
        <v>44197.0</v>
      </c>
      <c r="D2266" s="1" t="s">
        <v>1302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2326</v>
      </c>
      <c r="B1" s="1" t="s">
        <v>2205</v>
      </c>
      <c r="C1" s="1" t="s">
        <v>1928</v>
      </c>
      <c r="D1" s="1" t="s">
        <v>2007</v>
      </c>
      <c r="E1" s="1" t="s">
        <v>2005</v>
      </c>
      <c r="F1" s="1" t="s">
        <v>1691</v>
      </c>
      <c r="G1" s="1" t="s">
        <v>1888</v>
      </c>
      <c r="H1" s="1" t="s">
        <v>1883</v>
      </c>
      <c r="I1" s="1" t="s">
        <v>1763</v>
      </c>
      <c r="J1" s="1" t="s">
        <v>1748</v>
      </c>
      <c r="K1" s="1" t="s">
        <v>1848</v>
      </c>
      <c r="L1" s="1" t="s">
        <v>1492</v>
      </c>
      <c r="M1" s="1" t="s">
        <v>1425</v>
      </c>
      <c r="N1" s="1" t="s">
        <v>1410</v>
      </c>
      <c r="O1" s="1" t="s">
        <v>1400</v>
      </c>
      <c r="P1" s="1" t="s">
        <v>1093</v>
      </c>
      <c r="Q1" s="1" t="s">
        <v>1071</v>
      </c>
      <c r="R1" s="1" t="s">
        <v>997</v>
      </c>
      <c r="S1" s="1" t="s">
        <v>403</v>
      </c>
      <c r="T1" s="1" t="s">
        <v>378</v>
      </c>
      <c r="U1" s="1" t="s">
        <v>330</v>
      </c>
      <c r="V1" s="1" t="s">
        <v>158</v>
      </c>
      <c r="W1" s="1" t="s">
        <v>77</v>
      </c>
      <c r="X1" s="1" t="s">
        <v>29</v>
      </c>
      <c r="Y1" s="1" t="s">
        <v>6</v>
      </c>
      <c r="Z1" s="2" t="s">
        <v>2328</v>
      </c>
    </row>
    <row r="2">
      <c r="A2" s="1" t="s">
        <v>8</v>
      </c>
      <c r="C2" s="1">
        <v>2.0</v>
      </c>
      <c r="E2" s="1">
        <v>2.0</v>
      </c>
      <c r="F2" s="1">
        <v>3.0</v>
      </c>
      <c r="G2" s="1">
        <v>5.0</v>
      </c>
      <c r="H2" s="1">
        <v>7.0</v>
      </c>
      <c r="I2" s="1">
        <v>7.0</v>
      </c>
      <c r="J2" s="1">
        <v>20.0</v>
      </c>
      <c r="K2" s="1">
        <v>15.0</v>
      </c>
      <c r="L2" s="1">
        <v>12.0</v>
      </c>
      <c r="M2" s="1">
        <v>24.0</v>
      </c>
      <c r="N2" s="1">
        <v>30.0</v>
      </c>
      <c r="O2" s="1">
        <v>29.0</v>
      </c>
      <c r="P2" s="1">
        <v>16.0</v>
      </c>
      <c r="Q2" s="1">
        <v>22.0</v>
      </c>
      <c r="R2" s="1">
        <v>14.0</v>
      </c>
      <c r="S2" s="1">
        <v>19.0</v>
      </c>
      <c r="T2" s="1">
        <v>24.0</v>
      </c>
      <c r="U2" s="1">
        <v>24.0</v>
      </c>
      <c r="V2" s="1">
        <v>38.0</v>
      </c>
      <c r="W2" s="1">
        <v>41.0</v>
      </c>
      <c r="X2" s="1">
        <v>46.0</v>
      </c>
      <c r="Y2" s="1">
        <v>13.0</v>
      </c>
      <c r="Z2" s="1">
        <v>413.0</v>
      </c>
    </row>
    <row r="3">
      <c r="A3" s="1" t="s">
        <v>31</v>
      </c>
      <c r="B3" s="1">
        <v>1.0</v>
      </c>
      <c r="D3" s="1">
        <v>3.0</v>
      </c>
      <c r="E3" s="1">
        <v>1.0</v>
      </c>
      <c r="F3" s="1">
        <v>2.0</v>
      </c>
      <c r="G3" s="1">
        <v>1.0</v>
      </c>
      <c r="I3" s="1">
        <v>2.0</v>
      </c>
      <c r="J3" s="1">
        <v>12.0</v>
      </c>
      <c r="K3" s="1">
        <v>4.0</v>
      </c>
      <c r="L3" s="1">
        <v>7.0</v>
      </c>
      <c r="M3" s="1">
        <v>5.0</v>
      </c>
      <c r="N3" s="1">
        <v>7.0</v>
      </c>
      <c r="O3" s="1">
        <v>9.0</v>
      </c>
      <c r="P3" s="1">
        <v>2.0</v>
      </c>
      <c r="Q3" s="1">
        <v>6.0</v>
      </c>
      <c r="R3" s="1">
        <v>11.0</v>
      </c>
      <c r="S3" s="1">
        <v>19.0</v>
      </c>
      <c r="T3" s="1">
        <v>16.0</v>
      </c>
      <c r="U3" s="1">
        <v>33.0</v>
      </c>
      <c r="V3" s="1">
        <v>40.0</v>
      </c>
      <c r="W3" s="1">
        <v>41.0</v>
      </c>
      <c r="X3" s="1">
        <v>57.0</v>
      </c>
      <c r="Y3" s="1">
        <v>19.0</v>
      </c>
      <c r="Z3" s="1">
        <v>298.0</v>
      </c>
    </row>
    <row r="4">
      <c r="A4" s="1" t="s">
        <v>64</v>
      </c>
      <c r="K4" s="1">
        <v>9.0</v>
      </c>
      <c r="L4" s="1">
        <v>2.0</v>
      </c>
      <c r="M4" s="1">
        <v>3.0</v>
      </c>
      <c r="N4" s="1">
        <v>6.0</v>
      </c>
      <c r="O4" s="1">
        <v>7.0</v>
      </c>
      <c r="P4" s="1">
        <v>7.0</v>
      </c>
      <c r="Q4" s="1">
        <v>6.0</v>
      </c>
      <c r="R4" s="1">
        <v>11.0</v>
      </c>
      <c r="S4" s="1">
        <v>30.0</v>
      </c>
      <c r="T4" s="1">
        <v>23.0</v>
      </c>
      <c r="U4" s="1">
        <v>30.0</v>
      </c>
      <c r="V4" s="1">
        <v>33.0</v>
      </c>
      <c r="W4" s="1">
        <v>42.0</v>
      </c>
      <c r="X4" s="1">
        <v>41.0</v>
      </c>
      <c r="Y4" s="1">
        <v>22.0</v>
      </c>
      <c r="Z4" s="1">
        <v>272.0</v>
      </c>
    </row>
    <row r="5">
      <c r="A5" s="1" t="s">
        <v>39</v>
      </c>
      <c r="G5" s="1">
        <v>1.0</v>
      </c>
      <c r="H5" s="1">
        <v>2.0</v>
      </c>
      <c r="I5" s="1">
        <v>3.0</v>
      </c>
      <c r="J5" s="1">
        <v>8.0</v>
      </c>
      <c r="K5" s="1">
        <v>7.0</v>
      </c>
      <c r="L5" s="1">
        <v>3.0</v>
      </c>
      <c r="M5" s="1">
        <v>10.0</v>
      </c>
      <c r="N5" s="1">
        <v>8.0</v>
      </c>
      <c r="O5" s="1">
        <v>12.0</v>
      </c>
      <c r="P5" s="1">
        <v>5.0</v>
      </c>
      <c r="Q5" s="1">
        <v>15.0</v>
      </c>
      <c r="R5" s="1">
        <v>6.0</v>
      </c>
      <c r="S5" s="1">
        <v>16.0</v>
      </c>
      <c r="T5" s="1">
        <v>17.0</v>
      </c>
      <c r="U5" s="1">
        <v>22.0</v>
      </c>
      <c r="V5" s="1">
        <v>27.0</v>
      </c>
      <c r="W5" s="1">
        <v>20.0</v>
      </c>
      <c r="X5" s="1">
        <v>21.0</v>
      </c>
      <c r="Y5" s="1">
        <v>4.0</v>
      </c>
      <c r="Z5" s="1">
        <v>207.0</v>
      </c>
    </row>
    <row r="6">
      <c r="A6" s="1" t="s">
        <v>25</v>
      </c>
      <c r="I6" s="1">
        <v>5.0</v>
      </c>
      <c r="J6" s="1">
        <v>6.0</v>
      </c>
      <c r="K6" s="1">
        <v>6.0</v>
      </c>
      <c r="L6" s="1">
        <v>1.0</v>
      </c>
      <c r="M6" s="1">
        <v>2.0</v>
      </c>
      <c r="N6" s="1">
        <v>3.0</v>
      </c>
      <c r="O6" s="1">
        <v>7.0</v>
      </c>
      <c r="P6" s="1">
        <v>2.0</v>
      </c>
      <c r="Q6" s="1">
        <v>4.0</v>
      </c>
      <c r="R6" s="1">
        <v>9.0</v>
      </c>
      <c r="S6" s="1">
        <v>13.0</v>
      </c>
      <c r="T6" s="1">
        <v>17.0</v>
      </c>
      <c r="U6" s="1">
        <v>19.0</v>
      </c>
      <c r="V6" s="1">
        <v>14.0</v>
      </c>
      <c r="W6" s="1">
        <v>12.0</v>
      </c>
      <c r="X6" s="1">
        <v>10.0</v>
      </c>
      <c r="Y6" s="1">
        <v>2.0</v>
      </c>
      <c r="Z6" s="1">
        <v>132.0</v>
      </c>
    </row>
    <row r="7">
      <c r="A7" s="1" t="s">
        <v>89</v>
      </c>
      <c r="I7" s="1">
        <v>3.0</v>
      </c>
      <c r="J7" s="1">
        <v>3.0</v>
      </c>
      <c r="K7" s="1">
        <v>2.0</v>
      </c>
      <c r="L7" s="1">
        <v>2.0</v>
      </c>
      <c r="M7" s="1">
        <v>2.0</v>
      </c>
      <c r="O7" s="1">
        <v>4.0</v>
      </c>
      <c r="P7" s="1">
        <v>3.0</v>
      </c>
      <c r="Q7" s="1">
        <v>5.0</v>
      </c>
      <c r="R7" s="1">
        <v>5.0</v>
      </c>
      <c r="S7" s="1">
        <v>9.0</v>
      </c>
      <c r="T7" s="1">
        <v>12.0</v>
      </c>
      <c r="U7" s="1">
        <v>16.0</v>
      </c>
      <c r="V7" s="1">
        <v>20.0</v>
      </c>
      <c r="W7" s="1">
        <v>10.0</v>
      </c>
      <c r="X7" s="1">
        <v>13.0</v>
      </c>
      <c r="Y7" s="1">
        <v>3.0</v>
      </c>
      <c r="Z7" s="1">
        <v>112.0</v>
      </c>
    </row>
    <row r="8">
      <c r="A8" s="1" t="s">
        <v>19</v>
      </c>
      <c r="J8" s="1">
        <v>3.0</v>
      </c>
      <c r="K8" s="1">
        <v>8.0</v>
      </c>
      <c r="L8" s="1">
        <v>7.0</v>
      </c>
      <c r="M8" s="1">
        <v>4.0</v>
      </c>
      <c r="N8" s="1">
        <v>5.0</v>
      </c>
      <c r="O8" s="1">
        <v>12.0</v>
      </c>
      <c r="P8" s="1">
        <v>3.0</v>
      </c>
      <c r="Q8" s="1">
        <v>2.0</v>
      </c>
      <c r="R8" s="1">
        <v>4.0</v>
      </c>
      <c r="S8" s="1">
        <v>10.0</v>
      </c>
      <c r="T8" s="1">
        <v>6.0</v>
      </c>
      <c r="U8" s="1">
        <v>4.0</v>
      </c>
      <c r="V8" s="1">
        <v>6.0</v>
      </c>
      <c r="W8" s="1">
        <v>13.0</v>
      </c>
      <c r="X8" s="1">
        <v>9.0</v>
      </c>
      <c r="Y8" s="1">
        <v>1.0</v>
      </c>
      <c r="Z8" s="1">
        <v>97.0</v>
      </c>
    </row>
    <row r="9">
      <c r="A9" s="1" t="s">
        <v>36</v>
      </c>
      <c r="J9" s="1">
        <v>1.0</v>
      </c>
      <c r="K9" s="1">
        <v>2.0</v>
      </c>
      <c r="L9" s="1">
        <v>3.0</v>
      </c>
      <c r="N9" s="1">
        <v>1.0</v>
      </c>
      <c r="O9" s="1">
        <v>2.0</v>
      </c>
      <c r="P9" s="1">
        <v>1.0</v>
      </c>
      <c r="Q9" s="1">
        <v>3.0</v>
      </c>
      <c r="R9" s="1">
        <v>2.0</v>
      </c>
      <c r="S9" s="1">
        <v>5.0</v>
      </c>
      <c r="T9" s="1">
        <v>10.0</v>
      </c>
      <c r="U9" s="1">
        <v>11.0</v>
      </c>
      <c r="V9" s="1">
        <v>16.0</v>
      </c>
      <c r="W9" s="1">
        <v>3.0</v>
      </c>
      <c r="X9" s="1">
        <v>8.0</v>
      </c>
      <c r="Y9" s="1">
        <v>2.0</v>
      </c>
      <c r="Z9" s="1">
        <v>70.0</v>
      </c>
    </row>
    <row r="10">
      <c r="A10" s="1" t="s">
        <v>22</v>
      </c>
      <c r="I10" s="1">
        <v>2.0</v>
      </c>
      <c r="J10" s="1">
        <v>1.0</v>
      </c>
      <c r="K10" s="1">
        <v>9.0</v>
      </c>
      <c r="L10" s="1">
        <v>2.0</v>
      </c>
      <c r="M10" s="1">
        <v>6.0</v>
      </c>
      <c r="N10" s="1">
        <v>10.0</v>
      </c>
      <c r="O10" s="1">
        <v>7.0</v>
      </c>
      <c r="P10" s="1">
        <v>3.0</v>
      </c>
      <c r="R10" s="1">
        <v>3.0</v>
      </c>
      <c r="T10" s="1">
        <v>1.0</v>
      </c>
      <c r="U10" s="1">
        <v>3.0</v>
      </c>
      <c r="V10" s="1">
        <v>3.0</v>
      </c>
      <c r="W10" s="1">
        <v>2.0</v>
      </c>
      <c r="X10" s="1">
        <v>7.0</v>
      </c>
      <c r="Y10" s="1">
        <v>2.0</v>
      </c>
      <c r="Z10" s="1">
        <v>61.0</v>
      </c>
    </row>
    <row r="11">
      <c r="A11" s="1" t="s">
        <v>92</v>
      </c>
      <c r="K11" s="1">
        <v>4.0</v>
      </c>
      <c r="L11" s="1">
        <v>3.0</v>
      </c>
      <c r="N11" s="1">
        <v>3.0</v>
      </c>
      <c r="O11" s="1">
        <v>2.0</v>
      </c>
      <c r="P11" s="1">
        <v>2.0</v>
      </c>
      <c r="Q11" s="1">
        <v>3.0</v>
      </c>
      <c r="R11" s="1">
        <v>7.0</v>
      </c>
      <c r="S11" s="1">
        <v>8.0</v>
      </c>
      <c r="T11" s="1">
        <v>1.0</v>
      </c>
      <c r="U11" s="1">
        <v>2.0</v>
      </c>
      <c r="V11" s="1">
        <v>4.0</v>
      </c>
      <c r="W11" s="1">
        <v>5.0</v>
      </c>
      <c r="X11" s="1">
        <v>5.0</v>
      </c>
      <c r="Y11" s="1">
        <v>3.0</v>
      </c>
      <c r="Z11" s="1">
        <v>52.0</v>
      </c>
    </row>
    <row r="12">
      <c r="A12" s="1" t="s">
        <v>82</v>
      </c>
      <c r="K12" s="1">
        <v>1.0</v>
      </c>
      <c r="O12" s="1">
        <v>1.0</v>
      </c>
      <c r="P12" s="1">
        <v>4.0</v>
      </c>
      <c r="Q12" s="1">
        <v>1.0</v>
      </c>
      <c r="R12" s="1">
        <v>2.0</v>
      </c>
      <c r="S12" s="1">
        <v>1.0</v>
      </c>
      <c r="T12" s="1">
        <v>2.0</v>
      </c>
      <c r="U12" s="1">
        <v>7.0</v>
      </c>
      <c r="V12" s="1">
        <v>10.0</v>
      </c>
      <c r="W12" s="1">
        <v>12.0</v>
      </c>
      <c r="X12" s="1">
        <v>9.0</v>
      </c>
      <c r="Y12" s="1">
        <v>1.0</v>
      </c>
      <c r="Z12" s="1">
        <v>51.0</v>
      </c>
    </row>
    <row r="13">
      <c r="A13" s="1" t="s">
        <v>53</v>
      </c>
      <c r="J13" s="1">
        <v>3.0</v>
      </c>
      <c r="K13" s="1">
        <v>1.0</v>
      </c>
      <c r="Q13" s="1">
        <v>3.0</v>
      </c>
      <c r="T13" s="1">
        <v>4.0</v>
      </c>
      <c r="U13" s="1">
        <v>4.0</v>
      </c>
      <c r="V13" s="1">
        <v>9.0</v>
      </c>
      <c r="W13" s="1">
        <v>11.0</v>
      </c>
      <c r="X13" s="1">
        <v>11.0</v>
      </c>
      <c r="Y13" s="1">
        <v>5.0</v>
      </c>
      <c r="Z13" s="1">
        <v>51.0</v>
      </c>
    </row>
    <row r="14">
      <c r="A14" s="1" t="s">
        <v>112</v>
      </c>
      <c r="J14" s="1">
        <v>1.0</v>
      </c>
      <c r="K14" s="1">
        <v>4.0</v>
      </c>
      <c r="L14" s="1">
        <v>1.0</v>
      </c>
      <c r="M14" s="1">
        <v>2.0</v>
      </c>
      <c r="N14" s="1">
        <v>4.0</v>
      </c>
      <c r="O14" s="1">
        <v>4.0</v>
      </c>
      <c r="P14" s="1">
        <v>3.0</v>
      </c>
      <c r="Q14" s="1">
        <v>1.0</v>
      </c>
      <c r="S14" s="1">
        <v>1.0</v>
      </c>
      <c r="T14" s="1">
        <v>4.0</v>
      </c>
      <c r="U14" s="1">
        <v>1.0</v>
      </c>
      <c r="V14" s="1">
        <v>9.0</v>
      </c>
      <c r="W14" s="1">
        <v>6.0</v>
      </c>
      <c r="X14" s="1">
        <v>3.0</v>
      </c>
      <c r="Z14" s="1">
        <v>44.0</v>
      </c>
    </row>
    <row r="15">
      <c r="A15" s="1" t="s">
        <v>79</v>
      </c>
      <c r="L15" s="1">
        <v>1.0</v>
      </c>
      <c r="O15" s="1">
        <v>1.0</v>
      </c>
      <c r="P15" s="1">
        <v>1.0</v>
      </c>
      <c r="R15" s="1">
        <v>3.0</v>
      </c>
      <c r="S15" s="1">
        <v>3.0</v>
      </c>
      <c r="T15" s="1">
        <v>4.0</v>
      </c>
      <c r="U15" s="1">
        <v>4.0</v>
      </c>
      <c r="V15" s="1">
        <v>3.0</v>
      </c>
      <c r="W15" s="1">
        <v>9.0</v>
      </c>
      <c r="X15" s="1">
        <v>11.0</v>
      </c>
      <c r="Y15" s="1">
        <v>3.0</v>
      </c>
      <c r="Z15" s="1">
        <v>43.0</v>
      </c>
    </row>
    <row r="16">
      <c r="A16" s="1" t="s">
        <v>149</v>
      </c>
      <c r="J16" s="1">
        <v>1.0</v>
      </c>
      <c r="M16" s="1">
        <v>1.0</v>
      </c>
      <c r="Q16" s="1">
        <v>1.0</v>
      </c>
      <c r="R16" s="1">
        <v>5.0</v>
      </c>
      <c r="S16" s="1">
        <v>4.0</v>
      </c>
      <c r="T16" s="1">
        <v>4.0</v>
      </c>
      <c r="U16" s="1">
        <v>5.0</v>
      </c>
      <c r="V16" s="1">
        <v>4.0</v>
      </c>
      <c r="W16" s="1">
        <v>5.0</v>
      </c>
      <c r="X16" s="1">
        <v>6.0</v>
      </c>
      <c r="Y16" s="1">
        <v>1.0</v>
      </c>
      <c r="Z16" s="1">
        <v>37.0</v>
      </c>
    </row>
    <row r="17">
      <c r="A17" s="1" t="s">
        <v>75</v>
      </c>
      <c r="I17" s="1">
        <v>2.0</v>
      </c>
      <c r="J17" s="1">
        <v>2.0</v>
      </c>
      <c r="K17" s="1">
        <v>10.0</v>
      </c>
      <c r="L17" s="1">
        <v>2.0</v>
      </c>
      <c r="M17" s="1">
        <v>1.0</v>
      </c>
      <c r="S17" s="1">
        <v>5.0</v>
      </c>
      <c r="T17" s="1">
        <v>2.0</v>
      </c>
      <c r="V17" s="1">
        <v>1.0</v>
      </c>
      <c r="W17" s="1">
        <v>2.0</v>
      </c>
      <c r="X17" s="1">
        <v>3.0</v>
      </c>
      <c r="Y17" s="1">
        <v>4.0</v>
      </c>
      <c r="Z17" s="1">
        <v>34.0</v>
      </c>
    </row>
    <row r="18">
      <c r="A18" s="1" t="s">
        <v>50</v>
      </c>
      <c r="E18" s="1">
        <v>2.0</v>
      </c>
      <c r="F18" s="1">
        <v>1.0</v>
      </c>
      <c r="I18" s="1">
        <v>1.0</v>
      </c>
      <c r="K18" s="1">
        <v>7.0</v>
      </c>
      <c r="L18" s="1">
        <v>3.0</v>
      </c>
      <c r="M18" s="1">
        <v>1.0</v>
      </c>
      <c r="N18" s="1">
        <v>1.0</v>
      </c>
      <c r="O18" s="1">
        <v>3.0</v>
      </c>
      <c r="R18" s="1">
        <v>1.0</v>
      </c>
      <c r="S18" s="1">
        <v>2.0</v>
      </c>
      <c r="T18" s="1">
        <v>2.0</v>
      </c>
      <c r="U18" s="1">
        <v>4.0</v>
      </c>
      <c r="V18" s="1">
        <v>5.0</v>
      </c>
      <c r="X18" s="1">
        <v>1.0</v>
      </c>
      <c r="Z18" s="1">
        <v>34.0</v>
      </c>
    </row>
    <row r="19">
      <c r="A19" s="1" t="s">
        <v>190</v>
      </c>
      <c r="N19" s="1">
        <v>3.0</v>
      </c>
      <c r="O19" s="1">
        <v>1.0</v>
      </c>
      <c r="R19" s="1">
        <v>4.0</v>
      </c>
      <c r="T19" s="1">
        <v>5.0</v>
      </c>
      <c r="U19" s="1">
        <v>1.0</v>
      </c>
      <c r="V19" s="1">
        <v>2.0</v>
      </c>
      <c r="W19" s="1">
        <v>4.0</v>
      </c>
      <c r="X19" s="1">
        <v>3.0</v>
      </c>
      <c r="Y19" s="1">
        <v>3.0</v>
      </c>
      <c r="Z19" s="1">
        <v>26.0</v>
      </c>
    </row>
    <row r="20">
      <c r="A20" s="1" t="s">
        <v>249</v>
      </c>
      <c r="J20" s="1">
        <v>1.0</v>
      </c>
      <c r="L20" s="1">
        <v>1.0</v>
      </c>
      <c r="M20" s="1">
        <v>1.0</v>
      </c>
      <c r="R20" s="1">
        <v>5.0</v>
      </c>
      <c r="S20" s="1">
        <v>1.0</v>
      </c>
      <c r="T20" s="1">
        <v>2.0</v>
      </c>
      <c r="V20" s="1">
        <v>1.0</v>
      </c>
      <c r="W20" s="1">
        <v>2.0</v>
      </c>
      <c r="X20" s="1">
        <v>5.0</v>
      </c>
      <c r="Z20" s="1">
        <v>19.0</v>
      </c>
    </row>
    <row r="21">
      <c r="A21" s="1" t="s">
        <v>213</v>
      </c>
      <c r="O21" s="1">
        <v>1.0</v>
      </c>
      <c r="P21" s="1">
        <v>1.0</v>
      </c>
      <c r="R21" s="1">
        <v>1.0</v>
      </c>
      <c r="S21" s="1">
        <v>1.0</v>
      </c>
      <c r="T21" s="1">
        <v>1.0</v>
      </c>
      <c r="V21" s="1">
        <v>3.0</v>
      </c>
      <c r="W21" s="1">
        <v>3.0</v>
      </c>
      <c r="X21" s="1">
        <v>5.0</v>
      </c>
      <c r="Y21" s="1">
        <v>2.0</v>
      </c>
      <c r="Z21" s="1">
        <v>18.0</v>
      </c>
    </row>
    <row r="22">
      <c r="A22" s="1" t="s">
        <v>156</v>
      </c>
      <c r="O22" s="1">
        <v>2.0</v>
      </c>
      <c r="P22" s="1">
        <v>1.0</v>
      </c>
      <c r="R22" s="1">
        <v>2.0</v>
      </c>
      <c r="S22" s="1">
        <v>5.0</v>
      </c>
      <c r="T22" s="1">
        <v>1.0</v>
      </c>
      <c r="U22" s="1">
        <v>2.0</v>
      </c>
      <c r="V22" s="1">
        <v>2.0</v>
      </c>
      <c r="W22" s="1">
        <v>2.0</v>
      </c>
      <c r="Z22" s="1">
        <v>17.0</v>
      </c>
    </row>
    <row r="23">
      <c r="A23" s="1" t="s">
        <v>178</v>
      </c>
      <c r="M23" s="1">
        <v>1.0</v>
      </c>
      <c r="N23" s="1">
        <v>1.0</v>
      </c>
      <c r="S23" s="1">
        <v>1.0</v>
      </c>
      <c r="T23" s="1">
        <v>2.0</v>
      </c>
      <c r="U23" s="1">
        <v>2.0</v>
      </c>
      <c r="V23" s="1">
        <v>2.0</v>
      </c>
      <c r="X23" s="1">
        <v>7.0</v>
      </c>
      <c r="Y23" s="1">
        <v>1.0</v>
      </c>
      <c r="Z23" s="1">
        <v>17.0</v>
      </c>
    </row>
    <row r="24">
      <c r="A24" s="1" t="s">
        <v>110</v>
      </c>
      <c r="Q24" s="1">
        <v>1.0</v>
      </c>
      <c r="R24" s="1">
        <v>1.0</v>
      </c>
      <c r="T24" s="1">
        <v>2.0</v>
      </c>
      <c r="U24" s="1">
        <v>2.0</v>
      </c>
      <c r="V24" s="1">
        <v>5.0</v>
      </c>
      <c r="W24" s="1">
        <v>2.0</v>
      </c>
      <c r="X24" s="1">
        <v>1.0</v>
      </c>
      <c r="Z24" s="1">
        <v>14.0</v>
      </c>
    </row>
    <row r="25">
      <c r="A25" s="1" t="s">
        <v>206</v>
      </c>
      <c r="S25" s="1">
        <v>3.0</v>
      </c>
      <c r="T25" s="1">
        <v>4.0</v>
      </c>
      <c r="U25" s="1">
        <v>2.0</v>
      </c>
      <c r="V25" s="1">
        <v>3.0</v>
      </c>
      <c r="W25" s="1">
        <v>1.0</v>
      </c>
      <c r="X25" s="1">
        <v>1.0</v>
      </c>
      <c r="Z25" s="1">
        <v>14.0</v>
      </c>
    </row>
    <row r="26">
      <c r="A26" s="1" t="s">
        <v>243</v>
      </c>
      <c r="J26" s="1">
        <v>1.0</v>
      </c>
      <c r="N26" s="1">
        <v>1.0</v>
      </c>
      <c r="S26" s="1">
        <v>2.0</v>
      </c>
      <c r="T26" s="1">
        <v>1.0</v>
      </c>
      <c r="U26" s="1">
        <v>1.0</v>
      </c>
      <c r="V26" s="1">
        <v>2.0</v>
      </c>
      <c r="W26" s="1">
        <v>1.0</v>
      </c>
      <c r="X26" s="1">
        <v>2.0</v>
      </c>
      <c r="Y26" s="1">
        <v>2.0</v>
      </c>
      <c r="Z26" s="1">
        <v>13.0</v>
      </c>
    </row>
    <row r="27">
      <c r="A27" s="1" t="s">
        <v>101</v>
      </c>
      <c r="J27" s="1">
        <v>1.0</v>
      </c>
      <c r="K27" s="1">
        <v>2.0</v>
      </c>
      <c r="R27" s="1">
        <v>2.0</v>
      </c>
      <c r="S27" s="1">
        <v>4.0</v>
      </c>
      <c r="T27" s="1">
        <v>2.0</v>
      </c>
      <c r="U27" s="1">
        <v>1.0</v>
      </c>
      <c r="Z27" s="1">
        <v>12.0</v>
      </c>
    </row>
    <row r="28">
      <c r="A28" s="1" t="s">
        <v>139</v>
      </c>
      <c r="P28" s="1">
        <v>1.0</v>
      </c>
      <c r="R28" s="1">
        <v>3.0</v>
      </c>
      <c r="S28" s="1">
        <v>2.0</v>
      </c>
      <c r="U28" s="1">
        <v>2.0</v>
      </c>
      <c r="V28" s="1">
        <v>1.0</v>
      </c>
      <c r="Z28" s="1">
        <v>9.0</v>
      </c>
    </row>
    <row r="29">
      <c r="A29" s="1" t="s">
        <v>315</v>
      </c>
      <c r="T29" s="1">
        <v>1.0</v>
      </c>
      <c r="U29" s="1">
        <v>1.0</v>
      </c>
      <c r="W29" s="1">
        <v>3.0</v>
      </c>
      <c r="X29" s="1">
        <v>3.0</v>
      </c>
      <c r="Z29" s="1">
        <v>8.0</v>
      </c>
    </row>
    <row r="30">
      <c r="A30" s="1" t="s">
        <v>183</v>
      </c>
      <c r="T30" s="1">
        <v>1.0</v>
      </c>
      <c r="W30" s="1">
        <v>4.0</v>
      </c>
      <c r="X30" s="1">
        <v>3.0</v>
      </c>
      <c r="Z30" s="1">
        <v>8.0</v>
      </c>
    </row>
    <row r="31">
      <c r="A31" s="1" t="s">
        <v>341</v>
      </c>
      <c r="J31" s="1">
        <v>1.0</v>
      </c>
      <c r="O31" s="1">
        <v>1.0</v>
      </c>
      <c r="V31" s="1">
        <v>1.0</v>
      </c>
      <c r="W31" s="1">
        <v>2.0</v>
      </c>
      <c r="X31" s="1">
        <v>1.0</v>
      </c>
      <c r="Y31" s="1">
        <v>2.0</v>
      </c>
      <c r="Z31" s="1">
        <v>8.0</v>
      </c>
    </row>
    <row r="32">
      <c r="A32" s="1" t="s">
        <v>264</v>
      </c>
      <c r="K32" s="1">
        <v>1.0</v>
      </c>
      <c r="O32" s="1">
        <v>1.0</v>
      </c>
      <c r="X32" s="1">
        <v>4.0</v>
      </c>
      <c r="Y32" s="1">
        <v>1.0</v>
      </c>
      <c r="Z32" s="1">
        <v>7.0</v>
      </c>
    </row>
    <row r="33">
      <c r="A33" s="1" t="s">
        <v>267</v>
      </c>
      <c r="Q33" s="1">
        <v>1.0</v>
      </c>
      <c r="V33" s="1">
        <v>1.0</v>
      </c>
      <c r="W33" s="1">
        <v>1.0</v>
      </c>
      <c r="Y33" s="1">
        <v>4.0</v>
      </c>
      <c r="Z33" s="1">
        <v>7.0</v>
      </c>
    </row>
    <row r="34">
      <c r="A34" s="1" t="s">
        <v>197</v>
      </c>
      <c r="Q34" s="1">
        <v>1.0</v>
      </c>
      <c r="R34" s="1">
        <v>4.0</v>
      </c>
      <c r="S34" s="1">
        <v>1.0</v>
      </c>
      <c r="Z34" s="1">
        <v>6.0</v>
      </c>
    </row>
    <row r="35">
      <c r="A35" s="1" t="s">
        <v>482</v>
      </c>
      <c r="U35" s="1">
        <v>1.0</v>
      </c>
      <c r="V35" s="1">
        <v>2.0</v>
      </c>
      <c r="X35" s="1">
        <v>3.0</v>
      </c>
      <c r="Z35" s="1">
        <v>6.0</v>
      </c>
    </row>
    <row r="36">
      <c r="A36" s="1" t="s">
        <v>312</v>
      </c>
      <c r="S36" s="1">
        <v>2.0</v>
      </c>
      <c r="V36" s="1">
        <v>1.0</v>
      </c>
      <c r="W36" s="1">
        <v>2.0</v>
      </c>
      <c r="Z36" s="1">
        <v>5.0</v>
      </c>
    </row>
    <row r="37">
      <c r="A37" s="1" t="s">
        <v>360</v>
      </c>
      <c r="S37" s="1">
        <v>1.0</v>
      </c>
      <c r="V37" s="1">
        <v>1.0</v>
      </c>
      <c r="W37" s="1">
        <v>1.0</v>
      </c>
      <c r="X37" s="1">
        <v>2.0</v>
      </c>
      <c r="Z37" s="1">
        <v>5.0</v>
      </c>
    </row>
    <row r="38">
      <c r="A38" s="1" t="s">
        <v>363</v>
      </c>
      <c r="U38" s="1">
        <v>1.0</v>
      </c>
      <c r="V38" s="1">
        <v>1.0</v>
      </c>
      <c r="W38" s="1">
        <v>1.0</v>
      </c>
      <c r="X38" s="1">
        <v>1.0</v>
      </c>
      <c r="Z38" s="1">
        <v>4.0</v>
      </c>
    </row>
    <row r="39">
      <c r="A39" s="1" t="s">
        <v>319</v>
      </c>
      <c r="T39" s="1">
        <v>3.0</v>
      </c>
      <c r="V39" s="1">
        <v>1.0</v>
      </c>
      <c r="Z39" s="1">
        <v>4.0</v>
      </c>
    </row>
    <row r="40">
      <c r="A40" s="1" t="s">
        <v>236</v>
      </c>
      <c r="R40" s="1">
        <v>1.0</v>
      </c>
      <c r="U40" s="1">
        <v>1.0</v>
      </c>
      <c r="V40" s="1">
        <v>1.0</v>
      </c>
      <c r="Z40" s="1">
        <v>3.0</v>
      </c>
    </row>
    <row r="41">
      <c r="A41" s="1" t="s">
        <v>431</v>
      </c>
      <c r="K41" s="1">
        <v>3.0</v>
      </c>
      <c r="Z41" s="1">
        <v>3.0</v>
      </c>
    </row>
    <row r="42">
      <c r="A42" s="1" t="s">
        <v>309</v>
      </c>
      <c r="W42" s="1">
        <v>1.0</v>
      </c>
      <c r="X42" s="1">
        <v>2.0</v>
      </c>
      <c r="Z42" s="1">
        <v>3.0</v>
      </c>
    </row>
    <row r="43">
      <c r="A43" s="1" t="s">
        <v>306</v>
      </c>
      <c r="T43" s="1">
        <v>1.0</v>
      </c>
      <c r="U43" s="1">
        <v>1.0</v>
      </c>
      <c r="V43" s="1">
        <v>1.0</v>
      </c>
      <c r="Z43" s="1">
        <v>3.0</v>
      </c>
    </row>
    <row r="44">
      <c r="A44" s="1" t="s">
        <v>640</v>
      </c>
      <c r="T44" s="1">
        <v>1.0</v>
      </c>
      <c r="V44" s="1">
        <v>1.0</v>
      </c>
      <c r="Z44" s="1">
        <v>2.0</v>
      </c>
    </row>
    <row r="45">
      <c r="A45" s="1" t="s">
        <v>515</v>
      </c>
      <c r="V45" s="1">
        <v>1.0</v>
      </c>
      <c r="W45" s="1">
        <v>1.0</v>
      </c>
      <c r="Z45" s="1">
        <v>2.0</v>
      </c>
    </row>
    <row r="46">
      <c r="A46" s="1" t="s">
        <v>144</v>
      </c>
      <c r="X46" s="1">
        <v>1.0</v>
      </c>
      <c r="Y46" s="1">
        <v>1.0</v>
      </c>
      <c r="Z46" s="1">
        <v>2.0</v>
      </c>
    </row>
    <row r="47">
      <c r="A47" s="1" t="s">
        <v>582</v>
      </c>
      <c r="V47" s="1">
        <v>1.0</v>
      </c>
      <c r="W47" s="1">
        <v>1.0</v>
      </c>
      <c r="Z47" s="1">
        <v>2.0</v>
      </c>
    </row>
    <row r="48">
      <c r="A48" s="1" t="s">
        <v>621</v>
      </c>
      <c r="U48" s="1">
        <v>2.0</v>
      </c>
      <c r="Z48" s="1">
        <v>2.0</v>
      </c>
    </row>
    <row r="49">
      <c r="A49" s="1" t="s">
        <v>818</v>
      </c>
      <c r="V49" s="1">
        <v>1.0</v>
      </c>
      <c r="Z49" s="1">
        <v>1.0</v>
      </c>
    </row>
    <row r="50">
      <c r="A50" s="1" t="s">
        <v>877</v>
      </c>
      <c r="X50" s="1">
        <v>1.0</v>
      </c>
      <c r="Z50" s="1">
        <v>1.0</v>
      </c>
    </row>
    <row r="51">
      <c r="A51" s="1" t="s">
        <v>871</v>
      </c>
      <c r="W51" s="1">
        <v>1.0</v>
      </c>
      <c r="Z51" s="1">
        <v>1.0</v>
      </c>
    </row>
    <row r="52">
      <c r="A52" s="1" t="s">
        <v>773</v>
      </c>
      <c r="X52" s="1">
        <v>1.0</v>
      </c>
      <c r="Z52" s="1">
        <v>1.0</v>
      </c>
    </row>
    <row r="53">
      <c r="A53" s="1" t="s">
        <v>796</v>
      </c>
      <c r="W53" s="1">
        <v>1.0</v>
      </c>
      <c r="Z53" s="1">
        <v>1.0</v>
      </c>
    </row>
    <row r="54">
      <c r="A54" s="1" t="s">
        <v>845</v>
      </c>
      <c r="W54" s="1">
        <v>1.0</v>
      </c>
      <c r="Z54" s="1">
        <v>1.0</v>
      </c>
    </row>
    <row r="55">
      <c r="A55" s="1" t="s">
        <v>831</v>
      </c>
      <c r="W55" s="1">
        <v>1.0</v>
      </c>
      <c r="Z55" s="1">
        <v>1.0</v>
      </c>
    </row>
    <row r="56">
      <c r="A56" s="1" t="s">
        <v>784</v>
      </c>
      <c r="Y56" s="1">
        <v>1.0</v>
      </c>
      <c r="Z56" s="1">
        <v>1.0</v>
      </c>
    </row>
    <row r="57">
      <c r="A57" s="2" t="s">
        <v>2328</v>
      </c>
      <c r="B57" s="1">
        <v>1.0</v>
      </c>
      <c r="C57" s="1">
        <v>2.0</v>
      </c>
      <c r="D57" s="1">
        <v>3.0</v>
      </c>
      <c r="E57" s="1">
        <v>5.0</v>
      </c>
      <c r="F57" s="1">
        <v>6.0</v>
      </c>
      <c r="G57" s="1">
        <v>7.0</v>
      </c>
      <c r="H57" s="1">
        <v>9.0</v>
      </c>
      <c r="I57" s="1">
        <v>25.0</v>
      </c>
      <c r="J57" s="1">
        <v>65.0</v>
      </c>
      <c r="K57" s="1">
        <v>95.0</v>
      </c>
      <c r="L57" s="1">
        <v>50.0</v>
      </c>
      <c r="M57" s="1">
        <v>63.0</v>
      </c>
      <c r="N57" s="1">
        <v>83.0</v>
      </c>
      <c r="O57" s="1">
        <v>106.0</v>
      </c>
      <c r="P57" s="1">
        <v>55.0</v>
      </c>
      <c r="Q57" s="1">
        <v>75.0</v>
      </c>
      <c r="R57" s="1">
        <v>106.0</v>
      </c>
      <c r="S57" s="1">
        <v>168.0</v>
      </c>
      <c r="T57" s="1">
        <v>176.0</v>
      </c>
      <c r="U57" s="1">
        <v>209.0</v>
      </c>
      <c r="V57" s="1">
        <v>277.0</v>
      </c>
      <c r="W57" s="1">
        <v>270.0</v>
      </c>
      <c r="X57" s="1">
        <v>307.0</v>
      </c>
      <c r="Y57" s="1">
        <v>102.0</v>
      </c>
      <c r="Z57" s="1">
        <v>2265.0</v>
      </c>
    </row>
  </sheetData>
  <autoFilter ref="$A$1:$Z$56">
    <sortState ref="A1:Z56">
      <sortCondition descending="1" ref="Z1:Z56"/>
    </sortState>
  </autoFilter>
  <drawing r:id="rId1"/>
</worksheet>
</file>