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Mes Projets\ActionDeCareme\Canevas\"/>
    </mc:Choice>
  </mc:AlternateContent>
  <bookViews>
    <workbookView xWindow="0" yWindow="0" windowWidth="20490" windowHeight="7155" tabRatio="798" activeTab="6"/>
  </bookViews>
  <sheets>
    <sheet name="2020-2022" sheetId="5" r:id="rId1"/>
    <sheet name="Feuil1" sheetId="1" r:id="rId2"/>
    <sheet name="Feuil3" sheetId="6" r:id="rId3"/>
    <sheet name="Feuil8" sheetId="11" r:id="rId4"/>
    <sheet name="Feuil9" sheetId="12" r:id="rId5"/>
    <sheet name="2020-2022 (2)" sheetId="13" r:id="rId6"/>
    <sheet name="2020-2022_prisede_note" sheetId="14" r:id="rId7"/>
    <sheet name="2020-2022_prisede_note (2)" sheetId="17" r:id="rId8"/>
  </sheets>
  <definedNames>
    <definedName name="_xlnm.Print_Area" localSheetId="0">'2020-2022'!$A$1:$Q$36</definedName>
    <definedName name="_xlnm.Print_Area" localSheetId="5">'2020-2022 (2)'!$A$1:$Q$36</definedName>
    <definedName name="_xlnm.Print_Area" localSheetId="6">'2020-2022_prisede_note'!$A$1:$Q$41</definedName>
    <definedName name="_xlnm.Print_Area" localSheetId="7">'2020-2022_prisede_note (2)'!$A$1:$O$41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7" i="6" l="1"/>
  <c r="F38" i="6"/>
  <c r="F39" i="6"/>
  <c r="F40" i="6"/>
  <c r="F41" i="6"/>
  <c r="F42" i="6"/>
  <c r="F43" i="6"/>
  <c r="F44" i="6"/>
  <c r="F45" i="6"/>
  <c r="F46" i="6"/>
  <c r="F47" i="6"/>
  <c r="F48" i="6"/>
  <c r="F49" i="6"/>
  <c r="BQ31" i="17"/>
  <c r="M39" i="17"/>
  <c r="J39" i="17"/>
  <c r="G39" i="17"/>
  <c r="D39" i="17"/>
  <c r="M37" i="17"/>
  <c r="J37" i="17"/>
  <c r="G37" i="17"/>
  <c r="D37" i="17"/>
  <c r="M36" i="17"/>
  <c r="J36" i="17"/>
  <c r="G36" i="17"/>
  <c r="D36" i="17"/>
  <c r="O35" i="17"/>
  <c r="N35" i="17"/>
  <c r="M35" i="17"/>
  <c r="L35" i="17"/>
  <c r="K35" i="17"/>
  <c r="J35" i="17"/>
  <c r="I35" i="17"/>
  <c r="H35" i="17"/>
  <c r="G35" i="17"/>
  <c r="F35" i="17"/>
  <c r="E35" i="17"/>
  <c r="D35" i="17"/>
  <c r="M34" i="17"/>
  <c r="J34" i="17"/>
  <c r="G34" i="17"/>
  <c r="D34" i="17"/>
  <c r="M33" i="17"/>
  <c r="J33" i="17"/>
  <c r="G33" i="17"/>
  <c r="D33" i="17"/>
  <c r="O32" i="17"/>
  <c r="N32" i="17"/>
  <c r="M32" i="17"/>
  <c r="L32" i="17"/>
  <c r="K32" i="17"/>
  <c r="J32" i="17"/>
  <c r="I32" i="17"/>
  <c r="H32" i="17"/>
  <c r="G32" i="17"/>
  <c r="F32" i="17"/>
  <c r="E32" i="17"/>
  <c r="D32" i="17"/>
  <c r="I31" i="17"/>
  <c r="O31" i="17"/>
  <c r="N31" i="17"/>
  <c r="M31" i="17"/>
  <c r="L31" i="17"/>
  <c r="K31" i="17"/>
  <c r="J31" i="17"/>
  <c r="H31" i="17"/>
  <c r="G31" i="17"/>
  <c r="F31" i="17"/>
  <c r="E31" i="17"/>
  <c r="D31" i="17"/>
  <c r="M29" i="17"/>
  <c r="J29" i="17"/>
  <c r="G29" i="17"/>
  <c r="D29" i="17"/>
  <c r="O28" i="17"/>
  <c r="N28" i="17"/>
  <c r="M28" i="17"/>
  <c r="L28" i="17"/>
  <c r="K28" i="17"/>
  <c r="J28" i="17"/>
  <c r="I28" i="17"/>
  <c r="H28" i="17"/>
  <c r="G28" i="17"/>
  <c r="F28" i="17"/>
  <c r="E28" i="17"/>
  <c r="D28" i="17"/>
  <c r="O27" i="17"/>
  <c r="N27" i="17"/>
  <c r="M27" i="17"/>
  <c r="L27" i="17"/>
  <c r="K27" i="17"/>
  <c r="J27" i="17"/>
  <c r="I27" i="17"/>
  <c r="H27" i="17"/>
  <c r="G27" i="17"/>
  <c r="F27" i="17"/>
  <c r="E27" i="17"/>
  <c r="D27" i="17"/>
  <c r="O25" i="17"/>
  <c r="N25" i="17"/>
  <c r="M25" i="17"/>
  <c r="L25" i="17"/>
  <c r="K25" i="17"/>
  <c r="J25" i="17"/>
  <c r="I25" i="17"/>
  <c r="H25" i="17"/>
  <c r="G25" i="17"/>
  <c r="F25" i="17"/>
  <c r="E25" i="17"/>
  <c r="D25" i="17"/>
  <c r="O24" i="17"/>
  <c r="N24" i="17"/>
  <c r="M24" i="17"/>
  <c r="L24" i="17"/>
  <c r="K24" i="17"/>
  <c r="J24" i="17"/>
  <c r="I24" i="17"/>
  <c r="H24" i="17"/>
  <c r="G24" i="17"/>
  <c r="F24" i="17"/>
  <c r="E24" i="17"/>
  <c r="D24" i="17"/>
  <c r="O23" i="17"/>
  <c r="N23" i="17"/>
  <c r="M23" i="17"/>
  <c r="L23" i="17"/>
  <c r="K23" i="17"/>
  <c r="J23" i="17"/>
  <c r="I23" i="17"/>
  <c r="H23" i="17"/>
  <c r="G23" i="17"/>
  <c r="F23" i="17"/>
  <c r="E23" i="17"/>
  <c r="D23" i="17"/>
  <c r="O22" i="17"/>
  <c r="N22" i="17"/>
  <c r="M22" i="17"/>
  <c r="L22" i="17"/>
  <c r="K22" i="17"/>
  <c r="J22" i="17"/>
  <c r="I22" i="17"/>
  <c r="H22" i="17"/>
  <c r="G22" i="17"/>
  <c r="F22" i="17"/>
  <c r="E22" i="17"/>
  <c r="D22" i="17"/>
  <c r="O21" i="17"/>
  <c r="O26" i="17" s="1"/>
  <c r="N21" i="17"/>
  <c r="M21" i="17"/>
  <c r="L21" i="17"/>
  <c r="K21" i="17"/>
  <c r="J21" i="17"/>
  <c r="I21" i="17"/>
  <c r="H21" i="17"/>
  <c r="G21" i="17"/>
  <c r="G26" i="17" s="1"/>
  <c r="F21" i="17"/>
  <c r="E21" i="17"/>
  <c r="D21" i="17"/>
  <c r="O20" i="17"/>
  <c r="N20" i="17"/>
  <c r="M20" i="17"/>
  <c r="L20" i="17"/>
  <c r="K20" i="17"/>
  <c r="J20" i="17"/>
  <c r="I20" i="17"/>
  <c r="H20" i="17"/>
  <c r="G20" i="17"/>
  <c r="F20" i="17"/>
  <c r="E20" i="17"/>
  <c r="D20" i="17"/>
  <c r="O19" i="17"/>
  <c r="N19" i="17"/>
  <c r="M19" i="17"/>
  <c r="L19" i="17"/>
  <c r="K19" i="17"/>
  <c r="J19" i="17"/>
  <c r="I19" i="17"/>
  <c r="H19" i="17"/>
  <c r="G19" i="17"/>
  <c r="F19" i="17"/>
  <c r="E19" i="17"/>
  <c r="D19" i="17"/>
  <c r="M18" i="17"/>
  <c r="J18" i="17"/>
  <c r="G18" i="17"/>
  <c r="D18" i="17"/>
  <c r="O15" i="17"/>
  <c r="N15" i="17"/>
  <c r="M15" i="17"/>
  <c r="L15" i="17"/>
  <c r="K15" i="17"/>
  <c r="J15" i="17"/>
  <c r="I15" i="17"/>
  <c r="H15" i="17"/>
  <c r="G15" i="17"/>
  <c r="F15" i="17"/>
  <c r="E15" i="17"/>
  <c r="D15" i="17"/>
  <c r="M14" i="17"/>
  <c r="J14" i="17"/>
  <c r="G14" i="17"/>
  <c r="D14" i="17"/>
  <c r="O13" i="17"/>
  <c r="N13" i="17"/>
  <c r="M13" i="17"/>
  <c r="L13" i="17"/>
  <c r="K13" i="17"/>
  <c r="J13" i="17"/>
  <c r="I13" i="17"/>
  <c r="H13" i="17"/>
  <c r="G13" i="17"/>
  <c r="F13" i="17"/>
  <c r="E13" i="17"/>
  <c r="D13" i="17"/>
  <c r="M12" i="17"/>
  <c r="J12" i="17"/>
  <c r="G12" i="17"/>
  <c r="D12" i="17"/>
  <c r="O11" i="17"/>
  <c r="N11" i="17"/>
  <c r="M11" i="17"/>
  <c r="L11" i="17"/>
  <c r="K11" i="17"/>
  <c r="J11" i="17"/>
  <c r="I11" i="17"/>
  <c r="H11" i="17"/>
  <c r="G11" i="17"/>
  <c r="F11" i="17"/>
  <c r="E11" i="17"/>
  <c r="D11" i="17"/>
  <c r="M10" i="17"/>
  <c r="M40" i="17" s="1"/>
  <c r="J10" i="17"/>
  <c r="J40" i="17" s="1"/>
  <c r="G10" i="17"/>
  <c r="G40" i="17" s="1"/>
  <c r="D10" i="17"/>
  <c r="O9" i="17"/>
  <c r="N9" i="17"/>
  <c r="M9" i="17"/>
  <c r="L9" i="17"/>
  <c r="K9" i="17"/>
  <c r="J9" i="17"/>
  <c r="I9" i="17"/>
  <c r="H9" i="17"/>
  <c r="G9" i="17"/>
  <c r="F9" i="17"/>
  <c r="E9" i="17"/>
  <c r="D9" i="17"/>
  <c r="M8" i="17"/>
  <c r="J8" i="17"/>
  <c r="G8" i="17"/>
  <c r="D8" i="17"/>
  <c r="O5" i="17"/>
  <c r="N5" i="17"/>
  <c r="M5" i="17"/>
  <c r="L5" i="17"/>
  <c r="K5" i="17"/>
  <c r="J5" i="17"/>
  <c r="I5" i="17"/>
  <c r="H5" i="17"/>
  <c r="G5" i="17"/>
  <c r="F5" i="17"/>
  <c r="E5" i="17"/>
  <c r="D5" i="17"/>
  <c r="M4" i="17"/>
  <c r="J4" i="17"/>
  <c r="G4" i="17"/>
  <c r="D4" i="17"/>
  <c r="M38" i="17" l="1"/>
  <c r="F26" i="17"/>
  <c r="N26" i="17"/>
  <c r="H26" i="17"/>
  <c r="D26" i="17"/>
  <c r="L26" i="17"/>
  <c r="K26" i="17"/>
  <c r="I26" i="17"/>
  <c r="E26" i="17"/>
  <c r="M26" i="17"/>
  <c r="D40" i="17"/>
  <c r="J26" i="17"/>
  <c r="D38" i="17"/>
  <c r="G38" i="17"/>
  <c r="J38" i="17"/>
  <c r="O39" i="14"/>
  <c r="L39" i="14"/>
  <c r="I39" i="14"/>
  <c r="F39" i="14"/>
  <c r="O37" i="14"/>
  <c r="L37" i="14"/>
  <c r="I37" i="14"/>
  <c r="F37" i="14"/>
  <c r="O36" i="14"/>
  <c r="L36" i="14"/>
  <c r="I36" i="14"/>
  <c r="F36" i="14"/>
  <c r="Q35" i="14"/>
  <c r="P35" i="14"/>
  <c r="O35" i="14"/>
  <c r="N35" i="14"/>
  <c r="M35" i="14"/>
  <c r="L35" i="14"/>
  <c r="K35" i="14"/>
  <c r="J35" i="14"/>
  <c r="I35" i="14"/>
  <c r="H35" i="14"/>
  <c r="G35" i="14"/>
  <c r="F35" i="14"/>
  <c r="O34" i="14"/>
  <c r="L34" i="14"/>
  <c r="I34" i="14"/>
  <c r="F34" i="14"/>
  <c r="O33" i="14"/>
  <c r="L33" i="14"/>
  <c r="I33" i="14"/>
  <c r="F33" i="14"/>
  <c r="Q32" i="14"/>
  <c r="P32" i="14"/>
  <c r="O32" i="14"/>
  <c r="N32" i="14"/>
  <c r="M32" i="14"/>
  <c r="L32" i="14"/>
  <c r="K32" i="14"/>
  <c r="J32" i="14"/>
  <c r="I32" i="14"/>
  <c r="H32" i="14"/>
  <c r="G32" i="14"/>
  <c r="F32" i="14"/>
  <c r="BS31" i="14"/>
  <c r="Q31" i="14"/>
  <c r="P31" i="14"/>
  <c r="O31" i="14"/>
  <c r="N31" i="14"/>
  <c r="M31" i="14"/>
  <c r="L31" i="14"/>
  <c r="K31" i="14"/>
  <c r="J31" i="14"/>
  <c r="I31" i="14"/>
  <c r="H31" i="14"/>
  <c r="G31" i="14"/>
  <c r="F31" i="14"/>
  <c r="O29" i="14"/>
  <c r="L29" i="14"/>
  <c r="I29" i="14"/>
  <c r="F29" i="14"/>
  <c r="Q28" i="14"/>
  <c r="P28" i="14"/>
  <c r="O28" i="14"/>
  <c r="N28" i="14"/>
  <c r="M28" i="14"/>
  <c r="L28" i="14"/>
  <c r="K28" i="14"/>
  <c r="J28" i="14"/>
  <c r="I28" i="14"/>
  <c r="H28" i="14"/>
  <c r="G28" i="14"/>
  <c r="F28" i="14"/>
  <c r="Q27" i="14"/>
  <c r="P27" i="14"/>
  <c r="O27" i="14"/>
  <c r="N27" i="14"/>
  <c r="M27" i="14"/>
  <c r="L27" i="14"/>
  <c r="K27" i="14"/>
  <c r="J27" i="14"/>
  <c r="I27" i="14"/>
  <c r="H27" i="14"/>
  <c r="G27" i="14"/>
  <c r="F27" i="14"/>
  <c r="Q25" i="14"/>
  <c r="P25" i="14"/>
  <c r="O25" i="14"/>
  <c r="N25" i="14"/>
  <c r="M25" i="14"/>
  <c r="L25" i="14"/>
  <c r="K25" i="14"/>
  <c r="J25" i="14"/>
  <c r="I25" i="14"/>
  <c r="H25" i="14"/>
  <c r="G25" i="14"/>
  <c r="F25" i="14"/>
  <c r="Q24" i="14"/>
  <c r="P24" i="14"/>
  <c r="O24" i="14"/>
  <c r="N24" i="14"/>
  <c r="M24" i="14"/>
  <c r="L24" i="14"/>
  <c r="K24" i="14"/>
  <c r="J24" i="14"/>
  <c r="I24" i="14"/>
  <c r="H24" i="14"/>
  <c r="G24" i="14"/>
  <c r="F24" i="14"/>
  <c r="Q23" i="14"/>
  <c r="P23" i="14"/>
  <c r="O23" i="14"/>
  <c r="N23" i="14"/>
  <c r="M23" i="14"/>
  <c r="L23" i="14"/>
  <c r="K23" i="14"/>
  <c r="J23" i="14"/>
  <c r="I23" i="14"/>
  <c r="H23" i="14"/>
  <c r="G23" i="14"/>
  <c r="F23" i="14"/>
  <c r="Q22" i="14"/>
  <c r="P22" i="14"/>
  <c r="O22" i="14"/>
  <c r="N22" i="14"/>
  <c r="M22" i="14"/>
  <c r="L22" i="14"/>
  <c r="K22" i="14"/>
  <c r="J22" i="14"/>
  <c r="I22" i="14"/>
  <c r="H22" i="14"/>
  <c r="G22" i="14"/>
  <c r="F22" i="14"/>
  <c r="Q21" i="14"/>
  <c r="P21" i="14"/>
  <c r="O21" i="14"/>
  <c r="N21" i="14"/>
  <c r="M21" i="14"/>
  <c r="L21" i="14"/>
  <c r="K21" i="14"/>
  <c r="J21" i="14"/>
  <c r="I21" i="14"/>
  <c r="H21" i="14"/>
  <c r="G21" i="14"/>
  <c r="F21" i="14"/>
  <c r="Q20" i="14"/>
  <c r="P20" i="14"/>
  <c r="O20" i="14"/>
  <c r="N20" i="14"/>
  <c r="M20" i="14"/>
  <c r="L20" i="14"/>
  <c r="K20" i="14"/>
  <c r="J20" i="14"/>
  <c r="I20" i="14"/>
  <c r="H20" i="14"/>
  <c r="G20" i="14"/>
  <c r="F20" i="14"/>
  <c r="Q19" i="14"/>
  <c r="P19" i="14"/>
  <c r="O19" i="14"/>
  <c r="N19" i="14"/>
  <c r="M19" i="14"/>
  <c r="L19" i="14"/>
  <c r="K19" i="14"/>
  <c r="J19" i="14"/>
  <c r="I19" i="14"/>
  <c r="H19" i="14"/>
  <c r="G19" i="14"/>
  <c r="F19" i="14"/>
  <c r="O18" i="14"/>
  <c r="L18" i="14"/>
  <c r="I18" i="14"/>
  <c r="F18" i="14"/>
  <c r="Q15" i="14"/>
  <c r="P15" i="14"/>
  <c r="O15" i="14"/>
  <c r="N15" i="14"/>
  <c r="M15" i="14"/>
  <c r="L15" i="14"/>
  <c r="K15" i="14"/>
  <c r="J15" i="14"/>
  <c r="I15" i="14"/>
  <c r="H15" i="14"/>
  <c r="G15" i="14"/>
  <c r="F15" i="14"/>
  <c r="O14" i="14"/>
  <c r="L14" i="14"/>
  <c r="I14" i="14"/>
  <c r="F14" i="14"/>
  <c r="Q13" i="14"/>
  <c r="P13" i="14"/>
  <c r="O13" i="14"/>
  <c r="N13" i="14"/>
  <c r="M13" i="14"/>
  <c r="L13" i="14"/>
  <c r="K13" i="14"/>
  <c r="J13" i="14"/>
  <c r="I13" i="14"/>
  <c r="H13" i="14"/>
  <c r="G13" i="14"/>
  <c r="F13" i="14"/>
  <c r="O12" i="14"/>
  <c r="L12" i="14"/>
  <c r="I12" i="14"/>
  <c r="F12" i="14"/>
  <c r="Q11" i="14"/>
  <c r="P11" i="14"/>
  <c r="O11" i="14"/>
  <c r="N11" i="14"/>
  <c r="M11" i="14"/>
  <c r="L11" i="14"/>
  <c r="K11" i="14"/>
  <c r="J11" i="14"/>
  <c r="I11" i="14"/>
  <c r="H11" i="14"/>
  <c r="G11" i="14"/>
  <c r="F11" i="14"/>
  <c r="O10" i="14"/>
  <c r="L10" i="14"/>
  <c r="L40" i="14" s="1"/>
  <c r="I10" i="14"/>
  <c r="I38" i="14" s="1"/>
  <c r="F10" i="14"/>
  <c r="F38" i="14" s="1"/>
  <c r="Q9" i="14"/>
  <c r="P9" i="14"/>
  <c r="O9" i="14"/>
  <c r="N9" i="14"/>
  <c r="M9" i="14"/>
  <c r="L9" i="14"/>
  <c r="K9" i="14"/>
  <c r="J9" i="14"/>
  <c r="I9" i="14"/>
  <c r="H9" i="14"/>
  <c r="G9" i="14"/>
  <c r="F9" i="14"/>
  <c r="O8" i="14"/>
  <c r="L8" i="14"/>
  <c r="I8" i="14"/>
  <c r="F8" i="14"/>
  <c r="Q5" i="14"/>
  <c r="P5" i="14"/>
  <c r="O5" i="14"/>
  <c r="N5" i="14"/>
  <c r="M5" i="14"/>
  <c r="L5" i="14"/>
  <c r="K5" i="14"/>
  <c r="J5" i="14"/>
  <c r="I5" i="14"/>
  <c r="H5" i="14"/>
  <c r="G5" i="14"/>
  <c r="F5" i="14"/>
  <c r="O4" i="14"/>
  <c r="L4" i="14"/>
  <c r="I4" i="14"/>
  <c r="F4" i="14"/>
  <c r="L35" i="13"/>
  <c r="I35" i="13"/>
  <c r="F35" i="13"/>
  <c r="O34" i="13"/>
  <c r="O35" i="13" s="1"/>
  <c r="L34" i="13"/>
  <c r="I34" i="13"/>
  <c r="F34" i="13"/>
  <c r="L33" i="13"/>
  <c r="I33" i="13"/>
  <c r="F33" i="13"/>
  <c r="O32" i="13"/>
  <c r="O33" i="13" s="1"/>
  <c r="L32" i="13"/>
  <c r="I32" i="13"/>
  <c r="F32" i="13"/>
  <c r="O31" i="13"/>
  <c r="L31" i="13"/>
  <c r="I31" i="13"/>
  <c r="F31" i="13"/>
  <c r="Q30" i="13"/>
  <c r="P30" i="13"/>
  <c r="O30" i="13"/>
  <c r="N30" i="13"/>
  <c r="M30" i="13"/>
  <c r="L30" i="13"/>
  <c r="K30" i="13"/>
  <c r="J30" i="13"/>
  <c r="I30" i="13"/>
  <c r="H30" i="13"/>
  <c r="G30" i="13"/>
  <c r="F30" i="13"/>
  <c r="O29" i="13"/>
  <c r="L29" i="13"/>
  <c r="I29" i="13"/>
  <c r="F29" i="13"/>
  <c r="O28" i="13"/>
  <c r="L28" i="13"/>
  <c r="I28" i="13"/>
  <c r="F28" i="13"/>
  <c r="Q27" i="13"/>
  <c r="P27" i="13"/>
  <c r="O27" i="13"/>
  <c r="N27" i="13"/>
  <c r="M27" i="13"/>
  <c r="L27" i="13"/>
  <c r="K27" i="13"/>
  <c r="J27" i="13"/>
  <c r="I27" i="13"/>
  <c r="H27" i="13"/>
  <c r="G27" i="13"/>
  <c r="F27" i="13"/>
  <c r="BS26" i="13"/>
  <c r="Q26" i="13"/>
  <c r="P26" i="13"/>
  <c r="O26" i="13"/>
  <c r="N26" i="13"/>
  <c r="M26" i="13"/>
  <c r="L26" i="13"/>
  <c r="K26" i="13"/>
  <c r="J26" i="13"/>
  <c r="I26" i="13"/>
  <c r="H26" i="13"/>
  <c r="G26" i="13"/>
  <c r="F26" i="13"/>
  <c r="O25" i="13"/>
  <c r="L25" i="13"/>
  <c r="I25" i="13"/>
  <c r="F25" i="13"/>
  <c r="Q24" i="13"/>
  <c r="P24" i="13"/>
  <c r="O24" i="13"/>
  <c r="N24" i="13"/>
  <c r="M24" i="13"/>
  <c r="L24" i="13"/>
  <c r="K24" i="13"/>
  <c r="J24" i="13"/>
  <c r="I24" i="13"/>
  <c r="H24" i="13"/>
  <c r="G24" i="13"/>
  <c r="F24" i="13"/>
  <c r="Q23" i="13"/>
  <c r="P23" i="13"/>
  <c r="O23" i="13"/>
  <c r="N23" i="13"/>
  <c r="M23" i="13"/>
  <c r="L23" i="13"/>
  <c r="K23" i="13"/>
  <c r="J23" i="13"/>
  <c r="I23" i="13"/>
  <c r="H23" i="13"/>
  <c r="G23" i="13"/>
  <c r="F23" i="13"/>
  <c r="Q21" i="13"/>
  <c r="P21" i="13"/>
  <c r="O21" i="13"/>
  <c r="N21" i="13"/>
  <c r="M21" i="13"/>
  <c r="L21" i="13"/>
  <c r="K21" i="13"/>
  <c r="J21" i="13"/>
  <c r="I21" i="13"/>
  <c r="H21" i="13"/>
  <c r="G21" i="13"/>
  <c r="F21" i="13"/>
  <c r="Q20" i="13"/>
  <c r="P20" i="13"/>
  <c r="O20" i="13"/>
  <c r="N20" i="13"/>
  <c r="M20" i="13"/>
  <c r="L20" i="13"/>
  <c r="K20" i="13"/>
  <c r="J20" i="13"/>
  <c r="I20" i="13"/>
  <c r="H20" i="13"/>
  <c r="G20" i="13"/>
  <c r="F20" i="13"/>
  <c r="Q19" i="13"/>
  <c r="P19" i="13"/>
  <c r="O19" i="13"/>
  <c r="N19" i="13"/>
  <c r="M19" i="13"/>
  <c r="L19" i="13"/>
  <c r="K19" i="13"/>
  <c r="J19" i="13"/>
  <c r="I19" i="13"/>
  <c r="H19" i="13"/>
  <c r="G19" i="13"/>
  <c r="F19" i="13"/>
  <c r="Q18" i="13"/>
  <c r="P18" i="13"/>
  <c r="O18" i="13"/>
  <c r="N18" i="13"/>
  <c r="M18" i="13"/>
  <c r="M22" i="13" s="1"/>
  <c r="L18" i="13"/>
  <c r="L22" i="13" s="1"/>
  <c r="K18" i="13"/>
  <c r="K22" i="13" s="1"/>
  <c r="J18" i="13"/>
  <c r="J22" i="13" s="1"/>
  <c r="I18" i="13"/>
  <c r="H18" i="13"/>
  <c r="G18" i="13"/>
  <c r="F18" i="13"/>
  <c r="Q17" i="13"/>
  <c r="Q22" i="13" s="1"/>
  <c r="P17" i="13"/>
  <c r="P22" i="13" s="1"/>
  <c r="O17" i="13"/>
  <c r="O22" i="13" s="1"/>
  <c r="N17" i="13"/>
  <c r="N22" i="13" s="1"/>
  <c r="M17" i="13"/>
  <c r="L17" i="13"/>
  <c r="K17" i="13"/>
  <c r="J17" i="13"/>
  <c r="I17" i="13"/>
  <c r="I22" i="13" s="1"/>
  <c r="H17" i="13"/>
  <c r="H22" i="13" s="1"/>
  <c r="G17" i="13"/>
  <c r="G22" i="13" s="1"/>
  <c r="F17" i="13"/>
  <c r="F22" i="13" s="1"/>
  <c r="Q16" i="13"/>
  <c r="P16" i="13"/>
  <c r="O16" i="13"/>
  <c r="N16" i="13"/>
  <c r="M16" i="13"/>
  <c r="L16" i="13"/>
  <c r="K16" i="13"/>
  <c r="J16" i="13"/>
  <c r="I16" i="13"/>
  <c r="H16" i="13"/>
  <c r="G16" i="13"/>
  <c r="F16" i="13"/>
  <c r="Q15" i="13"/>
  <c r="P15" i="13"/>
  <c r="O15" i="13"/>
  <c r="N15" i="13"/>
  <c r="M15" i="13"/>
  <c r="L15" i="13"/>
  <c r="K15" i="13"/>
  <c r="J15" i="13"/>
  <c r="I15" i="13"/>
  <c r="H15" i="13"/>
  <c r="G15" i="13"/>
  <c r="F15" i="13"/>
  <c r="O14" i="13"/>
  <c r="L14" i="13"/>
  <c r="I14" i="13"/>
  <c r="F14" i="13"/>
  <c r="Q13" i="13"/>
  <c r="P13" i="13"/>
  <c r="O13" i="13"/>
  <c r="N13" i="13"/>
  <c r="M13" i="13"/>
  <c r="L13" i="13"/>
  <c r="K13" i="13"/>
  <c r="J13" i="13"/>
  <c r="I13" i="13"/>
  <c r="H13" i="13"/>
  <c r="G13" i="13"/>
  <c r="F13" i="13"/>
  <c r="O12" i="13"/>
  <c r="L12" i="13"/>
  <c r="I12" i="13"/>
  <c r="F12" i="13"/>
  <c r="Q11" i="13"/>
  <c r="P11" i="13"/>
  <c r="O11" i="13"/>
  <c r="N11" i="13"/>
  <c r="M11" i="13"/>
  <c r="L11" i="13"/>
  <c r="K11" i="13"/>
  <c r="J11" i="13"/>
  <c r="I11" i="13"/>
  <c r="H11" i="13"/>
  <c r="G11" i="13"/>
  <c r="F11" i="13"/>
  <c r="O10" i="13"/>
  <c r="L10" i="13"/>
  <c r="I10" i="13"/>
  <c r="F10" i="13"/>
  <c r="Q9" i="13"/>
  <c r="P9" i="13"/>
  <c r="O9" i="13"/>
  <c r="N9" i="13"/>
  <c r="M9" i="13"/>
  <c r="L9" i="13"/>
  <c r="K9" i="13"/>
  <c r="J9" i="13"/>
  <c r="I9" i="13"/>
  <c r="H9" i="13"/>
  <c r="G9" i="13"/>
  <c r="F9" i="13"/>
  <c r="O8" i="13"/>
  <c r="L8" i="13"/>
  <c r="I8" i="13"/>
  <c r="F8" i="13"/>
  <c r="Q7" i="13"/>
  <c r="P7" i="13"/>
  <c r="O7" i="13"/>
  <c r="N7" i="13"/>
  <c r="M7" i="13"/>
  <c r="L7" i="13"/>
  <c r="K7" i="13"/>
  <c r="J7" i="13"/>
  <c r="I7" i="13"/>
  <c r="H7" i="13"/>
  <c r="G7" i="13"/>
  <c r="F7" i="13"/>
  <c r="O6" i="13"/>
  <c r="L6" i="13"/>
  <c r="I6" i="13"/>
  <c r="F6" i="13"/>
  <c r="Q5" i="13"/>
  <c r="P5" i="13"/>
  <c r="O5" i="13"/>
  <c r="N5" i="13"/>
  <c r="M5" i="13"/>
  <c r="L5" i="13"/>
  <c r="K5" i="13"/>
  <c r="J5" i="13"/>
  <c r="I5" i="13"/>
  <c r="H5" i="13"/>
  <c r="G5" i="13"/>
  <c r="F5" i="13"/>
  <c r="O4" i="13"/>
  <c r="L4" i="13"/>
  <c r="I4" i="13"/>
  <c r="F4" i="13"/>
  <c r="H26" i="14" l="1"/>
  <c r="P26" i="14"/>
  <c r="L26" i="14"/>
  <c r="L38" i="14"/>
  <c r="M26" i="14"/>
  <c r="F26" i="14"/>
  <c r="N26" i="14"/>
  <c r="J26" i="14"/>
  <c r="G26" i="14"/>
  <c r="O26" i="14"/>
  <c r="K26" i="14"/>
  <c r="I26" i="14"/>
  <c r="Q26" i="14"/>
  <c r="O40" i="14"/>
  <c r="O38" i="14"/>
  <c r="F40" i="14"/>
  <c r="I40" i="14"/>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13" i="12"/>
  <c r="F25" i="6" l="1"/>
  <c r="F26" i="6"/>
  <c r="F27" i="6"/>
  <c r="F28" i="6"/>
  <c r="F29" i="6"/>
  <c r="F30" i="6"/>
  <c r="F31" i="6"/>
  <c r="F32" i="6"/>
  <c r="F33" i="6"/>
  <c r="F34" i="6"/>
  <c r="F35" i="6"/>
  <c r="F36" i="6"/>
  <c r="F5" i="6"/>
  <c r="F6" i="6"/>
  <c r="F7" i="6"/>
  <c r="F8" i="6"/>
  <c r="F9" i="6"/>
  <c r="F10" i="6"/>
  <c r="F11" i="6"/>
  <c r="F12" i="6"/>
  <c r="F13" i="6"/>
  <c r="F14" i="6"/>
  <c r="F15" i="6"/>
  <c r="F16" i="6"/>
  <c r="F17" i="6"/>
  <c r="F18" i="6"/>
  <c r="F19" i="6"/>
  <c r="F20" i="6"/>
  <c r="F21" i="6"/>
  <c r="F22" i="6"/>
  <c r="F23" i="6"/>
  <c r="F24" i="6"/>
  <c r="F4" i="6"/>
  <c r="BS26" i="5" l="1"/>
  <c r="O34" i="5"/>
  <c r="L34" i="5"/>
  <c r="I34" i="5"/>
  <c r="F34" i="5"/>
  <c r="O32" i="5"/>
  <c r="L32" i="5"/>
  <c r="I32" i="5"/>
  <c r="F32" i="5"/>
  <c r="O31" i="5"/>
  <c r="L31" i="5"/>
  <c r="I31" i="5"/>
  <c r="F31" i="5"/>
  <c r="N30" i="5"/>
  <c r="M30" i="5"/>
  <c r="L30" i="5"/>
  <c r="I30" i="5"/>
  <c r="H30" i="5"/>
  <c r="G30" i="5"/>
  <c r="F30" i="5"/>
  <c r="L29" i="5"/>
  <c r="O29" i="5"/>
  <c r="I29" i="5"/>
  <c r="F29" i="5"/>
  <c r="O28" i="5"/>
  <c r="L28" i="5"/>
  <c r="I28" i="5"/>
  <c r="F28" i="5"/>
  <c r="P27" i="5"/>
  <c r="M27" i="5"/>
  <c r="J27" i="5"/>
  <c r="I27" i="5"/>
  <c r="H27" i="5"/>
  <c r="G27" i="5"/>
  <c r="F27" i="5"/>
  <c r="P26" i="5"/>
  <c r="M26" i="5"/>
  <c r="J26" i="5"/>
  <c r="I26" i="5"/>
  <c r="H26" i="5"/>
  <c r="G26" i="5"/>
  <c r="F26" i="5"/>
  <c r="O25" i="5"/>
  <c r="L25" i="5"/>
  <c r="I25" i="5"/>
  <c r="F25" i="5"/>
  <c r="H24" i="5"/>
  <c r="G24" i="5"/>
  <c r="F24" i="5"/>
  <c r="J23" i="5"/>
  <c r="I23" i="5"/>
  <c r="H23" i="5"/>
  <c r="G23" i="5"/>
  <c r="F23" i="5"/>
  <c r="Q21" i="5"/>
  <c r="P21" i="5"/>
  <c r="O21" i="5"/>
  <c r="N21" i="5"/>
  <c r="M21" i="5"/>
  <c r="L21" i="5"/>
  <c r="K21" i="5"/>
  <c r="J21" i="5"/>
  <c r="I21" i="5"/>
  <c r="H21" i="5"/>
  <c r="G21" i="5"/>
  <c r="F21" i="5"/>
  <c r="Q20" i="5"/>
  <c r="P20" i="5"/>
  <c r="O20" i="5"/>
  <c r="N20" i="5"/>
  <c r="M20" i="5"/>
  <c r="L20" i="5"/>
  <c r="K20" i="5"/>
  <c r="J20" i="5"/>
  <c r="I20" i="5"/>
  <c r="H20" i="5"/>
  <c r="G20" i="5"/>
  <c r="F20" i="5"/>
  <c r="N19" i="5"/>
  <c r="Q19" i="5"/>
  <c r="P19" i="5"/>
  <c r="O19" i="5"/>
  <c r="M19" i="5"/>
  <c r="L19" i="5"/>
  <c r="K19" i="5"/>
  <c r="J19" i="5"/>
  <c r="I19" i="5"/>
  <c r="H19" i="5"/>
  <c r="G19" i="5"/>
  <c r="F19" i="5"/>
  <c r="N18" i="5"/>
  <c r="Q18" i="5"/>
  <c r="P18" i="5"/>
  <c r="M18" i="5"/>
  <c r="L18" i="5"/>
  <c r="K18" i="5"/>
  <c r="J18" i="5"/>
  <c r="I18" i="5"/>
  <c r="H18" i="5"/>
  <c r="G18" i="5"/>
  <c r="F18" i="5"/>
  <c r="Q17" i="5"/>
  <c r="Q22" i="5" s="1"/>
  <c r="P17" i="5"/>
  <c r="P22" i="5" s="1"/>
  <c r="O17" i="5"/>
  <c r="N17" i="5"/>
  <c r="M17" i="5"/>
  <c r="M22" i="5" s="1"/>
  <c r="L17" i="5"/>
  <c r="L22" i="5" s="1"/>
  <c r="K17" i="5"/>
  <c r="K22" i="5" s="1"/>
  <c r="J17" i="5"/>
  <c r="I17" i="5"/>
  <c r="I22" i="5" s="1"/>
  <c r="H17" i="5"/>
  <c r="H22" i="5" s="1"/>
  <c r="G17" i="5"/>
  <c r="G22" i="5" s="1"/>
  <c r="F17" i="5"/>
  <c r="J16" i="5"/>
  <c r="I16" i="5"/>
  <c r="H16" i="5"/>
  <c r="G16" i="5"/>
  <c r="F16" i="5"/>
  <c r="K15" i="5"/>
  <c r="J15" i="5"/>
  <c r="I15" i="5"/>
  <c r="H15" i="5"/>
  <c r="G15" i="5"/>
  <c r="F15" i="5"/>
  <c r="I14" i="5"/>
  <c r="F14" i="5"/>
  <c r="H13" i="5"/>
  <c r="G13" i="5"/>
  <c r="F13" i="5"/>
  <c r="F12" i="5"/>
  <c r="H11" i="5"/>
  <c r="G11" i="5"/>
  <c r="F11" i="5"/>
  <c r="F10" i="5"/>
  <c r="I9" i="5"/>
  <c r="H9" i="5"/>
  <c r="G9" i="5"/>
  <c r="F9" i="5"/>
  <c r="F8" i="5"/>
  <c r="K9" i="5"/>
  <c r="H7" i="5"/>
  <c r="Q7" i="5"/>
  <c r="P7" i="5"/>
  <c r="O7" i="5"/>
  <c r="N7" i="5"/>
  <c r="M7" i="5"/>
  <c r="L7" i="5"/>
  <c r="K7" i="5"/>
  <c r="J7" i="5"/>
  <c r="I7" i="5"/>
  <c r="G7" i="5"/>
  <c r="F7" i="5"/>
  <c r="O6" i="5"/>
  <c r="L6" i="5"/>
  <c r="I6" i="5"/>
  <c r="F6" i="5"/>
  <c r="P5" i="5"/>
  <c r="K5" i="5"/>
  <c r="J5" i="5"/>
  <c r="H5" i="5"/>
  <c r="G5" i="5"/>
  <c r="F5" i="5"/>
  <c r="I4" i="5"/>
  <c r="F4" i="5"/>
  <c r="CM8" i="1"/>
  <c r="F22" i="5" l="1"/>
  <c r="J22" i="5"/>
  <c r="L4" i="5"/>
  <c r="O4" i="5"/>
  <c r="I5" i="5"/>
  <c r="M5" i="5"/>
  <c r="O15" i="5"/>
  <c r="L15" i="5"/>
  <c r="M15" i="5"/>
  <c r="P15" i="5"/>
  <c r="F35" i="5"/>
  <c r="J11" i="5"/>
  <c r="J9" i="5"/>
  <c r="K30" i="5"/>
  <c r="J30" i="5"/>
  <c r="O16" i="5"/>
  <c r="I8" i="5"/>
  <c r="I35" i="5" s="1"/>
  <c r="N22" i="5"/>
  <c r="I24" i="5"/>
  <c r="O26" i="5"/>
  <c r="L26" i="5"/>
  <c r="L27" i="5"/>
  <c r="N27" i="5"/>
  <c r="F33" i="5"/>
  <c r="K24" i="5"/>
  <c r="K16" i="5"/>
  <c r="J24" i="5"/>
  <c r="J13" i="5"/>
  <c r="O18" i="5"/>
  <c r="O22" i="5" s="1"/>
  <c r="K23" i="5"/>
  <c r="K26" i="5"/>
  <c r="K27" i="5"/>
  <c r="K11" i="5" l="1"/>
  <c r="I11" i="5"/>
  <c r="O27" i="5"/>
  <c r="Q27" i="5"/>
  <c r="M16" i="5"/>
  <c r="P23" i="5"/>
  <c r="O14" i="5"/>
  <c r="N15" i="5"/>
  <c r="Q26" i="5"/>
  <c r="N26" i="5"/>
  <c r="I10" i="5"/>
  <c r="P30" i="5"/>
  <c r="Q16" i="5"/>
  <c r="P16" i="5"/>
  <c r="Q15" i="5"/>
  <c r="I12" i="5"/>
  <c r="I33" i="5"/>
  <c r="N9" i="5"/>
  <c r="L9" i="5"/>
  <c r="M9" i="5"/>
  <c r="L14" i="5"/>
  <c r="N5" i="5"/>
  <c r="L5" i="5"/>
  <c r="N16" i="5" l="1"/>
  <c r="L16" i="5"/>
  <c r="K13" i="5"/>
  <c r="I13" i="5"/>
  <c r="M11" i="5"/>
  <c r="N23" i="5"/>
  <c r="L23" i="5"/>
  <c r="O30" i="5"/>
  <c r="Q30" i="5"/>
  <c r="O5" i="5"/>
  <c r="Q5" i="5"/>
  <c r="N11" i="5"/>
  <c r="L11" i="5"/>
  <c r="L8" i="5"/>
  <c r="M23" i="5"/>
  <c r="L10" i="5" l="1"/>
  <c r="M13" i="5"/>
  <c r="O23" i="5"/>
  <c r="Q23" i="5"/>
  <c r="P24" i="5"/>
  <c r="M24" i="5"/>
  <c r="Q9" i="5"/>
  <c r="O9" i="5"/>
  <c r="N24" i="5"/>
  <c r="L24" i="5"/>
  <c r="P11" i="5"/>
  <c r="P9" i="5"/>
  <c r="N13" i="5"/>
  <c r="L13" i="5"/>
  <c r="L35" i="5"/>
  <c r="L33" i="5"/>
  <c r="P13" i="5" l="1"/>
  <c r="L12" i="5"/>
  <c r="O13" i="5"/>
  <c r="Q11" i="5"/>
  <c r="O11" i="5"/>
  <c r="Q24" i="5"/>
  <c r="O24" i="5"/>
  <c r="O10" i="5"/>
  <c r="O8" i="5"/>
  <c r="O33" i="5" l="1"/>
  <c r="O35" i="5"/>
  <c r="Q13" i="5"/>
  <c r="O12" i="5"/>
  <c r="AE14" i="1" l="1"/>
  <c r="AU19" i="1" l="1"/>
  <c r="AX20" i="1"/>
  <c r="AW19" i="1"/>
  <c r="AX18" i="1"/>
  <c r="AW18" i="1"/>
  <c r="AT18" i="1"/>
  <c r="AT19" i="1"/>
  <c r="AT20" i="1"/>
  <c r="AU20" i="1"/>
  <c r="CU30" i="1" l="1"/>
  <c r="CR30" i="1"/>
  <c r="CO30" i="1"/>
  <c r="CL30" i="1"/>
  <c r="CU27" i="1"/>
  <c r="CR27" i="1"/>
  <c r="CO27" i="1"/>
  <c r="CL27" i="1"/>
  <c r="CU26" i="1"/>
  <c r="CR26" i="1"/>
  <c r="CO26" i="1"/>
  <c r="CL26" i="1"/>
  <c r="CL24" i="1"/>
  <c r="CN23" i="1"/>
  <c r="CN24" i="1" s="1"/>
  <c r="CM23" i="1"/>
  <c r="CM24" i="1" s="1"/>
  <c r="CL23" i="1"/>
  <c r="CT22" i="1"/>
  <c r="CS22" i="1"/>
  <c r="CQ22" i="1"/>
  <c r="CP22" i="1"/>
  <c r="CR22" i="1" s="1"/>
  <c r="CN22" i="1"/>
  <c r="CM22" i="1"/>
  <c r="CK22" i="1"/>
  <c r="CJ22" i="1"/>
  <c r="CU21" i="1"/>
  <c r="CR21" i="1"/>
  <c r="CO21" i="1"/>
  <c r="CL21" i="1"/>
  <c r="CU20" i="1"/>
  <c r="CR20" i="1"/>
  <c r="CO20" i="1"/>
  <c r="CL20" i="1"/>
  <c r="CU19" i="1"/>
  <c r="CR19" i="1"/>
  <c r="CO19" i="1"/>
  <c r="CL19" i="1"/>
  <c r="CU18" i="1"/>
  <c r="CR18" i="1"/>
  <c r="CO18" i="1"/>
  <c r="CL18" i="1"/>
  <c r="CU17" i="1"/>
  <c r="CR17" i="1"/>
  <c r="CO17" i="1"/>
  <c r="CO22" i="1" s="1"/>
  <c r="CL17" i="1"/>
  <c r="CL22" i="1" s="1"/>
  <c r="CO16" i="1"/>
  <c r="CL16" i="1"/>
  <c r="CU15" i="1"/>
  <c r="CP15" i="1"/>
  <c r="CO15" i="1"/>
  <c r="CL15" i="1"/>
  <c r="CT13" i="1"/>
  <c r="CS13" i="1"/>
  <c r="CR13" i="1"/>
  <c r="CO13" i="1"/>
  <c r="CL13" i="1"/>
  <c r="CP12" i="1"/>
  <c r="CO11" i="1"/>
  <c r="CL11" i="1"/>
  <c r="CN9" i="1"/>
  <c r="CM9" i="1"/>
  <c r="CO9" i="1" s="1"/>
  <c r="CK9" i="1"/>
  <c r="CL9" i="1" s="1"/>
  <c r="CJ8" i="1"/>
  <c r="CU7" i="1"/>
  <c r="CR7" i="1"/>
  <c r="CO7" i="1"/>
  <c r="CQ5" i="1"/>
  <c r="CQ11" i="1" s="1"/>
  <c r="CP5" i="1"/>
  <c r="CP11" i="1" s="1"/>
  <c r="CO5" i="1"/>
  <c r="CL5" i="1"/>
  <c r="CP4" i="1"/>
  <c r="CS4" i="1" s="1"/>
  <c r="CU13" i="1" l="1"/>
  <c r="CU22" i="1"/>
  <c r="CO23" i="1"/>
  <c r="CP16" i="1"/>
  <c r="CP23" i="1"/>
  <c r="CR11" i="1"/>
  <c r="CQ16" i="1"/>
  <c r="CQ23" i="1"/>
  <c r="CQ24" i="1" s="1"/>
  <c r="CP9" i="1"/>
  <c r="CR5" i="1"/>
  <c r="CQ9" i="1"/>
  <c r="CO24" i="1"/>
  <c r="CS5" i="1"/>
  <c r="CS9" i="1" s="1"/>
  <c r="CP8" i="1"/>
  <c r="CT5" i="1"/>
  <c r="CT16" i="1" s="1"/>
  <c r="BC35" i="1"/>
  <c r="AZ35" i="1"/>
  <c r="BF34" i="1"/>
  <c r="BI34" i="1" s="1"/>
  <c r="BC34" i="1"/>
  <c r="AZ33" i="1"/>
  <c r="BF32" i="1"/>
  <c r="BI32" i="1" s="1"/>
  <c r="BC32" i="1"/>
  <c r="BI31" i="1"/>
  <c r="BC31" i="1"/>
  <c r="BG30" i="1"/>
  <c r="BF30" i="1"/>
  <c r="BH30" i="1" s="1"/>
  <c r="BC30" i="1"/>
  <c r="BI29" i="1"/>
  <c r="BF29" i="1"/>
  <c r="BC29" i="1"/>
  <c r="BI28" i="1"/>
  <c r="BC28" i="1"/>
  <c r="BD27" i="1"/>
  <c r="BG27" i="1" s="1"/>
  <c r="BJ27" i="1" s="1"/>
  <c r="BC27" i="1"/>
  <c r="BF27" i="1" s="1"/>
  <c r="BD26" i="1"/>
  <c r="BG26" i="1" s="1"/>
  <c r="BJ26" i="1" s="1"/>
  <c r="BC26" i="1"/>
  <c r="BH23" i="1"/>
  <c r="BG23" i="1"/>
  <c r="BG24" i="1" s="1"/>
  <c r="BJ24" i="1" s="1"/>
  <c r="BF23" i="1"/>
  <c r="BD23" i="1"/>
  <c r="BC23" i="1"/>
  <c r="BF24" i="1" s="1"/>
  <c r="BJ22" i="1"/>
  <c r="BI22" i="1"/>
  <c r="BG22" i="1"/>
  <c r="BF22" i="1"/>
  <c r="BH22" i="1" s="1"/>
  <c r="BD22" i="1"/>
  <c r="BC22" i="1"/>
  <c r="BH21" i="1"/>
  <c r="BE21" i="1"/>
  <c r="BK20" i="1"/>
  <c r="BH20" i="1"/>
  <c r="BE20" i="1"/>
  <c r="BK19" i="1"/>
  <c r="BH19" i="1"/>
  <c r="BE19" i="1"/>
  <c r="BK18" i="1"/>
  <c r="BH18" i="1"/>
  <c r="BE18" i="1"/>
  <c r="BG16" i="1"/>
  <c r="BJ16" i="1" s="1"/>
  <c r="BF16" i="1"/>
  <c r="BI16" i="1" s="1"/>
  <c r="BE16" i="1"/>
  <c r="BD15" i="1"/>
  <c r="BG15" i="1" s="1"/>
  <c r="BJ15" i="1" s="1"/>
  <c r="BC15" i="1"/>
  <c r="BE15" i="1" s="1"/>
  <c r="BC14" i="1"/>
  <c r="BF14" i="1" s="1"/>
  <c r="BI14" i="1" s="1"/>
  <c r="BD13" i="1"/>
  <c r="BG13" i="1" s="1"/>
  <c r="BC13" i="1"/>
  <c r="BF12" i="1"/>
  <c r="BI12" i="1" s="1"/>
  <c r="BD11" i="1"/>
  <c r="BG11" i="1" s="1"/>
  <c r="BJ11" i="1" s="1"/>
  <c r="BC11" i="1"/>
  <c r="BF11" i="1" s="1"/>
  <c r="BC10" i="1"/>
  <c r="BF10" i="1" s="1"/>
  <c r="BH5" i="1"/>
  <c r="BK5" i="1" s="1"/>
  <c r="BD5" i="1"/>
  <c r="BG5" i="1" s="1"/>
  <c r="BJ5" i="1" s="1"/>
  <c r="BC5" i="1"/>
  <c r="BF5" i="1" s="1"/>
  <c r="BI5" i="1" s="1"/>
  <c r="BC4" i="1"/>
  <c r="BF4" i="1" s="1"/>
  <c r="BI4" i="1" s="1"/>
  <c r="BD9" i="1" l="1"/>
  <c r="BE13" i="1"/>
  <c r="BE22" i="1"/>
  <c r="BK16" i="1"/>
  <c r="CR9" i="1"/>
  <c r="CT9" i="1"/>
  <c r="CU9" i="1" s="1"/>
  <c r="CR16" i="1"/>
  <c r="CR23" i="1"/>
  <c r="CP10" i="1"/>
  <c r="CS16" i="1"/>
  <c r="CU16" i="1" s="1"/>
  <c r="CU5" i="1"/>
  <c r="CP24" i="1"/>
  <c r="CT11" i="1"/>
  <c r="CT23" i="1" s="1"/>
  <c r="CT24" i="1" s="1"/>
  <c r="CS11" i="1"/>
  <c r="BC8" i="1"/>
  <c r="BC9" i="1"/>
  <c r="BE9" i="1" s="1"/>
  <c r="BE26" i="1"/>
  <c r="BK22" i="1"/>
  <c r="BH27" i="1"/>
  <c r="BI27" i="1"/>
  <c r="BK27" i="1" s="1"/>
  <c r="BJ30" i="1"/>
  <c r="BI10" i="1"/>
  <c r="BI8" i="1" s="1"/>
  <c r="BF8" i="1"/>
  <c r="BH11" i="1"/>
  <c r="BI11" i="1"/>
  <c r="BG9" i="1"/>
  <c r="BJ13" i="1"/>
  <c r="BJ9" i="1" s="1"/>
  <c r="BI24" i="1"/>
  <c r="BK24" i="1" s="1"/>
  <c r="BH24" i="1"/>
  <c r="BE11" i="1"/>
  <c r="BF13" i="1"/>
  <c r="BF15" i="1"/>
  <c r="BF26" i="1"/>
  <c r="BE27" i="1"/>
  <c r="BH16" i="1"/>
  <c r="BD30" i="1"/>
  <c r="BE30" i="1" s="1"/>
  <c r="BE23" i="1"/>
  <c r="CS23" i="1" l="1"/>
  <c r="CU23" i="1" s="1"/>
  <c r="CU11" i="1"/>
  <c r="CS8" i="1"/>
  <c r="CS12" i="1"/>
  <c r="CS10" i="1" s="1"/>
  <c r="CS24" i="1"/>
  <c r="CU24" i="1" s="1"/>
  <c r="CR24" i="1"/>
  <c r="BI15" i="1"/>
  <c r="BK15" i="1" s="1"/>
  <c r="BH15" i="1"/>
  <c r="BI13" i="1"/>
  <c r="BK13" i="1" s="1"/>
  <c r="BH13" i="1"/>
  <c r="BF9" i="1"/>
  <c r="BH9" i="1" s="1"/>
  <c r="BI26" i="1"/>
  <c r="BH26" i="1"/>
  <c r="BI30" i="1"/>
  <c r="BK30" i="1" s="1"/>
  <c r="BK11" i="1"/>
  <c r="BK26" i="1" l="1"/>
  <c r="BI9" i="1"/>
  <c r="BK9" i="1" s="1"/>
  <c r="AY22" i="1" l="1"/>
  <c r="AX22" i="1"/>
  <c r="AW22" i="1"/>
  <c r="AU22" i="1"/>
  <c r="AT22" i="1"/>
  <c r="AS22" i="1"/>
  <c r="AR22" i="1"/>
  <c r="AQ22" i="1"/>
  <c r="AP22" i="1"/>
  <c r="AO22" i="1"/>
  <c r="AN22" i="1"/>
  <c r="AL22" i="1"/>
  <c r="AK22" i="1"/>
  <c r="AI22" i="1"/>
  <c r="AH22" i="1"/>
  <c r="AG22" i="1"/>
  <c r="AF22" i="1"/>
  <c r="AE22" i="1"/>
  <c r="AD22" i="1"/>
  <c r="AC22" i="1"/>
  <c r="AB22" i="1"/>
  <c r="AM21" i="1"/>
  <c r="AJ21" i="1"/>
  <c r="AM20" i="1"/>
  <c r="AJ20" i="1"/>
  <c r="AM19" i="1"/>
  <c r="AJ19" i="1"/>
  <c r="AM18" i="1"/>
  <c r="AJ18" i="1"/>
  <c r="AM17" i="1"/>
  <c r="AJ17" i="1"/>
  <c r="AJ22" i="1" s="1"/>
  <c r="AG16" i="1"/>
  <c r="AF16" i="1"/>
  <c r="AI16" i="1" s="1"/>
  <c r="AE16" i="1"/>
  <c r="AH16" i="1" s="1"/>
  <c r="AK16" i="1" s="1"/>
  <c r="AD16" i="1"/>
  <c r="AI15" i="1"/>
  <c r="AL15" i="1" s="1"/>
  <c r="AM15" i="1" s="1"/>
  <c r="AF15" i="1"/>
  <c r="AE15" i="1"/>
  <c r="AH15" i="1" s="1"/>
  <c r="AK15" i="1" s="1"/>
  <c r="AD15" i="1"/>
  <c r="AH14" i="1"/>
  <c r="AK14" i="1" s="1"/>
  <c r="AF13" i="1"/>
  <c r="AI13" i="1" s="1"/>
  <c r="AL13" i="1" s="1"/>
  <c r="AE13" i="1"/>
  <c r="AH13" i="1" s="1"/>
  <c r="AD13" i="1"/>
  <c r="AH12" i="1"/>
  <c r="AK12" i="1" s="1"/>
  <c r="AE12" i="1"/>
  <c r="AD11" i="1"/>
  <c r="AI9" i="1"/>
  <c r="AL9" i="1" s="1"/>
  <c r="AH9" i="1"/>
  <c r="AK9" i="1" s="1"/>
  <c r="AG9" i="1"/>
  <c r="AD9" i="1"/>
  <c r="AK8" i="1"/>
  <c r="AH8" i="1"/>
  <c r="AE8" i="1"/>
  <c r="AF5" i="1"/>
  <c r="AI5" i="1" s="1"/>
  <c r="AL5" i="1" s="1"/>
  <c r="AE5" i="1"/>
  <c r="AG5" i="1" s="1"/>
  <c r="AD5" i="1"/>
  <c r="AE4" i="1"/>
  <c r="AH4" i="1" s="1"/>
  <c r="AK4" i="1" s="1"/>
  <c r="AM22" i="1" l="1"/>
  <c r="AM9" i="1"/>
  <c r="AG15" i="1"/>
  <c r="AV22" i="1"/>
  <c r="AJ13" i="1"/>
  <c r="AK13" i="1"/>
  <c r="AM13" i="1" s="1"/>
  <c r="AJ16" i="1"/>
  <c r="AL16" i="1"/>
  <c r="AM16" i="1" s="1"/>
  <c r="AH5" i="1"/>
  <c r="AG13" i="1"/>
  <c r="AJ15" i="1"/>
  <c r="AJ9" i="1"/>
  <c r="AK5" i="1" l="1"/>
  <c r="AM5" i="1" s="1"/>
  <c r="AJ5" i="1"/>
  <c r="BW30" i="1" l="1"/>
  <c r="BT30" i="1"/>
  <c r="BQ30" i="1"/>
  <c r="BW27" i="1"/>
  <c r="BT27" i="1"/>
  <c r="BQ27" i="1"/>
  <c r="BN27" i="1"/>
  <c r="BW26" i="1"/>
  <c r="BT26" i="1"/>
  <c r="BN26" i="1"/>
  <c r="BS24" i="1"/>
  <c r="BV24" i="1" s="1"/>
  <c r="BR24" i="1"/>
  <c r="BU24" i="1" s="1"/>
  <c r="BP24" i="1"/>
  <c r="BO24" i="1"/>
  <c r="BW23" i="1"/>
  <c r="BT23" i="1"/>
  <c r="BQ23" i="1"/>
  <c r="BV22" i="1"/>
  <c r="BU22" i="1"/>
  <c r="BS22" i="1"/>
  <c r="BR22" i="1"/>
  <c r="BP22" i="1"/>
  <c r="BO22" i="1"/>
  <c r="BM22" i="1"/>
  <c r="BL22" i="1"/>
  <c r="BW21" i="1"/>
  <c r="BT21" i="1"/>
  <c r="BQ21" i="1"/>
  <c r="BN21" i="1"/>
  <c r="BW20" i="1"/>
  <c r="BT20" i="1"/>
  <c r="BQ20" i="1"/>
  <c r="BN20" i="1"/>
  <c r="BW19" i="1"/>
  <c r="BT19" i="1"/>
  <c r="BQ19" i="1"/>
  <c r="BN19" i="1"/>
  <c r="BW18" i="1"/>
  <c r="BT18" i="1"/>
  <c r="BQ18" i="1"/>
  <c r="BN18" i="1"/>
  <c r="BW17" i="1"/>
  <c r="BW22" i="1" s="1"/>
  <c r="BT17" i="1"/>
  <c r="BT22" i="1" s="1"/>
  <c r="BQ17" i="1"/>
  <c r="BQ22" i="1" s="1"/>
  <c r="BN17" i="1"/>
  <c r="BN22" i="1" s="1"/>
  <c r="BW16" i="1"/>
  <c r="BT16" i="1"/>
  <c r="BQ16" i="1"/>
  <c r="BN16" i="1"/>
  <c r="BW15" i="1"/>
  <c r="BT15" i="1"/>
  <c r="BQ15" i="1"/>
  <c r="BN15" i="1"/>
  <c r="BW13" i="1"/>
  <c r="BT13" i="1"/>
  <c r="BQ13" i="1"/>
  <c r="BN13" i="1"/>
  <c r="BU12" i="1"/>
  <c r="BW11" i="1"/>
  <c r="BT11" i="1"/>
  <c r="BQ11" i="1"/>
  <c r="BN11" i="1"/>
  <c r="BW9" i="1"/>
  <c r="BT9" i="1"/>
  <c r="BQ9" i="1"/>
  <c r="BN9" i="1"/>
  <c r="BN7" i="1"/>
  <c r="BW5" i="1"/>
  <c r="BT5" i="1"/>
  <c r="BQ5" i="1"/>
  <c r="BN5" i="1"/>
  <c r="BQ24" i="1" l="1"/>
  <c r="BW24" i="1"/>
  <c r="BT24" i="1"/>
  <c r="S8" i="1" l="1"/>
  <c r="P35" i="1" l="1"/>
  <c r="P33" i="1"/>
  <c r="AA30" i="1"/>
  <c r="X30" i="1"/>
  <c r="U30" i="1"/>
  <c r="U27" i="1"/>
  <c r="X27" i="1"/>
  <c r="AA27" i="1"/>
  <c r="AA26" i="1"/>
  <c r="X26" i="1"/>
  <c r="U26" i="1"/>
  <c r="T24" i="1" l="1"/>
  <c r="W24" i="1" s="1"/>
  <c r="S24" i="1"/>
  <c r="V24" i="1" s="1"/>
  <c r="Y24" i="1" s="1"/>
  <c r="R24" i="1"/>
  <c r="AA23" i="1"/>
  <c r="X23" i="1"/>
  <c r="U23" i="1"/>
  <c r="AA16" i="1"/>
  <c r="X16" i="1"/>
  <c r="V15" i="1"/>
  <c r="W15" i="1"/>
  <c r="Z15" i="1" s="1"/>
  <c r="U15" i="1"/>
  <c r="W9" i="1"/>
  <c r="W11" i="1" s="1"/>
  <c r="Z9" i="1" s="1"/>
  <c r="Z11" i="1" s="1"/>
  <c r="T5" i="1"/>
  <c r="W5" i="1" s="1"/>
  <c r="Z5" i="1" s="1"/>
  <c r="S5" i="1"/>
  <c r="V5" i="1" s="1"/>
  <c r="Y5" i="1" s="1"/>
  <c r="AA7" i="1"/>
  <c r="X7" i="1"/>
  <c r="S4" i="1"/>
  <c r="V4" i="1" s="1"/>
  <c r="Y4" i="1" s="1"/>
  <c r="S10" i="1"/>
  <c r="V8" i="1" s="1"/>
  <c r="U16" i="1"/>
  <c r="T13" i="1"/>
  <c r="U7" i="1"/>
  <c r="T9" i="1"/>
  <c r="T11" i="1" s="1"/>
  <c r="S9" i="1"/>
  <c r="V9" i="1" s="1"/>
  <c r="X15" i="1" l="1"/>
  <c r="Z24" i="1"/>
  <c r="X24" i="1"/>
  <c r="V11" i="1"/>
  <c r="X9" i="1"/>
  <c r="V35" i="1"/>
  <c r="V33" i="1"/>
  <c r="V10" i="1"/>
  <c r="Y8" i="1" s="1"/>
  <c r="AA24" i="1"/>
  <c r="S11" i="1"/>
  <c r="U11" i="1" s="1"/>
  <c r="W13" i="1"/>
  <c r="Z13" i="1" s="1"/>
  <c r="Y15" i="1"/>
  <c r="AA15" i="1" s="1"/>
  <c r="U24" i="1"/>
  <c r="S12" i="1"/>
  <c r="S35" i="1"/>
  <c r="S33" i="1"/>
  <c r="S13" i="1"/>
  <c r="AA5" i="1"/>
  <c r="U5" i="1"/>
  <c r="X5" i="1"/>
  <c r="U13" i="1"/>
  <c r="V12" i="1" l="1"/>
  <c r="V13" i="1"/>
  <c r="X13" i="1" s="1"/>
  <c r="Y35" i="1"/>
  <c r="Y33" i="1"/>
  <c r="Y10" i="1"/>
  <c r="Y12" i="1" s="1"/>
  <c r="Y9" i="1"/>
  <c r="X11" i="1"/>
  <c r="R27" i="1"/>
  <c r="R26" i="1"/>
  <c r="R23" i="1"/>
  <c r="R16" i="1"/>
  <c r="R15" i="1"/>
  <c r="R13" i="1"/>
  <c r="Y11" i="1" l="1"/>
  <c r="AA11" i="1" s="1"/>
  <c r="AA9" i="1"/>
  <c r="R11" i="1"/>
  <c r="U9" i="1" s="1"/>
  <c r="R9" i="1"/>
  <c r="R7" i="1"/>
  <c r="AA22" i="1"/>
  <c r="Z22" i="1"/>
  <c r="Y22" i="1"/>
  <c r="X22" i="1"/>
  <c r="W22" i="1"/>
  <c r="V22" i="1"/>
  <c r="U22" i="1"/>
  <c r="T22" i="1"/>
  <c r="S22" i="1"/>
  <c r="Y13" i="1" l="1"/>
  <c r="AA13" i="1" s="1"/>
  <c r="F19" i="1"/>
  <c r="F18" i="1"/>
  <c r="F15" i="1"/>
  <c r="F13" i="1"/>
  <c r="F9" i="1"/>
  <c r="F5" i="1"/>
  <c r="Q22" i="1"/>
  <c r="P22" i="1"/>
  <c r="D21" i="1"/>
  <c r="E21" i="1"/>
  <c r="G21" i="1"/>
  <c r="H21" i="1"/>
  <c r="I21" i="1"/>
  <c r="J21" i="1"/>
  <c r="K21" i="1"/>
  <c r="L21" i="1"/>
  <c r="M21" i="1"/>
  <c r="N21" i="1"/>
  <c r="O21" i="1"/>
  <c r="F21" i="1"/>
  <c r="F17" i="1"/>
  <c r="F11" i="1"/>
  <c r="M34" i="1"/>
  <c r="J34" i="1"/>
  <c r="G34" i="1"/>
  <c r="D34" i="1"/>
  <c r="M32" i="1"/>
  <c r="J32" i="1"/>
  <c r="G32" i="1"/>
  <c r="D32" i="1"/>
  <c r="M31" i="1"/>
  <c r="J31" i="1"/>
  <c r="G31" i="1"/>
  <c r="D31" i="1"/>
  <c r="O30" i="1"/>
  <c r="N30" i="1"/>
  <c r="M30" i="1"/>
  <c r="L30" i="1"/>
  <c r="K30" i="1"/>
  <c r="J30" i="1"/>
  <c r="I30" i="1"/>
  <c r="H30" i="1"/>
  <c r="G30" i="1"/>
  <c r="F30" i="1"/>
  <c r="E30" i="1"/>
  <c r="D30" i="1"/>
  <c r="M29" i="1"/>
  <c r="J29" i="1"/>
  <c r="G29" i="1"/>
  <c r="D29" i="1"/>
  <c r="M28" i="1"/>
  <c r="J28" i="1"/>
  <c r="G28" i="1"/>
  <c r="D28" i="1"/>
  <c r="O27" i="1"/>
  <c r="N27" i="1"/>
  <c r="M27" i="1"/>
  <c r="L27" i="1"/>
  <c r="K27" i="1"/>
  <c r="J27" i="1"/>
  <c r="I27" i="1"/>
  <c r="H27" i="1"/>
  <c r="G27" i="1"/>
  <c r="F27" i="1"/>
  <c r="E27" i="1"/>
  <c r="D27" i="1"/>
  <c r="O26" i="1"/>
  <c r="N26" i="1"/>
  <c r="M26" i="1"/>
  <c r="L26" i="1"/>
  <c r="K26" i="1"/>
  <c r="J26" i="1"/>
  <c r="I26" i="1"/>
  <c r="H26" i="1"/>
  <c r="G26" i="1"/>
  <c r="F26" i="1"/>
  <c r="E26" i="1"/>
  <c r="D26" i="1"/>
  <c r="M25" i="1"/>
  <c r="J25" i="1"/>
  <c r="G25" i="1"/>
  <c r="D25" i="1"/>
  <c r="O24" i="1"/>
  <c r="N24" i="1"/>
  <c r="M24" i="1"/>
  <c r="L24" i="1"/>
  <c r="K24" i="1"/>
  <c r="J24" i="1"/>
  <c r="I24" i="1"/>
  <c r="H24" i="1"/>
  <c r="G24" i="1"/>
  <c r="F24" i="1"/>
  <c r="E24" i="1"/>
  <c r="D24" i="1"/>
  <c r="O23" i="1"/>
  <c r="N23" i="1"/>
  <c r="M23" i="1"/>
  <c r="L23" i="1"/>
  <c r="K23" i="1"/>
  <c r="J23" i="1"/>
  <c r="I23" i="1"/>
  <c r="H23" i="1"/>
  <c r="G23" i="1"/>
  <c r="F23" i="1"/>
  <c r="E23" i="1"/>
  <c r="D23" i="1"/>
  <c r="O20" i="1"/>
  <c r="N20" i="1"/>
  <c r="M20" i="1"/>
  <c r="L20" i="1"/>
  <c r="K20" i="1"/>
  <c r="J20" i="1"/>
  <c r="I20" i="1"/>
  <c r="H20" i="1"/>
  <c r="G20" i="1"/>
  <c r="F20" i="1"/>
  <c r="E20" i="1"/>
  <c r="D20" i="1"/>
  <c r="O19" i="1"/>
  <c r="N19" i="1"/>
  <c r="M19" i="1"/>
  <c r="L19" i="1"/>
  <c r="K19" i="1"/>
  <c r="J19" i="1"/>
  <c r="I19" i="1"/>
  <c r="H19" i="1"/>
  <c r="G19" i="1"/>
  <c r="E19" i="1"/>
  <c r="D19" i="1"/>
  <c r="O18" i="1"/>
  <c r="N18" i="1"/>
  <c r="M18" i="1"/>
  <c r="L18" i="1"/>
  <c r="K18" i="1"/>
  <c r="J18" i="1"/>
  <c r="I18" i="1"/>
  <c r="H18" i="1"/>
  <c r="G18" i="1"/>
  <c r="E18" i="1"/>
  <c r="D18" i="1"/>
  <c r="O17" i="1"/>
  <c r="N17" i="1"/>
  <c r="M17" i="1"/>
  <c r="L17" i="1"/>
  <c r="K17" i="1"/>
  <c r="J17" i="1"/>
  <c r="I17" i="1"/>
  <c r="H17" i="1"/>
  <c r="G17" i="1"/>
  <c r="E17" i="1"/>
  <c r="D17" i="1"/>
  <c r="O16" i="1"/>
  <c r="N16" i="1"/>
  <c r="M16" i="1"/>
  <c r="L16" i="1"/>
  <c r="K16" i="1"/>
  <c r="J16" i="1"/>
  <c r="I16" i="1"/>
  <c r="H16" i="1"/>
  <c r="G16" i="1"/>
  <c r="F16" i="1"/>
  <c r="E16" i="1"/>
  <c r="D16" i="1"/>
  <c r="O15" i="1"/>
  <c r="N15" i="1"/>
  <c r="M15" i="1"/>
  <c r="L15" i="1"/>
  <c r="K15" i="1"/>
  <c r="J15" i="1"/>
  <c r="I15" i="1"/>
  <c r="H15" i="1"/>
  <c r="G15" i="1"/>
  <c r="E15" i="1"/>
  <c r="D15" i="1"/>
  <c r="M14" i="1"/>
  <c r="J14" i="1"/>
  <c r="G14" i="1"/>
  <c r="D14" i="1"/>
  <c r="O13" i="1"/>
  <c r="N13" i="1"/>
  <c r="M13" i="1"/>
  <c r="L13" i="1"/>
  <c r="K13" i="1"/>
  <c r="J13" i="1"/>
  <c r="I13" i="1"/>
  <c r="H13" i="1"/>
  <c r="G13" i="1"/>
  <c r="E13" i="1"/>
  <c r="D13" i="1"/>
  <c r="M12" i="1"/>
  <c r="J12" i="1"/>
  <c r="G12" i="1"/>
  <c r="D12" i="1"/>
  <c r="O11" i="1"/>
  <c r="N11" i="1"/>
  <c r="M11" i="1"/>
  <c r="L11" i="1"/>
  <c r="K11" i="1"/>
  <c r="J11" i="1"/>
  <c r="I11" i="1"/>
  <c r="H11" i="1"/>
  <c r="G11" i="1"/>
  <c r="E11" i="1"/>
  <c r="D11" i="1"/>
  <c r="M10" i="1"/>
  <c r="J10" i="1"/>
  <c r="G10" i="1"/>
  <c r="D10" i="1"/>
  <c r="O9" i="1"/>
  <c r="N9" i="1"/>
  <c r="M9" i="1"/>
  <c r="L9" i="1"/>
  <c r="K9" i="1"/>
  <c r="J9" i="1"/>
  <c r="I9" i="1"/>
  <c r="H9" i="1"/>
  <c r="G9" i="1"/>
  <c r="E9" i="1"/>
  <c r="D9" i="1"/>
  <c r="M8" i="1"/>
  <c r="J8" i="1"/>
  <c r="G8" i="1"/>
  <c r="D8" i="1"/>
  <c r="O7" i="1"/>
  <c r="N7" i="1"/>
  <c r="M7" i="1"/>
  <c r="L7" i="1"/>
  <c r="K7" i="1"/>
  <c r="J7" i="1"/>
  <c r="I7" i="1"/>
  <c r="H7" i="1"/>
  <c r="G7" i="1"/>
  <c r="F7" i="1"/>
  <c r="E7" i="1"/>
  <c r="D7" i="1"/>
  <c r="M6" i="1"/>
  <c r="J6" i="1"/>
  <c r="G6" i="1"/>
  <c r="D6" i="1"/>
  <c r="O5" i="1"/>
  <c r="N5" i="1"/>
  <c r="M5" i="1"/>
  <c r="L5" i="1"/>
  <c r="K5" i="1"/>
  <c r="J5" i="1"/>
  <c r="I5" i="1"/>
  <c r="H5" i="1"/>
  <c r="G5" i="1"/>
  <c r="M4" i="1"/>
  <c r="J4" i="1"/>
  <c r="G4" i="1"/>
  <c r="E5" i="1"/>
  <c r="D5" i="1"/>
  <c r="D4" i="1"/>
  <c r="N22" i="1" l="1"/>
  <c r="M22" i="1"/>
  <c r="O22" i="1"/>
  <c r="J22" i="1"/>
  <c r="L22" i="1"/>
  <c r="K22" i="1"/>
  <c r="I22" i="1"/>
  <c r="G22" i="1"/>
  <c r="H22" i="1"/>
  <c r="E22" i="1"/>
  <c r="F22" i="1"/>
  <c r="D22" i="1"/>
  <c r="R22" i="1"/>
  <c r="M35" i="1" l="1"/>
  <c r="J35" i="1"/>
  <c r="G35" i="1"/>
  <c r="D35" i="1"/>
  <c r="M33" i="1"/>
  <c r="J33" i="1"/>
  <c r="G33" i="1"/>
  <c r="D33" i="1"/>
</calcChain>
</file>

<file path=xl/comments1.xml><?xml version="1.0" encoding="utf-8"?>
<comments xmlns="http://schemas.openxmlformats.org/spreadsheetml/2006/main">
  <authors>
    <author>Utilisateur Windows</author>
    <author>Gaetan RANDRIANARIVELO</author>
  </authors>
  <commentList>
    <comment ref="CU13" authorId="0" shapeId="0">
      <text>
        <r>
          <rPr>
            <b/>
            <sz val="9"/>
            <color rgb="FF000000"/>
            <rFont val="Tahoma"/>
            <family val="2"/>
          </rPr>
          <t>Utilisateur Windows:</t>
        </r>
        <r>
          <rPr>
            <sz val="9"/>
            <color rgb="FF000000"/>
            <rFont val="Tahoma"/>
            <family val="2"/>
          </rPr>
          <t xml:space="preserve">
</t>
        </r>
        <r>
          <rPr>
            <sz val="9"/>
            <color rgb="FF000000"/>
            <rFont val="Tahoma"/>
            <family val="2"/>
          </rPr>
          <t xml:space="preserve">566:
</t>
        </r>
        <r>
          <rPr>
            <sz val="9"/>
            <color rgb="FF000000"/>
            <rFont val="Tahoma"/>
            <family val="2"/>
          </rPr>
          <t xml:space="preserve"> nouveaux reseaux de l'année</t>
        </r>
      </text>
    </comment>
    <comment ref="CQ22" authorId="0" shapeId="0">
      <text>
        <r>
          <rPr>
            <b/>
            <sz val="9"/>
            <color rgb="FF000000"/>
            <rFont val="Tahoma"/>
            <family val="2"/>
          </rPr>
          <t>Utilisateur Windows:</t>
        </r>
        <r>
          <rPr>
            <sz val="9"/>
            <color rgb="FF000000"/>
            <rFont val="Tahoma"/>
            <family val="2"/>
          </rPr>
          <t xml:space="preserve">
</t>
        </r>
        <r>
          <rPr>
            <sz val="9"/>
            <color rgb="FF000000"/>
            <rFont val="Tahoma"/>
            <family val="2"/>
          </rPr>
          <t>diminuation causé par la suppression de zone à Sonieran'Ivongo</t>
        </r>
      </text>
    </comment>
    <comment ref="C23" authorId="1" shapeId="0">
      <text>
        <r>
          <rPr>
            <b/>
            <sz val="9"/>
            <color indexed="81"/>
            <rFont val="Tahoma"/>
            <charset val="1"/>
          </rPr>
          <t>Gaetan RANDRIANARIVELO:</t>
        </r>
        <r>
          <rPr>
            <sz val="9"/>
            <color indexed="81"/>
            <rFont val="Tahoma"/>
            <charset val="1"/>
          </rPr>
          <t xml:space="preserve">
clé nutrition dans grouepement : oui / non</t>
        </r>
      </text>
    </comment>
    <comment ref="C25" authorId="1" shapeId="0">
      <text>
        <r>
          <rPr>
            <b/>
            <sz val="9"/>
            <color indexed="81"/>
            <rFont val="Tahoma"/>
            <charset val="1"/>
          </rPr>
          <t>Gaetan RANDRIANARIVELO:</t>
        </r>
        <r>
          <rPr>
            <sz val="9"/>
            <color indexed="81"/>
            <rFont val="Tahoma"/>
            <charset val="1"/>
          </rPr>
          <t xml:space="preserve">
intervention agricole @ réseaux  ( oui/non) année avoaka sy oui</t>
        </r>
      </text>
    </comment>
    <comment ref="C26" authorId="1" shapeId="0">
      <text>
        <r>
          <rPr>
            <b/>
            <sz val="9"/>
            <color indexed="81"/>
            <rFont val="Tahoma"/>
            <charset val="1"/>
          </rPr>
          <t>Gaetan RANDRIANARIVELO:</t>
        </r>
        <r>
          <rPr>
            <sz val="9"/>
            <color indexed="81"/>
            <rFont val="Tahoma"/>
            <charset val="1"/>
          </rPr>
          <t xml:space="preserve">
source prot.</t>
        </r>
      </text>
    </comment>
    <comment ref="C27" authorId="1" shapeId="0">
      <text>
        <r>
          <rPr>
            <b/>
            <sz val="9"/>
            <color indexed="81"/>
            <rFont val="Tahoma"/>
            <charset val="1"/>
          </rPr>
          <t>Gaetan RANDRIANARIVELO:</t>
        </r>
        <r>
          <rPr>
            <sz val="9"/>
            <color indexed="81"/>
            <rFont val="Tahoma"/>
            <charset val="1"/>
          </rPr>
          <t xml:space="preserve">
</t>
        </r>
      </text>
    </comment>
    <comment ref="C28" authorId="1" shapeId="0">
      <text>
        <r>
          <rPr>
            <b/>
            <sz val="9"/>
            <color indexed="81"/>
            <rFont val="Tahoma"/>
            <charset val="1"/>
          </rPr>
          <t>Gaetan RANDRIANARIVELO:</t>
        </r>
        <r>
          <rPr>
            <sz val="9"/>
            <color indexed="81"/>
            <rFont val="Tahoma"/>
            <charset val="1"/>
          </rPr>
          <t xml:space="preserve">
 clé : activitedev</t>
        </r>
      </text>
    </comment>
    <comment ref="C30" authorId="1" shapeId="0">
      <text>
        <r>
          <rPr>
            <b/>
            <sz val="9"/>
            <color indexed="81"/>
            <rFont val="Tahoma"/>
            <charset val="1"/>
          </rPr>
          <t>Gaetan RANDRIANARIVELO:</t>
        </r>
        <r>
          <rPr>
            <sz val="9"/>
            <color indexed="81"/>
            <rFont val="Tahoma"/>
            <charset val="1"/>
          </rPr>
          <t xml:space="preserve">
clé grc dans groupement</t>
        </r>
      </text>
    </comment>
  </commentList>
</comments>
</file>

<file path=xl/comments2.xml><?xml version="1.0" encoding="utf-8"?>
<comments xmlns="http://schemas.openxmlformats.org/spreadsheetml/2006/main">
  <authors>
    <author>Utilisateur Windows</author>
  </authors>
  <commentList>
    <comment ref="CS13" authorId="0" shapeId="0">
      <text>
        <r>
          <rPr>
            <b/>
            <sz val="9"/>
            <color rgb="FF000000"/>
            <rFont val="Tahoma"/>
            <family val="2"/>
          </rPr>
          <t>Utilisateur Windows:</t>
        </r>
        <r>
          <rPr>
            <sz val="9"/>
            <color rgb="FF000000"/>
            <rFont val="Tahoma"/>
            <family val="2"/>
          </rPr>
          <t xml:space="preserve">
</t>
        </r>
        <r>
          <rPr>
            <sz val="9"/>
            <color rgb="FF000000"/>
            <rFont val="Tahoma"/>
            <family val="2"/>
          </rPr>
          <t xml:space="preserve">566:
</t>
        </r>
        <r>
          <rPr>
            <sz val="9"/>
            <color rgb="FF000000"/>
            <rFont val="Tahoma"/>
            <family val="2"/>
          </rPr>
          <t xml:space="preserve"> nouveaux reseaux de l'année</t>
        </r>
      </text>
    </comment>
    <comment ref="CO22" authorId="0" shapeId="0">
      <text>
        <r>
          <rPr>
            <b/>
            <sz val="9"/>
            <color rgb="FF000000"/>
            <rFont val="Tahoma"/>
            <family val="2"/>
          </rPr>
          <t>Utilisateur Windows:</t>
        </r>
        <r>
          <rPr>
            <sz val="9"/>
            <color rgb="FF000000"/>
            <rFont val="Tahoma"/>
            <family val="2"/>
          </rPr>
          <t xml:space="preserve">
</t>
        </r>
        <r>
          <rPr>
            <sz val="9"/>
            <color rgb="FF000000"/>
            <rFont val="Tahoma"/>
            <family val="2"/>
          </rPr>
          <t>diminuation causé par la suppression de zone à Sonieran'Ivongo</t>
        </r>
      </text>
    </comment>
  </commentList>
</comments>
</file>

<file path=xl/comments3.xml><?xml version="1.0" encoding="utf-8"?>
<comments xmlns="http://schemas.openxmlformats.org/spreadsheetml/2006/main">
  <authors>
    <author>Utilisateur Windows</author>
    <author>Gaetan RANDRIANARIVELO</author>
  </authors>
  <commentList>
    <comment ref="CU13" authorId="0" shapeId="0">
      <text>
        <r>
          <rPr>
            <b/>
            <sz val="9"/>
            <color rgb="FF000000"/>
            <rFont val="Tahoma"/>
            <family val="2"/>
          </rPr>
          <t>Utilisateur Windows:</t>
        </r>
        <r>
          <rPr>
            <sz val="9"/>
            <color rgb="FF000000"/>
            <rFont val="Tahoma"/>
            <family val="2"/>
          </rPr>
          <t xml:space="preserve">
</t>
        </r>
        <r>
          <rPr>
            <sz val="9"/>
            <color rgb="FF000000"/>
            <rFont val="Tahoma"/>
            <family val="2"/>
          </rPr>
          <t xml:space="preserve">566:
</t>
        </r>
        <r>
          <rPr>
            <sz val="9"/>
            <color rgb="FF000000"/>
            <rFont val="Tahoma"/>
            <family val="2"/>
          </rPr>
          <t xml:space="preserve"> nouveaux reseaux de l'année</t>
        </r>
      </text>
    </comment>
    <comment ref="CQ22" authorId="0" shapeId="0">
      <text>
        <r>
          <rPr>
            <b/>
            <sz val="9"/>
            <color rgb="FF000000"/>
            <rFont val="Tahoma"/>
            <family val="2"/>
          </rPr>
          <t>Utilisateur Windows:</t>
        </r>
        <r>
          <rPr>
            <sz val="9"/>
            <color rgb="FF000000"/>
            <rFont val="Tahoma"/>
            <family val="2"/>
          </rPr>
          <t xml:space="preserve">
</t>
        </r>
        <r>
          <rPr>
            <sz val="9"/>
            <color rgb="FF000000"/>
            <rFont val="Tahoma"/>
            <family val="2"/>
          </rPr>
          <t>diminuation causé par la suppression de zone à Sonieran'Ivongo</t>
        </r>
      </text>
    </comment>
    <comment ref="C23" authorId="1" shapeId="0">
      <text>
        <r>
          <rPr>
            <b/>
            <sz val="9"/>
            <color indexed="81"/>
            <rFont val="Tahoma"/>
            <charset val="1"/>
          </rPr>
          <t>Gaetan RANDRIANARIVELO:</t>
        </r>
        <r>
          <rPr>
            <sz val="9"/>
            <color indexed="81"/>
            <rFont val="Tahoma"/>
            <charset val="1"/>
          </rPr>
          <t xml:space="preserve">
clé nutrition dans grouepement : oui / non</t>
        </r>
      </text>
    </comment>
    <comment ref="C25" authorId="1" shapeId="0">
      <text>
        <r>
          <rPr>
            <b/>
            <sz val="9"/>
            <color indexed="81"/>
            <rFont val="Tahoma"/>
            <charset val="1"/>
          </rPr>
          <t>Gaetan RANDRIANARIVELO:</t>
        </r>
        <r>
          <rPr>
            <sz val="9"/>
            <color indexed="81"/>
            <rFont val="Tahoma"/>
            <charset val="1"/>
          </rPr>
          <t xml:space="preserve">
intervention agricole @ réseaux  ( oui/non) année avoaka sy oui</t>
        </r>
      </text>
    </comment>
    <comment ref="C26" authorId="1" shapeId="0">
      <text>
        <r>
          <rPr>
            <b/>
            <sz val="9"/>
            <color indexed="81"/>
            <rFont val="Tahoma"/>
            <charset val="1"/>
          </rPr>
          <t>Gaetan RANDRIANARIVELO:</t>
        </r>
        <r>
          <rPr>
            <sz val="9"/>
            <color indexed="81"/>
            <rFont val="Tahoma"/>
            <charset val="1"/>
          </rPr>
          <t xml:space="preserve">
source prot.</t>
        </r>
      </text>
    </comment>
    <comment ref="C27" authorId="1" shapeId="0">
      <text>
        <r>
          <rPr>
            <b/>
            <sz val="9"/>
            <color indexed="81"/>
            <rFont val="Tahoma"/>
            <charset val="1"/>
          </rPr>
          <t>Gaetan RANDRIANARIVELO:</t>
        </r>
        <r>
          <rPr>
            <sz val="9"/>
            <color indexed="81"/>
            <rFont val="Tahoma"/>
            <charset val="1"/>
          </rPr>
          <t xml:space="preserve">
</t>
        </r>
      </text>
    </comment>
    <comment ref="C28" authorId="1" shapeId="0">
      <text>
        <r>
          <rPr>
            <b/>
            <sz val="9"/>
            <color indexed="81"/>
            <rFont val="Tahoma"/>
            <charset val="1"/>
          </rPr>
          <t>Gaetan RANDRIANARIVELO:</t>
        </r>
        <r>
          <rPr>
            <sz val="9"/>
            <color indexed="81"/>
            <rFont val="Tahoma"/>
            <charset val="1"/>
          </rPr>
          <t xml:space="preserve">
 clé : activitedev</t>
        </r>
      </text>
    </comment>
    <comment ref="C30" authorId="1" shapeId="0">
      <text>
        <r>
          <rPr>
            <b/>
            <sz val="9"/>
            <color indexed="81"/>
            <rFont val="Tahoma"/>
            <charset val="1"/>
          </rPr>
          <t>Gaetan RANDRIANARIVELO:</t>
        </r>
        <r>
          <rPr>
            <sz val="9"/>
            <color indexed="81"/>
            <rFont val="Tahoma"/>
            <charset val="1"/>
          </rPr>
          <t xml:space="preserve">
clé grc dans groupement</t>
        </r>
      </text>
    </comment>
    <comment ref="C31" authorId="1" shapeId="0">
      <text>
        <r>
          <rPr>
            <b/>
            <sz val="9"/>
            <color indexed="81"/>
            <rFont val="Tahoma"/>
            <charset val="1"/>
          </rPr>
          <t>Gaetan RANDRIANARIVELO:</t>
        </r>
        <r>
          <rPr>
            <sz val="9"/>
            <color indexed="81"/>
            <rFont val="Tahoma"/>
            <charset val="1"/>
          </rPr>
          <t xml:space="preserve">
nombre FKT fotsiny ity fa ampidirin'i AP pour chaque saisie</t>
        </r>
      </text>
    </comment>
  </commentList>
</comments>
</file>

<file path=xl/comments4.xml><?xml version="1.0" encoding="utf-8"?>
<comments xmlns="http://schemas.openxmlformats.org/spreadsheetml/2006/main">
  <authors>
    <author>Gaetan RANDRIANARIVELO</author>
    <author>Utilisateur Windows</author>
  </authors>
  <commentList>
    <comment ref="D4" authorId="0" shapeId="0">
      <text>
        <r>
          <rPr>
            <b/>
            <sz val="9"/>
            <color indexed="81"/>
            <rFont val="Tahoma"/>
            <charset val="1"/>
          </rPr>
          <t>Gaetan RANDRIANARIVELO:</t>
        </r>
        <r>
          <rPr>
            <sz val="9"/>
            <color indexed="81"/>
            <rFont val="Tahoma"/>
            <charset val="1"/>
          </rPr>
          <t xml:space="preserve">
Le groupement dissous ve zany mbola ampidirna eto ?</t>
        </r>
      </text>
    </comment>
    <comment ref="CU15" authorId="1" shapeId="0">
      <text>
        <r>
          <rPr>
            <b/>
            <sz val="9"/>
            <color rgb="FF000000"/>
            <rFont val="Tahoma"/>
            <family val="2"/>
          </rPr>
          <t>Utilisateur Windows:</t>
        </r>
        <r>
          <rPr>
            <sz val="9"/>
            <color rgb="FF000000"/>
            <rFont val="Tahoma"/>
            <family val="2"/>
          </rPr>
          <t xml:space="preserve">
</t>
        </r>
        <r>
          <rPr>
            <sz val="9"/>
            <color rgb="FF000000"/>
            <rFont val="Tahoma"/>
            <family val="2"/>
          </rPr>
          <t xml:space="preserve">566:
</t>
        </r>
        <r>
          <rPr>
            <sz val="9"/>
            <color rgb="FF000000"/>
            <rFont val="Tahoma"/>
            <family val="2"/>
          </rPr>
          <t xml:space="preserve"> nouveaux reseaux de l'année</t>
        </r>
      </text>
    </comment>
    <comment ref="CQ26" authorId="1" shapeId="0">
      <text>
        <r>
          <rPr>
            <b/>
            <sz val="9"/>
            <color rgb="FF000000"/>
            <rFont val="Tahoma"/>
            <family val="2"/>
          </rPr>
          <t>Utilisateur Windows:</t>
        </r>
        <r>
          <rPr>
            <sz val="9"/>
            <color rgb="FF000000"/>
            <rFont val="Tahoma"/>
            <family val="2"/>
          </rPr>
          <t xml:space="preserve">
</t>
        </r>
        <r>
          <rPr>
            <sz val="9"/>
            <color rgb="FF000000"/>
            <rFont val="Tahoma"/>
            <family val="2"/>
          </rPr>
          <t>diminuation causé par la suppression de zone à Sonieran'Ivongo</t>
        </r>
      </text>
    </comment>
    <comment ref="C27" authorId="0" shapeId="0">
      <text>
        <r>
          <rPr>
            <b/>
            <sz val="9"/>
            <color indexed="81"/>
            <rFont val="Tahoma"/>
            <charset val="1"/>
          </rPr>
          <t>Gaetan RANDRIANARIVELO:</t>
        </r>
        <r>
          <rPr>
            <sz val="9"/>
            <color indexed="81"/>
            <rFont val="Tahoma"/>
            <charset val="1"/>
          </rPr>
          <t xml:space="preserve">
clé nutrition dans grouepement : oui / non</t>
        </r>
      </text>
    </comment>
    <comment ref="C29" authorId="0" shapeId="0">
      <text>
        <r>
          <rPr>
            <b/>
            <sz val="9"/>
            <color indexed="81"/>
            <rFont val="Tahoma"/>
            <charset val="1"/>
          </rPr>
          <t>Gaetan RANDRIANARIVELO:</t>
        </r>
        <r>
          <rPr>
            <sz val="9"/>
            <color indexed="81"/>
            <rFont val="Tahoma"/>
            <charset val="1"/>
          </rPr>
          <t xml:space="preserve">
intervention agricole @ réseaux  ( oui/non) année avoaka sy oui</t>
        </r>
      </text>
    </comment>
    <comment ref="C31" authorId="0" shapeId="0">
      <text>
        <r>
          <rPr>
            <b/>
            <sz val="9"/>
            <color indexed="81"/>
            <rFont val="Tahoma"/>
            <charset val="1"/>
          </rPr>
          <t>Gaetan RANDRIANARIVELO:</t>
        </r>
        <r>
          <rPr>
            <sz val="9"/>
            <color indexed="81"/>
            <rFont val="Tahoma"/>
            <charset val="1"/>
          </rPr>
          <t xml:space="preserve">
source prot.</t>
        </r>
      </text>
    </comment>
    <comment ref="C32" authorId="0" shapeId="0">
      <text>
        <r>
          <rPr>
            <b/>
            <sz val="9"/>
            <color indexed="81"/>
            <rFont val="Tahoma"/>
            <charset val="1"/>
          </rPr>
          <t>Gaetan RANDRIANARIVELO:</t>
        </r>
        <r>
          <rPr>
            <sz val="9"/>
            <color indexed="81"/>
            <rFont val="Tahoma"/>
            <charset val="1"/>
          </rPr>
          <t xml:space="preserve">
</t>
        </r>
      </text>
    </comment>
    <comment ref="C33" authorId="0" shapeId="0">
      <text>
        <r>
          <rPr>
            <b/>
            <sz val="9"/>
            <color indexed="81"/>
            <rFont val="Tahoma"/>
            <charset val="1"/>
          </rPr>
          <t>Gaetan RANDRIANARIVELO:</t>
        </r>
        <r>
          <rPr>
            <sz val="9"/>
            <color indexed="81"/>
            <rFont val="Tahoma"/>
            <charset val="1"/>
          </rPr>
          <t xml:space="preserve">
 clé : activitedev</t>
        </r>
      </text>
    </comment>
    <comment ref="C35" authorId="0" shapeId="0">
      <text>
        <r>
          <rPr>
            <b/>
            <sz val="9"/>
            <color indexed="81"/>
            <rFont val="Tahoma"/>
            <charset val="1"/>
          </rPr>
          <t>Gaetan RANDRIANARIVELO:</t>
        </r>
        <r>
          <rPr>
            <sz val="9"/>
            <color indexed="81"/>
            <rFont val="Tahoma"/>
            <charset val="1"/>
          </rPr>
          <t xml:space="preserve">
clé grc dans groupement</t>
        </r>
      </text>
    </comment>
    <comment ref="C36" authorId="0" shapeId="0">
      <text>
        <r>
          <rPr>
            <b/>
            <sz val="9"/>
            <color indexed="81"/>
            <rFont val="Tahoma"/>
            <charset val="1"/>
          </rPr>
          <t>Gaetan RANDRIANARIVELO:</t>
        </r>
        <r>
          <rPr>
            <sz val="9"/>
            <color indexed="81"/>
            <rFont val="Tahoma"/>
            <charset val="1"/>
          </rPr>
          <t xml:space="preserve">
nombre FKT fotsiny ity fa ampidirin'i AP pour chaque saisie</t>
        </r>
      </text>
    </comment>
  </commentList>
</comments>
</file>

<file path=xl/comments5.xml><?xml version="1.0" encoding="utf-8"?>
<comments xmlns="http://schemas.openxmlformats.org/spreadsheetml/2006/main">
  <authors>
    <author>Utilisateur Windows</author>
    <author>Gaetan RANDRIANARIVELO</author>
  </authors>
  <commentList>
    <comment ref="CS15" authorId="0" shapeId="0">
      <text>
        <r>
          <rPr>
            <b/>
            <sz val="9"/>
            <color rgb="FF000000"/>
            <rFont val="Tahoma"/>
            <family val="2"/>
          </rPr>
          <t>Utilisateur Windows:</t>
        </r>
        <r>
          <rPr>
            <sz val="9"/>
            <color rgb="FF000000"/>
            <rFont val="Tahoma"/>
            <family val="2"/>
          </rPr>
          <t xml:space="preserve">
</t>
        </r>
        <r>
          <rPr>
            <sz val="9"/>
            <color rgb="FF000000"/>
            <rFont val="Tahoma"/>
            <family val="2"/>
          </rPr>
          <t xml:space="preserve">566:
</t>
        </r>
        <r>
          <rPr>
            <sz val="9"/>
            <color rgb="FF000000"/>
            <rFont val="Tahoma"/>
            <family val="2"/>
          </rPr>
          <t xml:space="preserve"> nouveaux reseaux de l'année</t>
        </r>
      </text>
    </comment>
    <comment ref="CO26" authorId="0" shapeId="0">
      <text>
        <r>
          <rPr>
            <b/>
            <sz val="9"/>
            <color rgb="FF000000"/>
            <rFont val="Tahoma"/>
            <family val="2"/>
          </rPr>
          <t>Utilisateur Windows:</t>
        </r>
        <r>
          <rPr>
            <sz val="9"/>
            <color rgb="FF000000"/>
            <rFont val="Tahoma"/>
            <family val="2"/>
          </rPr>
          <t xml:space="preserve">
</t>
        </r>
        <r>
          <rPr>
            <sz val="9"/>
            <color rgb="FF000000"/>
            <rFont val="Tahoma"/>
            <family val="2"/>
          </rPr>
          <t>diminuation causé par la suppression de zone à Sonieran'Ivongo</t>
        </r>
      </text>
    </comment>
    <comment ref="C27" authorId="1" shapeId="0">
      <text>
        <r>
          <rPr>
            <b/>
            <sz val="9"/>
            <color indexed="81"/>
            <rFont val="Tahoma"/>
            <charset val="1"/>
          </rPr>
          <t>Gaetan RANDRIANARIVELO:</t>
        </r>
        <r>
          <rPr>
            <sz val="9"/>
            <color indexed="81"/>
            <rFont val="Tahoma"/>
            <charset val="1"/>
          </rPr>
          <t xml:space="preserve">
clé nutrition dans grouepement : oui / non</t>
        </r>
      </text>
    </comment>
    <comment ref="C29" authorId="1" shapeId="0">
      <text>
        <r>
          <rPr>
            <b/>
            <sz val="9"/>
            <color indexed="81"/>
            <rFont val="Tahoma"/>
            <charset val="1"/>
          </rPr>
          <t>Gaetan RANDRIANARIVELO:</t>
        </r>
        <r>
          <rPr>
            <sz val="9"/>
            <color indexed="81"/>
            <rFont val="Tahoma"/>
            <charset val="1"/>
          </rPr>
          <t xml:space="preserve">
intervention agricole @ réseaux  ( oui/non) année avoaka sy oui</t>
        </r>
      </text>
    </comment>
    <comment ref="C31" authorId="1" shapeId="0">
      <text>
        <r>
          <rPr>
            <b/>
            <sz val="9"/>
            <color indexed="81"/>
            <rFont val="Tahoma"/>
            <charset val="1"/>
          </rPr>
          <t>Gaetan RANDRIANARIVELO:</t>
        </r>
        <r>
          <rPr>
            <sz val="9"/>
            <color indexed="81"/>
            <rFont val="Tahoma"/>
            <charset val="1"/>
          </rPr>
          <t xml:space="preserve">
source prot.</t>
        </r>
      </text>
    </comment>
    <comment ref="C32" authorId="1" shapeId="0">
      <text>
        <r>
          <rPr>
            <b/>
            <sz val="9"/>
            <color indexed="81"/>
            <rFont val="Tahoma"/>
            <charset val="1"/>
          </rPr>
          <t>Gaetan RANDRIANARIVELO:</t>
        </r>
        <r>
          <rPr>
            <sz val="9"/>
            <color indexed="81"/>
            <rFont val="Tahoma"/>
            <charset val="1"/>
          </rPr>
          <t xml:space="preserve">
</t>
        </r>
      </text>
    </comment>
    <comment ref="C33" authorId="1" shapeId="0">
      <text>
        <r>
          <rPr>
            <b/>
            <sz val="9"/>
            <color indexed="81"/>
            <rFont val="Tahoma"/>
            <charset val="1"/>
          </rPr>
          <t>Gaetan RANDRIANARIVELO:</t>
        </r>
        <r>
          <rPr>
            <sz val="9"/>
            <color indexed="81"/>
            <rFont val="Tahoma"/>
            <charset val="1"/>
          </rPr>
          <t xml:space="preserve">
 clé : activitedev</t>
        </r>
      </text>
    </comment>
    <comment ref="C35" authorId="1" shapeId="0">
      <text>
        <r>
          <rPr>
            <b/>
            <sz val="9"/>
            <color indexed="81"/>
            <rFont val="Tahoma"/>
            <charset val="1"/>
          </rPr>
          <t>Gaetan RANDRIANARIVELO:</t>
        </r>
        <r>
          <rPr>
            <sz val="9"/>
            <color indexed="81"/>
            <rFont val="Tahoma"/>
            <charset val="1"/>
          </rPr>
          <t xml:space="preserve">
clé grc dans groupement</t>
        </r>
      </text>
    </comment>
    <comment ref="C36" authorId="1" shapeId="0">
      <text>
        <r>
          <rPr>
            <b/>
            <sz val="9"/>
            <color indexed="81"/>
            <rFont val="Tahoma"/>
            <charset val="1"/>
          </rPr>
          <t>Gaetan RANDRIANARIVELO:</t>
        </r>
        <r>
          <rPr>
            <sz val="9"/>
            <color indexed="81"/>
            <rFont val="Tahoma"/>
            <charset val="1"/>
          </rPr>
          <t xml:space="preserve">
nombre FKT fotsiny ity fa ampidirin'i AP pour chaque saisie</t>
        </r>
      </text>
    </comment>
  </commentList>
</comments>
</file>

<file path=xl/sharedStrings.xml><?xml version="1.0" encoding="utf-8"?>
<sst xmlns="http://schemas.openxmlformats.org/spreadsheetml/2006/main" count="1776" uniqueCount="347">
  <si>
    <t>Déc.’16</t>
  </si>
  <si>
    <t>Sept.’19</t>
  </si>
  <si>
    <t>Déc.’22</t>
  </si>
  <si>
    <t>Objectifs</t>
  </si>
  <si>
    <t>Résultats</t>
  </si>
  <si>
    <t>Indicateurs</t>
  </si>
  <si>
    <t>Hommes</t>
  </si>
  <si>
    <t>Femmes</t>
  </si>
  <si>
    <t>O1 </t>
  </si>
  <si>
    <t xml:space="preserve">R11. </t>
  </si>
  <si>
    <t>I11.a Nombre de groupements créés depuis 2017</t>
  </si>
  <si>
    <t>I11.b Membres des nouveaux groupements créés depuis 2017</t>
  </si>
  <si>
    <t>R12.</t>
  </si>
  <si>
    <t>I21.a Nombre de groupements devenus autonomes de 2017-2022 (cumulé)</t>
  </si>
  <si>
    <t>I12.b Membres des groupements devenus autonomes depuis 2017 (cumulés)</t>
  </si>
  <si>
    <t>R13.</t>
  </si>
  <si>
    <t>131.a Nombre de réseaux de groupements</t>
  </si>
  <si>
    <t xml:space="preserve">I31.b Membres des réseaux de groupements </t>
  </si>
  <si>
    <t>I32.Nombre de membres désendettés (dans les catégories 1-3) à la fin de l’année</t>
  </si>
  <si>
    <t>O2 </t>
  </si>
  <si>
    <t xml:space="preserve">R21 </t>
  </si>
  <si>
    <t>211.a Nombre de membres dans le degré 0</t>
  </si>
  <si>
    <t>211.b Nombre de membres dans le degré 1</t>
  </si>
  <si>
    <t>211.c Nombre de membres dans le degré 2</t>
  </si>
  <si>
    <t>211.d Nombre de membres dans le degré 3</t>
  </si>
  <si>
    <t xml:space="preserve">R22 </t>
  </si>
  <si>
    <t>221 Nombre de membres (cat 1 à 3) nouvellement informés sur les bases d’une nutrition complète et variée (qualité)</t>
  </si>
  <si>
    <t xml:space="preserve">R23 </t>
  </si>
  <si>
    <t>O3</t>
  </si>
  <si>
    <t xml:space="preserve">R31 </t>
  </si>
  <si>
    <t xml:space="preserve">R32 </t>
  </si>
  <si>
    <t xml:space="preserve">R33 </t>
  </si>
  <si>
    <t>332 Nombre de Fokontany où le projet travaille qui ont fait une action pour la gestion de risques et catastrophes</t>
  </si>
  <si>
    <t xml:space="preserve">R34 </t>
  </si>
  <si>
    <t>341.a Nombre des groupes (cat. 1-3) ayant une femme occupant un poste de responsabilité (présidente, secrétaire, trésorière...)</t>
  </si>
  <si>
    <t>341.b : Pourcentage des groupes (cat. 1-3) ayant une femme occupant un poste de responsabilité (présidente, secrétaire, trésorière...)</t>
  </si>
  <si>
    <t xml:space="preserve">342.a : Nombre de groupement (cat.1-3) ayant un jeune de moins de 26 ans occupant un poste de responsabilité  </t>
  </si>
  <si>
    <t xml:space="preserve">342.b : Pourcentage de groupement (cat.1-3) ayant un jeune de moins de 26 ans occupant un poste de responsabilité  </t>
  </si>
  <si>
    <t xml:space="preserve">O4 </t>
  </si>
  <si>
    <r>
      <t xml:space="preserve">411 : Description </t>
    </r>
    <r>
      <rPr>
        <b/>
        <sz val="9"/>
        <color rgb="FF000000"/>
        <rFont val="Times New Roman"/>
        <family val="1"/>
      </rPr>
      <t>des activités de la société civile (</t>
    </r>
    <r>
      <rPr>
        <sz val="9"/>
        <color rgb="FF000000"/>
        <rFont val="Times New Roman"/>
        <family val="1"/>
      </rPr>
      <t>publication, conférence, interpellation, manifestation ou autres) auxquelles le Programme Madagasikara – avec une ou des organisations partenaires – a participé. Thématiques qui intéressent le programme et touchés par l’activité : Sécurité alimentaire, le foncier, l’eau (EAH), genre.</t>
    </r>
  </si>
  <si>
    <t>Total</t>
  </si>
  <si>
    <r>
      <t xml:space="preserve">222 Nombre </t>
    </r>
    <r>
      <rPr>
        <b/>
        <sz val="9"/>
        <color theme="4" tint="-0.499984740745262"/>
        <rFont val="Times New Roman"/>
        <family val="1"/>
      </rPr>
      <t>cumulé</t>
    </r>
    <r>
      <rPr>
        <sz val="9"/>
        <color theme="4" tint="-0.499984740745262"/>
        <rFont val="Times New Roman"/>
        <family val="1"/>
      </rPr>
      <t xml:space="preserve"> de membres (cat 1 à 3) informés sur les bases d’une nutrition complète et variée et/ou sur la conservation de la nourriture (qualité)</t>
    </r>
  </si>
  <si>
    <r>
      <t xml:space="preserve">231 Nombre de réseaux qui ont </t>
    </r>
    <r>
      <rPr>
        <b/>
        <sz val="9"/>
        <color theme="4" tint="-0.499984740745262"/>
        <rFont val="Times New Roman"/>
        <family val="1"/>
      </rPr>
      <t>nouvellement</t>
    </r>
    <r>
      <rPr>
        <sz val="9"/>
        <color theme="4" tint="-0.499984740745262"/>
        <rFont val="Times New Roman"/>
        <family val="1"/>
      </rPr>
      <t xml:space="preserve"> profité d’une intervention (diagnostic, formation, suivi) des accompagnateurs/trices agricoles.</t>
    </r>
  </si>
  <si>
    <r>
      <t>312 : Nombre de membres qui n’ont pas accès à une source d’eau potable mais qui boivent toujours de l’eau purifiée (Sûr’eau, SODIS, bouillir l’eau, moringa, filtrage…) en plus</t>
    </r>
    <r>
      <rPr>
        <b/>
        <sz val="9"/>
        <color theme="9" tint="-0.499984740745262"/>
        <rFont val="Times New Roman"/>
        <family val="1"/>
      </rPr>
      <t xml:space="preserve"> pendant l'année</t>
    </r>
  </si>
  <si>
    <r>
      <t xml:space="preserve">321 :Nombre de réseaux qui ont réalisé </t>
    </r>
    <r>
      <rPr>
        <b/>
        <sz val="9"/>
        <color theme="9" tint="-0.499984740745262"/>
        <rFont val="Times New Roman"/>
        <family val="1"/>
      </rPr>
      <t xml:space="preserve">pendant l'année </t>
    </r>
    <r>
      <rPr>
        <sz val="9"/>
        <color theme="9" tint="-0.499984740745262"/>
        <rFont val="Times New Roman"/>
        <family val="1"/>
      </rPr>
      <t xml:space="preserve">au moins une activité de développement (foncier, eau, agriculture, protection de l’environnement) </t>
    </r>
    <r>
      <rPr>
        <b/>
        <sz val="9"/>
        <color theme="9" tint="-0.499984740745262"/>
        <rFont val="Times New Roman"/>
        <family val="1"/>
      </rPr>
      <t>en collaboration</t>
    </r>
    <r>
      <rPr>
        <sz val="9"/>
        <color theme="9" tint="-0.499984740745262"/>
        <rFont val="Times New Roman"/>
        <family val="1"/>
      </rPr>
      <t xml:space="preserve"> avec les autorités du Fokontany ou de la Commune</t>
    </r>
  </si>
  <si>
    <r>
      <t xml:space="preserve">322 : Nombre de réseaux qui ont réalisé </t>
    </r>
    <r>
      <rPr>
        <b/>
        <sz val="9"/>
        <color theme="9" tint="-0.499984740745262"/>
        <rFont val="Times New Roman"/>
        <family val="1"/>
      </rPr>
      <t xml:space="preserve">pendant l'année </t>
    </r>
    <r>
      <rPr>
        <sz val="9"/>
        <color theme="9" tint="-0.499984740745262"/>
        <rFont val="Times New Roman"/>
        <family val="1"/>
      </rPr>
      <t xml:space="preserve">au moins une activité de développement (foncier, eau, agriculture, protection de l’environnement) </t>
    </r>
    <r>
      <rPr>
        <b/>
        <sz val="9"/>
        <color theme="9" tint="-0.499984740745262"/>
        <rFont val="Times New Roman"/>
        <family val="1"/>
      </rPr>
      <t>sans</t>
    </r>
    <r>
      <rPr>
        <sz val="9"/>
        <color theme="9" tint="-0.499984740745262"/>
        <rFont val="Times New Roman"/>
        <family val="1"/>
      </rPr>
      <t xml:space="preserve"> les autorités</t>
    </r>
  </si>
  <si>
    <r>
      <t xml:space="preserve">331 Nombre des </t>
    </r>
    <r>
      <rPr>
        <b/>
        <sz val="9"/>
        <color theme="9" tint="-0.499984740745262"/>
        <rFont val="Times New Roman"/>
        <family val="1"/>
      </rPr>
      <t>membres de groupement</t>
    </r>
    <r>
      <rPr>
        <sz val="9"/>
        <color theme="9" tint="-0.499984740745262"/>
        <rFont val="Times New Roman"/>
        <family val="1"/>
      </rPr>
      <t xml:space="preserve"> informés sur les dispositions à prendre avant-pendant et après le cataclysme (rappel avec la checklist en début de saison de pluie : septembre - novembre)</t>
    </r>
  </si>
  <si>
    <t>113.a Nombre de groupements réellement accompagnés pendant l’année catégorie 1 à 4</t>
  </si>
  <si>
    <t>113.b Nombre de membres de groupements réellement accompagnés pendant l’année (catégorie 1 à 4)</t>
  </si>
  <si>
    <t>114.a Nombre des groupements catégories 1 à 3 – fin de l’année</t>
  </si>
  <si>
    <t>114.b Membres des groupements catégorie 1 à 3 accompagnés – fin de l’année</t>
  </si>
  <si>
    <t>112.a Nombre de groupements dissous pendant la période du rapport</t>
  </si>
  <si>
    <t>112.b Membres des groupements dissous pendant la période du rapport</t>
  </si>
  <si>
    <t>ANTANANARIVO - TSANTA</t>
  </si>
  <si>
    <t>TSINJO AINA FIANARANTSOA</t>
  </si>
  <si>
    <t>TSINJO AINA MAHAJANGA</t>
  </si>
  <si>
    <t>TSINJO AINA MORONDAVA - Longo Iaby</t>
  </si>
  <si>
    <t>TSINJO AINA SAVA</t>
  </si>
  <si>
    <t>ORGANISATION TARATRA</t>
  </si>
  <si>
    <t>TSINJO AINA TOAMASINA</t>
  </si>
  <si>
    <t>PROGRAMME TSINJO AINA MADAGASIKARA</t>
  </si>
  <si>
    <t>211.e Nombre de membres dans le degré 4</t>
  </si>
  <si>
    <t>Nombre de membres enquêtés</t>
  </si>
  <si>
    <t>Sept. ‘20</t>
  </si>
  <si>
    <t>Sept. ‘21</t>
  </si>
  <si>
    <t>-</t>
  </si>
  <si>
    <t xml:space="preserve"> </t>
  </si>
  <si>
    <t>311 : Nombre de membres de réseaux ayant accès à l’eau provenant d’une pompe</t>
  </si>
  <si>
    <t>Obj</t>
  </si>
  <si>
    <t>Rés</t>
  </si>
  <si>
    <t>111.a Nombre de groupements créés depuis 2017</t>
  </si>
  <si>
    <t>111.b Membres des nouveaux groupements créés depuis 2017</t>
  </si>
  <si>
    <t>121.a Nombre de groupements devenus autonomes de 2017-2022 (cumulé)</t>
  </si>
  <si>
    <t>112.b Membres des groupements devenus autonomes depuis 2017 (cumulés)</t>
  </si>
  <si>
    <t xml:space="preserve">131.b Membres des réseaux de groupements </t>
  </si>
  <si>
    <t>132.Nombre de membres désendettés (dans les catégories 1-3) à la fin de l’année</t>
  </si>
  <si>
    <t>Tableur_stats["</t>
  </si>
  <si>
    <t>"]  = "</t>
  </si>
  <si>
    <t>Milieu</t>
  </si>
  <si>
    <t>Fin</t>
  </si>
  <si>
    <t>"</t>
  </si>
  <si>
    <t>indeicateurs</t>
  </si>
  <si>
    <t>222 Nombre cumulé de membres (cat 1 à 3) informés sur les bases d’une nutrition complète et variée et/ou sur la conservation de la nourriture (qualité)</t>
  </si>
  <si>
    <t>231 Nombre de réseaux qui ont nouvellement profité d’une intervention (diagnostic, formation, suivi) des accompagnateurs/trices agricoles.</t>
  </si>
  <si>
    <t>312 : Nombre de membres qui n’ont pas accès à une source d’eau potable mais qui boivent toujours de l’eau purifiée (Sûr’eau, SODIS, bouillir l’eau, moringa, filtrage…) en plus pendant l'année</t>
  </si>
  <si>
    <t>321 :Nombre de réseaux qui ont réalisé pendant l'année au moins une activité de développement (foncier, eau, agriculture, protection de l’environnement) en collaboration avec les autorités du Fokontany ou de la Commune</t>
  </si>
  <si>
    <t>322 : Nombre de réseaux qui ont réalisé pendant l'année au moins une activité de développement (foncier, eau, agriculture, protection de l’environnement) sans les autorités</t>
  </si>
  <si>
    <t>331 Nombre des membres de groupement informés sur les dispositions à prendre avant-pendant et après le cataclysme (rappel avec la checklist en début de saison de pluie : septembre - novembre)</t>
  </si>
  <si>
    <t>411 : Description des activités de la société civile (publication, conférence, interpellation, manifestation ou autres) auxquelles le Programme Madagasikara – avec une ou des organisations partenaires – a participé. Thématiques qui intéressent le programme et touchés par l’activité : Sécurité alimentaire, le foncier, l’eau (EAH), genre.</t>
  </si>
  <si>
    <t>act_autre</t>
  </si>
  <si>
    <t>act_autre_details</t>
  </si>
  <si>
    <t>act_champ_commun</t>
  </si>
  <si>
    <t>act_entraide_rotative</t>
  </si>
  <si>
    <t>act_epargne_en_monnaie </t>
  </si>
  <si>
    <t>act_epargne_en_production </t>
  </si>
  <si>
    <t>cate_grpm</t>
  </si>
  <si>
    <t>commune</t>
  </si>
  <si>
    <t>date_de_cre</t>
  </si>
  <si>
    <t>dateautonomisation </t>
  </si>
  <si>
    <t>district</t>
  </si>
  <si>
    <t>femme_desend</t>
  </si>
  <si>
    <t>femme_resp</t>
  </si>
  <si>
    <t>fokontany</t>
  </si>
  <si>
    <t>homme_desend</t>
  </si>
  <si>
    <t>id</t>
  </si>
  <si>
    <t>id_reseau</t>
  </si>
  <si>
    <t>insec_enq_1</t>
  </si>
  <si>
    <t>insec_enq_2</t>
  </si>
  <si>
    <t>insec_enq_3</t>
  </si>
  <si>
    <t>insec_enq_4</t>
  </si>
  <si>
    <t>jeune_resp</t>
  </si>
  <si>
    <t>lat</t>
  </si>
  <si>
    <t>lng</t>
  </si>
  <si>
    <t>modifierid</t>
  </si>
  <si>
    <t>nb_26</t>
  </si>
  <si>
    <t>nb_femme</t>
  </si>
  <si>
    <t>nb_homme</t>
  </si>
  <si>
    <t>nom_al</t>
  </si>
  <si>
    <t>nom_enq_1</t>
  </si>
  <si>
    <t>nom_enq_2</t>
  </si>
  <si>
    <t>nom_enq_3</t>
  </si>
  <si>
    <t>nom_enq_4</t>
  </si>
  <si>
    <t>nom_grpm</t>
  </si>
  <si>
    <t>phone_al</t>
  </si>
  <si>
    <t>pres_grpm</t>
  </si>
  <si>
    <t>secr_grpm</t>
  </si>
  <si>
    <t>sexe_enq_1</t>
  </si>
  <si>
    <t>sexe_enq_2</t>
  </si>
  <si>
    <t>sexe_enq_3</t>
  </si>
  <si>
    <t>sexe_enq_4</t>
  </si>
  <si>
    <t> tres_grpm</t>
  </si>
  <si>
    <t>zone_int</t>
  </si>
  <si>
    <t>zz</t>
  </si>
  <si>
    <t>zzzeaupurfem</t>
  </si>
  <si>
    <t>zzzeaupurhom</t>
  </si>
  <si>
    <t>zzzeaupurifie</t>
  </si>
  <si>
    <t>zzzgrc</t>
  </si>
  <si>
    <t>zzzgrcfem</t>
  </si>
  <si>
    <t>zzzgrchom</t>
  </si>
  <si>
    <t>zzzhameau</t>
  </si>
  <si>
    <t>zzzinfonutr</t>
  </si>
  <si>
    <t>zzzinfonutrannee</t>
  </si>
  <si>
    <t>zzztype</t>
  </si>
  <si>
    <t>Ajoute(params_cons, act_autre)</t>
  </si>
  <si>
    <t>Ajoute(params_cons, act_autre_details)</t>
  </si>
  <si>
    <t>Ajoute(params_cons, act_champ_commun)</t>
  </si>
  <si>
    <t>Ajoute(params_cons, act_entraide_rotative)</t>
  </si>
  <si>
    <t>Ajoute(params_cons, act_epargne_en_monnaie)</t>
  </si>
  <si>
    <t>Ajoute(params_cons, act_epargne_en_production)</t>
  </si>
  <si>
    <t>Ajoute(params_cons, cate_grpm)</t>
  </si>
  <si>
    <t>Ajoute(params_cons, commune)</t>
  </si>
  <si>
    <t>Ajoute(params_cons, date_de_cre)</t>
  </si>
  <si>
    <t>Ajoute(params_cons, dateautonomisation)</t>
  </si>
  <si>
    <t>Ajoute(params_cons, district)</t>
  </si>
  <si>
    <t>Ajoute(params_cons, femme_desend)</t>
  </si>
  <si>
    <t>Ajoute(params_cons, femme_resp)</t>
  </si>
  <si>
    <t>Ajoute(params_cons, fokontany)</t>
  </si>
  <si>
    <t>Ajoute(params_cons, homme_desend)</t>
  </si>
  <si>
    <t>Ajoute(params_cons, id)</t>
  </si>
  <si>
    <t>Ajoute(params_cons, id_reseau)</t>
  </si>
  <si>
    <t>Ajoute(params_cons, insec_enq_1)</t>
  </si>
  <si>
    <t>Ajoute(params_cons, insec_enq_2)</t>
  </si>
  <si>
    <t>Ajoute(params_cons, insec_enq_3)</t>
  </si>
  <si>
    <t>Ajoute(params_cons, insec_enq_4)</t>
  </si>
  <si>
    <t>Ajoute(params_cons, jeune_resp)</t>
  </si>
  <si>
    <t>Ajoute(params_cons, lat)</t>
  </si>
  <si>
    <t>Ajoute(params_cons, lng)</t>
  </si>
  <si>
    <t>Ajoute(params_cons, modifierid)</t>
  </si>
  <si>
    <t>Ajoute(params_cons, nb_26)</t>
  </si>
  <si>
    <t>Ajoute(params_cons, nb_femme)</t>
  </si>
  <si>
    <t>Ajoute(params_cons, nb_homme)</t>
  </si>
  <si>
    <t>Ajoute(params_cons, nom_al)</t>
  </si>
  <si>
    <t>Ajoute(params_cons, nom_enq_1)</t>
  </si>
  <si>
    <t>Ajoute(params_cons, nom_enq_2)</t>
  </si>
  <si>
    <t>Ajoute(params_cons, nom_enq_3)</t>
  </si>
  <si>
    <t>Ajoute(params_cons, nom_enq_4)</t>
  </si>
  <si>
    <t>Ajoute(params_cons, nom_grpm)</t>
  </si>
  <si>
    <t>Ajoute(params_cons, phone_al)</t>
  </si>
  <si>
    <t>Ajoute(params_cons, pres_grpm)</t>
  </si>
  <si>
    <t>Ajoute(params_cons, secr_grpm)</t>
  </si>
  <si>
    <t>Ajoute(params_cons, sexe_enq_1)</t>
  </si>
  <si>
    <t>Ajoute(params_cons, sexe_enq_2)</t>
  </si>
  <si>
    <t>Ajoute(params_cons, sexe_enq_3)</t>
  </si>
  <si>
    <t>Ajoute(params_cons, sexe_enq_4)</t>
  </si>
  <si>
    <t>Ajoute(params_cons, tres_grpm)</t>
  </si>
  <si>
    <t>Ajoute(params_cons, zone_int)</t>
  </si>
  <si>
    <t>Ajoute(params_cons, zz)</t>
  </si>
  <si>
    <t>Ajoute(params_cons, eau_purifie)</t>
  </si>
  <si>
    <t>Ajoute(params_cons, eau_purifie_fem)</t>
  </si>
  <si>
    <t>Ajoute(params_cons, eau_purifie_homme)</t>
  </si>
  <si>
    <t>Ajoute(params_cons, grc)</t>
  </si>
  <si>
    <t>Ajoute(params_cons, grc_femme)</t>
  </si>
  <si>
    <t>Ajoute(params_cons, grc_homme)</t>
  </si>
  <si>
    <t>Ajoute(params_cons, hameau)</t>
  </si>
  <si>
    <t>Ajoute(params_cons, info_nutrition)</t>
  </si>
  <si>
    <t>Ajoute(params_cons, info_nutrition_annee)</t>
  </si>
  <si>
    <t>Ajoute(params_cons, zztype)</t>
  </si>
  <si>
    <t>Ajoute(params_cons, ong_tab)</t>
  </si>
  <si>
    <t>Ajoute(params_cons, params[5])</t>
  </si>
  <si>
    <t>Ajoute(params_cons, prefixNomGroupement)</t>
  </si>
  <si>
    <t>Ajoute(params_cons, params[6])</t>
  </si>
  <si>
    <t>Ajoute(params_cons, zzzzzid_ap)</t>
  </si>
  <si>
    <t>NewContent += "district"":"</t>
  </si>
  <si>
    <t>NewContent += """"</t>
  </si>
  <si>
    <t>NewContent += SAI_District</t>
  </si>
  <si>
    <t>NewContent += ""","</t>
  </si>
  <si>
    <t>NewContent</t>
  </si>
  <si>
    <t>+=</t>
  </si>
  <si>
    <t>ID</t>
  </si>
  <si>
    <t>valeur</t>
  </si>
  <si>
    <t>zzzzong</t>
  </si>
  <si>
    <t>zzzzzid_ap</t>
  </si>
  <si>
    <t>data1</t>
  </si>
  <si>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</si>
  <si>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</si>
  <si>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</si>
  <si>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</si>
  <si>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</si>
  <si>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</si>
  <si>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</si>
  <si>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</si>
  <si>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</si>
  <si>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</si>
  <si>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</si>
  <si>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</si>
  <si>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</si>
  <si>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</si>
  <si>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</si>
  <si>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</si>
  <si>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</si>
  <si>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</si>
  <si>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</si>
  <si>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</si>
  <si>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</si>
  <si>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</si>
  <si>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</si>
  <si>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</si>
  <si>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</si>
  <si>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</si>
  <si>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</si>
  <si>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</si>
  <si>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</si>
  <si>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</si>
  <si>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</si>
  <si>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</si>
  <si>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</si>
  <si>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</si>
  <si>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</si>
  <si>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</si>
  <si>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</si>
  <si>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</si>
  <si>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</si>
  <si>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</si>
  <si>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</si>
  <si>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</si>
  <si>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</si>
  <si>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</si>
  <si>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</si>
  <si>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</si>
  <si>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</si>
  <si>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</si>
  <si>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</si>
  <si>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</si>
  <si>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</si>
  <si>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</si>
  <si>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</si>
  <si>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</si>
  <si>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</si>
  <si>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t>
  </si>
  <si>
    <t>""","</t>
  </si>
  <si>
    <t xml:space="preserve">   +</t>
  </si>
  <si>
    <t xml:space="preserve">  :   """  +  </t>
  </si>
  <si>
    <t>NOUVELLE AJOUT</t>
  </si>
  <si>
    <t>date de création groupement</t>
  </si>
  <si>
    <t>cumule - année</t>
  </si>
  <si>
    <t>111.c Nombre de groupement créer pendant l'année en cours</t>
  </si>
  <si>
    <t>111.d Membres des nouveaux groupements créer pendant l'année en cours</t>
  </si>
  <si>
    <t>121.b Membres des groupements devenus autonomes depuis 2017 (cumulés)</t>
  </si>
  <si>
    <t>nombre de groupement effacer</t>
  </si>
  <si>
    <t>isany membre effacer</t>
  </si>
  <si>
    <t>mbola ao anatin'ny autonome (114a (n-1) + 111.c )</t>
  </si>
  <si>
    <t>idem @ le formule eo ambony fa isan'ny membre indray</t>
  </si>
  <si>
    <t>113.a - groupement autonome ( année N, année en cours)</t>
  </si>
  <si>
    <t>afindran'y AP ho autonome ( mila date amindrana azy ho autonome )</t>
  </si>
  <si>
    <t>afindran'y AP ho autonome ( mila date amindrana azy ho autonome ) ( ao aorinan'i 2017)</t>
  </si>
  <si>
    <t>tsy annuel fa tonga de zay ao @ le réseaux (nombre de groupement ao anatin'le rezo iray</t>
  </si>
  <si>
    <t>somme homme 0 sy femme 0</t>
  </si>
  <si>
    <t>Somme a jusqk"a e</t>
  </si>
  <si>
    <t>121.c Nombre de groupements devenus automes pendant l'année en cours</t>
  </si>
  <si>
    <t>121.d Membre de groupements  devenus automes pendant l'année en cours</t>
  </si>
  <si>
    <t>nombre homme et femme ( pendant année en cours) si info nutrition à OUI</t>
  </si>
  <si>
    <t>cumulé</t>
  </si>
  <si>
    <t>@ formulaire rezo (intervention ac) pendant l'année en cours</t>
  </si>
  <si>
    <t>232. Nombre de membre informé sur l'agroécologie</t>
  </si>
  <si>
    <t>vo ampina anaty appli</t>
  </si>
  <si>
    <t>avaec autorité sans autorité @ rezo</t>
  </si>
  <si>
    <t>GESTION RISQUE CATA ( isan'le olona homme et femme)</t>
  </si>
  <si>
    <t>ao anaty feomuliare grp ( si OUI) femme aucopant pour responsabilité</t>
  </si>
  <si>
    <t>si ou jeune occupant poste responsabilité</t>
  </si>
  <si>
    <t>342a/ 113</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</si>
  <si>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</si>
  <si>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</si>
  <si>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</si>
  <si>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</si>
  <si>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</si>
  <si>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</si>
  <si>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</si>
  <si>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</si>
  <si>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</si>
  <si>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</si>
  <si>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</si>
  <si>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</si>
  <si>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</si>
  <si>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</si>
  <si>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</si>
  <si>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</si>
  <si>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</si>
  <si>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</si>
  <si>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</si>
  <si>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</si>
  <si>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</si>
  <si>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</si>
  <si>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</si>
  <si>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</si>
  <si>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</si>
  <si>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</si>
  <si>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</si>
  <si>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</si>
  <si>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</si>
  <si>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</si>
  <si>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</si>
  <si>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</si>
  <si>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</si>
  <si>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</si>
  <si>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</si>
  <si>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</si>
  <si>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</si>
  <si>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</si>
  <si>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</si>
  <si>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</si>
  <si>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</si>
  <si>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</si>
  <si>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</si>
  <si>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</si>
  <si>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</si>
  <si>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</si>
  <si>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par rapport nombre de groupement totale ( 341 / 113 ) (nbre grouepement ngamba le 113 eto)</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</si>
</sst>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2"/>
      <color theme="1"/>
      <name val="Calibri"/>
      <family val="2"/>
      <scheme val="minor"/>
    </font>
    <font>
      <sz val="11"/>
      <color theme="1"/>
      <name val="Calibri"/>
      <family val="2"/>
      <scheme val="minor"/>
    </font>
    <font>
      <b/>
      <sz val="9"/>
      <color theme="1"/>
      <name val="Times New Roman"/>
      <family val="1"/>
    </font>
    <font>
      <sz val="9"/>
      <color theme="1"/>
      <name val="Times New Roman"/>
      <family val="1"/>
    </font>
    <font>
      <sz val="9"/>
      <color rgb="FF000000"/>
      <name val="Times New Roman"/>
      <family val="1"/>
    </font>
    <font>
      <b/>
      <sz val="9"/>
      <color rgb="FF000000"/>
      <name val="Times New Roman"/>
      <family val="1"/>
    </font>
    <font>
      <sz val="9"/>
      <color rgb="FFFF0000"/>
      <name val="Times New Roman"/>
      <family val="1"/>
    </font>
    <font>
      <sz val="9"/>
      <color theme="4" tint="-0.499984740745262"/>
      <name val="Times New Roman"/>
      <family val="1"/>
    </font>
    <font>
      <b/>
      <sz val="9"/>
      <color theme="4" tint="-0.499984740745262"/>
      <name val="Times New Roman"/>
      <family val="1"/>
    </font>
    <font>
      <sz val="9"/>
      <color theme="9" tint="-0.499984740745262"/>
      <name val="Times New Roman"/>
      <family val="1"/>
    </font>
    <font>
      <b/>
      <sz val="9"/>
      <color theme="9" tint="-0.499984740745262"/>
      <name val="Times New Roman"/>
      <family val="1"/>
    </font>
    <font>
      <b/>
      <sz val="12"/>
      <color theme="1"/>
      <name val="Calibri"/>
      <family val="2"/>
      <scheme val="minor"/>
    </font>
    <font>
      <sz val="9"/>
      <color theme="1"/>
      <name val="Arial"/>
      <family val="2"/>
    </font>
    <font>
      <sz val="12"/>
      <color theme="1"/>
      <name val="Calibri"/>
      <family val="2"/>
      <scheme val="minor"/>
    </font>
    <font>
      <b/>
      <sz val="12"/>
      <color indexed="8"/>
      <name val="Calibri"/>
      <charset val="129"/>
    </font>
    <font>
      <sz val="9"/>
      <color indexed="8"/>
      <name val="Times New Roman"/>
      <charset val="129"/>
    </font>
    <font>
      <b/>
      <sz val="9"/>
      <color rgb="FF000000"/>
      <name val="Tahoma"/>
      <family val="2"/>
    </font>
    <font>
      <sz val="9"/>
      <color rgb="FF000000"/>
      <name val="Tahoma"/>
      <family val="2"/>
    </font>
    <font>
      <sz val="9"/>
      <name val="Times New Roman"/>
      <family val="1"/>
    </font>
    <font>
      <sz val="9"/>
      <name val="Times New Roman"/>
      <charset val="129"/>
    </font>
    <font>
      <sz val="12"/>
      <name val="Calibri"/>
      <family val="2"/>
      <scheme val="minor"/>
    </font>
    <font>
      <sz val="9"/>
      <color indexed="81"/>
      <name val="Tahoma"/>
      <charset val="1"/>
    </font>
    <font>
      <b/>
      <sz val="9"/>
      <color indexed="81"/>
      <name val="Tahoma"/>
      <charset val="1"/>
    </font>
    <font>
      <sz val="11"/>
      <color rgb="FFFF0000"/>
      <name val="Calibri"/>
      <family val="2"/>
      <scheme val="minor"/>
    </font>
    <font>
      <sz val="9"/>
      <color rgb="FFFF0000"/>
      <name val="Arial"/>
      <family val="2"/>
    </font>
    <font>
      <sz val="12"/>
      <color rgb="FFFF0000"/>
      <name val="Calibri"/>
      <family val="2"/>
      <scheme val="minor"/>
    </font>
  </fonts>
  <fills count="18">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indexed="22"/>
        <bgColor indexed="64"/>
      </patternFill>
    </fill>
    <fill>
      <patternFill patternType="solid">
        <fgColor indexed="27"/>
        <bgColor indexed="64"/>
      </patternFill>
    </fill>
    <fill>
      <patternFill patternType="solid">
        <fgColor indexed="44"/>
        <bgColor indexed="64"/>
      </patternFill>
    </fill>
    <fill>
      <patternFill patternType="solid">
        <fgColor theme="5" tint="-0.249977111117893"/>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249977111117893"/>
        <bgColor indexed="64"/>
      </patternFill>
    </fill>
  </fills>
  <borders count="76">
    <border>
      <left/>
      <right/>
      <top/>
      <bottom/>
      <diagonal/>
    </border>
    <border>
      <left/>
      <right style="medium">
        <color indexed="64"/>
      </right>
      <top style="medium">
        <color indexed="64"/>
      </top>
      <bottom style="medium">
        <color indexed="64"/>
      </bottom>
      <diagonal/>
    </border>
    <border>
      <left/>
      <right style="dotted">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dotted">
        <color indexed="64"/>
      </right>
      <top/>
      <bottom style="medium">
        <color indexed="64"/>
      </bottom>
      <diagonal/>
    </border>
    <border>
      <left style="medium">
        <color indexed="64"/>
      </left>
      <right style="medium">
        <color indexed="64"/>
      </right>
      <top/>
      <bottom/>
      <diagonal/>
    </border>
    <border>
      <left/>
      <right style="dotted">
        <color indexed="64"/>
      </right>
      <top/>
      <bottom style="dotted">
        <color indexed="64"/>
      </bottom>
      <diagonal/>
    </border>
    <border>
      <left/>
      <right/>
      <top/>
      <bottom style="dotted">
        <color indexed="64"/>
      </bottom>
      <diagonal/>
    </border>
    <border>
      <left/>
      <right style="medium">
        <color indexed="64"/>
      </right>
      <top/>
      <bottom style="dotted">
        <color indexed="64"/>
      </bottom>
      <diagonal/>
    </border>
    <border>
      <left/>
      <right/>
      <top/>
      <bottom style="medium">
        <color indexed="64"/>
      </bottom>
      <diagonal/>
    </border>
    <border>
      <left style="dotted">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dotted">
        <color indexed="64"/>
      </left>
      <right/>
      <top style="medium">
        <color indexed="64"/>
      </top>
      <bottom style="dotted">
        <color indexed="64"/>
      </bottom>
      <diagonal/>
    </border>
    <border>
      <left/>
      <right style="dotted">
        <color indexed="64"/>
      </right>
      <top style="medium">
        <color indexed="64"/>
      </top>
      <bottom style="dotted">
        <color indexed="64"/>
      </bottom>
      <diagonal/>
    </border>
    <border>
      <left/>
      <right style="medium">
        <color indexed="64"/>
      </right>
      <top style="medium">
        <color indexed="64"/>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medium">
        <color indexed="64"/>
      </right>
      <top style="dotted">
        <color indexed="64"/>
      </top>
      <bottom style="dotted">
        <color indexed="64"/>
      </bottom>
      <diagonal/>
    </border>
    <border>
      <left style="dotted">
        <color indexed="64"/>
      </left>
      <right/>
      <top style="dotted">
        <color indexed="64"/>
      </top>
      <bottom style="medium">
        <color indexed="64"/>
      </bottom>
      <diagonal/>
    </border>
    <border>
      <left/>
      <right style="dotted">
        <color indexed="64"/>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dotted">
        <color indexed="64"/>
      </right>
      <top/>
      <bottom/>
      <diagonal/>
    </border>
    <border>
      <left style="medium">
        <color indexed="64"/>
      </left>
      <right style="dotted">
        <color indexed="64"/>
      </right>
      <top/>
      <bottom style="medium">
        <color indexed="64"/>
      </bottom>
      <diagonal/>
    </border>
    <border>
      <left/>
      <right/>
      <top style="medium">
        <color indexed="64"/>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style="medium">
        <color indexed="64"/>
      </left>
      <right style="dotted">
        <color indexed="64"/>
      </right>
      <top style="medium">
        <color indexed="64"/>
      </top>
      <bottom style="dotted">
        <color indexed="64"/>
      </bottom>
      <diagonal/>
    </border>
    <border>
      <left style="medium">
        <color indexed="64"/>
      </left>
      <right style="dotted">
        <color indexed="64"/>
      </right>
      <top/>
      <bottom style="dotted">
        <color indexed="64"/>
      </bottom>
      <diagonal/>
    </border>
    <border>
      <left style="medium">
        <color indexed="64"/>
      </left>
      <right style="dotted">
        <color indexed="64"/>
      </right>
      <top style="dotted">
        <color indexed="64"/>
      </top>
      <bottom style="medium">
        <color indexed="64"/>
      </bottom>
      <diagonal/>
    </border>
    <border>
      <left style="medium">
        <color indexed="64"/>
      </left>
      <right style="medium">
        <color indexed="64"/>
      </right>
      <top style="dotted">
        <color indexed="64"/>
      </top>
      <bottom style="medium">
        <color indexed="64"/>
      </bottom>
      <diagonal/>
    </border>
    <border>
      <left style="medium">
        <color indexed="64"/>
      </left>
      <right/>
      <top style="medium">
        <color indexed="64"/>
      </top>
      <bottom style="dotted">
        <color indexed="64"/>
      </bottom>
      <diagonal/>
    </border>
    <border>
      <left style="medium">
        <color indexed="64"/>
      </left>
      <right/>
      <top style="dotted">
        <color indexed="64"/>
      </top>
      <bottom style="dotted">
        <color indexed="64"/>
      </bottom>
      <diagonal/>
    </border>
    <border>
      <left style="medium">
        <color indexed="64"/>
      </left>
      <right/>
      <top style="dotted">
        <color indexed="64"/>
      </top>
      <bottom style="medium">
        <color indexed="64"/>
      </bottom>
      <diagonal/>
    </border>
    <border>
      <left style="medium">
        <color indexed="64"/>
      </left>
      <right/>
      <top style="medium">
        <color indexed="64"/>
      </top>
      <bottom style="medium">
        <color indexed="64"/>
      </bottom>
      <diagonal/>
    </border>
    <border>
      <left style="dotted">
        <color indexed="64"/>
      </left>
      <right/>
      <top/>
      <bottom style="dotted">
        <color indexed="64"/>
      </bottom>
      <diagonal/>
    </border>
    <border>
      <left style="dotted">
        <color indexed="64"/>
      </left>
      <right style="dotted">
        <color indexed="64"/>
      </right>
      <top style="dotted">
        <color indexed="64"/>
      </top>
      <bottom style="thin">
        <color indexed="64"/>
      </bottom>
      <diagonal/>
    </border>
    <border>
      <left/>
      <right style="dotted">
        <color indexed="64"/>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top/>
      <bottom style="dotted">
        <color indexed="64"/>
      </bottom>
      <diagonal/>
    </border>
    <border>
      <left style="medium">
        <color indexed="64"/>
      </left>
      <right style="dotted">
        <color indexed="64"/>
      </right>
      <top style="dotted">
        <color indexed="64"/>
      </top>
      <bottom style="thin">
        <color indexed="64"/>
      </bottom>
      <diagonal/>
    </border>
    <border>
      <left/>
      <right/>
      <top style="dotted">
        <color indexed="64"/>
      </top>
      <bottom style="thin">
        <color indexed="64"/>
      </bottom>
      <diagonal/>
    </border>
    <border>
      <left style="dotted">
        <color indexed="64"/>
      </left>
      <right style="dotted">
        <color indexed="64"/>
      </right>
      <top style="dotted">
        <color indexed="64"/>
      </top>
      <bottom style="medium">
        <color indexed="64"/>
      </bottom>
      <diagonal/>
    </border>
    <border>
      <left style="dotted">
        <color indexed="64"/>
      </left>
      <right/>
      <top/>
      <bottom style="medium">
        <color indexed="64"/>
      </bottom>
      <diagonal/>
    </border>
    <border>
      <left style="medium">
        <color indexed="64"/>
      </left>
      <right/>
      <top/>
      <bottom style="medium">
        <color indexed="64"/>
      </bottom>
      <diagonal/>
    </border>
    <border>
      <left style="dotted">
        <color indexed="64"/>
      </left>
      <right/>
      <top style="dotted">
        <color indexed="64"/>
      </top>
      <bottom style="thin">
        <color indexed="64"/>
      </bottom>
      <diagonal/>
    </border>
    <border>
      <left style="medium">
        <color indexed="64"/>
      </left>
      <right/>
      <top style="dotted">
        <color indexed="64"/>
      </top>
      <bottom style="thin">
        <color indexed="64"/>
      </bottom>
      <diagonal/>
    </border>
    <border>
      <left/>
      <right style="dotted">
        <color indexed="64"/>
      </right>
      <top/>
      <bottom/>
      <diagonal/>
    </border>
    <border>
      <left style="dotted">
        <color indexed="64"/>
      </left>
      <right style="dotted">
        <color indexed="64"/>
      </right>
      <top style="hair">
        <color indexed="64"/>
      </top>
      <bottom style="medium">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top style="thin">
        <color indexed="64"/>
      </top>
      <bottom/>
      <diagonal/>
    </border>
    <border>
      <left/>
      <right/>
      <top style="thin">
        <color indexed="64"/>
      </top>
      <bottom/>
      <diagonal/>
    </border>
    <border>
      <left/>
      <right style="dotted">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dotted">
        <color indexed="64"/>
      </right>
      <top/>
      <bottom style="thin">
        <color indexed="64"/>
      </bottom>
      <diagonal/>
    </border>
    <border>
      <left style="thin">
        <color indexed="64"/>
      </left>
      <right style="thin">
        <color indexed="64"/>
      </right>
      <top style="thin">
        <color indexed="64"/>
      </top>
      <bottom style="thin">
        <color indexed="64"/>
      </bottom>
      <diagonal/>
    </border>
    <border>
      <left style="dotted">
        <color indexed="64"/>
      </left>
      <right/>
      <top/>
      <bottom/>
      <diagonal/>
    </border>
    <border>
      <left style="medium">
        <color indexed="64"/>
      </left>
      <right/>
      <top/>
      <bottom/>
      <diagonal/>
    </border>
    <border>
      <left/>
      <right style="medium">
        <color indexed="64"/>
      </right>
      <top/>
      <bottom/>
      <diagonal/>
    </border>
    <border>
      <left style="medium">
        <color indexed="64"/>
      </left>
      <right style="dotted">
        <color indexed="64"/>
      </right>
      <top style="dotted">
        <color indexed="64"/>
      </top>
      <bottom/>
      <diagonal/>
    </border>
    <border>
      <left style="dotted">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right style="dotted">
        <color indexed="64"/>
      </right>
      <top style="thin">
        <color indexed="64"/>
      </top>
      <bottom style="dotted">
        <color indexed="64"/>
      </bottom>
      <diagonal/>
    </border>
    <border>
      <left style="medium">
        <color indexed="64"/>
      </left>
      <right/>
      <top style="thin">
        <color indexed="64"/>
      </top>
      <bottom style="dotted">
        <color indexed="64"/>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dotted">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9" fontId="13" fillId="0" borderId="0" applyFont="0" applyFill="0" applyBorder="0" applyAlignment="0" applyProtection="0"/>
  </cellStyleXfs>
  <cellXfs count="1024">
    <xf numFmtId="0" fontId="0" fillId="0" borderId="0" xfId="0"/>
    <xf numFmtId="0" fontId="4" fillId="2" borderId="6" xfId="0" applyFont="1" applyFill="1" applyBorder="1" applyAlignment="1">
      <alignment horizontal="center" vertical="center" wrapText="1"/>
    </xf>
    <xf numFmtId="0" fontId="5" fillId="3" borderId="4" xfId="0" applyFont="1" applyFill="1" applyBorder="1" applyAlignment="1">
      <alignment vertical="center" wrapText="1"/>
    </xf>
    <xf numFmtId="0" fontId="3" fillId="3" borderId="5" xfId="0" applyFont="1" applyFill="1" applyBorder="1" applyAlignment="1">
      <alignment vertical="center" wrapText="1"/>
    </xf>
    <xf numFmtId="0" fontId="4" fillId="3" borderId="6" xfId="0" applyFont="1" applyFill="1" applyBorder="1" applyAlignment="1">
      <alignment vertical="center" wrapText="1"/>
    </xf>
    <xf numFmtId="0" fontId="9" fillId="0" borderId="8" xfId="0" applyFont="1" applyBorder="1" applyAlignment="1">
      <alignment vertical="center" wrapText="1"/>
    </xf>
    <xf numFmtId="9" fontId="9" fillId="0" borderId="8" xfId="0" applyNumberFormat="1" applyFont="1" applyBorder="1" applyAlignment="1">
      <alignment vertical="center" wrapText="1"/>
    </xf>
    <xf numFmtId="9" fontId="0" fillId="0" borderId="0" xfId="0" applyNumberFormat="1"/>
    <xf numFmtId="9" fontId="9" fillId="0" borderId="6" xfId="0" applyNumberFormat="1" applyFont="1" applyBorder="1" applyAlignment="1">
      <alignment vertical="center" wrapText="1"/>
    </xf>
    <xf numFmtId="0" fontId="4" fillId="2" borderId="2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11" fillId="0" borderId="0" xfId="0" applyFont="1"/>
    <xf numFmtId="38" fontId="3" fillId="0" borderId="15" xfId="0" applyNumberFormat="1" applyFont="1" applyBorder="1" applyAlignment="1">
      <alignment vertical="center" wrapText="1"/>
    </xf>
    <xf numFmtId="38" fontId="0" fillId="0" borderId="0" xfId="0" applyNumberFormat="1"/>
    <xf numFmtId="38" fontId="3" fillId="0" borderId="8" xfId="0" applyNumberFormat="1" applyFont="1" applyBorder="1" applyAlignment="1">
      <alignment vertical="center" wrapText="1"/>
    </xf>
    <xf numFmtId="38" fontId="12" fillId="0" borderId="28" xfId="0" applyNumberFormat="1" applyFont="1" applyBorder="1" applyAlignment="1">
      <alignment vertical="center" wrapText="1"/>
    </xf>
    <xf numFmtId="38" fontId="3" fillId="0" borderId="9" xfId="0" applyNumberFormat="1" applyFont="1" applyBorder="1" applyAlignment="1">
      <alignment vertical="center" wrapText="1"/>
    </xf>
    <xf numFmtId="38" fontId="3" fillId="7" borderId="8" xfId="0" applyNumberFormat="1" applyFont="1" applyFill="1" applyBorder="1" applyAlignment="1">
      <alignment horizontal="center" vertical="center" wrapText="1"/>
    </xf>
    <xf numFmtId="38" fontId="3" fillId="6" borderId="9" xfId="0" applyNumberFormat="1" applyFont="1" applyFill="1" applyBorder="1" applyAlignment="1">
      <alignment horizontal="center" vertical="center" wrapText="1"/>
    </xf>
    <xf numFmtId="38" fontId="3" fillId="6" borderId="8" xfId="0" applyNumberFormat="1" applyFont="1" applyFill="1" applyBorder="1" applyAlignment="1">
      <alignment horizontal="center" vertical="center" wrapText="1"/>
    </xf>
    <xf numFmtId="38" fontId="3" fillId="8" borderId="8" xfId="0" applyNumberFormat="1" applyFont="1" applyFill="1" applyBorder="1" applyAlignment="1">
      <alignment horizontal="center" vertical="center" wrapText="1"/>
    </xf>
    <xf numFmtId="38" fontId="3" fillId="9" borderId="8" xfId="0" applyNumberFormat="1" applyFont="1" applyFill="1" applyBorder="1" applyAlignment="1">
      <alignment horizontal="center" vertical="center" wrapText="1"/>
    </xf>
    <xf numFmtId="38" fontId="3" fillId="9" borderId="10" xfId="0" applyNumberFormat="1" applyFont="1" applyFill="1" applyBorder="1" applyAlignment="1">
      <alignment horizontal="center" vertical="center" wrapText="1"/>
    </xf>
    <xf numFmtId="38" fontId="12" fillId="0" borderId="29" xfId="0" applyNumberFormat="1" applyFont="1" applyBorder="1" applyAlignment="1">
      <alignment vertical="center" wrapText="1"/>
    </xf>
    <xf numFmtId="38" fontId="12" fillId="0" borderId="30" xfId="0" applyNumberFormat="1" applyFont="1" applyBorder="1" applyAlignment="1">
      <alignment vertical="center" wrapText="1"/>
    </xf>
    <xf numFmtId="38" fontId="3" fillId="0" borderId="30" xfId="0" applyNumberFormat="1" applyFont="1" applyBorder="1" applyAlignment="1">
      <alignment vertical="center" wrapText="1"/>
    </xf>
    <xf numFmtId="38" fontId="3" fillId="0" borderId="6" xfId="0" applyNumberFormat="1" applyFont="1" applyBorder="1" applyAlignment="1">
      <alignment vertical="center" wrapText="1"/>
    </xf>
    <xf numFmtId="38" fontId="7" fillId="0" borderId="15" xfId="0" applyNumberFormat="1" applyFont="1" applyBorder="1" applyAlignment="1">
      <alignment vertical="center" wrapText="1"/>
    </xf>
    <xf numFmtId="38" fontId="7" fillId="0" borderId="8" xfId="0" applyNumberFormat="1" applyFont="1" applyBorder="1" applyAlignment="1">
      <alignment vertical="center" wrapText="1"/>
    </xf>
    <xf numFmtId="38" fontId="7" fillId="0" borderId="30" xfId="0" applyNumberFormat="1" applyFont="1" applyBorder="1" applyAlignment="1">
      <alignment vertical="center" wrapText="1"/>
    </xf>
    <xf numFmtId="38" fontId="7" fillId="0" borderId="6" xfId="0" applyNumberFormat="1" applyFont="1" applyBorder="1" applyAlignment="1">
      <alignment vertical="center" wrapText="1"/>
    </xf>
    <xf numFmtId="38" fontId="3" fillId="0" borderId="5" xfId="0" applyNumberFormat="1" applyFont="1" applyBorder="1" applyAlignment="1">
      <alignment vertical="center" wrapText="1"/>
    </xf>
    <xf numFmtId="38" fontId="9" fillId="0" borderId="8" xfId="0" applyNumberFormat="1" applyFont="1" applyBorder="1" applyAlignment="1">
      <alignment vertical="center" wrapText="1"/>
    </xf>
    <xf numFmtId="38" fontId="9" fillId="0" borderId="30" xfId="0" applyNumberFormat="1" applyFont="1" applyBorder="1" applyAlignment="1">
      <alignment vertical="center" wrapText="1"/>
    </xf>
    <xf numFmtId="38" fontId="3" fillId="0" borderId="10" xfId="0" applyNumberFormat="1" applyFont="1" applyBorder="1" applyAlignment="1">
      <alignment vertical="center" wrapText="1"/>
    </xf>
    <xf numFmtId="38" fontId="3" fillId="0" borderId="31" xfId="0" applyNumberFormat="1" applyFont="1" applyBorder="1" applyAlignment="1">
      <alignment vertical="center" wrapText="1"/>
    </xf>
    <xf numFmtId="38" fontId="9" fillId="0" borderId="21" xfId="0" applyNumberFormat="1" applyFont="1" applyBorder="1" applyAlignment="1">
      <alignment vertical="center" wrapText="1"/>
    </xf>
    <xf numFmtId="38" fontId="3" fillId="7" borderId="37" xfId="0" applyNumberFormat="1" applyFont="1" applyFill="1" applyBorder="1" applyAlignment="1">
      <alignment horizontal="center" vertical="center" wrapText="1"/>
    </xf>
    <xf numFmtId="38" fontId="3" fillId="7" borderId="38" xfId="0" applyNumberFormat="1" applyFont="1" applyFill="1" applyBorder="1" applyAlignment="1">
      <alignment horizontal="center" vertical="center" wrapText="1"/>
    </xf>
    <xf numFmtId="38" fontId="3" fillId="6" borderId="38" xfId="0" applyNumberFormat="1" applyFont="1" applyFill="1" applyBorder="1" applyAlignment="1">
      <alignment horizontal="center" vertical="center" wrapText="1"/>
    </xf>
    <xf numFmtId="38" fontId="3" fillId="6" borderId="39" xfId="0" applyNumberFormat="1" applyFont="1" applyFill="1" applyBorder="1" applyAlignment="1">
      <alignment horizontal="center" vertical="center" wrapText="1"/>
    </xf>
    <xf numFmtId="38" fontId="3" fillId="8" borderId="41" xfId="0" applyNumberFormat="1" applyFont="1" applyFill="1" applyBorder="1" applyAlignment="1">
      <alignment horizontal="center" vertical="center" wrapText="1"/>
    </xf>
    <xf numFmtId="38" fontId="3" fillId="8" borderId="38" xfId="0" applyNumberFormat="1" applyFont="1" applyFill="1" applyBorder="1" applyAlignment="1">
      <alignment horizontal="center" vertical="center" wrapText="1"/>
    </xf>
    <xf numFmtId="38" fontId="3" fillId="9" borderId="38" xfId="0" applyNumberFormat="1" applyFont="1" applyFill="1" applyBorder="1" applyAlignment="1">
      <alignment horizontal="center" vertical="center" wrapText="1"/>
    </xf>
    <xf numFmtId="38" fontId="3" fillId="9" borderId="39" xfId="0" applyNumberFormat="1" applyFont="1" applyFill="1" applyBorder="1" applyAlignment="1">
      <alignment horizontal="center" vertical="center" wrapText="1"/>
    </xf>
    <xf numFmtId="38" fontId="3" fillId="4" borderId="41" xfId="0" applyNumberFormat="1" applyFont="1" applyFill="1" applyBorder="1" applyAlignment="1">
      <alignment horizontal="center" vertical="center" wrapText="1"/>
    </xf>
    <xf numFmtId="38" fontId="3" fillId="6" borderId="42" xfId="0" applyNumberFormat="1" applyFont="1" applyFill="1" applyBorder="1" applyAlignment="1">
      <alignment horizontal="center" vertical="center" wrapText="1"/>
    </xf>
    <xf numFmtId="38" fontId="3" fillId="8" borderId="29" xfId="0" applyNumberFormat="1" applyFont="1" applyFill="1" applyBorder="1" applyAlignment="1">
      <alignment horizontal="center" vertical="center" wrapText="1"/>
    </xf>
    <xf numFmtId="38" fontId="3" fillId="4" borderId="29" xfId="0" applyNumberFormat="1" applyFont="1" applyFill="1" applyBorder="1" applyAlignment="1">
      <alignment horizontal="center" vertical="center" wrapText="1"/>
    </xf>
    <xf numFmtId="38" fontId="3" fillId="7" borderId="43" xfId="0" applyNumberFormat="1" applyFont="1" applyFill="1" applyBorder="1" applyAlignment="1">
      <alignment horizontal="center" vertical="center" wrapText="1"/>
    </xf>
    <xf numFmtId="38" fontId="3" fillId="7" borderId="21" xfId="0" applyNumberFormat="1" applyFont="1" applyFill="1" applyBorder="1" applyAlignment="1">
      <alignment horizontal="center" vertical="center" wrapText="1"/>
    </xf>
    <xf numFmtId="38" fontId="3" fillId="6" borderId="21" xfId="0" applyNumberFormat="1" applyFont="1" applyFill="1" applyBorder="1" applyAlignment="1">
      <alignment horizontal="center" vertical="center" wrapText="1"/>
    </xf>
    <xf numFmtId="38" fontId="3" fillId="6" borderId="27" xfId="0" applyNumberFormat="1" applyFont="1" applyFill="1" applyBorder="1" applyAlignment="1">
      <alignment horizontal="center" vertical="center" wrapText="1"/>
    </xf>
    <xf numFmtId="38" fontId="3" fillId="8" borderId="30" xfId="0" applyNumberFormat="1" applyFont="1" applyFill="1" applyBorder="1" applyAlignment="1">
      <alignment horizontal="center" vertical="center" wrapText="1"/>
    </xf>
    <xf numFmtId="38" fontId="3" fillId="8" borderId="21" xfId="0" applyNumberFormat="1" applyFont="1" applyFill="1" applyBorder="1" applyAlignment="1">
      <alignment horizontal="center" vertical="center" wrapText="1"/>
    </xf>
    <xf numFmtId="38" fontId="3" fillId="9" borderId="21" xfId="0" applyNumberFormat="1" applyFont="1" applyFill="1" applyBorder="1" applyAlignment="1">
      <alignment horizontal="center" vertical="center" wrapText="1"/>
    </xf>
    <xf numFmtId="38" fontId="3" fillId="9" borderId="22" xfId="0" applyNumberFormat="1" applyFont="1" applyFill="1" applyBorder="1" applyAlignment="1">
      <alignment horizontal="center" vertical="center" wrapText="1"/>
    </xf>
    <xf numFmtId="38" fontId="3" fillId="4" borderId="30" xfId="0" applyNumberFormat="1" applyFont="1" applyFill="1" applyBorder="1" applyAlignment="1">
      <alignment horizontal="center" vertical="center" wrapText="1"/>
    </xf>
    <xf numFmtId="38" fontId="3" fillId="4" borderId="21" xfId="0" applyNumberFormat="1" applyFont="1" applyFill="1" applyBorder="1" applyAlignment="1">
      <alignment horizontal="center" vertical="center" wrapText="1"/>
    </xf>
    <xf numFmtId="38" fontId="3" fillId="5" borderId="21" xfId="0" applyNumberFormat="1" applyFont="1" applyFill="1" applyBorder="1" applyAlignment="1">
      <alignment horizontal="center" vertical="center" wrapText="1"/>
    </xf>
    <xf numFmtId="38" fontId="3" fillId="5" borderId="22" xfId="0" applyNumberFormat="1" applyFont="1" applyFill="1" applyBorder="1" applyAlignment="1">
      <alignment horizontal="center" vertical="center" wrapText="1"/>
    </xf>
    <xf numFmtId="38" fontId="3" fillId="7" borderId="15" xfId="0" applyNumberFormat="1" applyFont="1" applyFill="1" applyBorder="1" applyAlignment="1">
      <alignment horizontal="center" vertical="center" wrapText="1"/>
    </xf>
    <xf numFmtId="38" fontId="3" fillId="6" borderId="15" xfId="0" applyNumberFormat="1" applyFont="1" applyFill="1" applyBorder="1" applyAlignment="1">
      <alignment horizontal="center" vertical="center" wrapText="1"/>
    </xf>
    <xf numFmtId="38" fontId="3" fillId="6" borderId="25" xfId="0" applyNumberFormat="1" applyFont="1" applyFill="1" applyBorder="1" applyAlignment="1">
      <alignment horizontal="center" vertical="center" wrapText="1"/>
    </xf>
    <xf numFmtId="38" fontId="3" fillId="8" borderId="28" xfId="0" applyNumberFormat="1" applyFont="1" applyFill="1" applyBorder="1" applyAlignment="1">
      <alignment horizontal="center" vertical="center" wrapText="1"/>
    </xf>
    <xf numFmtId="38" fontId="3" fillId="8" borderId="15" xfId="0" applyNumberFormat="1" applyFont="1" applyFill="1" applyBorder="1" applyAlignment="1">
      <alignment horizontal="center" vertical="center" wrapText="1"/>
    </xf>
    <xf numFmtId="38" fontId="3" fillId="9" borderId="15" xfId="0" applyNumberFormat="1" applyFont="1" applyFill="1" applyBorder="1" applyAlignment="1">
      <alignment horizontal="center" vertical="center" wrapText="1"/>
    </xf>
    <xf numFmtId="38" fontId="3" fillId="9" borderId="16" xfId="0" applyNumberFormat="1" applyFont="1" applyFill="1" applyBorder="1" applyAlignment="1">
      <alignment horizontal="center" vertical="center" wrapText="1"/>
    </xf>
    <xf numFmtId="38" fontId="3" fillId="4" borderId="28" xfId="0" applyNumberFormat="1" applyFont="1" applyFill="1" applyBorder="1" applyAlignment="1">
      <alignment horizontal="center" vertical="center" wrapText="1"/>
    </xf>
    <xf numFmtId="38" fontId="3" fillId="8" borderId="38" xfId="0" applyNumberFormat="1" applyFont="1" applyFill="1" applyBorder="1" applyAlignment="1">
      <alignment horizontal="center" vertical="center" wrapText="1"/>
    </xf>
    <xf numFmtId="38" fontId="3" fillId="9" borderId="38" xfId="0" applyNumberFormat="1" applyFont="1" applyFill="1" applyBorder="1" applyAlignment="1">
      <alignment horizontal="center" vertical="center" wrapText="1"/>
    </xf>
    <xf numFmtId="38" fontId="3" fillId="8" borderId="38" xfId="0" applyNumberFormat="1" applyFont="1" applyFill="1" applyBorder="1" applyAlignment="1">
      <alignment horizontal="center" vertical="center" wrapText="1"/>
    </xf>
    <xf numFmtId="38" fontId="3" fillId="9" borderId="38" xfId="0" applyNumberFormat="1" applyFont="1" applyFill="1" applyBorder="1" applyAlignment="1">
      <alignment horizontal="center" vertical="center" wrapText="1"/>
    </xf>
    <xf numFmtId="38" fontId="3" fillId="8" borderId="8" xfId="0" applyNumberFormat="1" applyFont="1" applyFill="1" applyBorder="1" applyAlignment="1">
      <alignment horizontal="center" vertical="center" wrapText="1"/>
    </xf>
    <xf numFmtId="38" fontId="3" fillId="9" borderId="8" xfId="0" applyNumberFormat="1" applyFont="1" applyFill="1" applyBorder="1" applyAlignment="1">
      <alignment horizontal="center" vertical="center" wrapText="1"/>
    </xf>
    <xf numFmtId="38" fontId="3" fillId="9" borderId="10" xfId="0" applyNumberFormat="1" applyFont="1" applyFill="1" applyBorder="1" applyAlignment="1">
      <alignment horizontal="center" vertical="center" wrapText="1"/>
    </xf>
    <xf numFmtId="38" fontId="3" fillId="9" borderId="39" xfId="0" applyNumberFormat="1" applyFont="1" applyFill="1" applyBorder="1" applyAlignment="1">
      <alignment horizontal="center" vertical="center" wrapText="1"/>
    </xf>
    <xf numFmtId="38" fontId="3" fillId="8" borderId="15" xfId="0" applyNumberFormat="1" applyFont="1" applyFill="1" applyBorder="1" applyAlignment="1">
      <alignment horizontal="center" vertical="center" wrapText="1"/>
    </xf>
    <xf numFmtId="38" fontId="3" fillId="9" borderId="15" xfId="0" applyNumberFormat="1" applyFont="1" applyFill="1" applyBorder="1" applyAlignment="1">
      <alignment horizontal="center" vertical="center" wrapText="1"/>
    </xf>
    <xf numFmtId="38" fontId="3" fillId="9" borderId="16" xfId="0" applyNumberFormat="1" applyFont="1" applyFill="1" applyBorder="1" applyAlignment="1">
      <alignment horizontal="center" vertical="center" wrapText="1"/>
    </xf>
    <xf numFmtId="38" fontId="3" fillId="4" borderId="8" xfId="0" applyNumberFormat="1" applyFont="1" applyFill="1" applyBorder="1" applyAlignment="1">
      <alignment horizontal="center" vertical="center" wrapText="1"/>
    </xf>
    <xf numFmtId="38" fontId="3" fillId="5" borderId="8" xfId="0" applyNumberFormat="1" applyFont="1" applyFill="1" applyBorder="1" applyAlignment="1">
      <alignment horizontal="center" vertical="center" wrapText="1"/>
    </xf>
    <xf numFmtId="38" fontId="3" fillId="5" borderId="10" xfId="0" applyNumberFormat="1" applyFont="1" applyFill="1" applyBorder="1" applyAlignment="1">
      <alignment horizontal="center" vertical="center" wrapText="1"/>
    </xf>
    <xf numFmtId="38" fontId="3" fillId="8" borderId="38" xfId="0" applyNumberFormat="1" applyFont="1" applyFill="1" applyBorder="1" applyAlignment="1">
      <alignment horizontal="center" vertical="center" wrapText="1"/>
    </xf>
    <xf numFmtId="38" fontId="3" fillId="4" borderId="15" xfId="0" applyNumberFormat="1" applyFont="1" applyFill="1" applyBorder="1" applyAlignment="1">
      <alignment horizontal="center" vertical="center" wrapText="1"/>
    </xf>
    <xf numFmtId="38" fontId="3" fillId="5" borderId="15" xfId="0" applyNumberFormat="1" applyFont="1" applyFill="1" applyBorder="1" applyAlignment="1">
      <alignment horizontal="center" vertical="center" wrapText="1"/>
    </xf>
    <xf numFmtId="38" fontId="3" fillId="4" borderId="38" xfId="0" applyNumberFormat="1" applyFont="1" applyFill="1" applyBorder="1" applyAlignment="1">
      <alignment horizontal="center" vertical="center" wrapText="1"/>
    </xf>
    <xf numFmtId="38" fontId="3" fillId="5" borderId="38" xfId="0" applyNumberFormat="1" applyFont="1" applyFill="1" applyBorder="1" applyAlignment="1">
      <alignment horizontal="center" vertical="center" wrapText="1"/>
    </xf>
    <xf numFmtId="38" fontId="3" fillId="5" borderId="39" xfId="0" applyNumberFormat="1" applyFont="1" applyFill="1" applyBorder="1" applyAlignment="1">
      <alignment horizontal="center" vertical="center" wrapText="1"/>
    </xf>
    <xf numFmtId="38" fontId="3" fillId="4" borderId="29" xfId="0" quotePrefix="1" applyNumberFormat="1" applyFont="1" applyFill="1" applyBorder="1" applyAlignment="1">
      <alignment horizontal="center" vertical="center" wrapText="1"/>
    </xf>
    <xf numFmtId="38" fontId="3" fillId="4" borderId="8" xfId="0" quotePrefix="1" applyNumberFormat="1" applyFont="1" applyFill="1" applyBorder="1" applyAlignment="1">
      <alignment horizontal="center" vertical="center" wrapText="1"/>
    </xf>
    <xf numFmtId="0" fontId="15" fillId="10" borderId="24" xfId="0" applyFont="1" applyFill="1" applyBorder="1" applyAlignment="1">
      <alignment horizontal="center" vertical="center" wrapText="1"/>
    </xf>
    <xf numFmtId="0" fontId="15" fillId="10" borderId="6" xfId="0" applyFont="1" applyFill="1" applyBorder="1" applyAlignment="1">
      <alignment horizontal="center" vertical="center" wrapText="1"/>
    </xf>
    <xf numFmtId="0" fontId="15" fillId="10" borderId="5" xfId="0" applyFont="1" applyFill="1" applyBorder="1" applyAlignment="1">
      <alignment horizontal="center" vertical="center" wrapText="1"/>
    </xf>
    <xf numFmtId="38" fontId="15" fillId="11" borderId="41" xfId="0" applyNumberFormat="1" applyFont="1" applyFill="1" applyBorder="1" applyAlignment="1">
      <alignment horizontal="center" vertical="center" wrapText="1"/>
    </xf>
    <xf numFmtId="38" fontId="15" fillId="11" borderId="38" xfId="0" applyNumberFormat="1" applyFont="1" applyFill="1" applyBorder="1" applyAlignment="1">
      <alignment horizontal="center" vertical="center" wrapText="1"/>
    </xf>
    <xf numFmtId="38" fontId="15" fillId="12" borderId="38" xfId="0" applyNumberFormat="1" applyFont="1" applyFill="1" applyBorder="1" applyAlignment="1">
      <alignment horizontal="center" vertical="center" wrapText="1"/>
    </xf>
    <xf numFmtId="38" fontId="15" fillId="12" borderId="39" xfId="0" applyNumberFormat="1" applyFont="1" applyFill="1" applyBorder="1" applyAlignment="1">
      <alignment horizontal="center" vertical="center" wrapText="1"/>
    </xf>
    <xf numFmtId="38" fontId="15" fillId="11" borderId="29" xfId="0" applyNumberFormat="1" applyFont="1" applyFill="1" applyBorder="1" applyAlignment="1">
      <alignment horizontal="center" vertical="center" wrapText="1"/>
    </xf>
    <xf numFmtId="38" fontId="15" fillId="11" borderId="8" xfId="0" applyNumberFormat="1" applyFont="1" applyFill="1" applyBorder="1" applyAlignment="1">
      <alignment horizontal="center" vertical="center" wrapText="1"/>
    </xf>
    <xf numFmtId="38" fontId="15" fillId="12" borderId="8" xfId="0" applyNumberFormat="1" applyFont="1" applyFill="1" applyBorder="1" applyAlignment="1">
      <alignment horizontal="center" vertical="center" wrapText="1"/>
    </xf>
    <xf numFmtId="38" fontId="15" fillId="11" borderId="48" xfId="0" applyNumberFormat="1" applyFont="1" applyFill="1" applyBorder="1" applyAlignment="1">
      <alignment horizontal="center" vertical="center" wrapText="1"/>
    </xf>
    <xf numFmtId="38" fontId="15" fillId="12" borderId="10" xfId="0" applyNumberFormat="1" applyFont="1" applyFill="1" applyBorder="1" applyAlignment="1">
      <alignment horizontal="center" vertical="center" wrapText="1"/>
    </xf>
    <xf numFmtId="38" fontId="15" fillId="11" borderId="30" xfId="0" applyNumberFormat="1" applyFont="1" applyFill="1" applyBorder="1" applyAlignment="1">
      <alignment horizontal="center" vertical="center" wrapText="1"/>
    </xf>
    <xf numFmtId="38" fontId="15" fillId="11" borderId="21" xfId="0" applyNumberFormat="1" applyFont="1" applyFill="1" applyBorder="1" applyAlignment="1">
      <alignment horizontal="center" vertical="center" wrapText="1"/>
    </xf>
    <xf numFmtId="38" fontId="15" fillId="12" borderId="21" xfId="0" applyNumberFormat="1" applyFont="1" applyFill="1" applyBorder="1" applyAlignment="1">
      <alignment horizontal="center" vertical="center" wrapText="1"/>
    </xf>
    <xf numFmtId="38" fontId="15" fillId="11" borderId="49" xfId="0" applyNumberFormat="1" applyFont="1" applyFill="1" applyBorder="1" applyAlignment="1">
      <alignment horizontal="center" vertical="center" wrapText="1"/>
    </xf>
    <xf numFmtId="38" fontId="15" fillId="12" borderId="22" xfId="0" applyNumberFormat="1" applyFont="1" applyFill="1" applyBorder="1" applyAlignment="1">
      <alignment horizontal="center" vertical="center" wrapText="1"/>
    </xf>
    <xf numFmtId="38" fontId="15" fillId="12" borderId="15" xfId="0" applyNumberFormat="1" applyFont="1" applyFill="1" applyBorder="1" applyAlignment="1">
      <alignment horizontal="center" vertical="center" wrapText="1"/>
    </xf>
    <xf numFmtId="38" fontId="15" fillId="11" borderId="50" xfId="0" applyNumberFormat="1" applyFont="1" applyFill="1" applyBorder="1" applyAlignment="1">
      <alignment horizontal="center" vertical="center" wrapText="1"/>
    </xf>
    <xf numFmtId="38" fontId="15" fillId="12" borderId="16" xfId="0" applyNumberFormat="1" applyFont="1" applyFill="1" applyBorder="1" applyAlignment="1">
      <alignment horizontal="center" vertical="center" wrapText="1"/>
    </xf>
    <xf numFmtId="38" fontId="15" fillId="11" borderId="9" xfId="0" applyNumberFormat="1" applyFont="1" applyFill="1" applyBorder="1" applyAlignment="1">
      <alignment horizontal="center" vertical="center" wrapText="1"/>
    </xf>
    <xf numFmtId="38" fontId="15" fillId="11" borderId="51" xfId="0" applyNumberFormat="1" applyFont="1" applyFill="1" applyBorder="1" applyAlignment="1">
      <alignment horizontal="center" vertical="center" wrapText="1"/>
    </xf>
    <xf numFmtId="38" fontId="15" fillId="11" borderId="42" xfId="0" applyNumberFormat="1" applyFont="1" applyFill="1" applyBorder="1" applyAlignment="1">
      <alignment horizontal="center" vertical="center" wrapText="1"/>
    </xf>
    <xf numFmtId="38" fontId="3" fillId="8" borderId="8" xfId="0" applyNumberFormat="1" applyFont="1" applyFill="1" applyBorder="1" applyAlignment="1">
      <alignment horizontal="center" vertical="center" wrapText="1"/>
    </xf>
    <xf numFmtId="38" fontId="3" fillId="9" borderId="8" xfId="0" applyNumberFormat="1" applyFont="1" applyFill="1" applyBorder="1" applyAlignment="1">
      <alignment horizontal="center" vertical="center" wrapText="1"/>
    </xf>
    <xf numFmtId="38" fontId="3" fillId="9" borderId="10" xfId="0" applyNumberFormat="1" applyFont="1" applyFill="1" applyBorder="1" applyAlignment="1">
      <alignment horizontal="center" vertical="center" wrapText="1"/>
    </xf>
    <xf numFmtId="38" fontId="3" fillId="8" borderId="15" xfId="0" applyNumberFormat="1" applyFont="1" applyFill="1" applyBorder="1" applyAlignment="1">
      <alignment horizontal="center" vertical="center" wrapText="1"/>
    </xf>
    <xf numFmtId="38" fontId="3" fillId="9" borderId="15" xfId="0" applyNumberFormat="1" applyFont="1" applyFill="1" applyBorder="1" applyAlignment="1">
      <alignment horizontal="center" vertical="center" wrapText="1"/>
    </xf>
    <xf numFmtId="38" fontId="3" fillId="9" borderId="16" xfId="0" applyNumberFormat="1" applyFont="1" applyFill="1" applyBorder="1" applyAlignment="1">
      <alignment horizontal="center" vertical="center" wrapText="1"/>
    </xf>
    <xf numFmtId="38" fontId="3" fillId="8" borderId="38" xfId="0" applyNumberFormat="1" applyFont="1" applyFill="1" applyBorder="1" applyAlignment="1">
      <alignment horizontal="center" vertical="center" wrapText="1"/>
    </xf>
    <xf numFmtId="38" fontId="3" fillId="9" borderId="38" xfId="0" applyNumberFormat="1" applyFont="1" applyFill="1" applyBorder="1" applyAlignment="1">
      <alignment horizontal="center" vertical="center" wrapText="1"/>
    </xf>
    <xf numFmtId="38" fontId="3" fillId="9" borderId="39" xfId="0" applyNumberFormat="1" applyFont="1" applyFill="1" applyBorder="1" applyAlignment="1">
      <alignment horizontal="center" vertical="center" wrapText="1"/>
    </xf>
    <xf numFmtId="38" fontId="15" fillId="11" borderId="42" xfId="0" applyNumberFormat="1" applyFont="1" applyFill="1" applyBorder="1" applyAlignment="1">
      <alignment horizontal="center" vertical="center" wrapText="1"/>
    </xf>
    <xf numFmtId="38" fontId="15" fillId="11" borderId="38" xfId="0" applyNumberFormat="1" applyFont="1" applyFill="1" applyBorder="1" applyAlignment="1">
      <alignment horizontal="center" vertical="center" wrapText="1"/>
    </xf>
    <xf numFmtId="38" fontId="15" fillId="11" borderId="9" xfId="0" applyNumberFormat="1" applyFont="1" applyFill="1" applyBorder="1" applyAlignment="1">
      <alignment horizontal="center" vertical="center" wrapText="1"/>
    </xf>
    <xf numFmtId="38" fontId="15" fillId="11" borderId="8" xfId="0" applyNumberFormat="1" applyFont="1" applyFill="1" applyBorder="1" applyAlignment="1">
      <alignment horizontal="center" vertical="center" wrapText="1"/>
    </xf>
    <xf numFmtId="38" fontId="15" fillId="11" borderId="25" xfId="0" applyNumberFormat="1" applyFont="1" applyFill="1" applyBorder="1" applyAlignment="1">
      <alignment horizontal="center" vertical="center" wrapText="1"/>
    </xf>
    <xf numFmtId="38" fontId="15" fillId="11" borderId="15" xfId="0" applyNumberFormat="1" applyFont="1" applyFill="1" applyBorder="1" applyAlignment="1">
      <alignment horizontal="center" vertical="center" wrapText="1"/>
    </xf>
    <xf numFmtId="38" fontId="3" fillId="8" borderId="8" xfId="0" applyNumberFormat="1" applyFont="1" applyFill="1" applyBorder="1" applyAlignment="1">
      <alignment horizontal="center" vertical="center" wrapText="1"/>
    </xf>
    <xf numFmtId="38" fontId="3" fillId="9" borderId="8" xfId="0" applyNumberFormat="1" applyFont="1" applyFill="1" applyBorder="1" applyAlignment="1">
      <alignment horizontal="center" vertical="center" wrapText="1"/>
    </xf>
    <xf numFmtId="38" fontId="3" fillId="9" borderId="10" xfId="0" applyNumberFormat="1" applyFont="1" applyFill="1" applyBorder="1" applyAlignment="1">
      <alignment horizontal="center" vertical="center" wrapText="1"/>
    </xf>
    <xf numFmtId="38" fontId="15" fillId="11" borderId="9" xfId="0" applyNumberFormat="1" applyFont="1" applyFill="1" applyBorder="1" applyAlignment="1">
      <alignment horizontal="center" vertical="center" wrapText="1"/>
    </xf>
    <xf numFmtId="38" fontId="15" fillId="11" borderId="8" xfId="0" applyNumberFormat="1" applyFont="1" applyFill="1" applyBorder="1" applyAlignment="1">
      <alignment horizontal="center" vertical="center" wrapText="1"/>
    </xf>
    <xf numFmtId="38" fontId="15" fillId="12" borderId="8" xfId="0" applyNumberFormat="1" applyFont="1" applyFill="1" applyBorder="1" applyAlignment="1">
      <alignment horizontal="center" vertical="center" wrapText="1"/>
    </xf>
    <xf numFmtId="38" fontId="15" fillId="12" borderId="10" xfId="0" applyNumberFormat="1" applyFont="1" applyFill="1" applyBorder="1" applyAlignment="1">
      <alignment horizontal="center" vertical="center" wrapText="1"/>
    </xf>
    <xf numFmtId="38" fontId="3" fillId="4" borderId="8" xfId="0" applyNumberFormat="1" applyFont="1" applyFill="1" applyBorder="1" applyAlignment="1">
      <alignment horizontal="center" vertical="center" wrapText="1"/>
    </xf>
    <xf numFmtId="38" fontId="3" fillId="5" borderId="8" xfId="0" applyNumberFormat="1" applyFont="1" applyFill="1" applyBorder="1" applyAlignment="1">
      <alignment horizontal="center" vertical="center" wrapText="1"/>
    </xf>
    <xf numFmtId="38" fontId="3" fillId="5" borderId="10" xfId="0" applyNumberFormat="1" applyFont="1" applyFill="1" applyBorder="1" applyAlignment="1">
      <alignment horizontal="center" vertical="center" wrapText="1"/>
    </xf>
    <xf numFmtId="38" fontId="3" fillId="6" borderId="9" xfId="0" applyNumberFormat="1" applyFont="1" applyFill="1" applyBorder="1" applyAlignment="1">
      <alignment horizontal="center" vertical="center" wrapText="1"/>
    </xf>
    <xf numFmtId="38" fontId="3" fillId="6" borderId="8" xfId="0" applyNumberFormat="1" applyFont="1" applyFill="1" applyBorder="1" applyAlignment="1">
      <alignment horizontal="center" vertical="center" wrapText="1"/>
    </xf>
    <xf numFmtId="38" fontId="3" fillId="7" borderId="8" xfId="0" applyNumberFormat="1" applyFont="1" applyFill="1" applyBorder="1" applyAlignment="1">
      <alignment horizontal="center" vertical="center" wrapText="1"/>
    </xf>
    <xf numFmtId="38" fontId="3" fillId="0" borderId="15" xfId="0" applyNumberFormat="1" applyFont="1" applyBorder="1" applyAlignment="1">
      <alignment vertical="center" wrapText="1"/>
    </xf>
    <xf numFmtId="38" fontId="3" fillId="7" borderId="15" xfId="0" applyNumberFormat="1" applyFont="1" applyFill="1" applyBorder="1" applyAlignment="1">
      <alignment horizontal="center" vertical="center" wrapText="1"/>
    </xf>
    <xf numFmtId="38" fontId="3" fillId="6" borderId="25" xfId="0" applyNumberFormat="1" applyFont="1" applyFill="1" applyBorder="1" applyAlignment="1">
      <alignment horizontal="center" vertical="center" wrapText="1"/>
    </xf>
    <xf numFmtId="38" fontId="3" fillId="6" borderId="15" xfId="0" applyNumberFormat="1" applyFont="1" applyFill="1" applyBorder="1" applyAlignment="1">
      <alignment horizontal="center" vertical="center" wrapText="1"/>
    </xf>
    <xf numFmtId="38" fontId="3" fillId="7" borderId="38" xfId="0" applyNumberFormat="1" applyFont="1" applyFill="1" applyBorder="1" applyAlignment="1">
      <alignment horizontal="center" vertical="center" wrapText="1"/>
    </xf>
    <xf numFmtId="38" fontId="3" fillId="6" borderId="42" xfId="0" applyNumberFormat="1" applyFont="1" applyFill="1" applyBorder="1" applyAlignment="1">
      <alignment horizontal="center" vertical="center" wrapText="1"/>
    </xf>
    <xf numFmtId="38" fontId="3" fillId="6" borderId="38" xfId="0" applyNumberFormat="1" applyFont="1" applyFill="1" applyBorder="1" applyAlignment="1">
      <alignment horizontal="center" vertical="center" wrapText="1"/>
    </xf>
    <xf numFmtId="38" fontId="3" fillId="8" borderId="15" xfId="0" applyNumberFormat="1" applyFont="1" applyFill="1" applyBorder="1" applyAlignment="1">
      <alignment horizontal="center" vertical="center" wrapText="1"/>
    </xf>
    <xf numFmtId="38" fontId="3" fillId="9" borderId="15" xfId="0" applyNumberFormat="1" applyFont="1" applyFill="1" applyBorder="1" applyAlignment="1">
      <alignment horizontal="center" vertical="center" wrapText="1"/>
    </xf>
    <xf numFmtId="38" fontId="3" fillId="9" borderId="16" xfId="0" applyNumberFormat="1" applyFont="1" applyFill="1" applyBorder="1" applyAlignment="1">
      <alignment horizontal="center" vertical="center" wrapText="1"/>
    </xf>
    <xf numFmtId="38" fontId="3" fillId="8" borderId="38" xfId="0" applyNumberFormat="1" applyFont="1" applyFill="1" applyBorder="1" applyAlignment="1">
      <alignment horizontal="center" vertical="center" wrapText="1"/>
    </xf>
    <xf numFmtId="38" fontId="3" fillId="9" borderId="38" xfId="0" applyNumberFormat="1" applyFont="1" applyFill="1" applyBorder="1" applyAlignment="1">
      <alignment horizontal="center" vertical="center" wrapText="1"/>
    </xf>
    <xf numFmtId="38" fontId="3" fillId="9" borderId="39" xfId="0" applyNumberFormat="1" applyFont="1" applyFill="1" applyBorder="1" applyAlignment="1">
      <alignment horizontal="center" vertical="center" wrapText="1"/>
    </xf>
    <xf numFmtId="38" fontId="3" fillId="4" borderId="15" xfId="0" applyNumberFormat="1" applyFont="1" applyFill="1" applyBorder="1" applyAlignment="1">
      <alignment horizontal="center" vertical="center" wrapText="1"/>
    </xf>
    <xf numFmtId="38" fontId="3" fillId="5" borderId="15" xfId="0" applyNumberFormat="1" applyFont="1" applyFill="1" applyBorder="1" applyAlignment="1">
      <alignment horizontal="center" vertical="center" wrapText="1"/>
    </xf>
    <xf numFmtId="38" fontId="3" fillId="5" borderId="16" xfId="0" applyNumberFormat="1" applyFont="1" applyFill="1" applyBorder="1" applyAlignment="1">
      <alignment horizontal="center" vertical="center" wrapText="1"/>
    </xf>
    <xf numFmtId="38" fontId="3" fillId="4" borderId="38" xfId="0" applyNumberFormat="1" applyFont="1" applyFill="1" applyBorder="1" applyAlignment="1">
      <alignment horizontal="center" vertical="center" wrapText="1"/>
    </xf>
    <xf numFmtId="38" fontId="3" fillId="5" borderId="38" xfId="0" applyNumberFormat="1" applyFont="1" applyFill="1" applyBorder="1" applyAlignment="1">
      <alignment horizontal="center" vertical="center" wrapText="1"/>
    </xf>
    <xf numFmtId="38" fontId="3" fillId="5" borderId="39" xfId="0" applyNumberFormat="1" applyFont="1" applyFill="1" applyBorder="1" applyAlignment="1">
      <alignment horizontal="center" vertical="center" wrapText="1"/>
    </xf>
    <xf numFmtId="38" fontId="15" fillId="11" borderId="25" xfId="0" applyNumberFormat="1" applyFont="1" applyFill="1" applyBorder="1" applyAlignment="1">
      <alignment horizontal="center" vertical="center" wrapText="1"/>
    </xf>
    <xf numFmtId="38" fontId="15" fillId="11" borderId="15" xfId="0" applyNumberFormat="1" applyFont="1" applyFill="1" applyBorder="1" applyAlignment="1">
      <alignment horizontal="center" vertical="center" wrapText="1"/>
    </xf>
    <xf numFmtId="38" fontId="15" fillId="12" borderId="15" xfId="0" applyNumberFormat="1" applyFont="1" applyFill="1" applyBorder="1" applyAlignment="1">
      <alignment horizontal="center" vertical="center" wrapText="1"/>
    </xf>
    <xf numFmtId="38" fontId="15" fillId="12" borderId="16" xfId="0" applyNumberFormat="1" applyFont="1" applyFill="1" applyBorder="1" applyAlignment="1">
      <alignment horizontal="center" vertical="center" wrapText="1"/>
    </xf>
    <xf numFmtId="38" fontId="15" fillId="11" borderId="42" xfId="0" applyNumberFormat="1" applyFont="1" applyFill="1" applyBorder="1" applyAlignment="1">
      <alignment horizontal="center" vertical="center" wrapText="1"/>
    </xf>
    <xf numFmtId="38" fontId="15" fillId="11" borderId="38" xfId="0" applyNumberFormat="1" applyFont="1" applyFill="1" applyBorder="1" applyAlignment="1">
      <alignment horizontal="center" vertical="center" wrapText="1"/>
    </xf>
    <xf numFmtId="38" fontId="15" fillId="12" borderId="38" xfId="0" applyNumberFormat="1" applyFont="1" applyFill="1" applyBorder="1" applyAlignment="1">
      <alignment horizontal="center" vertical="center" wrapText="1"/>
    </xf>
    <xf numFmtId="38" fontId="15" fillId="12" borderId="39" xfId="0" applyNumberFormat="1" applyFont="1" applyFill="1" applyBorder="1" applyAlignment="1">
      <alignment horizontal="center" vertical="center" wrapText="1"/>
    </xf>
    <xf numFmtId="3" fontId="3" fillId="4" borderId="41" xfId="0" applyNumberFormat="1" applyFont="1" applyFill="1" applyBorder="1" applyAlignment="1">
      <alignment horizontal="center" vertical="center" wrapText="1"/>
    </xf>
    <xf numFmtId="3" fontId="3" fillId="4" borderId="38" xfId="0" applyNumberFormat="1" applyFont="1" applyFill="1" applyBorder="1" applyAlignment="1">
      <alignment horizontal="center" vertical="center" wrapText="1"/>
    </xf>
    <xf numFmtId="3" fontId="3" fillId="5" borderId="38" xfId="0" applyNumberFormat="1" applyFont="1" applyFill="1" applyBorder="1" applyAlignment="1">
      <alignment horizontal="center" vertical="center" wrapText="1"/>
    </xf>
    <xf numFmtId="3" fontId="3" fillId="5" borderId="39" xfId="0" applyNumberFormat="1" applyFont="1" applyFill="1" applyBorder="1" applyAlignment="1">
      <alignment horizontal="center" vertical="center" wrapText="1"/>
    </xf>
    <xf numFmtId="3" fontId="3" fillId="4" borderId="29" xfId="0" applyNumberFormat="1" applyFont="1" applyFill="1" applyBorder="1" applyAlignment="1">
      <alignment horizontal="center" vertical="center" wrapText="1"/>
    </xf>
    <xf numFmtId="3" fontId="3" fillId="4" borderId="8" xfId="0" applyNumberFormat="1" applyFont="1" applyFill="1" applyBorder="1" applyAlignment="1">
      <alignment horizontal="center" vertical="center" wrapText="1"/>
    </xf>
    <xf numFmtId="3" fontId="3" fillId="5" borderId="8" xfId="0" applyNumberFormat="1" applyFont="1" applyFill="1" applyBorder="1" applyAlignment="1">
      <alignment horizontal="center" vertical="center" wrapText="1"/>
    </xf>
    <xf numFmtId="3" fontId="3" fillId="5" borderId="10" xfId="0" applyNumberFormat="1" applyFont="1" applyFill="1" applyBorder="1" applyAlignment="1">
      <alignment horizontal="center" vertical="center" wrapText="1"/>
    </xf>
    <xf numFmtId="3" fontId="3" fillId="4" borderId="30" xfId="0" applyNumberFormat="1" applyFont="1" applyFill="1" applyBorder="1" applyAlignment="1">
      <alignment horizontal="center" vertical="center" wrapText="1"/>
    </xf>
    <xf numFmtId="3" fontId="3" fillId="4" borderId="21" xfId="0" applyNumberFormat="1" applyFont="1" applyFill="1" applyBorder="1" applyAlignment="1">
      <alignment horizontal="center" vertical="center" wrapText="1"/>
    </xf>
    <xf numFmtId="3" fontId="3" fillId="5" borderId="21" xfId="0" applyNumberFormat="1" applyFont="1" applyFill="1" applyBorder="1" applyAlignment="1">
      <alignment horizontal="center" vertical="center" wrapText="1"/>
    </xf>
    <xf numFmtId="3" fontId="3" fillId="5" borderId="22" xfId="0" applyNumberFormat="1" applyFont="1" applyFill="1" applyBorder="1" applyAlignment="1">
      <alignment horizontal="center" vertical="center" wrapText="1"/>
    </xf>
    <xf numFmtId="3" fontId="3" fillId="4" borderId="28" xfId="0" applyNumberFormat="1" applyFont="1" applyFill="1" applyBorder="1" applyAlignment="1">
      <alignment horizontal="center" vertical="center" wrapText="1"/>
    </xf>
    <xf numFmtId="3" fontId="3" fillId="4" borderId="15" xfId="0" applyNumberFormat="1" applyFont="1" applyFill="1" applyBorder="1" applyAlignment="1">
      <alignment horizontal="center" vertical="center" wrapText="1"/>
    </xf>
    <xf numFmtId="3" fontId="3" fillId="5" borderId="15" xfId="0" applyNumberFormat="1" applyFont="1" applyFill="1" applyBorder="1" applyAlignment="1">
      <alignment horizontal="center" vertical="center" wrapText="1"/>
    </xf>
    <xf numFmtId="3" fontId="3" fillId="5" borderId="16" xfId="0" applyNumberFormat="1" applyFont="1" applyFill="1" applyBorder="1" applyAlignment="1">
      <alignment horizontal="center" vertical="center" wrapText="1"/>
    </xf>
    <xf numFmtId="38" fontId="18" fillId="0" borderId="8" xfId="0" applyNumberFormat="1" applyFont="1" applyBorder="1" applyAlignment="1">
      <alignment vertical="center" wrapText="1"/>
    </xf>
    <xf numFmtId="38" fontId="20" fillId="0" borderId="0" xfId="0" applyNumberFormat="1" applyFont="1"/>
    <xf numFmtId="38" fontId="18" fillId="11" borderId="8" xfId="0" applyNumberFormat="1" applyFont="1" applyFill="1" applyBorder="1" applyAlignment="1">
      <alignment horizontal="center" vertical="center" wrapText="1"/>
    </xf>
    <xf numFmtId="38" fontId="18" fillId="11" borderId="9" xfId="0" applyNumberFormat="1" applyFont="1" applyFill="1" applyBorder="1" applyAlignment="1">
      <alignment horizontal="center" vertical="center" wrapText="1"/>
    </xf>
    <xf numFmtId="38" fontId="18" fillId="11" borderId="15" xfId="0" applyNumberFormat="1" applyFont="1" applyFill="1" applyBorder="1" applyAlignment="1">
      <alignment horizontal="center" vertical="center" wrapText="1"/>
    </xf>
    <xf numFmtId="38" fontId="18" fillId="11" borderId="25" xfId="0" applyNumberFormat="1" applyFont="1" applyFill="1" applyBorder="1" applyAlignment="1">
      <alignment horizontal="center" vertical="center" wrapText="1"/>
    </xf>
    <xf numFmtId="38" fontId="18" fillId="11" borderId="50" xfId="0" applyNumberFormat="1" applyFont="1" applyFill="1" applyBorder="1" applyAlignment="1">
      <alignment horizontal="center" vertical="center" wrapText="1"/>
    </xf>
    <xf numFmtId="38" fontId="18" fillId="11" borderId="51" xfId="0" applyNumberFormat="1" applyFont="1" applyFill="1" applyBorder="1" applyAlignment="1">
      <alignment horizontal="center" vertical="center" wrapText="1"/>
    </xf>
    <xf numFmtId="0" fontId="0" fillId="0" borderId="0" xfId="0" applyAlignment="1">
      <alignment wrapText="1"/>
    </xf>
    <xf numFmtId="0" fontId="0" fillId="0" borderId="58" xfId="0" applyBorder="1"/>
    <xf numFmtId="0" fontId="0" fillId="0" borderId="58" xfId="0" applyBorder="1" applyAlignment="1">
      <alignment wrapText="1"/>
    </xf>
    <xf numFmtId="38" fontId="3" fillId="0" borderId="15" xfId="0" applyNumberFormat="1" applyFont="1" applyBorder="1" applyAlignment="1">
      <alignment vertical="center" wrapText="1"/>
    </xf>
    <xf numFmtId="38" fontId="3" fillId="7" borderId="15" xfId="0" applyNumberFormat="1" applyFont="1" applyFill="1" applyBorder="1" applyAlignment="1">
      <alignment horizontal="center" vertical="center" wrapText="1"/>
    </xf>
    <xf numFmtId="38" fontId="3" fillId="6" borderId="25" xfId="0" applyNumberFormat="1" applyFont="1" applyFill="1" applyBorder="1" applyAlignment="1">
      <alignment horizontal="center" vertical="center" wrapText="1"/>
    </xf>
    <xf numFmtId="38" fontId="3" fillId="6" borderId="15" xfId="0" applyNumberFormat="1" applyFont="1" applyFill="1" applyBorder="1" applyAlignment="1">
      <alignment horizontal="center" vertical="center" wrapText="1"/>
    </xf>
    <xf numFmtId="38" fontId="3" fillId="5" borderId="16" xfId="0" applyNumberFormat="1" applyFont="1" applyFill="1" applyBorder="1" applyAlignment="1">
      <alignment horizontal="center" vertical="center" wrapText="1"/>
    </xf>
    <xf numFmtId="38" fontId="15" fillId="11" borderId="25" xfId="0" applyNumberFormat="1" applyFont="1" applyFill="1" applyBorder="1" applyAlignment="1">
      <alignment horizontal="center" vertical="center" wrapText="1"/>
    </xf>
    <xf numFmtId="38" fontId="15" fillId="11" borderId="15" xfId="0" applyNumberFormat="1" applyFont="1" applyFill="1" applyBorder="1" applyAlignment="1">
      <alignment horizontal="center" vertical="center" wrapText="1"/>
    </xf>
    <xf numFmtId="38" fontId="15" fillId="12" borderId="15" xfId="0" applyNumberFormat="1" applyFont="1" applyFill="1" applyBorder="1" applyAlignment="1">
      <alignment horizontal="center" vertical="center" wrapText="1"/>
    </xf>
    <xf numFmtId="38" fontId="3" fillId="8" borderId="15" xfId="0" applyNumberFormat="1" applyFont="1" applyFill="1" applyBorder="1" applyAlignment="1">
      <alignment horizontal="center" vertical="center" wrapText="1"/>
    </xf>
    <xf numFmtId="38" fontId="3" fillId="9" borderId="15" xfId="0" applyNumberFormat="1" applyFont="1" applyFill="1" applyBorder="1" applyAlignment="1">
      <alignment horizontal="center" vertical="center" wrapText="1"/>
    </xf>
    <xf numFmtId="38" fontId="3" fillId="9" borderId="16" xfId="0" applyNumberFormat="1" applyFont="1" applyFill="1" applyBorder="1" applyAlignment="1">
      <alignment horizontal="center" vertical="center" wrapText="1"/>
    </xf>
    <xf numFmtId="38" fontId="3" fillId="4" borderId="15" xfId="0" applyNumberFormat="1" applyFont="1" applyFill="1" applyBorder="1" applyAlignment="1">
      <alignment horizontal="center" vertical="center" wrapText="1"/>
    </xf>
    <xf numFmtId="38" fontId="3" fillId="5" borderId="15" xfId="0" applyNumberFormat="1" applyFont="1" applyFill="1" applyBorder="1" applyAlignment="1">
      <alignment horizontal="center" vertical="center" wrapText="1"/>
    </xf>
    <xf numFmtId="38" fontId="3" fillId="7" borderId="8" xfId="0" applyNumberFormat="1" applyFont="1" applyFill="1" applyBorder="1" applyAlignment="1">
      <alignment horizontal="center" vertical="center" wrapText="1"/>
    </xf>
    <xf numFmtId="38" fontId="3" fillId="6" borderId="9" xfId="0" applyNumberFormat="1" applyFont="1" applyFill="1" applyBorder="1" applyAlignment="1">
      <alignment horizontal="center" vertical="center" wrapText="1"/>
    </xf>
    <xf numFmtId="38" fontId="3" fillId="6" borderId="8" xfId="0" applyNumberFormat="1" applyFont="1" applyFill="1" applyBorder="1" applyAlignment="1">
      <alignment horizontal="center" vertical="center" wrapText="1"/>
    </xf>
    <xf numFmtId="38" fontId="3" fillId="8" borderId="8" xfId="0" applyNumberFormat="1" applyFont="1" applyFill="1" applyBorder="1" applyAlignment="1">
      <alignment horizontal="center" vertical="center" wrapText="1"/>
    </xf>
    <xf numFmtId="38" fontId="15" fillId="12" borderId="16" xfId="0" applyNumberFormat="1" applyFont="1" applyFill="1" applyBorder="1" applyAlignment="1">
      <alignment horizontal="center" vertical="center" wrapText="1"/>
    </xf>
    <xf numFmtId="38" fontId="15" fillId="12" borderId="8" xfId="0" applyNumberFormat="1" applyFont="1" applyFill="1" applyBorder="1" applyAlignment="1">
      <alignment horizontal="center" vertical="center" wrapText="1"/>
    </xf>
    <xf numFmtId="38" fontId="15" fillId="11" borderId="9" xfId="0" applyNumberFormat="1" applyFont="1" applyFill="1" applyBorder="1" applyAlignment="1">
      <alignment horizontal="center" vertical="center" wrapText="1"/>
    </xf>
    <xf numFmtId="38" fontId="15" fillId="11" borderId="8" xfId="0" applyNumberFormat="1" applyFont="1" applyFill="1" applyBorder="1" applyAlignment="1">
      <alignment horizontal="center" vertical="center" wrapText="1"/>
    </xf>
    <xf numFmtId="38" fontId="15" fillId="12" borderId="10" xfId="0" applyNumberFormat="1" applyFont="1" applyFill="1" applyBorder="1" applyAlignment="1">
      <alignment horizontal="center" vertical="center" wrapText="1"/>
    </xf>
    <xf numFmtId="38" fontId="3" fillId="4" borderId="8" xfId="0" applyNumberFormat="1" applyFont="1" applyFill="1" applyBorder="1" applyAlignment="1">
      <alignment horizontal="center" vertical="center" wrapText="1"/>
    </xf>
    <xf numFmtId="38" fontId="3" fillId="9" borderId="8" xfId="0" applyNumberFormat="1" applyFont="1" applyFill="1" applyBorder="1" applyAlignment="1">
      <alignment horizontal="center" vertical="center" wrapText="1"/>
    </xf>
    <xf numFmtId="38" fontId="3" fillId="9" borderId="10" xfId="0" applyNumberFormat="1" applyFont="1" applyFill="1" applyBorder="1" applyAlignment="1">
      <alignment horizontal="center" vertical="center" wrapText="1"/>
    </xf>
    <xf numFmtId="38" fontId="3" fillId="5" borderId="8" xfId="0" applyNumberFormat="1" applyFont="1" applyFill="1" applyBorder="1" applyAlignment="1">
      <alignment horizontal="center" vertical="center" wrapText="1"/>
    </xf>
    <xf numFmtId="38" fontId="3" fillId="5" borderId="10" xfId="0" applyNumberFormat="1" applyFont="1" applyFill="1" applyBorder="1" applyAlignment="1">
      <alignment horizontal="center" vertical="center" wrapText="1"/>
    </xf>
    <xf numFmtId="0" fontId="2" fillId="0" borderId="7" xfId="0" applyFont="1" applyBorder="1" applyAlignment="1">
      <alignment vertical="center" wrapText="1"/>
    </xf>
    <xf numFmtId="0" fontId="2" fillId="0" borderId="4" xfId="0" applyFont="1" applyBorder="1" applyAlignment="1">
      <alignment vertical="center" wrapText="1"/>
    </xf>
    <xf numFmtId="38" fontId="3" fillId="7" borderId="38" xfId="0" applyNumberFormat="1" applyFont="1" applyFill="1" applyBorder="1" applyAlignment="1">
      <alignment horizontal="center" vertical="center" wrapText="1"/>
    </xf>
    <xf numFmtId="38" fontId="3" fillId="6" borderId="42" xfId="0" applyNumberFormat="1" applyFont="1" applyFill="1" applyBorder="1" applyAlignment="1">
      <alignment horizontal="center" vertical="center" wrapText="1"/>
    </xf>
    <xf numFmtId="38" fontId="3" fillId="6" borderId="38" xfId="0" applyNumberFormat="1" applyFont="1" applyFill="1" applyBorder="1" applyAlignment="1">
      <alignment horizontal="center" vertical="center" wrapText="1"/>
    </xf>
    <xf numFmtId="38" fontId="3" fillId="8" borderId="38" xfId="0" applyNumberFormat="1" applyFont="1" applyFill="1" applyBorder="1" applyAlignment="1">
      <alignment horizontal="center" vertical="center" wrapText="1"/>
    </xf>
    <xf numFmtId="38" fontId="3" fillId="9" borderId="39" xfId="0" applyNumberFormat="1" applyFont="1" applyFill="1" applyBorder="1" applyAlignment="1">
      <alignment horizontal="center" vertical="center" wrapText="1"/>
    </xf>
    <xf numFmtId="38" fontId="3" fillId="4" borderId="38" xfId="0" applyNumberFormat="1" applyFont="1" applyFill="1" applyBorder="1" applyAlignment="1">
      <alignment horizontal="center" vertical="center" wrapText="1"/>
    </xf>
    <xf numFmtId="38" fontId="3" fillId="5" borderId="39" xfId="0" applyNumberFormat="1" applyFont="1" applyFill="1" applyBorder="1" applyAlignment="1">
      <alignment horizontal="center" vertical="center" wrapText="1"/>
    </xf>
    <xf numFmtId="38" fontId="15" fillId="12" borderId="38" xfId="0" applyNumberFormat="1" applyFont="1" applyFill="1" applyBorder="1" applyAlignment="1">
      <alignment horizontal="center" vertical="center" wrapText="1"/>
    </xf>
    <xf numFmtId="38" fontId="3" fillId="5" borderId="38" xfId="0" applyNumberFormat="1" applyFont="1" applyFill="1" applyBorder="1" applyAlignment="1">
      <alignment horizontal="center" vertical="center" wrapText="1"/>
    </xf>
    <xf numFmtId="38" fontId="15" fillId="11" borderId="42" xfId="0" applyNumberFormat="1" applyFont="1" applyFill="1" applyBorder="1" applyAlignment="1">
      <alignment horizontal="center" vertical="center" wrapText="1"/>
    </xf>
    <xf numFmtId="38" fontId="15" fillId="11" borderId="38" xfId="0" applyNumberFormat="1" applyFont="1" applyFill="1" applyBorder="1" applyAlignment="1">
      <alignment horizontal="center" vertical="center" wrapText="1"/>
    </xf>
    <xf numFmtId="38" fontId="3" fillId="9" borderId="38" xfId="0" applyNumberFormat="1" applyFont="1" applyFill="1" applyBorder="1" applyAlignment="1">
      <alignment horizontal="center" vertical="center" wrapText="1"/>
    </xf>
    <xf numFmtId="38" fontId="15" fillId="12" borderId="39" xfId="0" applyNumberFormat="1" applyFont="1" applyFill="1" applyBorder="1" applyAlignment="1">
      <alignment horizontal="center" vertical="center" wrapText="1"/>
    </xf>
    <xf numFmtId="38" fontId="7" fillId="13" borderId="8" xfId="0" applyNumberFormat="1" applyFont="1" applyFill="1" applyBorder="1" applyAlignment="1">
      <alignment vertical="center" wrapText="1"/>
    </xf>
    <xf numFmtId="38" fontId="3" fillId="13" borderId="8" xfId="0" applyNumberFormat="1" applyFont="1" applyFill="1" applyBorder="1" applyAlignment="1">
      <alignment vertical="center" wrapText="1"/>
    </xf>
    <xf numFmtId="38" fontId="3" fillId="13" borderId="8" xfId="0" applyNumberFormat="1" applyFont="1" applyFill="1" applyBorder="1" applyAlignment="1">
      <alignment horizontal="center" vertical="center" wrapText="1"/>
    </xf>
    <xf numFmtId="38" fontId="3" fillId="13" borderId="9" xfId="0" applyNumberFormat="1" applyFont="1" applyFill="1" applyBorder="1" applyAlignment="1">
      <alignment horizontal="center" vertical="center" wrapText="1"/>
    </xf>
    <xf numFmtId="38" fontId="3" fillId="13" borderId="29" xfId="0" applyNumberFormat="1" applyFont="1" applyFill="1" applyBorder="1" applyAlignment="1">
      <alignment horizontal="center" vertical="center" wrapText="1"/>
    </xf>
    <xf numFmtId="38" fontId="3" fillId="13" borderId="10" xfId="0" applyNumberFormat="1" applyFont="1" applyFill="1" applyBorder="1" applyAlignment="1">
      <alignment horizontal="center" vertical="center" wrapText="1"/>
    </xf>
    <xf numFmtId="38" fontId="3" fillId="13" borderId="29" xfId="0" quotePrefix="1" applyNumberFormat="1" applyFont="1" applyFill="1" applyBorder="1" applyAlignment="1">
      <alignment horizontal="center" vertical="center" wrapText="1"/>
    </xf>
    <xf numFmtId="38" fontId="3" fillId="13" borderId="8" xfId="0" quotePrefix="1" applyNumberFormat="1" applyFont="1" applyFill="1" applyBorder="1" applyAlignment="1">
      <alignment horizontal="center" vertical="center" wrapText="1"/>
    </xf>
    <xf numFmtId="38" fontId="15" fillId="13" borderId="8" xfId="0" applyNumberFormat="1" applyFont="1" applyFill="1" applyBorder="1" applyAlignment="1">
      <alignment horizontal="center" vertical="center" wrapText="1"/>
    </xf>
    <xf numFmtId="38" fontId="15" fillId="13" borderId="10" xfId="0" applyNumberFormat="1" applyFont="1" applyFill="1" applyBorder="1" applyAlignment="1">
      <alignment horizontal="center" vertical="center" wrapText="1"/>
    </xf>
    <xf numFmtId="3" fontId="3" fillId="13" borderId="29" xfId="0" applyNumberFormat="1" applyFont="1" applyFill="1" applyBorder="1" applyAlignment="1">
      <alignment horizontal="center" vertical="center" wrapText="1"/>
    </xf>
    <xf numFmtId="3" fontId="3" fillId="13" borderId="8" xfId="0" applyNumberFormat="1" applyFont="1" applyFill="1" applyBorder="1" applyAlignment="1">
      <alignment horizontal="center" vertical="center" wrapText="1"/>
    </xf>
    <xf numFmtId="3" fontId="3" fillId="13" borderId="10" xfId="0" applyNumberFormat="1" applyFont="1" applyFill="1" applyBorder="1" applyAlignment="1">
      <alignment horizontal="center" vertical="center" wrapText="1"/>
    </xf>
    <xf numFmtId="38" fontId="0" fillId="13" borderId="0" xfId="0" applyNumberFormat="1" applyFill="1"/>
    <xf numFmtId="38" fontId="7" fillId="13" borderId="6" xfId="0" applyNumberFormat="1" applyFont="1" applyFill="1" applyBorder="1" applyAlignment="1">
      <alignment vertical="center" wrapText="1"/>
    </xf>
    <xf numFmtId="38" fontId="3" fillId="13" borderId="37" xfId="0" applyNumberFormat="1" applyFont="1" applyFill="1" applyBorder="1" applyAlignment="1">
      <alignment horizontal="center" vertical="center" wrapText="1"/>
    </xf>
    <xf numFmtId="38" fontId="3" fillId="13" borderId="38" xfId="0" applyNumberFormat="1" applyFont="1" applyFill="1" applyBorder="1" applyAlignment="1">
      <alignment horizontal="center" vertical="center" wrapText="1"/>
    </xf>
    <xf numFmtId="38" fontId="3" fillId="13" borderId="42" xfId="0" applyNumberFormat="1" applyFont="1" applyFill="1" applyBorder="1" applyAlignment="1">
      <alignment horizontal="center" vertical="center" wrapText="1"/>
    </xf>
    <xf numFmtId="38" fontId="3" fillId="13" borderId="41" xfId="0" applyNumberFormat="1" applyFont="1" applyFill="1" applyBorder="1" applyAlignment="1">
      <alignment horizontal="center" vertical="center" wrapText="1"/>
    </xf>
    <xf numFmtId="38" fontId="3" fillId="13" borderId="39" xfId="0" applyNumberFormat="1" applyFont="1" applyFill="1" applyBorder="1" applyAlignment="1">
      <alignment horizontal="center" vertical="center" wrapText="1"/>
    </xf>
    <xf numFmtId="38" fontId="15" fillId="13" borderId="38" xfId="0" applyNumberFormat="1" applyFont="1" applyFill="1" applyBorder="1" applyAlignment="1">
      <alignment horizontal="center" vertical="center" wrapText="1"/>
    </xf>
    <xf numFmtId="38" fontId="15" fillId="13" borderId="39" xfId="0" applyNumberFormat="1" applyFont="1" applyFill="1" applyBorder="1" applyAlignment="1">
      <alignment horizontal="center" vertical="center" wrapText="1"/>
    </xf>
    <xf numFmtId="3" fontId="3" fillId="13" borderId="41" xfId="0" applyNumberFormat="1" applyFont="1" applyFill="1" applyBorder="1" applyAlignment="1">
      <alignment horizontal="center" vertical="center" wrapText="1"/>
    </xf>
    <xf numFmtId="3" fontId="3" fillId="13" borderId="38" xfId="0" applyNumberFormat="1" applyFont="1" applyFill="1" applyBorder="1" applyAlignment="1">
      <alignment horizontal="center" vertical="center" wrapText="1"/>
    </xf>
    <xf numFmtId="3" fontId="3" fillId="13" borderId="39" xfId="0" applyNumberFormat="1" applyFont="1" applyFill="1" applyBorder="1" applyAlignment="1">
      <alignment horizontal="center" vertical="center" wrapText="1"/>
    </xf>
    <xf numFmtId="38" fontId="9" fillId="14" borderId="8" xfId="0" applyNumberFormat="1" applyFont="1" applyFill="1" applyBorder="1" applyAlignment="1">
      <alignment vertical="center" wrapText="1"/>
    </xf>
    <xf numFmtId="38" fontId="3" fillId="14" borderId="8" xfId="0" applyNumberFormat="1" applyFont="1" applyFill="1" applyBorder="1" applyAlignment="1">
      <alignment vertical="center" wrapText="1"/>
    </xf>
    <xf numFmtId="38" fontId="3" fillId="14" borderId="8" xfId="0" applyNumberFormat="1" applyFont="1" applyFill="1" applyBorder="1" applyAlignment="1">
      <alignment horizontal="center" vertical="center" wrapText="1"/>
    </xf>
    <xf numFmtId="38" fontId="3" fillId="14" borderId="9" xfId="0" applyNumberFormat="1" applyFont="1" applyFill="1" applyBorder="1" applyAlignment="1">
      <alignment horizontal="center" vertical="center" wrapText="1"/>
    </xf>
    <xf numFmtId="38" fontId="3" fillId="14" borderId="29" xfId="0" applyNumberFormat="1" applyFont="1" applyFill="1" applyBorder="1" applyAlignment="1">
      <alignment horizontal="center" vertical="center" wrapText="1"/>
    </xf>
    <xf numFmtId="38" fontId="3" fillId="14" borderId="10" xfId="0" applyNumberFormat="1" applyFont="1" applyFill="1" applyBorder="1" applyAlignment="1">
      <alignment horizontal="center" vertical="center" wrapText="1"/>
    </xf>
    <xf numFmtId="38" fontId="15" fillId="14" borderId="29" xfId="0" applyNumberFormat="1" applyFont="1" applyFill="1" applyBorder="1" applyAlignment="1">
      <alignment horizontal="center" vertical="center" wrapText="1"/>
    </xf>
    <xf numFmtId="38" fontId="15" fillId="14" borderId="8" xfId="0" applyNumberFormat="1" applyFont="1" applyFill="1" applyBorder="1" applyAlignment="1">
      <alignment horizontal="center" vertical="center" wrapText="1"/>
    </xf>
    <xf numFmtId="38" fontId="15" fillId="14" borderId="10" xfId="0" applyNumberFormat="1" applyFont="1" applyFill="1" applyBorder="1" applyAlignment="1">
      <alignment horizontal="center" vertical="center" wrapText="1"/>
    </xf>
    <xf numFmtId="3" fontId="3" fillId="14" borderId="29" xfId="0" applyNumberFormat="1" applyFont="1" applyFill="1" applyBorder="1" applyAlignment="1">
      <alignment horizontal="center" vertical="center" wrapText="1"/>
    </xf>
    <xf numFmtId="3" fontId="3" fillId="14" borderId="8" xfId="0" applyNumberFormat="1" applyFont="1" applyFill="1" applyBorder="1" applyAlignment="1">
      <alignment horizontal="center" vertical="center" wrapText="1"/>
    </xf>
    <xf numFmtId="3" fontId="3" fillId="14" borderId="10" xfId="0" applyNumberFormat="1" applyFont="1" applyFill="1" applyBorder="1" applyAlignment="1">
      <alignment horizontal="center" vertical="center" wrapText="1"/>
    </xf>
    <xf numFmtId="38" fontId="0" fillId="14" borderId="0" xfId="0" applyNumberFormat="1" applyFill="1"/>
    <xf numFmtId="38" fontId="3" fillId="14" borderId="10" xfId="0" applyNumberFormat="1" applyFont="1" applyFill="1" applyBorder="1" applyAlignment="1">
      <alignment vertical="center" wrapText="1"/>
    </xf>
    <xf numFmtId="38" fontId="3" fillId="14" borderId="9" xfId="0" applyNumberFormat="1" applyFont="1" applyFill="1" applyBorder="1" applyAlignment="1">
      <alignment horizontal="center" vertical="center" wrapText="1"/>
    </xf>
    <xf numFmtId="38" fontId="3" fillId="14" borderId="8" xfId="0" applyNumberFormat="1" applyFont="1" applyFill="1" applyBorder="1" applyAlignment="1">
      <alignment horizontal="center" vertical="center" wrapText="1"/>
    </xf>
    <xf numFmtId="38" fontId="3" fillId="14" borderId="10" xfId="0" applyNumberFormat="1" applyFont="1" applyFill="1" applyBorder="1" applyAlignment="1">
      <alignment horizontal="center" vertical="center" wrapText="1"/>
    </xf>
    <xf numFmtId="38" fontId="15" fillId="14" borderId="8" xfId="0" applyNumberFormat="1" applyFont="1" applyFill="1" applyBorder="1" applyAlignment="1">
      <alignment horizontal="center" vertical="center" wrapText="1"/>
    </xf>
    <xf numFmtId="38" fontId="15" fillId="14" borderId="10" xfId="0" applyNumberFormat="1" applyFont="1" applyFill="1" applyBorder="1" applyAlignment="1">
      <alignment horizontal="center" vertical="center" wrapText="1"/>
    </xf>
    <xf numFmtId="38" fontId="3" fillId="14" borderId="31" xfId="0" applyNumberFormat="1" applyFont="1" applyFill="1" applyBorder="1" applyAlignment="1">
      <alignment vertical="center" wrapText="1"/>
    </xf>
    <xf numFmtId="38" fontId="9" fillId="14" borderId="21" xfId="0" applyNumberFormat="1" applyFont="1" applyFill="1" applyBorder="1" applyAlignment="1">
      <alignment vertical="center" wrapText="1"/>
    </xf>
    <xf numFmtId="0" fontId="0" fillId="14" borderId="0" xfId="0" applyFill="1"/>
    <xf numFmtId="0" fontId="0" fillId="15" borderId="0" xfId="0" applyFill="1"/>
    <xf numFmtId="38" fontId="3" fillId="7" borderId="0" xfId="0" applyNumberFormat="1" applyFont="1" applyFill="1" applyBorder="1" applyAlignment="1">
      <alignment horizontal="center" vertical="center" wrapText="1"/>
    </xf>
    <xf numFmtId="38" fontId="3" fillId="7" borderId="48" xfId="0" applyNumberFormat="1" applyFont="1" applyFill="1" applyBorder="1" applyAlignment="1">
      <alignment horizontal="center" vertical="center" wrapText="1"/>
    </xf>
    <xf numFmtId="38" fontId="3" fillId="6" borderId="0" xfId="0" applyNumberFormat="1" applyFont="1" applyFill="1" applyBorder="1" applyAlignment="1">
      <alignment horizontal="center" vertical="center" wrapText="1"/>
    </xf>
    <xf numFmtId="38" fontId="3" fillId="6" borderId="48" xfId="0" applyNumberFormat="1" applyFont="1" applyFill="1" applyBorder="1" applyAlignment="1">
      <alignment horizontal="center" vertical="center" wrapText="1"/>
    </xf>
    <xf numFmtId="38" fontId="3" fillId="8" borderId="60" xfId="0" applyNumberFormat="1" applyFont="1" applyFill="1" applyBorder="1" applyAlignment="1">
      <alignment horizontal="center" vertical="center" wrapText="1"/>
    </xf>
    <xf numFmtId="38" fontId="3" fillId="8" borderId="0" xfId="0" applyNumberFormat="1" applyFont="1" applyFill="1" applyBorder="1" applyAlignment="1">
      <alignment horizontal="center" vertical="center" wrapText="1"/>
    </xf>
    <xf numFmtId="38" fontId="3" fillId="8" borderId="48" xfId="0" applyNumberFormat="1" applyFont="1" applyFill="1" applyBorder="1" applyAlignment="1">
      <alignment horizontal="center" vertical="center" wrapText="1"/>
    </xf>
    <xf numFmtId="38" fontId="3" fillId="9" borderId="0" xfId="0" applyNumberFormat="1" applyFont="1" applyFill="1" applyBorder="1" applyAlignment="1">
      <alignment horizontal="center" vertical="center" wrapText="1"/>
    </xf>
    <xf numFmtId="38" fontId="3" fillId="9" borderId="48" xfId="0" applyNumberFormat="1" applyFont="1" applyFill="1" applyBorder="1" applyAlignment="1">
      <alignment horizontal="center" vertical="center" wrapText="1"/>
    </xf>
    <xf numFmtId="38" fontId="3" fillId="9" borderId="61" xfId="0" applyNumberFormat="1" applyFont="1" applyFill="1" applyBorder="1" applyAlignment="1">
      <alignment horizontal="center" vertical="center" wrapText="1"/>
    </xf>
    <xf numFmtId="38" fontId="3" fillId="4" borderId="60" xfId="0" applyNumberFormat="1" applyFont="1" applyFill="1" applyBorder="1" applyAlignment="1">
      <alignment horizontal="center" vertical="center" wrapText="1"/>
    </xf>
    <xf numFmtId="38" fontId="3" fillId="4" borderId="0" xfId="0" applyNumberFormat="1" applyFont="1" applyFill="1" applyBorder="1" applyAlignment="1">
      <alignment horizontal="center" vertical="center" wrapText="1"/>
    </xf>
    <xf numFmtId="38" fontId="3" fillId="4" borderId="48" xfId="0" applyNumberFormat="1" applyFont="1" applyFill="1" applyBorder="1" applyAlignment="1">
      <alignment horizontal="center" vertical="center" wrapText="1"/>
    </xf>
    <xf numFmtId="38" fontId="3" fillId="5" borderId="0" xfId="0" applyNumberFormat="1" applyFont="1" applyFill="1" applyBorder="1" applyAlignment="1">
      <alignment horizontal="center" vertical="center" wrapText="1"/>
    </xf>
    <xf numFmtId="38" fontId="3" fillId="5" borderId="48" xfId="0" applyNumberFormat="1" applyFont="1" applyFill="1" applyBorder="1" applyAlignment="1">
      <alignment horizontal="center" vertical="center" wrapText="1"/>
    </xf>
    <xf numFmtId="38" fontId="3" fillId="5" borderId="61" xfId="0" applyNumberFormat="1" applyFont="1" applyFill="1" applyBorder="1" applyAlignment="1">
      <alignment horizontal="center" vertical="center" wrapText="1"/>
    </xf>
    <xf numFmtId="38" fontId="15" fillId="11" borderId="60" xfId="0" applyNumberFormat="1" applyFont="1" applyFill="1" applyBorder="1" applyAlignment="1">
      <alignment horizontal="center" vertical="center" wrapText="1"/>
    </xf>
    <xf numFmtId="38" fontId="15" fillId="11" borderId="0" xfId="0" applyNumberFormat="1" applyFont="1" applyFill="1" applyBorder="1" applyAlignment="1">
      <alignment horizontal="center" vertical="center" wrapText="1"/>
    </xf>
    <xf numFmtId="38" fontId="15" fillId="12" borderId="0" xfId="0" applyNumberFormat="1" applyFont="1" applyFill="1" applyBorder="1" applyAlignment="1">
      <alignment horizontal="center" vertical="center" wrapText="1"/>
    </xf>
    <xf numFmtId="38" fontId="15" fillId="12" borderId="48" xfId="0" applyNumberFormat="1" applyFont="1" applyFill="1" applyBorder="1" applyAlignment="1">
      <alignment horizontal="center" vertical="center" wrapText="1"/>
    </xf>
    <xf numFmtId="38" fontId="15" fillId="12" borderId="61" xfId="0" applyNumberFormat="1" applyFont="1" applyFill="1" applyBorder="1" applyAlignment="1">
      <alignment horizontal="center" vertical="center" wrapText="1"/>
    </xf>
    <xf numFmtId="3" fontId="3" fillId="4" borderId="60" xfId="0" applyNumberFormat="1" applyFont="1" applyFill="1" applyBorder="1" applyAlignment="1">
      <alignment horizontal="center" vertical="center" wrapText="1"/>
    </xf>
    <xf numFmtId="3" fontId="3" fillId="4" borderId="0" xfId="0" applyNumberFormat="1" applyFont="1" applyFill="1" applyBorder="1" applyAlignment="1">
      <alignment horizontal="center" vertical="center" wrapText="1"/>
    </xf>
    <xf numFmtId="3" fontId="3" fillId="4" borderId="48" xfId="0" applyNumberFormat="1" applyFont="1" applyFill="1" applyBorder="1" applyAlignment="1">
      <alignment horizontal="center" vertical="center" wrapText="1"/>
    </xf>
    <xf numFmtId="3" fontId="3" fillId="5" borderId="0" xfId="0" applyNumberFormat="1" applyFont="1" applyFill="1" applyBorder="1" applyAlignment="1">
      <alignment horizontal="center" vertical="center" wrapText="1"/>
    </xf>
    <xf numFmtId="3" fontId="3" fillId="5" borderId="48" xfId="0" applyNumberFormat="1" applyFont="1" applyFill="1" applyBorder="1" applyAlignment="1">
      <alignment horizontal="center" vertical="center" wrapText="1"/>
    </xf>
    <xf numFmtId="3" fontId="3" fillId="5" borderId="61" xfId="0" applyNumberFormat="1" applyFont="1" applyFill="1" applyBorder="1" applyAlignment="1">
      <alignment horizontal="center" vertical="center" wrapText="1"/>
    </xf>
    <xf numFmtId="38" fontId="18" fillId="0" borderId="58" xfId="0" applyNumberFormat="1" applyFont="1" applyBorder="1" applyAlignment="1">
      <alignment vertical="center" wrapText="1"/>
    </xf>
    <xf numFmtId="0" fontId="1" fillId="0" borderId="0" xfId="0" applyFont="1" applyFill="1" applyBorder="1"/>
    <xf numFmtId="0" fontId="3" fillId="4" borderId="0" xfId="0" applyFont="1" applyFill="1" applyBorder="1" applyAlignment="1">
      <alignment horizontal="center" vertical="center" wrapText="1"/>
    </xf>
    <xf numFmtId="0" fontId="3" fillId="4" borderId="48" xfId="0" applyFont="1" applyFill="1" applyBorder="1" applyAlignment="1">
      <alignment horizontal="center" vertical="center" wrapText="1"/>
    </xf>
    <xf numFmtId="0" fontId="3" fillId="5" borderId="0" xfId="0" applyFont="1" applyFill="1" applyBorder="1" applyAlignment="1">
      <alignment horizontal="center" vertical="center" wrapText="1"/>
    </xf>
    <xf numFmtId="0" fontId="3" fillId="5" borderId="48" xfId="0" applyFont="1" applyFill="1" applyBorder="1" applyAlignment="1">
      <alignment horizontal="center" vertical="center" wrapText="1"/>
    </xf>
    <xf numFmtId="0" fontId="3" fillId="5" borderId="61" xfId="0" applyFont="1" applyFill="1" applyBorder="1" applyAlignment="1">
      <alignment horizontal="center" vertical="center" wrapText="1"/>
    </xf>
    <xf numFmtId="38" fontId="7" fillId="16" borderId="48" xfId="0" applyNumberFormat="1" applyFont="1" applyFill="1" applyBorder="1" applyAlignment="1">
      <alignment vertical="center" wrapText="1"/>
    </xf>
    <xf numFmtId="38" fontId="3" fillId="5" borderId="10" xfId="0" applyNumberFormat="1" applyFont="1" applyFill="1" applyBorder="1" applyAlignment="1">
      <alignment horizontal="center" vertical="center" wrapText="1"/>
    </xf>
    <xf numFmtId="38" fontId="3" fillId="8" borderId="8" xfId="0" applyNumberFormat="1" applyFont="1" applyFill="1" applyBorder="1" applyAlignment="1">
      <alignment horizontal="center" vertical="center" wrapText="1"/>
    </xf>
    <xf numFmtId="38" fontId="3" fillId="9" borderId="8" xfId="0" applyNumberFormat="1" applyFont="1" applyFill="1" applyBorder="1" applyAlignment="1">
      <alignment horizontal="center" vertical="center" wrapText="1"/>
    </xf>
    <xf numFmtId="38" fontId="3" fillId="9" borderId="10" xfId="0" applyNumberFormat="1" applyFont="1" applyFill="1" applyBorder="1" applyAlignment="1">
      <alignment horizontal="center" vertical="center" wrapText="1"/>
    </xf>
    <xf numFmtId="38" fontId="3" fillId="5" borderId="8" xfId="0" applyNumberFormat="1" applyFont="1" applyFill="1" applyBorder="1" applyAlignment="1">
      <alignment horizontal="center" vertical="center" wrapText="1"/>
    </xf>
    <xf numFmtId="38" fontId="15" fillId="12" borderId="10" xfId="0" applyNumberFormat="1" applyFont="1" applyFill="1" applyBorder="1" applyAlignment="1">
      <alignment horizontal="center" vertical="center" wrapText="1"/>
    </xf>
    <xf numFmtId="38" fontId="3" fillId="4" borderId="8" xfId="0" applyNumberFormat="1" applyFont="1" applyFill="1" applyBorder="1" applyAlignment="1">
      <alignment horizontal="center" vertical="center" wrapText="1"/>
    </xf>
    <xf numFmtId="38" fontId="15" fillId="11" borderId="9" xfId="0" applyNumberFormat="1" applyFont="1" applyFill="1" applyBorder="1" applyAlignment="1">
      <alignment horizontal="center" vertical="center" wrapText="1"/>
    </xf>
    <xf numFmtId="38" fontId="15" fillId="11" borderId="8" xfId="0" applyNumberFormat="1" applyFont="1" applyFill="1" applyBorder="1" applyAlignment="1">
      <alignment horizontal="center" vertical="center" wrapText="1"/>
    </xf>
    <xf numFmtId="38" fontId="15" fillId="12" borderId="8" xfId="0" applyNumberFormat="1" applyFont="1" applyFill="1" applyBorder="1" applyAlignment="1">
      <alignment horizontal="center" vertical="center" wrapText="1"/>
    </xf>
    <xf numFmtId="38" fontId="3" fillId="6" borderId="9" xfId="0" applyNumberFormat="1" applyFont="1" applyFill="1" applyBorder="1" applyAlignment="1">
      <alignment horizontal="center" vertical="center" wrapText="1"/>
    </xf>
    <xf numFmtId="38" fontId="3" fillId="8" borderId="38" xfId="0" applyNumberFormat="1" applyFont="1" applyFill="1" applyBorder="1" applyAlignment="1">
      <alignment horizontal="center" vertical="center" wrapText="1"/>
    </xf>
    <xf numFmtId="38" fontId="3" fillId="9" borderId="38" xfId="0" applyNumberFormat="1" applyFont="1" applyFill="1" applyBorder="1" applyAlignment="1">
      <alignment horizontal="center" vertical="center" wrapText="1"/>
    </xf>
    <xf numFmtId="38" fontId="3" fillId="9" borderId="39" xfId="0" applyNumberFormat="1" applyFont="1" applyFill="1" applyBorder="1" applyAlignment="1">
      <alignment horizontal="center" vertical="center" wrapText="1"/>
    </xf>
    <xf numFmtId="38" fontId="3" fillId="7" borderId="8" xfId="0" applyNumberFormat="1" applyFont="1" applyFill="1" applyBorder="1" applyAlignment="1">
      <alignment horizontal="center" vertical="center" wrapText="1"/>
    </xf>
    <xf numFmtId="38" fontId="3" fillId="6" borderId="8" xfId="0" applyNumberFormat="1" applyFont="1" applyFill="1" applyBorder="1" applyAlignment="1">
      <alignment horizontal="center" vertical="center" wrapText="1"/>
    </xf>
    <xf numFmtId="38" fontId="15" fillId="12" borderId="39" xfId="0" applyNumberFormat="1" applyFont="1" applyFill="1" applyBorder="1" applyAlignment="1">
      <alignment horizontal="center" vertical="center" wrapText="1"/>
    </xf>
    <xf numFmtId="38" fontId="3" fillId="4" borderId="38" xfId="0" applyNumberFormat="1" applyFont="1" applyFill="1" applyBorder="1" applyAlignment="1">
      <alignment horizontal="center" vertical="center" wrapText="1"/>
    </xf>
    <xf numFmtId="38" fontId="3" fillId="5" borderId="38" xfId="0" applyNumberFormat="1" applyFont="1" applyFill="1" applyBorder="1" applyAlignment="1">
      <alignment horizontal="center" vertical="center" wrapText="1"/>
    </xf>
    <xf numFmtId="38" fontId="3" fillId="5" borderId="39" xfId="0" applyNumberFormat="1" applyFont="1" applyFill="1" applyBorder="1" applyAlignment="1">
      <alignment horizontal="center" vertical="center" wrapText="1"/>
    </xf>
    <xf numFmtId="38" fontId="3" fillId="7" borderId="38" xfId="0" applyNumberFormat="1" applyFont="1" applyFill="1" applyBorder="1" applyAlignment="1">
      <alignment horizontal="center" vertical="center" wrapText="1"/>
    </xf>
    <xf numFmtId="38" fontId="15" fillId="11" borderId="42" xfId="0" applyNumberFormat="1" applyFont="1" applyFill="1" applyBorder="1" applyAlignment="1">
      <alignment horizontal="center" vertical="center" wrapText="1"/>
    </xf>
    <xf numFmtId="38" fontId="15" fillId="11" borderId="38" xfId="0" applyNumberFormat="1" applyFont="1" applyFill="1" applyBorder="1" applyAlignment="1">
      <alignment horizontal="center" vertical="center" wrapText="1"/>
    </xf>
    <xf numFmtId="38" fontId="15" fillId="12" borderId="38" xfId="0" applyNumberFormat="1" applyFont="1" applyFill="1" applyBorder="1" applyAlignment="1">
      <alignment horizontal="center" vertical="center" wrapText="1"/>
    </xf>
    <xf numFmtId="38" fontId="3" fillId="6" borderId="42" xfId="0" applyNumberFormat="1" applyFont="1" applyFill="1" applyBorder="1" applyAlignment="1">
      <alignment horizontal="center" vertical="center" wrapText="1"/>
    </xf>
    <xf numFmtId="38" fontId="3" fillId="14" borderId="9" xfId="0" applyNumberFormat="1" applyFont="1" applyFill="1" applyBorder="1" applyAlignment="1">
      <alignment horizontal="center" vertical="center" wrapText="1"/>
    </xf>
    <xf numFmtId="38" fontId="3" fillId="14" borderId="8" xfId="0" applyNumberFormat="1" applyFont="1" applyFill="1" applyBorder="1" applyAlignment="1">
      <alignment horizontal="center" vertical="center" wrapText="1"/>
    </xf>
    <xf numFmtId="38" fontId="3" fillId="14" borderId="10" xfId="0" applyNumberFormat="1" applyFont="1" applyFill="1" applyBorder="1" applyAlignment="1">
      <alignment horizontal="center" vertical="center" wrapText="1"/>
    </xf>
    <xf numFmtId="38" fontId="15" fillId="14" borderId="10" xfId="0" applyNumberFormat="1" applyFont="1" applyFill="1" applyBorder="1" applyAlignment="1">
      <alignment horizontal="center" vertical="center" wrapText="1"/>
    </xf>
    <xf numFmtId="38" fontId="15" fillId="14" borderId="8" xfId="0" applyNumberFormat="1" applyFont="1" applyFill="1" applyBorder="1" applyAlignment="1">
      <alignment horizontal="center" vertical="center" wrapText="1"/>
    </xf>
    <xf numFmtId="38" fontId="3" fillId="6" borderId="38" xfId="0" applyNumberFormat="1" applyFont="1" applyFill="1" applyBorder="1" applyAlignment="1">
      <alignment horizontal="center" vertical="center" wrapText="1"/>
    </xf>
    <xf numFmtId="38" fontId="3" fillId="8" borderId="15" xfId="0" applyNumberFormat="1" applyFont="1" applyFill="1" applyBorder="1" applyAlignment="1">
      <alignment horizontal="center" vertical="center" wrapText="1"/>
    </xf>
    <xf numFmtId="38" fontId="3" fillId="9" borderId="15" xfId="0" applyNumberFormat="1" applyFont="1" applyFill="1" applyBorder="1" applyAlignment="1">
      <alignment horizontal="center" vertical="center" wrapText="1"/>
    </xf>
    <xf numFmtId="38" fontId="3" fillId="9" borderId="16" xfId="0" applyNumberFormat="1" applyFont="1" applyFill="1" applyBorder="1" applyAlignment="1">
      <alignment horizontal="center" vertical="center" wrapText="1"/>
    </xf>
    <xf numFmtId="38" fontId="15" fillId="12" borderId="16" xfId="0" applyNumberFormat="1" applyFont="1" applyFill="1" applyBorder="1" applyAlignment="1">
      <alignment horizontal="center" vertical="center" wrapText="1"/>
    </xf>
    <xf numFmtId="38" fontId="3" fillId="4" borderId="15" xfId="0" applyNumberFormat="1" applyFont="1" applyFill="1" applyBorder="1" applyAlignment="1">
      <alignment horizontal="center" vertical="center" wrapText="1"/>
    </xf>
    <xf numFmtId="38" fontId="3" fillId="5" borderId="15" xfId="0" applyNumberFormat="1" applyFont="1" applyFill="1" applyBorder="1" applyAlignment="1">
      <alignment horizontal="center" vertical="center" wrapText="1"/>
    </xf>
    <xf numFmtId="38" fontId="3" fillId="5" borderId="16" xfId="0" applyNumberFormat="1" applyFont="1" applyFill="1" applyBorder="1" applyAlignment="1">
      <alignment horizontal="center" vertical="center" wrapText="1"/>
    </xf>
    <xf numFmtId="38" fontId="15" fillId="11" borderId="25" xfId="0" applyNumberFormat="1" applyFont="1" applyFill="1" applyBorder="1" applyAlignment="1">
      <alignment horizontal="center" vertical="center" wrapText="1"/>
    </xf>
    <xf numFmtId="38" fontId="15" fillId="11" borderId="15" xfId="0" applyNumberFormat="1" applyFont="1" applyFill="1" applyBorder="1" applyAlignment="1">
      <alignment horizontal="center" vertical="center" wrapText="1"/>
    </xf>
    <xf numFmtId="38" fontId="15" fillId="12" borderId="15" xfId="0" applyNumberFormat="1" applyFont="1" applyFill="1" applyBorder="1" applyAlignment="1">
      <alignment horizontal="center" vertical="center" wrapText="1"/>
    </xf>
    <xf numFmtId="38" fontId="3" fillId="0" borderId="58" xfId="0" applyNumberFormat="1" applyFont="1" applyBorder="1" applyAlignment="1">
      <alignment vertical="center" wrapText="1"/>
    </xf>
    <xf numFmtId="38" fontId="3" fillId="4" borderId="9" xfId="0" applyNumberFormat="1" applyFont="1" applyFill="1" applyBorder="1" applyAlignment="1">
      <alignment horizontal="center" vertical="center" wrapText="1"/>
    </xf>
    <xf numFmtId="38" fontId="3" fillId="4" borderId="8" xfId="0" applyNumberFormat="1" applyFont="1" applyFill="1" applyBorder="1" applyAlignment="1">
      <alignment horizontal="center" vertical="center" wrapText="1"/>
    </xf>
    <xf numFmtId="38" fontId="3" fillId="4" borderId="42" xfId="0" applyNumberFormat="1" applyFont="1" applyFill="1" applyBorder="1" applyAlignment="1">
      <alignment horizontal="center" vertical="center" wrapText="1"/>
    </xf>
    <xf numFmtId="38" fontId="3" fillId="4" borderId="38" xfId="0" applyNumberFormat="1" applyFont="1" applyFill="1" applyBorder="1" applyAlignment="1">
      <alignment horizontal="center" vertical="center" wrapText="1"/>
    </xf>
    <xf numFmtId="0" fontId="4" fillId="2" borderId="58" xfId="0" applyFont="1" applyFill="1" applyBorder="1" applyAlignment="1">
      <alignment horizontal="center" vertical="center" wrapText="1"/>
    </xf>
    <xf numFmtId="38" fontId="3" fillId="7" borderId="58" xfId="0" applyNumberFormat="1" applyFont="1" applyFill="1" applyBorder="1" applyAlignment="1">
      <alignment horizontal="center" vertical="center" wrapText="1"/>
    </xf>
    <xf numFmtId="38" fontId="3" fillId="6" borderId="58" xfId="0" applyNumberFormat="1" applyFont="1" applyFill="1" applyBorder="1" applyAlignment="1">
      <alignment horizontal="center" vertical="center" wrapText="1"/>
    </xf>
    <xf numFmtId="38" fontId="12" fillId="0" borderId="58" xfId="0" applyNumberFormat="1" applyFont="1" applyBorder="1" applyAlignment="1">
      <alignment vertical="center" wrapText="1"/>
    </xf>
    <xf numFmtId="38" fontId="3" fillId="4" borderId="15" xfId="0" applyNumberFormat="1" applyFont="1" applyFill="1" applyBorder="1" applyAlignment="1">
      <alignment vertical="center" wrapText="1"/>
    </xf>
    <xf numFmtId="0" fontId="0" fillId="4" borderId="0" xfId="0" applyFill="1"/>
    <xf numFmtId="38" fontId="0" fillId="4" borderId="0" xfId="0" applyNumberFormat="1" applyFill="1"/>
    <xf numFmtId="38" fontId="3" fillId="4" borderId="8" xfId="0" applyNumberFormat="1" applyFont="1" applyFill="1" applyBorder="1" applyAlignment="1">
      <alignment vertical="center" wrapText="1"/>
    </xf>
    <xf numFmtId="38" fontId="3" fillId="4" borderId="37" xfId="0" applyNumberFormat="1" applyFont="1" applyFill="1" applyBorder="1" applyAlignment="1">
      <alignment horizontal="center" vertical="center" wrapText="1"/>
    </xf>
    <xf numFmtId="38" fontId="3" fillId="4" borderId="39" xfId="0" applyNumberFormat="1" applyFont="1" applyFill="1" applyBorder="1" applyAlignment="1">
      <alignment horizontal="center" vertical="center" wrapText="1"/>
    </xf>
    <xf numFmtId="38" fontId="15" fillId="4" borderId="41" xfId="0" applyNumberFormat="1" applyFont="1" applyFill="1" applyBorder="1" applyAlignment="1">
      <alignment horizontal="center" vertical="center" wrapText="1"/>
    </xf>
    <xf numFmtId="38" fontId="15" fillId="4" borderId="38" xfId="0" applyNumberFormat="1" applyFont="1" applyFill="1" applyBorder="1" applyAlignment="1">
      <alignment horizontal="center" vertical="center" wrapText="1"/>
    </xf>
    <xf numFmtId="38" fontId="15" fillId="4" borderId="39" xfId="0" applyNumberFormat="1" applyFont="1" applyFill="1" applyBorder="1" applyAlignment="1">
      <alignment horizontal="center" vertical="center" wrapText="1"/>
    </xf>
    <xf numFmtId="3" fontId="3" fillId="4" borderId="39" xfId="0" applyNumberFormat="1" applyFont="1" applyFill="1" applyBorder="1" applyAlignment="1">
      <alignment horizontal="center" vertical="center" wrapText="1"/>
    </xf>
    <xf numFmtId="38" fontId="3" fillId="4" borderId="59" xfId="0" applyNumberFormat="1" applyFont="1" applyFill="1" applyBorder="1" applyAlignment="1">
      <alignment horizontal="center" vertical="center" wrapText="1"/>
    </xf>
    <xf numFmtId="38" fontId="3" fillId="4" borderId="61" xfId="0" applyNumberFormat="1" applyFont="1" applyFill="1" applyBorder="1" applyAlignment="1">
      <alignment horizontal="center" vertical="center" wrapText="1"/>
    </xf>
    <xf numFmtId="38" fontId="15" fillId="4" borderId="60" xfId="0" applyNumberFormat="1" applyFont="1" applyFill="1" applyBorder="1" applyAlignment="1">
      <alignment horizontal="center" vertical="center" wrapText="1"/>
    </xf>
    <xf numFmtId="38" fontId="15" fillId="4" borderId="0" xfId="0" applyNumberFormat="1" applyFont="1" applyFill="1" applyBorder="1" applyAlignment="1">
      <alignment horizontal="center" vertical="center" wrapText="1"/>
    </xf>
    <xf numFmtId="38" fontId="15" fillId="4" borderId="48" xfId="0" applyNumberFormat="1" applyFont="1" applyFill="1" applyBorder="1" applyAlignment="1">
      <alignment horizontal="center" vertical="center" wrapText="1"/>
    </xf>
    <xf numFmtId="38" fontId="15" fillId="4" borderId="61" xfId="0" applyNumberFormat="1" applyFont="1" applyFill="1" applyBorder="1" applyAlignment="1">
      <alignment horizontal="center" vertical="center" wrapText="1"/>
    </xf>
    <xf numFmtId="3" fontId="3" fillId="4" borderId="61" xfId="0" applyNumberFormat="1" applyFont="1" applyFill="1" applyBorder="1" applyAlignment="1">
      <alignment horizontal="center" vertical="center" wrapText="1"/>
    </xf>
    <xf numFmtId="38" fontId="12" fillId="4" borderId="28" xfId="0" applyNumberFormat="1" applyFont="1" applyFill="1" applyBorder="1" applyAlignment="1">
      <alignment vertical="center" wrapText="1"/>
    </xf>
    <xf numFmtId="38" fontId="12" fillId="4" borderId="29" xfId="0" applyNumberFormat="1" applyFont="1" applyFill="1" applyBorder="1" applyAlignment="1">
      <alignment vertical="center" wrapText="1"/>
    </xf>
    <xf numFmtId="0" fontId="1" fillId="17" borderId="0" xfId="0" applyFont="1" applyFill="1"/>
    <xf numFmtId="0" fontId="0" fillId="17" borderId="0" xfId="0" applyFill="1"/>
    <xf numFmtId="38" fontId="0" fillId="17" borderId="0" xfId="0" applyNumberFormat="1" applyFill="1"/>
    <xf numFmtId="38" fontId="3" fillId="17" borderId="37" xfId="0" applyNumberFormat="1" applyFont="1" applyFill="1" applyBorder="1" applyAlignment="1">
      <alignment horizontal="center" vertical="center" wrapText="1"/>
    </xf>
    <xf numFmtId="38" fontId="3" fillId="17" borderId="38" xfId="0" applyNumberFormat="1" applyFont="1" applyFill="1" applyBorder="1" applyAlignment="1">
      <alignment horizontal="center" vertical="center" wrapText="1"/>
    </xf>
    <xf numFmtId="38" fontId="3" fillId="17" borderId="42" xfId="0" applyNumberFormat="1" applyFont="1" applyFill="1" applyBorder="1" applyAlignment="1">
      <alignment horizontal="center" vertical="center" wrapText="1"/>
    </xf>
    <xf numFmtId="38" fontId="3" fillId="17" borderId="41" xfId="0" applyNumberFormat="1" applyFont="1" applyFill="1" applyBorder="1" applyAlignment="1">
      <alignment horizontal="center" vertical="center" wrapText="1"/>
    </xf>
    <xf numFmtId="38" fontId="3" fillId="17" borderId="39" xfId="0" applyNumberFormat="1" applyFont="1" applyFill="1" applyBorder="1" applyAlignment="1">
      <alignment horizontal="center" vertical="center" wrapText="1"/>
    </xf>
    <xf numFmtId="38" fontId="15" fillId="17" borderId="41" xfId="0" applyNumberFormat="1" applyFont="1" applyFill="1" applyBorder="1" applyAlignment="1">
      <alignment horizontal="center" vertical="center" wrapText="1"/>
    </xf>
    <xf numFmtId="38" fontId="15" fillId="17" borderId="38" xfId="0" applyNumberFormat="1" applyFont="1" applyFill="1" applyBorder="1" applyAlignment="1">
      <alignment horizontal="center" vertical="center" wrapText="1"/>
    </xf>
    <xf numFmtId="38" fontId="15" fillId="17" borderId="39" xfId="0" applyNumberFormat="1" applyFont="1" applyFill="1" applyBorder="1" applyAlignment="1">
      <alignment horizontal="center" vertical="center" wrapText="1"/>
    </xf>
    <xf numFmtId="3" fontId="3" fillId="17" borderId="41" xfId="0" applyNumberFormat="1" applyFont="1" applyFill="1" applyBorder="1" applyAlignment="1">
      <alignment horizontal="center" vertical="center" wrapText="1"/>
    </xf>
    <xf numFmtId="3" fontId="3" fillId="17" borderId="38" xfId="0" applyNumberFormat="1" applyFont="1" applyFill="1" applyBorder="1" applyAlignment="1">
      <alignment horizontal="center" vertical="center" wrapText="1"/>
    </xf>
    <xf numFmtId="3" fontId="3" fillId="17" borderId="39" xfId="0" applyNumberFormat="1" applyFont="1" applyFill="1" applyBorder="1" applyAlignment="1">
      <alignment horizontal="center" vertical="center" wrapText="1"/>
    </xf>
    <xf numFmtId="38" fontId="12" fillId="17" borderId="29" xfId="0" applyNumberFormat="1" applyFont="1" applyFill="1" applyBorder="1" applyAlignment="1">
      <alignment vertical="center" wrapText="1"/>
    </xf>
    <xf numFmtId="38" fontId="12" fillId="17" borderId="62" xfId="0" applyNumberFormat="1" applyFont="1" applyFill="1" applyBorder="1" applyAlignment="1">
      <alignment vertical="center" wrapText="1"/>
    </xf>
    <xf numFmtId="38" fontId="18" fillId="4" borderId="58" xfId="0" applyNumberFormat="1" applyFont="1" applyFill="1" applyBorder="1" applyAlignment="1">
      <alignment vertical="center" wrapText="1"/>
    </xf>
    <xf numFmtId="0" fontId="1" fillId="4" borderId="0" xfId="0" applyFont="1" applyFill="1"/>
    <xf numFmtId="38" fontId="20" fillId="4" borderId="0" xfId="0" applyNumberFormat="1" applyFont="1" applyFill="1"/>
    <xf numFmtId="38" fontId="3" fillId="4" borderId="58" xfId="0" applyNumberFormat="1" applyFont="1" applyFill="1" applyBorder="1" applyAlignment="1">
      <alignment vertical="center" wrapText="1"/>
    </xf>
    <xf numFmtId="38" fontId="3" fillId="4" borderId="0" xfId="0" applyNumberFormat="1" applyFont="1" applyFill="1" applyBorder="1" applyAlignment="1">
      <alignment vertical="center" wrapText="1"/>
    </xf>
    <xf numFmtId="38" fontId="7" fillId="4" borderId="8" xfId="0" applyNumberFormat="1" applyFont="1" applyFill="1" applyBorder="1" applyAlignment="1">
      <alignment vertical="center" wrapText="1"/>
    </xf>
    <xf numFmtId="38" fontId="3" fillId="4" borderId="10" xfId="0" applyNumberFormat="1" applyFont="1" applyFill="1" applyBorder="1" applyAlignment="1">
      <alignment horizontal="center" vertical="center" wrapText="1"/>
    </xf>
    <xf numFmtId="38" fontId="15" fillId="4" borderId="8" xfId="0" applyNumberFormat="1" applyFont="1" applyFill="1" applyBorder="1" applyAlignment="1">
      <alignment horizontal="center" vertical="center" wrapText="1"/>
    </xf>
    <xf numFmtId="38" fontId="15" fillId="4" borderId="10" xfId="0" applyNumberFormat="1" applyFont="1" applyFill="1" applyBorder="1" applyAlignment="1">
      <alignment horizontal="center" vertical="center" wrapText="1"/>
    </xf>
    <xf numFmtId="3" fontId="3" fillId="4" borderId="10" xfId="0" applyNumberFormat="1" applyFont="1" applyFill="1" applyBorder="1" applyAlignment="1">
      <alignment horizontal="center" vertical="center" wrapText="1"/>
    </xf>
    <xf numFmtId="38" fontId="7" fillId="4" borderId="6" xfId="0" applyNumberFormat="1" applyFont="1" applyFill="1" applyBorder="1" applyAlignment="1">
      <alignment vertical="center" wrapText="1"/>
    </xf>
    <xf numFmtId="38" fontId="2" fillId="4" borderId="7" xfId="0" applyNumberFormat="1" applyFont="1" applyFill="1" applyBorder="1" applyAlignment="1">
      <alignment vertical="center" wrapText="1"/>
    </xf>
    <xf numFmtId="38" fontId="3" fillId="4" borderId="61" xfId="0" applyNumberFormat="1" applyFont="1" applyFill="1" applyBorder="1" applyAlignment="1">
      <alignment vertical="center" wrapText="1"/>
    </xf>
    <xf numFmtId="38" fontId="7" fillId="4" borderId="48" xfId="0" applyNumberFormat="1" applyFont="1" applyFill="1" applyBorder="1" applyAlignment="1">
      <alignment vertical="center" wrapText="1"/>
    </xf>
    <xf numFmtId="0" fontId="3" fillId="4" borderId="61" xfId="0" applyFont="1" applyFill="1" applyBorder="1" applyAlignment="1">
      <alignment horizontal="center" vertical="center" wrapText="1"/>
    </xf>
    <xf numFmtId="0" fontId="2" fillId="4" borderId="7" xfId="0" applyFont="1" applyFill="1" applyBorder="1" applyAlignment="1">
      <alignment vertical="center" wrapText="1"/>
    </xf>
    <xf numFmtId="38" fontId="9" fillId="4" borderId="30" xfId="0" applyNumberFormat="1" applyFont="1" applyFill="1" applyBorder="1" applyAlignment="1">
      <alignment vertical="center" wrapText="1"/>
    </xf>
    <xf numFmtId="38" fontId="3" fillId="4" borderId="10" xfId="0" applyNumberFormat="1" applyFont="1" applyFill="1" applyBorder="1" applyAlignment="1">
      <alignment vertical="center" wrapText="1"/>
    </xf>
    <xf numFmtId="38" fontId="9" fillId="4" borderId="8" xfId="0" applyNumberFormat="1" applyFont="1" applyFill="1" applyBorder="1" applyAlignment="1">
      <alignment vertical="center" wrapText="1"/>
    </xf>
    <xf numFmtId="38" fontId="3" fillId="4" borderId="31" xfId="0" applyNumberFormat="1" applyFont="1" applyFill="1" applyBorder="1" applyAlignment="1">
      <alignment vertical="center" wrapText="1"/>
    </xf>
    <xf numFmtId="38" fontId="9" fillId="4" borderId="21" xfId="0" applyNumberFormat="1" applyFont="1" applyFill="1" applyBorder="1" applyAlignment="1">
      <alignment vertical="center" wrapText="1"/>
    </xf>
    <xf numFmtId="38" fontId="15" fillId="4" borderId="29" xfId="0" applyNumberFormat="1" applyFont="1" applyFill="1" applyBorder="1" applyAlignment="1">
      <alignment horizontal="center" vertical="center" wrapText="1"/>
    </xf>
    <xf numFmtId="0" fontId="9" fillId="4" borderId="8" xfId="0" applyFont="1" applyFill="1" applyBorder="1" applyAlignment="1">
      <alignment vertical="center" wrapText="1"/>
    </xf>
    <xf numFmtId="0" fontId="2" fillId="4" borderId="4" xfId="0" applyFont="1" applyFill="1" applyBorder="1" applyAlignment="1">
      <alignment vertical="center" wrapText="1"/>
    </xf>
    <xf numFmtId="9" fontId="9" fillId="4" borderId="6" xfId="0" applyNumberFormat="1" applyFont="1" applyFill="1" applyBorder="1" applyAlignment="1">
      <alignment vertical="center" wrapText="1"/>
    </xf>
    <xf numFmtId="0" fontId="0" fillId="4" borderId="0" xfId="0" quotePrefix="1" applyFill="1"/>
    <xf numFmtId="9" fontId="0" fillId="4" borderId="0" xfId="0" applyNumberFormat="1" applyFill="1"/>
    <xf numFmtId="38" fontId="24" fillId="17" borderId="28" xfId="0" applyNumberFormat="1" applyFont="1" applyFill="1" applyBorder="1" applyAlignment="1">
      <alignment vertical="center" wrapText="1"/>
    </xf>
    <xf numFmtId="0" fontId="23" fillId="17" borderId="0" xfId="0" applyFont="1" applyFill="1"/>
    <xf numFmtId="0" fontId="25" fillId="17" borderId="0" xfId="0" applyFont="1" applyFill="1"/>
    <xf numFmtId="38" fontId="25" fillId="17" borderId="0" xfId="0" applyNumberFormat="1" applyFont="1" applyFill="1"/>
    <xf numFmtId="38" fontId="24" fillId="17" borderId="30" xfId="0" applyNumberFormat="1" applyFont="1" applyFill="1" applyBorder="1" applyAlignment="1">
      <alignment vertical="center" wrapText="1"/>
    </xf>
    <xf numFmtId="38" fontId="6" fillId="17" borderId="37" xfId="0" applyNumberFormat="1" applyFont="1" applyFill="1" applyBorder="1" applyAlignment="1">
      <alignment horizontal="center" vertical="center" wrapText="1"/>
    </xf>
    <xf numFmtId="38" fontId="6" fillId="17" borderId="38" xfId="0" applyNumberFormat="1" applyFont="1" applyFill="1" applyBorder="1" applyAlignment="1">
      <alignment horizontal="center" vertical="center" wrapText="1"/>
    </xf>
    <xf numFmtId="38" fontId="6" fillId="17" borderId="42" xfId="0" applyNumberFormat="1" applyFont="1" applyFill="1" applyBorder="1" applyAlignment="1">
      <alignment horizontal="center" vertical="center" wrapText="1"/>
    </xf>
    <xf numFmtId="38" fontId="6" fillId="17" borderId="41" xfId="0" applyNumberFormat="1" applyFont="1" applyFill="1" applyBorder="1" applyAlignment="1">
      <alignment horizontal="center" vertical="center" wrapText="1"/>
    </xf>
    <xf numFmtId="38" fontId="6" fillId="17" borderId="39" xfId="0" applyNumberFormat="1" applyFont="1" applyFill="1" applyBorder="1" applyAlignment="1">
      <alignment horizontal="center" vertical="center" wrapText="1"/>
    </xf>
    <xf numFmtId="3" fontId="6" fillId="17" borderId="41" xfId="0" applyNumberFormat="1" applyFont="1" applyFill="1" applyBorder="1" applyAlignment="1">
      <alignment horizontal="center" vertical="center" wrapText="1"/>
    </xf>
    <xf numFmtId="3" fontId="6" fillId="17" borderId="38" xfId="0" applyNumberFormat="1" applyFont="1" applyFill="1" applyBorder="1" applyAlignment="1">
      <alignment horizontal="center" vertical="center" wrapText="1"/>
    </xf>
    <xf numFmtId="3" fontId="6" fillId="17" borderId="39" xfId="0" applyNumberFormat="1" applyFont="1" applyFill="1" applyBorder="1" applyAlignment="1">
      <alignment horizontal="center" vertical="center" wrapText="1"/>
    </xf>
    <xf numFmtId="38" fontId="3" fillId="4" borderId="5" xfId="0" applyNumberFormat="1" applyFont="1" applyFill="1" applyBorder="1" applyAlignment="1">
      <alignment vertical="center" wrapText="1"/>
    </xf>
    <xf numFmtId="0" fontId="3" fillId="9" borderId="12"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5" borderId="12" xfId="0" applyFont="1" applyFill="1" applyBorder="1" applyAlignment="1">
      <alignment vertical="center" wrapText="1"/>
    </xf>
    <xf numFmtId="0" fontId="3" fillId="5" borderId="3" xfId="0" applyFont="1" applyFill="1" applyBorder="1" applyAlignment="1">
      <alignment vertical="center" wrapText="1"/>
    </xf>
    <xf numFmtId="0" fontId="3" fillId="5" borderId="2" xfId="0" applyFont="1" applyFill="1" applyBorder="1" applyAlignment="1">
      <alignment vertical="center" wrapText="1"/>
    </xf>
    <xf numFmtId="0" fontId="3" fillId="4" borderId="12" xfId="0" applyFont="1" applyFill="1" applyBorder="1" applyAlignment="1">
      <alignment vertical="center" wrapText="1"/>
    </xf>
    <xf numFmtId="0" fontId="3" fillId="4" borderId="3" xfId="0" applyFont="1" applyFill="1" applyBorder="1" applyAlignment="1">
      <alignment vertical="center" wrapText="1"/>
    </xf>
    <xf numFmtId="0" fontId="3" fillId="4" borderId="2" xfId="0" applyFont="1" applyFill="1" applyBorder="1" applyAlignment="1">
      <alignment vertical="center" wrapText="1"/>
    </xf>
    <xf numFmtId="0" fontId="3" fillId="5" borderId="1" xfId="0" applyFont="1" applyFill="1" applyBorder="1" applyAlignment="1">
      <alignment vertical="center" wrapText="1"/>
    </xf>
    <xf numFmtId="0" fontId="3" fillId="8" borderId="35" xfId="0" applyFont="1" applyFill="1" applyBorder="1" applyAlignment="1">
      <alignment vertical="center" wrapText="1"/>
    </xf>
    <xf numFmtId="0" fontId="3" fillId="8" borderId="3" xfId="0" applyFont="1" applyFill="1" applyBorder="1" applyAlignment="1">
      <alignment vertical="center" wrapText="1"/>
    </xf>
    <xf numFmtId="0" fontId="3" fillId="8" borderId="2" xfId="0" applyFont="1" applyFill="1" applyBorder="1" applyAlignment="1">
      <alignment vertical="center" wrapText="1"/>
    </xf>
    <xf numFmtId="0" fontId="3" fillId="9" borderId="2"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3" fillId="4" borderId="35" xfId="0" applyFont="1" applyFill="1" applyBorder="1" applyAlignment="1">
      <alignment vertical="center" wrapText="1"/>
    </xf>
    <xf numFmtId="0" fontId="15" fillId="12" borderId="12" xfId="0" applyFont="1" applyFill="1" applyBorder="1" applyAlignment="1">
      <alignment vertical="center" wrapText="1"/>
    </xf>
    <xf numFmtId="0" fontId="15" fillId="12" borderId="3" xfId="0" applyFont="1" applyFill="1" applyBorder="1" applyAlignment="1">
      <alignment vertical="center" wrapText="1"/>
    </xf>
    <xf numFmtId="0" fontId="15" fillId="12" borderId="2" xfId="0" applyFont="1" applyFill="1" applyBorder="1" applyAlignment="1">
      <alignment vertical="center" wrapText="1"/>
    </xf>
    <xf numFmtId="0" fontId="15" fillId="11" borderId="12" xfId="0" applyFont="1" applyFill="1" applyBorder="1" applyAlignment="1">
      <alignment vertical="center" wrapText="1"/>
    </xf>
    <xf numFmtId="0" fontId="15" fillId="11" borderId="3" xfId="0" applyFont="1" applyFill="1" applyBorder="1" applyAlignment="1">
      <alignment vertical="center" wrapText="1"/>
    </xf>
    <xf numFmtId="0" fontId="15" fillId="11" borderId="2" xfId="0" applyFont="1" applyFill="1" applyBorder="1" applyAlignment="1">
      <alignment vertical="center" wrapText="1"/>
    </xf>
    <xf numFmtId="0" fontId="15" fillId="12" borderId="1" xfId="0" applyFont="1" applyFill="1" applyBorder="1" applyAlignment="1">
      <alignment vertical="center" wrapText="1"/>
    </xf>
    <xf numFmtId="0" fontId="3" fillId="9" borderId="12" xfId="0" applyFont="1" applyFill="1" applyBorder="1" applyAlignment="1">
      <alignment vertical="center" wrapText="1"/>
    </xf>
    <xf numFmtId="0" fontId="3" fillId="9" borderId="3" xfId="0" applyFont="1" applyFill="1" applyBorder="1" applyAlignment="1">
      <alignment vertical="center" wrapText="1"/>
    </xf>
    <xf numFmtId="0" fontId="3" fillId="9" borderId="1" xfId="0" applyFont="1" applyFill="1" applyBorder="1" applyAlignment="1">
      <alignment vertical="center" wrapText="1"/>
    </xf>
    <xf numFmtId="0" fontId="15" fillId="11" borderId="35" xfId="0" applyFont="1" applyFill="1" applyBorder="1" applyAlignment="1">
      <alignment vertical="center" wrapText="1"/>
    </xf>
    <xf numFmtId="9" fontId="3" fillId="8" borderId="20" xfId="0" applyNumberFormat="1" applyFont="1" applyFill="1" applyBorder="1" applyAlignment="1">
      <alignment horizontal="center" vertical="center" wrapText="1"/>
    </xf>
    <xf numFmtId="9" fontId="3" fillId="8" borderId="27" xfId="0" applyNumberFormat="1" applyFont="1" applyFill="1" applyBorder="1" applyAlignment="1">
      <alignment horizontal="center" vertical="center" wrapText="1"/>
    </xf>
    <xf numFmtId="9" fontId="3" fillId="8" borderId="21" xfId="0" applyNumberFormat="1" applyFont="1" applyFill="1" applyBorder="1" applyAlignment="1">
      <alignment horizontal="center" vertical="center" wrapText="1"/>
    </xf>
    <xf numFmtId="9" fontId="3" fillId="9" borderId="20" xfId="0" applyNumberFormat="1" applyFont="1" applyFill="1" applyBorder="1" applyAlignment="1">
      <alignment horizontal="center" vertical="center" wrapText="1"/>
    </xf>
    <xf numFmtId="9" fontId="3" fillId="9" borderId="27" xfId="0" applyNumberFormat="1" applyFont="1" applyFill="1" applyBorder="1" applyAlignment="1">
      <alignment horizontal="center" vertical="center" wrapText="1"/>
    </xf>
    <xf numFmtId="9" fontId="3" fillId="9" borderId="22" xfId="0" applyNumberFormat="1" applyFont="1" applyFill="1" applyBorder="1" applyAlignment="1">
      <alignment horizontal="center" vertical="center" wrapText="1"/>
    </xf>
    <xf numFmtId="0" fontId="3" fillId="3" borderId="12" xfId="0" applyFont="1" applyFill="1" applyBorder="1" applyAlignment="1">
      <alignment vertical="center" wrapText="1"/>
    </xf>
    <xf numFmtId="0" fontId="3" fillId="3" borderId="2" xfId="0" applyFont="1" applyFill="1" applyBorder="1" applyAlignment="1">
      <alignment vertical="center" wrapText="1"/>
    </xf>
    <xf numFmtId="0" fontId="3" fillId="7" borderId="12" xfId="0" applyFont="1" applyFill="1" applyBorder="1" applyAlignment="1">
      <alignment vertical="center" wrapText="1"/>
    </xf>
    <xf numFmtId="0" fontId="3" fillId="7" borderId="3" xfId="0" applyFont="1" applyFill="1" applyBorder="1" applyAlignment="1">
      <alignment vertical="center" wrapText="1"/>
    </xf>
    <xf numFmtId="0" fontId="3" fillId="7" borderId="2" xfId="0" applyFont="1" applyFill="1" applyBorder="1" applyAlignment="1">
      <alignment vertical="center" wrapText="1"/>
    </xf>
    <xf numFmtId="0" fontId="3" fillId="6" borderId="12" xfId="0" applyFont="1" applyFill="1" applyBorder="1" applyAlignment="1">
      <alignment vertical="center" wrapText="1"/>
    </xf>
    <xf numFmtId="0" fontId="3" fillId="6" borderId="3" xfId="0" applyFont="1" applyFill="1" applyBorder="1" applyAlignment="1">
      <alignment vertical="center" wrapText="1"/>
    </xf>
    <xf numFmtId="0" fontId="3" fillId="6" borderId="2" xfId="0" applyFont="1" applyFill="1" applyBorder="1" applyAlignment="1">
      <alignment vertical="center" wrapText="1"/>
    </xf>
    <xf numFmtId="0" fontId="3" fillId="9" borderId="2" xfId="0" applyFont="1" applyFill="1" applyBorder="1" applyAlignment="1">
      <alignment vertical="center" wrapText="1"/>
    </xf>
    <xf numFmtId="0" fontId="3" fillId="8" borderId="12" xfId="0" applyFont="1" applyFill="1" applyBorder="1" applyAlignment="1">
      <alignment vertical="center" wrapText="1"/>
    </xf>
    <xf numFmtId="9" fontId="3" fillId="4" borderId="34" xfId="0" applyNumberFormat="1" applyFont="1" applyFill="1" applyBorder="1" applyAlignment="1">
      <alignment horizontal="center" vertical="center" wrapText="1"/>
    </xf>
    <xf numFmtId="9" fontId="3" fillId="4" borderId="27" xfId="0" applyNumberFormat="1" applyFont="1" applyFill="1" applyBorder="1" applyAlignment="1">
      <alignment horizontal="center" vertical="center" wrapText="1"/>
    </xf>
    <xf numFmtId="9" fontId="3" fillId="4" borderId="21" xfId="0" applyNumberFormat="1" applyFont="1" applyFill="1" applyBorder="1" applyAlignment="1">
      <alignment horizontal="center" vertical="center" wrapText="1"/>
    </xf>
    <xf numFmtId="9" fontId="3" fillId="5" borderId="20" xfId="0" applyNumberFormat="1" applyFont="1" applyFill="1" applyBorder="1" applyAlignment="1">
      <alignment horizontal="center" vertical="center" wrapText="1"/>
    </xf>
    <xf numFmtId="9" fontId="3" fillId="5" borderId="27" xfId="0" applyNumberFormat="1" applyFont="1" applyFill="1" applyBorder="1" applyAlignment="1">
      <alignment horizontal="center" vertical="center" wrapText="1"/>
    </xf>
    <xf numFmtId="9" fontId="3" fillId="5" borderId="21" xfId="0" applyNumberFormat="1" applyFont="1" applyFill="1" applyBorder="1" applyAlignment="1">
      <alignment horizontal="center" vertical="center" wrapText="1"/>
    </xf>
    <xf numFmtId="9" fontId="3" fillId="4" borderId="20" xfId="0" applyNumberFormat="1" applyFont="1" applyFill="1" applyBorder="1" applyAlignment="1">
      <alignment horizontal="center" vertical="center" wrapText="1"/>
    </xf>
    <xf numFmtId="9" fontId="3" fillId="5" borderId="22" xfId="0" applyNumberFormat="1" applyFont="1" applyFill="1" applyBorder="1" applyAlignment="1">
      <alignment horizontal="center" vertical="center" wrapText="1"/>
    </xf>
    <xf numFmtId="9" fontId="3" fillId="8" borderId="34" xfId="0" applyNumberFormat="1" applyFont="1" applyFill="1" applyBorder="1" applyAlignment="1">
      <alignment horizontal="center" vertical="center" wrapText="1"/>
    </xf>
    <xf numFmtId="9" fontId="3" fillId="9" borderId="21" xfId="0" applyNumberFormat="1" applyFont="1" applyFill="1" applyBorder="1" applyAlignment="1">
      <alignment horizontal="center" vertical="center" wrapText="1"/>
    </xf>
    <xf numFmtId="9" fontId="15" fillId="11" borderId="34" xfId="0" applyNumberFormat="1" applyFont="1" applyFill="1" applyBorder="1" applyAlignment="1">
      <alignment horizontal="center" vertical="center" wrapText="1"/>
    </xf>
    <xf numFmtId="9" fontId="15" fillId="11" borderId="27" xfId="0" applyNumberFormat="1" applyFont="1" applyFill="1" applyBorder="1" applyAlignment="1">
      <alignment horizontal="center" vertical="center" wrapText="1"/>
    </xf>
    <xf numFmtId="9" fontId="15" fillId="11" borderId="21" xfId="0" applyNumberFormat="1" applyFont="1" applyFill="1" applyBorder="1" applyAlignment="1">
      <alignment horizontal="center" vertical="center" wrapText="1"/>
    </xf>
    <xf numFmtId="9" fontId="15" fillId="12" borderId="20" xfId="0" applyNumberFormat="1" applyFont="1" applyFill="1" applyBorder="1" applyAlignment="1">
      <alignment horizontal="center" vertical="center" wrapText="1"/>
    </xf>
    <xf numFmtId="9" fontId="15" fillId="12" borderId="27" xfId="0" applyNumberFormat="1" applyFont="1" applyFill="1" applyBorder="1" applyAlignment="1">
      <alignment horizontal="center" vertical="center" wrapText="1"/>
    </xf>
    <xf numFmtId="9" fontId="15" fillId="12" borderId="21" xfId="0" applyNumberFormat="1" applyFont="1" applyFill="1" applyBorder="1" applyAlignment="1">
      <alignment horizontal="center" vertical="center" wrapText="1"/>
    </xf>
    <xf numFmtId="9" fontId="15" fillId="11" borderId="20" xfId="0" applyNumberFormat="1" applyFont="1" applyFill="1" applyBorder="1" applyAlignment="1">
      <alignment horizontal="center" vertical="center" wrapText="1"/>
    </xf>
    <xf numFmtId="9" fontId="15" fillId="12" borderId="22" xfId="0" applyNumberFormat="1" applyFont="1" applyFill="1" applyBorder="1" applyAlignment="1">
      <alignment horizontal="center" vertical="center" wrapText="1"/>
    </xf>
    <xf numFmtId="0" fontId="3" fillId="9" borderId="17" xfId="0" applyFont="1" applyFill="1" applyBorder="1" applyAlignment="1">
      <alignment horizontal="center" vertical="center" wrapText="1"/>
    </xf>
    <xf numFmtId="0" fontId="3" fillId="9" borderId="26" xfId="0" applyFont="1" applyFill="1" applyBorder="1" applyAlignment="1">
      <alignment horizontal="center" vertical="center" wrapText="1"/>
    </xf>
    <xf numFmtId="0" fontId="3" fillId="9" borderId="18" xfId="0" applyFont="1" applyFill="1" applyBorder="1" applyAlignment="1">
      <alignment horizontal="center" vertical="center" wrapText="1"/>
    </xf>
    <xf numFmtId="0" fontId="3" fillId="8" borderId="17" xfId="0" applyFont="1" applyFill="1" applyBorder="1" applyAlignment="1">
      <alignment horizontal="center" vertical="center" wrapText="1"/>
    </xf>
    <xf numFmtId="0" fontId="3" fillId="8" borderId="26" xfId="0" applyFont="1" applyFill="1" applyBorder="1" applyAlignment="1">
      <alignment horizontal="center" vertical="center" wrapText="1"/>
    </xf>
    <xf numFmtId="0" fontId="3" fillId="8" borderId="18" xfId="0" applyFont="1" applyFill="1" applyBorder="1" applyAlignment="1">
      <alignment horizontal="center" vertical="center" wrapText="1"/>
    </xf>
    <xf numFmtId="0" fontId="3" fillId="9" borderId="19" xfId="0" applyFont="1" applyFill="1" applyBorder="1" applyAlignment="1">
      <alignment horizontal="center" vertical="center" wrapText="1"/>
    </xf>
    <xf numFmtId="9" fontId="3" fillId="0" borderId="20" xfId="0" applyNumberFormat="1" applyFont="1" applyBorder="1" applyAlignment="1">
      <alignment vertical="center" wrapText="1"/>
    </xf>
    <xf numFmtId="9" fontId="3" fillId="0" borderId="21" xfId="0" applyNumberFormat="1" applyFont="1" applyBorder="1" applyAlignment="1">
      <alignment vertical="center" wrapText="1"/>
    </xf>
    <xf numFmtId="9" fontId="3" fillId="7" borderId="20" xfId="0" applyNumberFormat="1" applyFont="1" applyFill="1" applyBorder="1" applyAlignment="1">
      <alignment horizontal="center" vertical="center" wrapText="1"/>
    </xf>
    <xf numFmtId="9" fontId="3" fillId="7" borderId="27" xfId="0" applyNumberFormat="1" applyFont="1" applyFill="1" applyBorder="1" applyAlignment="1">
      <alignment horizontal="center" vertical="center" wrapText="1"/>
    </xf>
    <xf numFmtId="9" fontId="3" fillId="7" borderId="21" xfId="0" applyNumberFormat="1" applyFont="1" applyFill="1" applyBorder="1" applyAlignment="1">
      <alignment horizontal="center" vertical="center" wrapText="1"/>
    </xf>
    <xf numFmtId="9" fontId="3" fillId="6" borderId="20" xfId="0" applyNumberFormat="1" applyFont="1" applyFill="1" applyBorder="1" applyAlignment="1">
      <alignment horizontal="center" vertical="center" wrapText="1"/>
    </xf>
    <xf numFmtId="9" fontId="3" fillId="6" borderId="27" xfId="0" applyNumberFormat="1" applyFont="1" applyFill="1" applyBorder="1" applyAlignment="1">
      <alignment horizontal="center" vertical="center" wrapText="1"/>
    </xf>
    <xf numFmtId="9" fontId="3" fillId="6" borderId="21" xfId="0" applyNumberFormat="1" applyFont="1" applyFill="1" applyBorder="1" applyAlignment="1">
      <alignment horizontal="center" vertical="center" wrapText="1"/>
    </xf>
    <xf numFmtId="38" fontId="3" fillId="4" borderId="33" xfId="0" applyNumberFormat="1" applyFont="1" applyFill="1" applyBorder="1" applyAlignment="1">
      <alignment horizontal="center" vertical="center" wrapText="1"/>
    </xf>
    <xf numFmtId="0" fontId="3" fillId="4" borderId="26" xfId="0" applyFont="1" applyFill="1" applyBorder="1" applyAlignment="1">
      <alignment horizontal="center" vertical="center" wrapText="1"/>
    </xf>
    <xf numFmtId="0" fontId="3" fillId="4" borderId="18" xfId="0" applyFont="1" applyFill="1" applyBorder="1" applyAlignment="1">
      <alignment horizontal="center" vertical="center" wrapText="1"/>
    </xf>
    <xf numFmtId="38" fontId="3" fillId="5" borderId="17" xfId="0" applyNumberFormat="1" applyFont="1" applyFill="1" applyBorder="1" applyAlignment="1">
      <alignment horizontal="center" vertical="center" wrapText="1"/>
    </xf>
    <xf numFmtId="38" fontId="3" fillId="5" borderId="26" xfId="0" applyNumberFormat="1" applyFont="1" applyFill="1" applyBorder="1" applyAlignment="1">
      <alignment horizontal="center" vertical="center" wrapText="1"/>
    </xf>
    <xf numFmtId="38" fontId="3" fillId="5" borderId="18" xfId="0" applyNumberFormat="1" applyFont="1" applyFill="1" applyBorder="1" applyAlignment="1">
      <alignment horizontal="center" vertical="center" wrapText="1"/>
    </xf>
    <xf numFmtId="38" fontId="3" fillId="4" borderId="17" xfId="0" applyNumberFormat="1" applyFont="1" applyFill="1" applyBorder="1" applyAlignment="1">
      <alignment horizontal="center" vertical="center" wrapText="1"/>
    </xf>
    <xf numFmtId="38" fontId="3" fillId="5" borderId="19" xfId="0" applyNumberFormat="1" applyFont="1" applyFill="1" applyBorder="1" applyAlignment="1">
      <alignment horizontal="center" vertical="center" wrapText="1"/>
    </xf>
    <xf numFmtId="0" fontId="3" fillId="8" borderId="33"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3" fillId="5" borderId="26" xfId="0" applyFont="1" applyFill="1" applyBorder="1" applyAlignment="1">
      <alignment horizontal="center" vertical="center" wrapText="1"/>
    </xf>
    <xf numFmtId="0" fontId="3" fillId="5" borderId="18"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15" fillId="11" borderId="33" xfId="0" applyFont="1" applyFill="1" applyBorder="1" applyAlignment="1">
      <alignment horizontal="center" vertical="center" wrapText="1"/>
    </xf>
    <xf numFmtId="0" fontId="15" fillId="11" borderId="26" xfId="0" applyFont="1" applyFill="1" applyBorder="1" applyAlignment="1">
      <alignment horizontal="center" vertical="center" wrapText="1"/>
    </xf>
    <xf numFmtId="0" fontId="15" fillId="11" borderId="18" xfId="0" applyFont="1" applyFill="1" applyBorder="1" applyAlignment="1">
      <alignment horizontal="center" vertical="center" wrapText="1"/>
    </xf>
    <xf numFmtId="0" fontId="15" fillId="12" borderId="17" xfId="0" applyFont="1" applyFill="1" applyBorder="1" applyAlignment="1">
      <alignment horizontal="center" vertical="center" wrapText="1"/>
    </xf>
    <xf numFmtId="0" fontId="15" fillId="12" borderId="26" xfId="0" applyFont="1" applyFill="1" applyBorder="1" applyAlignment="1">
      <alignment horizontal="center" vertical="center" wrapText="1"/>
    </xf>
    <xf numFmtId="0" fontId="15" fillId="12" borderId="18" xfId="0" applyFont="1" applyFill="1" applyBorder="1" applyAlignment="1">
      <alignment horizontal="center" vertical="center" wrapText="1"/>
    </xf>
    <xf numFmtId="0" fontId="15" fillId="11" borderId="17" xfId="0" applyFont="1" applyFill="1" applyBorder="1" applyAlignment="1">
      <alignment horizontal="center" vertical="center" wrapText="1"/>
    </xf>
    <xf numFmtId="0" fontId="15" fillId="12" borderId="19" xfId="0" applyFont="1" applyFill="1" applyBorder="1" applyAlignment="1">
      <alignment horizontal="center" vertical="center" wrapText="1"/>
    </xf>
    <xf numFmtId="0" fontId="3" fillId="4" borderId="33" xfId="0" applyFont="1" applyFill="1" applyBorder="1" applyAlignment="1">
      <alignment horizontal="center" vertical="center" wrapText="1"/>
    </xf>
    <xf numFmtId="9" fontId="3" fillId="8" borderId="33" xfId="1" applyFont="1" applyFill="1" applyBorder="1" applyAlignment="1">
      <alignment horizontal="center" vertical="center" wrapText="1"/>
    </xf>
    <xf numFmtId="9" fontId="3" fillId="8" borderId="26" xfId="1" applyFont="1" applyFill="1" applyBorder="1" applyAlignment="1">
      <alignment horizontal="center" vertical="center" wrapText="1"/>
    </xf>
    <xf numFmtId="9" fontId="3" fillId="8" borderId="18" xfId="1" applyFont="1" applyFill="1" applyBorder="1" applyAlignment="1">
      <alignment horizontal="center" vertical="center" wrapText="1"/>
    </xf>
    <xf numFmtId="9" fontId="3" fillId="9" borderId="17" xfId="1" applyFont="1" applyFill="1" applyBorder="1" applyAlignment="1">
      <alignment horizontal="center" vertical="center" wrapText="1"/>
    </xf>
    <xf numFmtId="9" fontId="3" fillId="9" borderId="26" xfId="1" applyFont="1" applyFill="1" applyBorder="1" applyAlignment="1">
      <alignment horizontal="center" vertical="center" wrapText="1"/>
    </xf>
    <xf numFmtId="9" fontId="3" fillId="9" borderId="18" xfId="1" applyFont="1" applyFill="1" applyBorder="1" applyAlignment="1">
      <alignment horizontal="center" vertical="center" wrapText="1"/>
    </xf>
    <xf numFmtId="9" fontId="3" fillId="8" borderId="17" xfId="1" applyFont="1" applyFill="1" applyBorder="1" applyAlignment="1">
      <alignment horizontal="center" vertical="center" wrapText="1"/>
    </xf>
    <xf numFmtId="9" fontId="3" fillId="9" borderId="19" xfId="1" applyFont="1" applyFill="1" applyBorder="1" applyAlignment="1">
      <alignment horizontal="center" vertical="center" wrapText="1"/>
    </xf>
    <xf numFmtId="0" fontId="3" fillId="0" borderId="17" xfId="0" applyFont="1" applyBorder="1" applyAlignment="1">
      <alignment vertical="center" wrapText="1"/>
    </xf>
    <xf numFmtId="0" fontId="3" fillId="0" borderId="18" xfId="0" applyFont="1" applyBorder="1" applyAlignment="1">
      <alignment vertical="center" wrapText="1"/>
    </xf>
    <xf numFmtId="0" fontId="3" fillId="7" borderId="17" xfId="0" applyFont="1" applyFill="1" applyBorder="1" applyAlignment="1">
      <alignment horizontal="center" vertical="center" wrapText="1"/>
    </xf>
    <xf numFmtId="0" fontId="3" fillId="7" borderId="26" xfId="0" applyFont="1" applyFill="1" applyBorder="1" applyAlignment="1">
      <alignment horizontal="center" vertical="center" wrapText="1"/>
    </xf>
    <xf numFmtId="0" fontId="3" fillId="7" borderId="18"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18" xfId="0" applyFont="1" applyFill="1" applyBorder="1" applyAlignment="1">
      <alignment horizontal="center" vertical="center" wrapText="1"/>
    </xf>
    <xf numFmtId="9" fontId="3" fillId="4" borderId="33" xfId="0" applyNumberFormat="1" applyFont="1" applyFill="1" applyBorder="1" applyAlignment="1">
      <alignment horizontal="center" vertical="center" wrapText="1"/>
    </xf>
    <xf numFmtId="9" fontId="3" fillId="4" borderId="26" xfId="0" applyNumberFormat="1" applyFont="1" applyFill="1" applyBorder="1" applyAlignment="1">
      <alignment horizontal="center" vertical="center" wrapText="1"/>
    </xf>
    <xf numFmtId="9" fontId="3" fillId="4" borderId="18" xfId="0" applyNumberFormat="1" applyFont="1" applyFill="1" applyBorder="1" applyAlignment="1">
      <alignment horizontal="center" vertical="center" wrapText="1"/>
    </xf>
    <xf numFmtId="9" fontId="3" fillId="5" borderId="17" xfId="0" applyNumberFormat="1" applyFont="1" applyFill="1" applyBorder="1" applyAlignment="1">
      <alignment horizontal="center" vertical="center" wrapText="1"/>
    </xf>
    <xf numFmtId="9" fontId="3" fillId="5" borderId="26" xfId="0" applyNumberFormat="1" applyFont="1" applyFill="1" applyBorder="1" applyAlignment="1">
      <alignment horizontal="center" vertical="center" wrapText="1"/>
    </xf>
    <xf numFmtId="9" fontId="3" fillId="5" borderId="18" xfId="0" applyNumberFormat="1" applyFont="1" applyFill="1" applyBorder="1" applyAlignment="1">
      <alignment horizontal="center" vertical="center" wrapText="1"/>
    </xf>
    <xf numFmtId="9" fontId="3" fillId="4" borderId="17" xfId="0" applyNumberFormat="1" applyFont="1" applyFill="1" applyBorder="1" applyAlignment="1">
      <alignment horizontal="center" vertical="center" wrapText="1"/>
    </xf>
    <xf numFmtId="9" fontId="3" fillId="5" borderId="19" xfId="0" applyNumberFormat="1" applyFont="1" applyFill="1" applyBorder="1" applyAlignment="1">
      <alignment horizontal="center" vertical="center" wrapText="1"/>
    </xf>
    <xf numFmtId="9" fontId="15" fillId="11" borderId="33" xfId="0" applyNumberFormat="1" applyFont="1" applyFill="1" applyBorder="1" applyAlignment="1">
      <alignment horizontal="center" vertical="center" wrapText="1"/>
    </xf>
    <xf numFmtId="9" fontId="15" fillId="11" borderId="26" xfId="0" applyNumberFormat="1" applyFont="1" applyFill="1" applyBorder="1" applyAlignment="1">
      <alignment horizontal="center" vertical="center" wrapText="1"/>
    </xf>
    <xf numFmtId="9" fontId="15" fillId="11" borderId="18" xfId="0" applyNumberFormat="1" applyFont="1" applyFill="1" applyBorder="1" applyAlignment="1">
      <alignment horizontal="center" vertical="center" wrapText="1"/>
    </xf>
    <xf numFmtId="9" fontId="15" fillId="12" borderId="17" xfId="0" applyNumberFormat="1" applyFont="1" applyFill="1" applyBorder="1" applyAlignment="1">
      <alignment horizontal="center" vertical="center" wrapText="1"/>
    </xf>
    <xf numFmtId="9" fontId="15" fillId="12" borderId="26" xfId="0" applyNumberFormat="1" applyFont="1" applyFill="1" applyBorder="1" applyAlignment="1">
      <alignment horizontal="center" vertical="center" wrapText="1"/>
    </xf>
    <xf numFmtId="9" fontId="15" fillId="12" borderId="18" xfId="0" applyNumberFormat="1" applyFont="1" applyFill="1" applyBorder="1" applyAlignment="1">
      <alignment horizontal="center" vertical="center" wrapText="1"/>
    </xf>
    <xf numFmtId="9" fontId="15" fillId="11" borderId="17" xfId="0" applyNumberFormat="1" applyFont="1" applyFill="1" applyBorder="1" applyAlignment="1">
      <alignment horizontal="center" vertical="center" wrapText="1"/>
    </xf>
    <xf numFmtId="9" fontId="15" fillId="12" borderId="19" xfId="0" applyNumberFormat="1" applyFont="1" applyFill="1" applyBorder="1" applyAlignment="1">
      <alignment horizontal="center" vertical="center" wrapText="1"/>
    </xf>
    <xf numFmtId="9" fontId="3" fillId="8" borderId="33" xfId="0" applyNumberFormat="1" applyFont="1" applyFill="1" applyBorder="1" applyAlignment="1">
      <alignment horizontal="center" vertical="center" wrapText="1"/>
    </xf>
    <xf numFmtId="9" fontId="3" fillId="8" borderId="26" xfId="0" applyNumberFormat="1" applyFont="1" applyFill="1" applyBorder="1" applyAlignment="1">
      <alignment horizontal="center" vertical="center" wrapText="1"/>
    </xf>
    <xf numFmtId="9" fontId="3" fillId="8" borderId="18" xfId="0" applyNumberFormat="1" applyFont="1" applyFill="1" applyBorder="1" applyAlignment="1">
      <alignment horizontal="center" vertical="center" wrapText="1"/>
    </xf>
    <xf numFmtId="9" fontId="3" fillId="9" borderId="17" xfId="0" applyNumberFormat="1" applyFont="1" applyFill="1" applyBorder="1" applyAlignment="1">
      <alignment horizontal="center" vertical="center" wrapText="1"/>
    </xf>
    <xf numFmtId="9" fontId="3" fillId="9" borderId="26" xfId="0" applyNumberFormat="1" applyFont="1" applyFill="1" applyBorder="1" applyAlignment="1">
      <alignment horizontal="center" vertical="center" wrapText="1"/>
    </xf>
    <xf numFmtId="9" fontId="3" fillId="9" borderId="18" xfId="0" applyNumberFormat="1" applyFont="1" applyFill="1" applyBorder="1" applyAlignment="1">
      <alignment horizontal="center" vertical="center" wrapText="1"/>
    </xf>
    <xf numFmtId="9" fontId="3" fillId="8" borderId="17" xfId="0" applyNumberFormat="1" applyFont="1" applyFill="1" applyBorder="1" applyAlignment="1">
      <alignment horizontal="center" vertical="center" wrapText="1"/>
    </xf>
    <xf numFmtId="9" fontId="3" fillId="9" borderId="19" xfId="0" applyNumberFormat="1" applyFont="1" applyFill="1" applyBorder="1" applyAlignment="1">
      <alignment horizontal="center" vertical="center" wrapText="1"/>
    </xf>
    <xf numFmtId="38" fontId="3" fillId="5" borderId="36" xfId="0" applyNumberFormat="1" applyFont="1" applyFill="1" applyBorder="1" applyAlignment="1">
      <alignment horizontal="center" vertical="center" wrapText="1"/>
    </xf>
    <xf numFmtId="38" fontId="3" fillId="5" borderId="9" xfId="0" applyNumberFormat="1" applyFont="1" applyFill="1" applyBorder="1" applyAlignment="1">
      <alignment horizontal="center" vertical="center" wrapText="1"/>
    </xf>
    <xf numFmtId="38" fontId="3" fillId="5" borderId="10" xfId="0" applyNumberFormat="1" applyFont="1" applyFill="1" applyBorder="1" applyAlignment="1">
      <alignment horizontal="center" vertical="center" wrapText="1"/>
    </xf>
    <xf numFmtId="38" fontId="3" fillId="8" borderId="40" xfId="0" applyNumberFormat="1" applyFont="1" applyFill="1" applyBorder="1" applyAlignment="1">
      <alignment horizontal="center" vertical="center" wrapText="1"/>
    </xf>
    <xf numFmtId="38" fontId="3" fillId="8" borderId="9" xfId="0" applyNumberFormat="1" applyFont="1" applyFill="1" applyBorder="1" applyAlignment="1">
      <alignment horizontal="center" vertical="center" wrapText="1"/>
    </xf>
    <xf numFmtId="38" fontId="3" fillId="8" borderId="8" xfId="0" applyNumberFormat="1" applyFont="1" applyFill="1" applyBorder="1" applyAlignment="1">
      <alignment horizontal="center" vertical="center" wrapText="1"/>
    </xf>
    <xf numFmtId="38" fontId="3" fillId="9" borderId="36" xfId="0" applyNumberFormat="1" applyFont="1" applyFill="1" applyBorder="1" applyAlignment="1">
      <alignment horizontal="center" vertical="center" wrapText="1"/>
    </xf>
    <xf numFmtId="38" fontId="3" fillId="9" borderId="9" xfId="0" applyNumberFormat="1" applyFont="1" applyFill="1" applyBorder="1" applyAlignment="1">
      <alignment horizontal="center" vertical="center" wrapText="1"/>
    </xf>
    <xf numFmtId="38" fontId="3" fillId="9" borderId="8" xfId="0" applyNumberFormat="1" applyFont="1" applyFill="1" applyBorder="1" applyAlignment="1">
      <alignment horizontal="center" vertical="center" wrapText="1"/>
    </xf>
    <xf numFmtId="38" fontId="3" fillId="8" borderId="36" xfId="0" applyNumberFormat="1" applyFont="1" applyFill="1" applyBorder="1" applyAlignment="1">
      <alignment horizontal="center" vertical="center" wrapText="1"/>
    </xf>
    <xf numFmtId="38" fontId="3" fillId="9" borderId="10" xfId="0" applyNumberFormat="1" applyFont="1" applyFill="1" applyBorder="1" applyAlignment="1">
      <alignment horizontal="center" vertical="center" wrapText="1"/>
    </xf>
    <xf numFmtId="9" fontId="3" fillId="0" borderId="17" xfId="0" applyNumberFormat="1" applyFont="1" applyBorder="1" applyAlignment="1">
      <alignment vertical="center" wrapText="1"/>
    </xf>
    <xf numFmtId="9" fontId="3" fillId="0" borderId="18" xfId="0" applyNumberFormat="1" applyFont="1" applyBorder="1" applyAlignment="1">
      <alignment vertical="center" wrapText="1"/>
    </xf>
    <xf numFmtId="9" fontId="3" fillId="7" borderId="17" xfId="0" applyNumberFormat="1" applyFont="1" applyFill="1" applyBorder="1" applyAlignment="1">
      <alignment horizontal="center" vertical="center" wrapText="1"/>
    </xf>
    <xf numFmtId="9" fontId="3" fillId="7" borderId="26" xfId="0" applyNumberFormat="1" applyFont="1" applyFill="1" applyBorder="1" applyAlignment="1">
      <alignment horizontal="center" vertical="center" wrapText="1"/>
    </xf>
    <xf numFmtId="9" fontId="3" fillId="7" borderId="18" xfId="0" applyNumberFormat="1" applyFont="1" applyFill="1" applyBorder="1" applyAlignment="1">
      <alignment horizontal="center" vertical="center" wrapText="1"/>
    </xf>
    <xf numFmtId="9" fontId="3" fillId="6" borderId="17" xfId="0" applyNumberFormat="1" applyFont="1" applyFill="1" applyBorder="1" applyAlignment="1">
      <alignment horizontal="center" vertical="center" wrapText="1"/>
    </xf>
    <xf numFmtId="9" fontId="3" fillId="6" borderId="26" xfId="0" applyNumberFormat="1" applyFont="1" applyFill="1" applyBorder="1" applyAlignment="1">
      <alignment horizontal="center" vertical="center" wrapText="1"/>
    </xf>
    <xf numFmtId="9" fontId="3" fillId="6" borderId="18" xfId="0" applyNumberFormat="1" applyFont="1" applyFill="1" applyBorder="1" applyAlignment="1">
      <alignment horizontal="center" vertical="center" wrapText="1"/>
    </xf>
    <xf numFmtId="38" fontId="3" fillId="4" borderId="40" xfId="0" applyNumberFormat="1"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8" xfId="0" applyFont="1" applyFill="1" applyBorder="1" applyAlignment="1">
      <alignment horizontal="center" vertical="center" wrapText="1"/>
    </xf>
    <xf numFmtId="38" fontId="3" fillId="5" borderId="8" xfId="0" applyNumberFormat="1" applyFont="1" applyFill="1" applyBorder="1" applyAlignment="1">
      <alignment horizontal="center" vertical="center" wrapText="1"/>
    </xf>
    <xf numFmtId="38" fontId="3" fillId="4" borderId="36" xfId="0" applyNumberFormat="1" applyFont="1" applyFill="1" applyBorder="1" applyAlignment="1">
      <alignment horizontal="center" vertical="center" wrapText="1"/>
    </xf>
    <xf numFmtId="38" fontId="15" fillId="12" borderId="36" xfId="0" applyNumberFormat="1" applyFont="1" applyFill="1" applyBorder="1" applyAlignment="1">
      <alignment horizontal="center" vertical="center" wrapText="1"/>
    </xf>
    <xf numFmtId="38" fontId="15" fillId="12" borderId="9" xfId="0" applyNumberFormat="1" applyFont="1" applyFill="1" applyBorder="1" applyAlignment="1">
      <alignment horizontal="center" vertical="center" wrapText="1"/>
    </xf>
    <xf numFmtId="38" fontId="15" fillId="12" borderId="10" xfId="0" applyNumberFormat="1" applyFont="1" applyFill="1" applyBorder="1" applyAlignment="1">
      <alignment horizontal="center" vertical="center" wrapText="1"/>
    </xf>
    <xf numFmtId="38" fontId="3" fillId="4" borderId="9" xfId="0" applyNumberFormat="1" applyFont="1" applyFill="1" applyBorder="1" applyAlignment="1">
      <alignment horizontal="center" vertical="center" wrapText="1"/>
    </xf>
    <xf numFmtId="38" fontId="3" fillId="4" borderId="8" xfId="0" applyNumberFormat="1" applyFont="1" applyFill="1" applyBorder="1" applyAlignment="1">
      <alignment horizontal="center" vertical="center" wrapText="1"/>
    </xf>
    <xf numFmtId="38" fontId="15" fillId="11" borderId="40" xfId="0" applyNumberFormat="1" applyFont="1" applyFill="1" applyBorder="1" applyAlignment="1">
      <alignment horizontal="center" vertical="center" wrapText="1"/>
    </xf>
    <xf numFmtId="38" fontId="15" fillId="11" borderId="9" xfId="0" applyNumberFormat="1" applyFont="1" applyFill="1" applyBorder="1" applyAlignment="1">
      <alignment horizontal="center" vertical="center" wrapText="1"/>
    </xf>
    <xf numFmtId="38" fontId="15" fillId="11" borderId="8" xfId="0" applyNumberFormat="1" applyFont="1" applyFill="1" applyBorder="1" applyAlignment="1">
      <alignment horizontal="center" vertical="center" wrapText="1"/>
    </xf>
    <xf numFmtId="38" fontId="15" fillId="12" borderId="8" xfId="0" applyNumberFormat="1" applyFont="1" applyFill="1" applyBorder="1" applyAlignment="1">
      <alignment horizontal="center" vertical="center" wrapText="1"/>
    </xf>
    <xf numFmtId="38" fontId="15" fillId="11" borderId="36" xfId="0" applyNumberFormat="1" applyFont="1" applyFill="1" applyBorder="1" applyAlignment="1">
      <alignment horizontal="center" vertical="center" wrapText="1"/>
    </xf>
    <xf numFmtId="38" fontId="3" fillId="6" borderId="36" xfId="0" applyNumberFormat="1" applyFont="1" applyFill="1" applyBorder="1" applyAlignment="1">
      <alignment horizontal="center" vertical="center" wrapText="1"/>
    </xf>
    <xf numFmtId="38" fontId="3" fillId="6" borderId="9" xfId="0" applyNumberFormat="1" applyFont="1" applyFill="1" applyBorder="1" applyAlignment="1">
      <alignment horizontal="center" vertical="center" wrapText="1"/>
    </xf>
    <xf numFmtId="38" fontId="3" fillId="5" borderId="46" xfId="0" applyNumberFormat="1" applyFont="1" applyFill="1" applyBorder="1" applyAlignment="1">
      <alignment horizontal="center" vertical="center" wrapText="1"/>
    </xf>
    <xf numFmtId="0" fontId="3" fillId="5" borderId="42" xfId="0" applyFont="1" applyFill="1" applyBorder="1" applyAlignment="1">
      <alignment horizontal="center" vertical="center" wrapText="1"/>
    </xf>
    <xf numFmtId="0" fontId="3" fillId="5" borderId="39" xfId="0" applyFont="1" applyFill="1" applyBorder="1" applyAlignment="1">
      <alignment horizontal="center" vertical="center" wrapText="1"/>
    </xf>
    <xf numFmtId="38" fontId="3" fillId="8" borderId="47" xfId="0" applyNumberFormat="1" applyFont="1" applyFill="1" applyBorder="1" applyAlignment="1">
      <alignment horizontal="center" vertical="center" wrapText="1"/>
    </xf>
    <xf numFmtId="38" fontId="3" fillId="8" borderId="42" xfId="0" applyNumberFormat="1" applyFont="1" applyFill="1" applyBorder="1" applyAlignment="1">
      <alignment horizontal="center" vertical="center" wrapText="1"/>
    </xf>
    <xf numFmtId="38" fontId="3" fillId="8" borderId="38" xfId="0" applyNumberFormat="1" applyFont="1" applyFill="1" applyBorder="1" applyAlignment="1">
      <alignment horizontal="center" vertical="center" wrapText="1"/>
    </xf>
    <xf numFmtId="38" fontId="3" fillId="9" borderId="46" xfId="0" applyNumberFormat="1" applyFont="1" applyFill="1" applyBorder="1" applyAlignment="1">
      <alignment horizontal="center" vertical="center" wrapText="1"/>
    </xf>
    <xf numFmtId="38" fontId="3" fillId="9" borderId="42" xfId="0" applyNumberFormat="1" applyFont="1" applyFill="1" applyBorder="1" applyAlignment="1">
      <alignment horizontal="center" vertical="center" wrapText="1"/>
    </xf>
    <xf numFmtId="38" fontId="3" fillId="9" borderId="38" xfId="0" applyNumberFormat="1" applyFont="1" applyFill="1" applyBorder="1" applyAlignment="1">
      <alignment horizontal="center" vertical="center" wrapText="1"/>
    </xf>
    <xf numFmtId="38" fontId="3" fillId="8" borderId="46" xfId="0" applyNumberFormat="1" applyFont="1" applyFill="1" applyBorder="1" applyAlignment="1">
      <alignment horizontal="center" vertical="center" wrapText="1"/>
    </xf>
    <xf numFmtId="38" fontId="3" fillId="9" borderId="39" xfId="0" applyNumberFormat="1" applyFont="1" applyFill="1" applyBorder="1" applyAlignment="1">
      <alignment horizontal="center" vertical="center" wrapText="1"/>
    </xf>
    <xf numFmtId="0" fontId="3" fillId="0" borderId="13" xfId="0" applyFont="1" applyBorder="1" applyAlignment="1">
      <alignment vertical="center" wrapText="1"/>
    </xf>
    <xf numFmtId="0" fontId="3" fillId="0" borderId="7" xfId="0" applyFont="1" applyBorder="1" applyAlignment="1">
      <alignment vertical="center" wrapText="1"/>
    </xf>
    <xf numFmtId="0" fontId="3" fillId="0" borderId="4" xfId="0" applyFont="1" applyBorder="1" applyAlignment="1">
      <alignment vertical="center" wrapText="1"/>
    </xf>
    <xf numFmtId="38" fontId="3" fillId="0" borderId="17" xfId="0" applyNumberFormat="1" applyFont="1" applyBorder="1" applyAlignment="1">
      <alignment vertical="center" wrapText="1"/>
    </xf>
    <xf numFmtId="38" fontId="3" fillId="0" borderId="18" xfId="0" applyNumberFormat="1" applyFont="1" applyBorder="1" applyAlignment="1">
      <alignment vertical="center" wrapText="1"/>
    </xf>
    <xf numFmtId="38" fontId="3" fillId="7" borderId="36" xfId="0" applyNumberFormat="1" applyFont="1" applyFill="1" applyBorder="1" applyAlignment="1">
      <alignment horizontal="center" vertical="center" wrapText="1"/>
    </xf>
    <xf numFmtId="38" fontId="3" fillId="7" borderId="9" xfId="0" applyNumberFormat="1" applyFont="1" applyFill="1" applyBorder="1" applyAlignment="1">
      <alignment horizontal="center" vertical="center" wrapText="1"/>
    </xf>
    <xf numFmtId="38" fontId="3" fillId="7" borderId="8" xfId="0" applyNumberFormat="1" applyFont="1" applyFill="1" applyBorder="1" applyAlignment="1">
      <alignment horizontal="center" vertical="center" wrapText="1"/>
    </xf>
    <xf numFmtId="38" fontId="3" fillId="6" borderId="8" xfId="0" applyNumberFormat="1" applyFont="1" applyFill="1" applyBorder="1" applyAlignment="1">
      <alignment horizontal="center" vertical="center" wrapText="1"/>
    </xf>
    <xf numFmtId="38" fontId="3" fillId="4" borderId="47" xfId="0" applyNumberFormat="1" applyFont="1" applyFill="1" applyBorder="1" applyAlignment="1">
      <alignment horizontal="center" vertical="center" wrapText="1"/>
    </xf>
    <xf numFmtId="0" fontId="3" fillId="4" borderId="42" xfId="0" applyFont="1" applyFill="1" applyBorder="1" applyAlignment="1">
      <alignment horizontal="center" vertical="center" wrapText="1"/>
    </xf>
    <xf numFmtId="0" fontId="3" fillId="4" borderId="38" xfId="0" applyFont="1" applyFill="1" applyBorder="1" applyAlignment="1">
      <alignment horizontal="center" vertical="center" wrapText="1"/>
    </xf>
    <xf numFmtId="0" fontId="3" fillId="5" borderId="46" xfId="0" applyFont="1" applyFill="1" applyBorder="1" applyAlignment="1">
      <alignment horizontal="center" vertical="center" wrapText="1"/>
    </xf>
    <xf numFmtId="0" fontId="3" fillId="5" borderId="38" xfId="0" applyFont="1" applyFill="1" applyBorder="1" applyAlignment="1">
      <alignment horizontal="center" vertical="center" wrapText="1"/>
    </xf>
    <xf numFmtId="38" fontId="3" fillId="4" borderId="46" xfId="0" applyNumberFormat="1" applyFont="1" applyFill="1" applyBorder="1" applyAlignment="1">
      <alignment horizontal="center" vertical="center" wrapText="1"/>
    </xf>
    <xf numFmtId="38" fontId="15" fillId="12" borderId="46" xfId="0" applyNumberFormat="1" applyFont="1" applyFill="1" applyBorder="1" applyAlignment="1">
      <alignment horizontal="center" vertical="center" wrapText="1"/>
    </xf>
    <xf numFmtId="38" fontId="15" fillId="12" borderId="42" xfId="0" applyNumberFormat="1" applyFont="1" applyFill="1" applyBorder="1" applyAlignment="1">
      <alignment horizontal="center" vertical="center" wrapText="1"/>
    </xf>
    <xf numFmtId="38" fontId="15" fillId="12" borderId="39" xfId="0" applyNumberFormat="1" applyFont="1" applyFill="1" applyBorder="1" applyAlignment="1">
      <alignment horizontal="center" vertical="center" wrapText="1"/>
    </xf>
    <xf numFmtId="38" fontId="3" fillId="4" borderId="42" xfId="0" applyNumberFormat="1" applyFont="1" applyFill="1" applyBorder="1" applyAlignment="1">
      <alignment horizontal="center" vertical="center" wrapText="1"/>
    </xf>
    <xf numFmtId="38" fontId="3" fillId="4" borderId="38" xfId="0" applyNumberFormat="1" applyFont="1" applyFill="1" applyBorder="1" applyAlignment="1">
      <alignment horizontal="center" vertical="center" wrapText="1"/>
    </xf>
    <xf numFmtId="38" fontId="3" fillId="5" borderId="42" xfId="0" applyNumberFormat="1" applyFont="1" applyFill="1" applyBorder="1" applyAlignment="1">
      <alignment horizontal="center" vertical="center" wrapText="1"/>
    </xf>
    <xf numFmtId="38" fontId="3" fillId="5" borderId="38" xfId="0" applyNumberFormat="1" applyFont="1" applyFill="1" applyBorder="1" applyAlignment="1">
      <alignment horizontal="center" vertical="center" wrapText="1"/>
    </xf>
    <xf numFmtId="38" fontId="3" fillId="5" borderId="39" xfId="0" applyNumberFormat="1" applyFont="1" applyFill="1" applyBorder="1" applyAlignment="1">
      <alignment horizontal="center" vertical="center" wrapText="1"/>
    </xf>
    <xf numFmtId="38" fontId="3" fillId="7" borderId="46" xfId="0" applyNumberFormat="1" applyFont="1" applyFill="1" applyBorder="1" applyAlignment="1">
      <alignment horizontal="center" vertical="center" wrapText="1"/>
    </xf>
    <xf numFmtId="38" fontId="3" fillId="7" borderId="42" xfId="0" applyNumberFormat="1" applyFont="1" applyFill="1" applyBorder="1" applyAlignment="1">
      <alignment horizontal="center" vertical="center" wrapText="1"/>
    </xf>
    <xf numFmtId="38" fontId="3" fillId="7" borderId="38" xfId="0" applyNumberFormat="1" applyFont="1" applyFill="1" applyBorder="1" applyAlignment="1">
      <alignment horizontal="center" vertical="center" wrapText="1"/>
    </xf>
    <xf numFmtId="38" fontId="3" fillId="14" borderId="46" xfId="0" applyNumberFormat="1" applyFont="1" applyFill="1" applyBorder="1" applyAlignment="1">
      <alignment horizontal="center" vertical="center" wrapText="1"/>
    </xf>
    <xf numFmtId="38" fontId="3" fillId="14" borderId="42" xfId="0" applyNumberFormat="1" applyFont="1" applyFill="1" applyBorder="1" applyAlignment="1">
      <alignment horizontal="center" vertical="center" wrapText="1"/>
    </xf>
    <xf numFmtId="38" fontId="3" fillId="14" borderId="38" xfId="0" applyNumberFormat="1" applyFont="1" applyFill="1" applyBorder="1" applyAlignment="1">
      <alignment horizontal="center" vertical="center" wrapText="1"/>
    </xf>
    <xf numFmtId="38" fontId="3" fillId="14" borderId="39" xfId="0" applyNumberFormat="1" applyFont="1" applyFill="1" applyBorder="1" applyAlignment="1">
      <alignment horizontal="center" vertical="center" wrapText="1"/>
    </xf>
    <xf numFmtId="38" fontId="3" fillId="14" borderId="47" xfId="0" applyNumberFormat="1" applyFont="1" applyFill="1" applyBorder="1" applyAlignment="1">
      <alignment horizontal="center" vertical="center" wrapText="1"/>
    </xf>
    <xf numFmtId="0" fontId="3" fillId="14" borderId="42" xfId="0" applyFont="1" applyFill="1" applyBorder="1" applyAlignment="1">
      <alignment horizontal="center" vertical="center" wrapText="1"/>
    </xf>
    <xf numFmtId="0" fontId="3" fillId="14" borderId="38" xfId="0" applyFont="1" applyFill="1" applyBorder="1" applyAlignment="1">
      <alignment horizontal="center" vertical="center" wrapText="1"/>
    </xf>
    <xf numFmtId="0" fontId="3" fillId="14" borderId="46" xfId="0" applyFont="1" applyFill="1" applyBorder="1" applyAlignment="1">
      <alignment horizontal="center" vertical="center" wrapText="1"/>
    </xf>
    <xf numFmtId="38" fontId="15" fillId="14" borderId="46" xfId="0" applyNumberFormat="1" applyFont="1" applyFill="1" applyBorder="1" applyAlignment="1">
      <alignment horizontal="center" vertical="center" wrapText="1"/>
    </xf>
    <xf numFmtId="38" fontId="15" fillId="14" borderId="42" xfId="0" applyNumberFormat="1" applyFont="1" applyFill="1" applyBorder="1" applyAlignment="1">
      <alignment horizontal="center" vertical="center" wrapText="1"/>
    </xf>
    <xf numFmtId="38" fontId="15" fillId="14" borderId="39" xfId="0" applyNumberFormat="1" applyFont="1" applyFill="1" applyBorder="1" applyAlignment="1">
      <alignment horizontal="center" vertical="center" wrapText="1"/>
    </xf>
    <xf numFmtId="38" fontId="15" fillId="11" borderId="47" xfId="0" applyNumberFormat="1" applyFont="1" applyFill="1" applyBorder="1" applyAlignment="1">
      <alignment horizontal="center" vertical="center" wrapText="1"/>
    </xf>
    <xf numFmtId="38" fontId="15" fillId="11" borderId="42" xfId="0" applyNumberFormat="1" applyFont="1" applyFill="1" applyBorder="1" applyAlignment="1">
      <alignment horizontal="center" vertical="center" wrapText="1"/>
    </xf>
    <xf numFmtId="38" fontId="15" fillId="11" borderId="38" xfId="0" applyNumberFormat="1" applyFont="1" applyFill="1" applyBorder="1" applyAlignment="1">
      <alignment horizontal="center" vertical="center" wrapText="1"/>
    </xf>
    <xf numFmtId="38" fontId="15" fillId="12" borderId="38" xfId="0" applyNumberFormat="1" applyFont="1" applyFill="1" applyBorder="1" applyAlignment="1">
      <alignment horizontal="center" vertical="center" wrapText="1"/>
    </xf>
    <xf numFmtId="38" fontId="15" fillId="11" borderId="46" xfId="0" applyNumberFormat="1" applyFont="1" applyFill="1" applyBorder="1" applyAlignment="1">
      <alignment horizontal="center" vertical="center" wrapText="1"/>
    </xf>
    <xf numFmtId="38" fontId="3" fillId="6" borderId="46" xfId="0" applyNumberFormat="1" applyFont="1" applyFill="1" applyBorder="1" applyAlignment="1">
      <alignment horizontal="center" vertical="center" wrapText="1"/>
    </xf>
    <xf numFmtId="38" fontId="3" fillId="6" borderId="42" xfId="0" applyNumberFormat="1" applyFont="1" applyFill="1" applyBorder="1" applyAlignment="1">
      <alignment horizontal="center" vertical="center" wrapText="1"/>
    </xf>
    <xf numFmtId="0" fontId="3" fillId="14" borderId="36" xfId="0" applyFont="1" applyFill="1" applyBorder="1" applyAlignment="1">
      <alignment horizontal="center" vertical="center" wrapText="1"/>
    </xf>
    <xf numFmtId="0" fontId="3" fillId="14" borderId="9" xfId="0" applyFont="1" applyFill="1" applyBorder="1" applyAlignment="1">
      <alignment horizontal="center" vertical="center" wrapText="1"/>
    </xf>
    <xf numFmtId="0" fontId="3" fillId="14" borderId="10" xfId="0" applyFont="1" applyFill="1" applyBorder="1" applyAlignment="1">
      <alignment horizontal="center" vertical="center" wrapText="1"/>
    </xf>
    <xf numFmtId="38" fontId="3" fillId="14" borderId="40" xfId="0" applyNumberFormat="1" applyFont="1" applyFill="1" applyBorder="1" applyAlignment="1">
      <alignment horizontal="center" vertical="center" wrapText="1"/>
    </xf>
    <xf numFmtId="38" fontId="3" fillId="14" borderId="9" xfId="0" applyNumberFormat="1" applyFont="1" applyFill="1" applyBorder="1" applyAlignment="1">
      <alignment horizontal="center" vertical="center" wrapText="1"/>
    </xf>
    <xf numFmtId="38" fontId="3" fillId="14" borderId="8" xfId="0" applyNumberFormat="1" applyFont="1" applyFill="1" applyBorder="1" applyAlignment="1">
      <alignment horizontal="center" vertical="center" wrapText="1"/>
    </xf>
    <xf numFmtId="38" fontId="3" fillId="14" borderId="36" xfId="0" applyNumberFormat="1" applyFont="1" applyFill="1" applyBorder="1" applyAlignment="1">
      <alignment horizontal="center" vertical="center" wrapText="1"/>
    </xf>
    <xf numFmtId="38" fontId="3" fillId="14" borderId="10" xfId="0" applyNumberFormat="1" applyFont="1" applyFill="1" applyBorder="1" applyAlignment="1">
      <alignment horizontal="center" vertical="center" wrapText="1"/>
    </xf>
    <xf numFmtId="0" fontId="3" fillId="14" borderId="8" xfId="0" applyFont="1" applyFill="1" applyBorder="1" applyAlignment="1">
      <alignment horizontal="center" vertical="center" wrapText="1"/>
    </xf>
    <xf numFmtId="38" fontId="15" fillId="14" borderId="38" xfId="0" applyNumberFormat="1" applyFont="1" applyFill="1" applyBorder="1" applyAlignment="1">
      <alignment horizontal="center" vertical="center" wrapText="1"/>
    </xf>
    <xf numFmtId="0" fontId="3" fillId="14" borderId="39" xfId="0" applyFont="1" applyFill="1" applyBorder="1" applyAlignment="1">
      <alignment horizontal="center" vertical="center" wrapText="1"/>
    </xf>
    <xf numFmtId="38" fontId="15" fillId="14" borderId="36" xfId="0" applyNumberFormat="1" applyFont="1" applyFill="1" applyBorder="1" applyAlignment="1">
      <alignment horizontal="center" vertical="center" wrapText="1"/>
    </xf>
    <xf numFmtId="38" fontId="15" fillId="14" borderId="9" xfId="0" applyNumberFormat="1" applyFont="1" applyFill="1" applyBorder="1" applyAlignment="1">
      <alignment horizontal="center" vertical="center" wrapText="1"/>
    </xf>
    <xf numFmtId="38" fontId="15" fillId="14" borderId="10" xfId="0" applyNumberFormat="1" applyFont="1" applyFill="1" applyBorder="1" applyAlignment="1">
      <alignment horizontal="center" vertical="center" wrapText="1"/>
    </xf>
    <xf numFmtId="38" fontId="15" fillId="14" borderId="52" xfId="0" applyNumberFormat="1" applyFont="1" applyFill="1" applyBorder="1" applyAlignment="1">
      <alignment horizontal="center" vertical="center" wrapText="1"/>
    </xf>
    <xf numFmtId="38" fontId="15" fillId="14" borderId="53" xfId="0" applyNumberFormat="1" applyFont="1" applyFill="1" applyBorder="1" applyAlignment="1">
      <alignment horizontal="center" vertical="center" wrapText="1"/>
    </xf>
    <xf numFmtId="38" fontId="15" fillId="14" borderId="54" xfId="0" applyNumberFormat="1" applyFont="1" applyFill="1" applyBorder="1" applyAlignment="1">
      <alignment horizontal="center" vertical="center" wrapText="1"/>
    </xf>
    <xf numFmtId="38" fontId="15" fillId="14" borderId="55" xfId="0" applyNumberFormat="1" applyFont="1" applyFill="1" applyBorder="1" applyAlignment="1">
      <alignment horizontal="center" vertical="center" wrapText="1"/>
    </xf>
    <xf numFmtId="38" fontId="15" fillId="14" borderId="56" xfId="0" applyNumberFormat="1" applyFont="1" applyFill="1" applyBorder="1" applyAlignment="1">
      <alignment horizontal="center" vertical="center" wrapText="1"/>
    </xf>
    <xf numFmtId="38" fontId="15" fillId="14" borderId="57" xfId="0" applyNumberFormat="1" applyFont="1" applyFill="1" applyBorder="1" applyAlignment="1">
      <alignment horizontal="center" vertical="center" wrapText="1"/>
    </xf>
    <xf numFmtId="38" fontId="15" fillId="14" borderId="8" xfId="0" applyNumberFormat="1" applyFont="1" applyFill="1" applyBorder="1" applyAlignment="1">
      <alignment horizontal="center" vertical="center" wrapText="1"/>
    </xf>
    <xf numFmtId="0" fontId="2" fillId="0" borderId="7" xfId="0" applyFont="1" applyBorder="1" applyAlignment="1">
      <alignment vertical="center" wrapText="1"/>
    </xf>
    <xf numFmtId="0" fontId="2" fillId="0" borderId="4" xfId="0" applyFont="1" applyBorder="1" applyAlignment="1">
      <alignment vertical="center" wrapText="1"/>
    </xf>
    <xf numFmtId="38" fontId="3" fillId="0" borderId="7" xfId="0" applyNumberFormat="1" applyFont="1" applyBorder="1" applyAlignment="1">
      <alignment vertical="center" wrapText="1"/>
    </xf>
    <xf numFmtId="38" fontId="3" fillId="0" borderId="4" xfId="0" applyNumberFormat="1" applyFont="1" applyBorder="1" applyAlignment="1">
      <alignment vertical="center" wrapText="1"/>
    </xf>
    <xf numFmtId="38" fontId="3" fillId="14" borderId="17" xfId="0" applyNumberFormat="1" applyFont="1" applyFill="1" applyBorder="1" applyAlignment="1">
      <alignment vertical="center" wrapText="1"/>
    </xf>
    <xf numFmtId="38" fontId="3" fillId="14" borderId="18" xfId="0" applyNumberFormat="1" applyFont="1" applyFill="1" applyBorder="1" applyAlignment="1">
      <alignment vertical="center" wrapText="1"/>
    </xf>
    <xf numFmtId="38" fontId="3" fillId="6" borderId="38" xfId="0" applyNumberFormat="1" applyFont="1" applyFill="1" applyBorder="1" applyAlignment="1">
      <alignment horizontal="center" vertical="center" wrapText="1"/>
    </xf>
    <xf numFmtId="38" fontId="3" fillId="5" borderId="44" xfId="0" applyNumberFormat="1" applyFont="1" applyFill="1" applyBorder="1" applyAlignment="1">
      <alignment horizontal="center" vertical="center" wrapText="1"/>
    </xf>
    <xf numFmtId="38" fontId="3" fillId="5" borderId="11" xfId="0" applyNumberFormat="1" applyFont="1" applyFill="1" applyBorder="1" applyAlignment="1">
      <alignment horizontal="center" vertical="center" wrapText="1"/>
    </xf>
    <xf numFmtId="38" fontId="3" fillId="5" borderId="5" xfId="0" applyNumberFormat="1" applyFont="1" applyFill="1" applyBorder="1" applyAlignment="1">
      <alignment horizontal="center" vertical="center" wrapText="1"/>
    </xf>
    <xf numFmtId="38" fontId="15" fillId="11" borderId="44" xfId="0" applyNumberFormat="1" applyFont="1" applyFill="1" applyBorder="1" applyAlignment="1">
      <alignment horizontal="center" vertical="center" wrapText="1"/>
    </xf>
    <xf numFmtId="38" fontId="15" fillId="11" borderId="11" xfId="0" applyNumberFormat="1" applyFont="1" applyFill="1" applyBorder="1" applyAlignment="1">
      <alignment horizontal="center" vertical="center" wrapText="1"/>
    </xf>
    <xf numFmtId="38" fontId="15" fillId="11" borderId="6" xfId="0" applyNumberFormat="1" applyFont="1" applyFill="1" applyBorder="1" applyAlignment="1">
      <alignment horizontal="center" vertical="center" wrapText="1"/>
    </xf>
    <xf numFmtId="38" fontId="15" fillId="12" borderId="44" xfId="0" applyNumberFormat="1" applyFont="1" applyFill="1" applyBorder="1" applyAlignment="1">
      <alignment horizontal="center" vertical="center" wrapText="1"/>
    </xf>
    <xf numFmtId="38" fontId="15" fillId="12" borderId="11" xfId="0" applyNumberFormat="1" applyFont="1" applyFill="1" applyBorder="1" applyAlignment="1">
      <alignment horizontal="center" vertical="center" wrapText="1"/>
    </xf>
    <xf numFmtId="38" fontId="15" fillId="12" borderId="6" xfId="0" applyNumberFormat="1" applyFont="1" applyFill="1" applyBorder="1" applyAlignment="1">
      <alignment horizontal="center" vertical="center" wrapText="1"/>
    </xf>
    <xf numFmtId="38" fontId="3" fillId="4" borderId="44" xfId="0" applyNumberFormat="1"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5" borderId="44" xfId="0" applyFont="1" applyFill="1" applyBorder="1" applyAlignment="1">
      <alignment horizontal="center" vertical="center" wrapText="1"/>
    </xf>
    <xf numFmtId="0" fontId="3" fillId="5" borderId="11" xfId="0" applyFont="1" applyFill="1" applyBorder="1" applyAlignment="1">
      <alignment horizontal="center" vertical="center" wrapText="1"/>
    </xf>
    <xf numFmtId="0" fontId="3" fillId="5" borderId="5" xfId="0" applyFont="1" applyFill="1" applyBorder="1" applyAlignment="1">
      <alignment horizontal="center" vertical="center" wrapText="1"/>
    </xf>
    <xf numFmtId="38" fontId="3" fillId="8" borderId="45" xfId="0" applyNumberFormat="1" applyFont="1" applyFill="1" applyBorder="1" applyAlignment="1">
      <alignment horizontal="center" vertical="center" wrapText="1"/>
    </xf>
    <xf numFmtId="38" fontId="3" fillId="8" borderId="11" xfId="0" applyNumberFormat="1" applyFont="1" applyFill="1" applyBorder="1" applyAlignment="1">
      <alignment horizontal="center" vertical="center" wrapText="1"/>
    </xf>
    <xf numFmtId="38" fontId="3" fillId="8" borderId="6" xfId="0" applyNumberFormat="1" applyFont="1" applyFill="1" applyBorder="1" applyAlignment="1">
      <alignment horizontal="center" vertical="center" wrapText="1"/>
    </xf>
    <xf numFmtId="38" fontId="3" fillId="9" borderId="44" xfId="0" applyNumberFormat="1" applyFont="1" applyFill="1" applyBorder="1" applyAlignment="1">
      <alignment horizontal="center" vertical="center" wrapText="1"/>
    </xf>
    <xf numFmtId="38" fontId="3" fillId="9" borderId="11" xfId="0" applyNumberFormat="1" applyFont="1" applyFill="1" applyBorder="1" applyAlignment="1">
      <alignment horizontal="center" vertical="center" wrapText="1"/>
    </xf>
    <xf numFmtId="38" fontId="3" fillId="9" borderId="6" xfId="0" applyNumberFormat="1" applyFont="1" applyFill="1" applyBorder="1" applyAlignment="1">
      <alignment horizontal="center" vertical="center" wrapText="1"/>
    </xf>
    <xf numFmtId="38" fontId="3" fillId="8" borderId="44" xfId="0" applyNumberFormat="1" applyFont="1" applyFill="1" applyBorder="1" applyAlignment="1">
      <alignment horizontal="center" vertical="center" wrapText="1"/>
    </xf>
    <xf numFmtId="38" fontId="3" fillId="9" borderId="5" xfId="0" applyNumberFormat="1" applyFont="1" applyFill="1" applyBorder="1" applyAlignment="1">
      <alignment horizontal="center" vertical="center" wrapText="1"/>
    </xf>
    <xf numFmtId="38" fontId="3" fillId="4" borderId="45" xfId="0" applyNumberFormat="1" applyFont="1" applyFill="1" applyBorder="1" applyAlignment="1">
      <alignment horizontal="center" vertical="center" wrapText="1"/>
    </xf>
    <xf numFmtId="0" fontId="3" fillId="5" borderId="6" xfId="0" applyFont="1" applyFill="1" applyBorder="1" applyAlignment="1">
      <alignment horizontal="center" vertical="center" wrapText="1"/>
    </xf>
    <xf numFmtId="38" fontId="2" fillId="0" borderId="13" xfId="0" applyNumberFormat="1" applyFont="1" applyBorder="1" applyAlignment="1">
      <alignment vertical="center" wrapText="1"/>
    </xf>
    <xf numFmtId="38" fontId="2" fillId="0" borderId="7" xfId="0" applyNumberFormat="1" applyFont="1" applyBorder="1" applyAlignment="1">
      <alignment vertical="center" wrapText="1"/>
    </xf>
    <xf numFmtId="38" fontId="2" fillId="0" borderId="4" xfId="0" applyNumberFormat="1" applyFont="1" applyBorder="1" applyAlignment="1">
      <alignment vertical="center" wrapText="1"/>
    </xf>
    <xf numFmtId="38" fontId="3" fillId="0" borderId="13" xfId="0" applyNumberFormat="1" applyFont="1" applyBorder="1" applyAlignment="1">
      <alignment vertical="center" wrapText="1"/>
    </xf>
    <xf numFmtId="38" fontId="3" fillId="13" borderId="13" xfId="0" applyNumberFormat="1" applyFont="1" applyFill="1" applyBorder="1" applyAlignment="1">
      <alignment vertical="center" wrapText="1"/>
    </xf>
    <xf numFmtId="38" fontId="3" fillId="13" borderId="4" xfId="0" applyNumberFormat="1" applyFont="1" applyFill="1" applyBorder="1" applyAlignment="1">
      <alignment vertical="center" wrapText="1"/>
    </xf>
    <xf numFmtId="38" fontId="3" fillId="0" borderId="20" xfId="0" applyNumberFormat="1" applyFont="1" applyBorder="1" applyAlignment="1">
      <alignment vertical="center" wrapText="1"/>
    </xf>
    <xf numFmtId="38" fontId="3" fillId="0" borderId="21" xfId="0" applyNumberFormat="1" applyFont="1" applyBorder="1" applyAlignment="1">
      <alignment vertical="center" wrapText="1"/>
    </xf>
    <xf numFmtId="38" fontId="3" fillId="7" borderId="44" xfId="0" applyNumberFormat="1" applyFont="1" applyFill="1" applyBorder="1" applyAlignment="1">
      <alignment horizontal="center" vertical="center" wrapText="1"/>
    </xf>
    <xf numFmtId="38" fontId="3" fillId="7" borderId="11" xfId="0" applyNumberFormat="1" applyFont="1" applyFill="1" applyBorder="1" applyAlignment="1">
      <alignment horizontal="center" vertical="center" wrapText="1"/>
    </xf>
    <xf numFmtId="38" fontId="3" fillId="7" borderId="6" xfId="0" applyNumberFormat="1" applyFont="1" applyFill="1" applyBorder="1" applyAlignment="1">
      <alignment horizontal="center" vertical="center" wrapText="1"/>
    </xf>
    <xf numFmtId="38" fontId="3" fillId="6" borderId="44" xfId="0" applyNumberFormat="1" applyFont="1" applyFill="1" applyBorder="1" applyAlignment="1">
      <alignment horizontal="center" vertical="center" wrapText="1"/>
    </xf>
    <xf numFmtId="38" fontId="3" fillId="6" borderId="11" xfId="0" applyNumberFormat="1" applyFont="1" applyFill="1" applyBorder="1" applyAlignment="1">
      <alignment horizontal="center" vertical="center" wrapText="1"/>
    </xf>
    <xf numFmtId="38" fontId="3" fillId="6" borderId="6" xfId="0" applyNumberFormat="1" applyFont="1" applyFill="1" applyBorder="1" applyAlignment="1">
      <alignment horizontal="center" vertical="center" wrapText="1"/>
    </xf>
    <xf numFmtId="38" fontId="15" fillId="12" borderId="5" xfId="0" applyNumberFormat="1" applyFont="1" applyFill="1" applyBorder="1" applyAlignment="1">
      <alignment horizontal="center" vertical="center" wrapText="1"/>
    </xf>
    <xf numFmtId="38" fontId="3" fillId="4" borderId="11" xfId="0" applyNumberFormat="1" applyFont="1" applyFill="1" applyBorder="1" applyAlignment="1">
      <alignment horizontal="center" vertical="center" wrapText="1"/>
    </xf>
    <xf numFmtId="38" fontId="3" fillId="4" borderId="6" xfId="0" applyNumberFormat="1" applyFont="1" applyFill="1" applyBorder="1" applyAlignment="1">
      <alignment horizontal="center" vertical="center" wrapText="1"/>
    </xf>
    <xf numFmtId="38" fontId="3" fillId="5" borderId="6" xfId="0" applyNumberFormat="1" applyFont="1" applyFill="1" applyBorder="1" applyAlignment="1">
      <alignment horizontal="center" vertical="center" wrapText="1"/>
    </xf>
    <xf numFmtId="38" fontId="18" fillId="8" borderId="36" xfId="0" applyNumberFormat="1" applyFont="1" applyFill="1" applyBorder="1" applyAlignment="1">
      <alignment horizontal="center" vertical="center" wrapText="1"/>
    </xf>
    <xf numFmtId="38" fontId="18" fillId="8" borderId="9" xfId="0" applyNumberFormat="1" applyFont="1" applyFill="1" applyBorder="1" applyAlignment="1">
      <alignment horizontal="center" vertical="center" wrapText="1"/>
    </xf>
    <xf numFmtId="38" fontId="18" fillId="8" borderId="8" xfId="0" applyNumberFormat="1" applyFont="1" applyFill="1" applyBorder="1" applyAlignment="1">
      <alignment horizontal="center" vertical="center" wrapText="1"/>
    </xf>
    <xf numFmtId="38" fontId="18" fillId="9" borderId="36" xfId="0" applyNumberFormat="1" applyFont="1" applyFill="1" applyBorder="1" applyAlignment="1">
      <alignment horizontal="center" vertical="center" wrapText="1"/>
    </xf>
    <xf numFmtId="38" fontId="18" fillId="9" borderId="9" xfId="0" applyNumberFormat="1" applyFont="1" applyFill="1" applyBorder="1" applyAlignment="1">
      <alignment horizontal="center" vertical="center" wrapText="1"/>
    </xf>
    <xf numFmtId="38" fontId="18" fillId="9" borderId="10" xfId="0" applyNumberFormat="1" applyFont="1" applyFill="1" applyBorder="1" applyAlignment="1">
      <alignment horizontal="center" vertical="center" wrapText="1"/>
    </xf>
    <xf numFmtId="38" fontId="18" fillId="4" borderId="40" xfId="0" applyNumberFormat="1" applyFont="1" applyFill="1" applyBorder="1" applyAlignment="1">
      <alignment horizontal="center" vertical="center" wrapText="1"/>
    </xf>
    <xf numFmtId="0" fontId="18" fillId="4" borderId="9" xfId="0" applyFont="1" applyFill="1" applyBorder="1" applyAlignment="1">
      <alignment horizontal="center" vertical="center" wrapText="1"/>
    </xf>
    <xf numFmtId="0" fontId="18" fillId="4" borderId="8" xfId="0" applyFont="1" applyFill="1" applyBorder="1" applyAlignment="1">
      <alignment horizontal="center" vertical="center" wrapText="1"/>
    </xf>
    <xf numFmtId="38" fontId="18" fillId="5" borderId="36" xfId="0" applyNumberFormat="1" applyFont="1" applyFill="1" applyBorder="1" applyAlignment="1">
      <alignment horizontal="center" vertical="center" wrapText="1"/>
    </xf>
    <xf numFmtId="38" fontId="18" fillId="5" borderId="9" xfId="0" applyNumberFormat="1" applyFont="1" applyFill="1" applyBorder="1" applyAlignment="1">
      <alignment horizontal="center" vertical="center" wrapText="1"/>
    </xf>
    <xf numFmtId="38" fontId="18" fillId="5" borderId="8" xfId="0" applyNumberFormat="1" applyFont="1" applyFill="1" applyBorder="1" applyAlignment="1">
      <alignment horizontal="center" vertical="center" wrapText="1"/>
    </xf>
    <xf numFmtId="38" fontId="18" fillId="4" borderId="36" xfId="0" applyNumberFormat="1" applyFont="1" applyFill="1" applyBorder="1" applyAlignment="1">
      <alignment horizontal="center" vertical="center" wrapText="1"/>
    </xf>
    <xf numFmtId="38" fontId="18" fillId="5" borderId="10" xfId="0" applyNumberFormat="1" applyFont="1" applyFill="1" applyBorder="1" applyAlignment="1">
      <alignment horizontal="center" vertical="center" wrapText="1"/>
    </xf>
    <xf numFmtId="38" fontId="18" fillId="4" borderId="9" xfId="0" applyNumberFormat="1" applyFont="1" applyFill="1" applyBorder="1" applyAlignment="1">
      <alignment horizontal="center" vertical="center" wrapText="1"/>
    </xf>
    <xf numFmtId="38" fontId="18" fillId="4" borderId="8" xfId="0" applyNumberFormat="1" applyFont="1" applyFill="1" applyBorder="1" applyAlignment="1">
      <alignment horizontal="center" vertical="center" wrapText="1"/>
    </xf>
    <xf numFmtId="38" fontId="18" fillId="8" borderId="40" xfId="0" applyNumberFormat="1" applyFont="1" applyFill="1" applyBorder="1" applyAlignment="1">
      <alignment horizontal="center" vertical="center" wrapText="1"/>
    </xf>
    <xf numFmtId="38" fontId="18" fillId="9" borderId="8" xfId="0" applyNumberFormat="1" applyFont="1" applyFill="1" applyBorder="1" applyAlignment="1">
      <alignment horizontal="center" vertical="center" wrapText="1"/>
    </xf>
    <xf numFmtId="38" fontId="19" fillId="12" borderId="36" xfId="0" applyNumberFormat="1" applyFont="1" applyFill="1" applyBorder="1" applyAlignment="1">
      <alignment horizontal="center" vertical="center" wrapText="1"/>
    </xf>
    <xf numFmtId="38" fontId="19" fillId="12" borderId="9" xfId="0" applyNumberFormat="1" applyFont="1" applyFill="1" applyBorder="1" applyAlignment="1">
      <alignment horizontal="center" vertical="center" wrapText="1"/>
    </xf>
    <xf numFmtId="38" fontId="19" fillId="12" borderId="10" xfId="0" applyNumberFormat="1" applyFont="1" applyFill="1" applyBorder="1" applyAlignment="1">
      <alignment horizontal="center" vertical="center" wrapText="1"/>
    </xf>
    <xf numFmtId="38" fontId="18" fillId="0" borderId="17" xfId="0" applyNumberFormat="1" applyFont="1" applyBorder="1" applyAlignment="1">
      <alignment vertical="center" wrapText="1"/>
    </xf>
    <xf numFmtId="38" fontId="18" fillId="0" borderId="18" xfId="0" applyNumberFormat="1" applyFont="1" applyBorder="1" applyAlignment="1">
      <alignment vertical="center" wrapText="1"/>
    </xf>
    <xf numFmtId="38" fontId="18" fillId="7" borderId="36" xfId="0" applyNumberFormat="1" applyFont="1" applyFill="1" applyBorder="1" applyAlignment="1">
      <alignment horizontal="center" vertical="center" wrapText="1"/>
    </xf>
    <xf numFmtId="38" fontId="18" fillId="7" borderId="9" xfId="0" applyNumberFormat="1" applyFont="1" applyFill="1" applyBorder="1" applyAlignment="1">
      <alignment horizontal="center" vertical="center" wrapText="1"/>
    </xf>
    <xf numFmtId="38" fontId="18" fillId="7" borderId="8" xfId="0" applyNumberFormat="1" applyFont="1" applyFill="1" applyBorder="1" applyAlignment="1">
      <alignment horizontal="center" vertical="center" wrapText="1"/>
    </xf>
    <xf numFmtId="38" fontId="18" fillId="6" borderId="36" xfId="0" applyNumberFormat="1" applyFont="1" applyFill="1" applyBorder="1" applyAlignment="1">
      <alignment horizontal="center" vertical="center" wrapText="1"/>
    </xf>
    <xf numFmtId="38" fontId="18" fillId="6" borderId="9" xfId="0" applyNumberFormat="1" applyFont="1" applyFill="1" applyBorder="1" applyAlignment="1">
      <alignment horizontal="center" vertical="center" wrapText="1"/>
    </xf>
    <xf numFmtId="38" fontId="18" fillId="6" borderId="8" xfId="0" applyNumberFormat="1" applyFont="1" applyFill="1" applyBorder="1" applyAlignment="1">
      <alignment horizontal="center" vertical="center" wrapText="1"/>
    </xf>
    <xf numFmtId="38" fontId="19" fillId="11" borderId="40" xfId="0" applyNumberFormat="1" applyFont="1" applyFill="1" applyBorder="1" applyAlignment="1">
      <alignment horizontal="center" vertical="center" wrapText="1"/>
    </xf>
    <xf numFmtId="38" fontId="19" fillId="11" borderId="9" xfId="0" applyNumberFormat="1" applyFont="1" applyFill="1" applyBorder="1" applyAlignment="1">
      <alignment horizontal="center" vertical="center" wrapText="1"/>
    </xf>
    <xf numFmtId="38" fontId="19" fillId="11" borderId="8" xfId="0" applyNumberFormat="1" applyFont="1" applyFill="1" applyBorder="1" applyAlignment="1">
      <alignment horizontal="center" vertical="center" wrapText="1"/>
    </xf>
    <xf numFmtId="38" fontId="19" fillId="12" borderId="8" xfId="0" applyNumberFormat="1" applyFont="1" applyFill="1" applyBorder="1" applyAlignment="1">
      <alignment horizontal="center" vertical="center" wrapText="1"/>
    </xf>
    <xf numFmtId="38" fontId="19" fillId="11" borderId="36" xfId="0" applyNumberFormat="1" applyFont="1" applyFill="1" applyBorder="1" applyAlignment="1">
      <alignment horizontal="center" vertical="center" wrapText="1"/>
    </xf>
    <xf numFmtId="0" fontId="3" fillId="5" borderId="9"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2" xfId="0" applyFont="1" applyFill="1" applyBorder="1" applyAlignment="1">
      <alignment horizontal="center" vertical="center" wrapText="1"/>
    </xf>
    <xf numFmtId="38" fontId="3" fillId="5" borderId="14" xfId="0" applyNumberFormat="1" applyFont="1" applyFill="1" applyBorder="1" applyAlignment="1">
      <alignment horizontal="center" vertical="center" wrapText="1"/>
    </xf>
    <xf numFmtId="0" fontId="3" fillId="5" borderId="25" xfId="0" applyFont="1" applyFill="1" applyBorder="1" applyAlignment="1">
      <alignment horizontal="center" vertical="center" wrapText="1"/>
    </xf>
    <xf numFmtId="0" fontId="3" fillId="5" borderId="16" xfId="0" applyFont="1" applyFill="1" applyBorder="1" applyAlignment="1">
      <alignment horizontal="center" vertical="center" wrapText="1"/>
    </xf>
    <xf numFmtId="38" fontId="3" fillId="8" borderId="32" xfId="0" applyNumberFormat="1" applyFont="1" applyFill="1" applyBorder="1" applyAlignment="1">
      <alignment horizontal="center" vertical="center" wrapText="1"/>
    </xf>
    <xf numFmtId="38" fontId="3" fillId="8" borderId="25" xfId="0" applyNumberFormat="1" applyFont="1" applyFill="1" applyBorder="1" applyAlignment="1">
      <alignment horizontal="center" vertical="center" wrapText="1"/>
    </xf>
    <xf numFmtId="38" fontId="3" fillId="8" borderId="15" xfId="0" applyNumberFormat="1" applyFont="1" applyFill="1" applyBorder="1" applyAlignment="1">
      <alignment horizontal="center" vertical="center" wrapText="1"/>
    </xf>
    <xf numFmtId="38" fontId="3" fillId="9" borderId="14" xfId="0" applyNumberFormat="1" applyFont="1" applyFill="1" applyBorder="1" applyAlignment="1">
      <alignment horizontal="center" vertical="center" wrapText="1"/>
    </xf>
    <xf numFmtId="38" fontId="3" fillId="9" borderId="25" xfId="0" applyNumberFormat="1" applyFont="1" applyFill="1" applyBorder="1" applyAlignment="1">
      <alignment horizontal="center" vertical="center" wrapText="1"/>
    </xf>
    <xf numFmtId="38" fontId="3" fillId="9" borderId="15" xfId="0" applyNumberFormat="1" applyFont="1" applyFill="1" applyBorder="1" applyAlignment="1">
      <alignment horizontal="center" vertical="center" wrapText="1"/>
    </xf>
    <xf numFmtId="38" fontId="3" fillId="8" borderId="14" xfId="0" applyNumberFormat="1" applyFont="1" applyFill="1" applyBorder="1" applyAlignment="1">
      <alignment horizontal="center" vertical="center" wrapText="1"/>
    </xf>
    <xf numFmtId="38" fontId="3" fillId="9" borderId="16" xfId="0" applyNumberFormat="1" applyFont="1" applyFill="1" applyBorder="1" applyAlignment="1">
      <alignment horizontal="center" vertical="center" wrapText="1"/>
    </xf>
    <xf numFmtId="38" fontId="3" fillId="4" borderId="32" xfId="0" applyNumberFormat="1" applyFont="1" applyFill="1" applyBorder="1" applyAlignment="1">
      <alignment horizontal="center" vertical="center" wrapText="1"/>
    </xf>
    <xf numFmtId="0" fontId="3" fillId="4" borderId="25"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5" borderId="15" xfId="0" applyFont="1" applyFill="1" applyBorder="1" applyAlignment="1">
      <alignment horizontal="center" vertical="center" wrapText="1"/>
    </xf>
    <xf numFmtId="38" fontId="3" fillId="4" borderId="14" xfId="0" applyNumberFormat="1" applyFont="1" applyFill="1" applyBorder="1" applyAlignment="1">
      <alignment horizontal="center" vertical="center" wrapText="1"/>
    </xf>
    <xf numFmtId="38" fontId="15" fillId="12" borderId="14" xfId="0" applyNumberFormat="1" applyFont="1" applyFill="1" applyBorder="1" applyAlignment="1">
      <alignment horizontal="center" vertical="center" wrapText="1"/>
    </xf>
    <xf numFmtId="38" fontId="15" fillId="12" borderId="25" xfId="0" applyNumberFormat="1" applyFont="1" applyFill="1" applyBorder="1" applyAlignment="1">
      <alignment horizontal="center" vertical="center" wrapText="1"/>
    </xf>
    <xf numFmtId="38" fontId="15" fillId="12" borderId="16" xfId="0" applyNumberFormat="1" applyFont="1" applyFill="1" applyBorder="1" applyAlignment="1">
      <alignment horizontal="center" vertical="center" wrapText="1"/>
    </xf>
    <xf numFmtId="38" fontId="3" fillId="4" borderId="25" xfId="0" applyNumberFormat="1" applyFont="1" applyFill="1" applyBorder="1" applyAlignment="1">
      <alignment horizontal="center" vertical="center" wrapText="1"/>
    </xf>
    <xf numFmtId="38" fontId="3" fillId="4" borderId="15" xfId="0" applyNumberFormat="1" applyFont="1" applyFill="1" applyBorder="1" applyAlignment="1">
      <alignment horizontal="center" vertical="center" wrapText="1"/>
    </xf>
    <xf numFmtId="38" fontId="3" fillId="5" borderId="25" xfId="0" applyNumberFormat="1" applyFont="1" applyFill="1" applyBorder="1" applyAlignment="1">
      <alignment horizontal="center" vertical="center" wrapText="1"/>
    </xf>
    <xf numFmtId="38" fontId="3" fillId="5" borderId="15" xfId="0" applyNumberFormat="1" applyFont="1" applyFill="1" applyBorder="1" applyAlignment="1">
      <alignment horizontal="center" vertical="center" wrapText="1"/>
    </xf>
    <xf numFmtId="38" fontId="3" fillId="5" borderId="16" xfId="0" applyNumberFormat="1" applyFont="1" applyFill="1" applyBorder="1" applyAlignment="1">
      <alignment horizontal="center" vertical="center" wrapText="1"/>
    </xf>
    <xf numFmtId="38" fontId="15" fillId="11" borderId="32" xfId="0" applyNumberFormat="1" applyFont="1" applyFill="1" applyBorder="1" applyAlignment="1">
      <alignment horizontal="center" vertical="center" wrapText="1"/>
    </xf>
    <xf numFmtId="38" fontId="15" fillId="11" borderId="25" xfId="0" applyNumberFormat="1" applyFont="1" applyFill="1" applyBorder="1" applyAlignment="1">
      <alignment horizontal="center" vertical="center" wrapText="1"/>
    </xf>
    <xf numFmtId="38" fontId="15" fillId="11" borderId="15" xfId="0" applyNumberFormat="1" applyFont="1" applyFill="1" applyBorder="1" applyAlignment="1">
      <alignment horizontal="center" vertical="center" wrapText="1"/>
    </xf>
    <xf numFmtId="38" fontId="15" fillId="12" borderId="15" xfId="0" applyNumberFormat="1" applyFont="1" applyFill="1" applyBorder="1" applyAlignment="1">
      <alignment horizontal="center" vertical="center" wrapText="1"/>
    </xf>
    <xf numFmtId="38" fontId="15" fillId="11" borderId="14" xfId="0" applyNumberFormat="1" applyFont="1" applyFill="1" applyBorder="1" applyAlignment="1">
      <alignment horizontal="center" vertical="center" wrapText="1"/>
    </xf>
    <xf numFmtId="38" fontId="3" fillId="6" borderId="14" xfId="0" applyNumberFormat="1" applyFont="1" applyFill="1" applyBorder="1" applyAlignment="1">
      <alignment horizontal="center" vertical="center" wrapText="1"/>
    </xf>
    <xf numFmtId="38" fontId="3" fillId="6" borderId="25"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38" fontId="3" fillId="0" borderId="14" xfId="0" applyNumberFormat="1" applyFont="1" applyBorder="1" applyAlignment="1">
      <alignment vertical="center" wrapText="1"/>
    </xf>
    <xf numFmtId="38" fontId="3" fillId="0" borderId="15" xfId="0" applyNumberFormat="1" applyFont="1" applyBorder="1" applyAlignment="1">
      <alignment vertical="center" wrapText="1"/>
    </xf>
    <xf numFmtId="38" fontId="3" fillId="7" borderId="14" xfId="0" applyNumberFormat="1" applyFont="1" applyFill="1" applyBorder="1" applyAlignment="1">
      <alignment horizontal="center" vertical="center" wrapText="1"/>
    </xf>
    <xf numFmtId="38" fontId="3" fillId="7" borderId="25" xfId="0" applyNumberFormat="1" applyFont="1" applyFill="1" applyBorder="1" applyAlignment="1">
      <alignment horizontal="center" vertical="center" wrapText="1"/>
    </xf>
    <xf numFmtId="38" fontId="3" fillId="7" borderId="15" xfId="0" applyNumberFormat="1" applyFont="1" applyFill="1" applyBorder="1" applyAlignment="1">
      <alignment horizontal="center" vertical="center" wrapText="1"/>
    </xf>
    <xf numFmtId="38" fontId="3" fillId="6" borderId="15" xfId="0" applyNumberFormat="1" applyFont="1" applyFill="1" applyBorder="1" applyAlignment="1">
      <alignment horizontal="center" vertical="center" wrapText="1"/>
    </xf>
    <xf numFmtId="0" fontId="11" fillId="0" borderId="35" xfId="0" applyFont="1" applyBorder="1" applyAlignment="1">
      <alignment horizontal="center"/>
    </xf>
    <xf numFmtId="0" fontId="11" fillId="0" borderId="3" xfId="0" applyFont="1" applyBorder="1" applyAlignment="1">
      <alignment horizontal="center"/>
    </xf>
    <xf numFmtId="0" fontId="11" fillId="0" borderId="1" xfId="0" applyFont="1" applyBorder="1" applyAlignment="1">
      <alignment horizontal="center"/>
    </xf>
    <xf numFmtId="0" fontId="5" fillId="2" borderId="7"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6" fillId="2" borderId="23"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14" fillId="0" borderId="35" xfId="0" applyFont="1" applyBorder="1" applyAlignment="1">
      <alignment horizontal="center"/>
    </xf>
    <xf numFmtId="0" fontId="14" fillId="0" borderId="3" xfId="0" applyFont="1" applyBorder="1" applyAlignment="1">
      <alignment horizontal="center"/>
    </xf>
    <xf numFmtId="0" fontId="14" fillId="0" borderId="1" xfId="0" applyFont="1" applyBorder="1" applyAlignment="1">
      <alignment horizontal="center"/>
    </xf>
    <xf numFmtId="38" fontId="15" fillId="11" borderId="52" xfId="0" applyNumberFormat="1" applyFont="1" applyFill="1" applyBorder="1" applyAlignment="1">
      <alignment horizontal="center" vertical="center" wrapText="1"/>
    </xf>
    <xf numFmtId="38" fontId="15" fillId="11" borderId="53" xfId="0" applyNumberFormat="1" applyFont="1" applyFill="1" applyBorder="1" applyAlignment="1">
      <alignment horizontal="center" vertical="center" wrapText="1"/>
    </xf>
    <xf numFmtId="38" fontId="15" fillId="11" borderId="54" xfId="0" applyNumberFormat="1" applyFont="1" applyFill="1" applyBorder="1" applyAlignment="1">
      <alignment horizontal="center" vertical="center" wrapText="1"/>
    </xf>
    <xf numFmtId="38" fontId="15" fillId="11" borderId="55" xfId="0" applyNumberFormat="1" applyFont="1" applyFill="1" applyBorder="1" applyAlignment="1">
      <alignment horizontal="center" vertical="center" wrapText="1"/>
    </xf>
    <xf numFmtId="38" fontId="15" fillId="11" borderId="56" xfId="0" applyNumberFormat="1" applyFont="1" applyFill="1" applyBorder="1" applyAlignment="1">
      <alignment horizontal="center" vertical="center" wrapText="1"/>
    </xf>
    <xf numFmtId="38" fontId="15" fillId="11" borderId="57" xfId="0" applyNumberFormat="1" applyFont="1" applyFill="1" applyBorder="1" applyAlignment="1">
      <alignment horizontal="center" vertical="center" wrapText="1"/>
    </xf>
    <xf numFmtId="0" fontId="3" fillId="5" borderId="36" xfId="0" applyFont="1" applyFill="1" applyBorder="1" applyAlignment="1">
      <alignment horizontal="center" vertical="center" wrapText="1"/>
    </xf>
    <xf numFmtId="38" fontId="2" fillId="0" borderId="60" xfId="0" applyNumberFormat="1" applyFont="1" applyBorder="1" applyAlignment="1">
      <alignment vertical="center" wrapText="1"/>
    </xf>
    <xf numFmtId="38" fontId="3" fillId="4" borderId="16" xfId="0" applyNumberFormat="1" applyFont="1" applyFill="1" applyBorder="1" applyAlignment="1">
      <alignment horizontal="center" vertical="center" wrapText="1"/>
    </xf>
    <xf numFmtId="38" fontId="15" fillId="4" borderId="32" xfId="0" applyNumberFormat="1" applyFont="1" applyFill="1" applyBorder="1" applyAlignment="1">
      <alignment horizontal="center" vertical="center" wrapText="1"/>
    </xf>
    <xf numFmtId="38" fontId="15" fillId="4" borderId="25" xfId="0" applyNumberFormat="1" applyFont="1" applyFill="1" applyBorder="1" applyAlignment="1">
      <alignment horizontal="center" vertical="center" wrapText="1"/>
    </xf>
    <xf numFmtId="38" fontId="15" fillId="4" borderId="15" xfId="0" applyNumberFormat="1" applyFont="1" applyFill="1" applyBorder="1" applyAlignment="1">
      <alignment horizontal="center" vertical="center" wrapText="1"/>
    </xf>
    <xf numFmtId="38" fontId="15" fillId="4" borderId="14" xfId="0" applyNumberFormat="1" applyFont="1" applyFill="1" applyBorder="1" applyAlignment="1">
      <alignment horizontal="center" vertical="center" wrapText="1"/>
    </xf>
    <xf numFmtId="0" fontId="3" fillId="4" borderId="16" xfId="0" applyFont="1" applyFill="1" applyBorder="1" applyAlignment="1">
      <alignment horizontal="center" vertical="center" wrapText="1"/>
    </xf>
    <xf numFmtId="38" fontId="15" fillId="4" borderId="16" xfId="0" applyNumberFormat="1" applyFont="1" applyFill="1" applyBorder="1" applyAlignment="1">
      <alignment horizontal="center" vertical="center" wrapText="1"/>
    </xf>
    <xf numFmtId="38" fontId="15" fillId="4" borderId="36" xfId="0" applyNumberFormat="1" applyFont="1" applyFill="1" applyBorder="1" applyAlignment="1">
      <alignment horizontal="center" vertical="center" wrapText="1"/>
    </xf>
    <xf numFmtId="38" fontId="15" fillId="4" borderId="9" xfId="0" applyNumberFormat="1" applyFont="1" applyFill="1" applyBorder="1" applyAlignment="1">
      <alignment horizontal="center" vertical="center" wrapText="1"/>
    </xf>
    <xf numFmtId="38" fontId="15" fillId="4" borderId="8" xfId="0" applyNumberFormat="1" applyFont="1" applyFill="1" applyBorder="1" applyAlignment="1">
      <alignment horizontal="center" vertical="center" wrapText="1"/>
    </xf>
    <xf numFmtId="38" fontId="15" fillId="4" borderId="10" xfId="0" applyNumberFormat="1" applyFont="1" applyFill="1" applyBorder="1" applyAlignment="1">
      <alignment horizontal="center" vertical="center" wrapText="1"/>
    </xf>
    <xf numFmtId="38" fontId="3" fillId="4" borderId="10" xfId="0" applyNumberFormat="1" applyFont="1" applyFill="1" applyBorder="1" applyAlignment="1">
      <alignment horizontal="center" vertical="center" wrapText="1"/>
    </xf>
    <xf numFmtId="38" fontId="6" fillId="17" borderId="36" xfId="0" applyNumberFormat="1" applyFont="1" applyFill="1" applyBorder="1" applyAlignment="1">
      <alignment horizontal="center" vertical="center" wrapText="1"/>
    </xf>
    <xf numFmtId="38" fontId="6" fillId="17" borderId="9" xfId="0" applyNumberFormat="1" applyFont="1" applyFill="1" applyBorder="1" applyAlignment="1">
      <alignment horizontal="center" vertical="center" wrapText="1"/>
    </xf>
    <xf numFmtId="38" fontId="6" fillId="17" borderId="8" xfId="0" applyNumberFormat="1" applyFont="1" applyFill="1" applyBorder="1" applyAlignment="1">
      <alignment horizontal="center" vertical="center" wrapText="1"/>
    </xf>
    <xf numFmtId="38" fontId="6" fillId="17" borderId="40" xfId="0" applyNumberFormat="1" applyFont="1" applyFill="1" applyBorder="1" applyAlignment="1">
      <alignment horizontal="center" vertical="center" wrapText="1"/>
    </xf>
    <xf numFmtId="0" fontId="3" fillId="4" borderId="10" xfId="0" applyFont="1" applyFill="1" applyBorder="1" applyAlignment="1">
      <alignment horizontal="center" vertical="center" wrapText="1"/>
    </xf>
    <xf numFmtId="38" fontId="15" fillId="4" borderId="40" xfId="0" applyNumberFormat="1" applyFont="1" applyFill="1" applyBorder="1" applyAlignment="1">
      <alignment horizontal="center" vertical="center" wrapText="1"/>
    </xf>
    <xf numFmtId="38" fontId="6" fillId="17" borderId="10" xfId="0" applyNumberFormat="1" applyFont="1" applyFill="1" applyBorder="1" applyAlignment="1">
      <alignment horizontal="center" vertical="center" wrapText="1"/>
    </xf>
    <xf numFmtId="38" fontId="3" fillId="17" borderId="36" xfId="0" applyNumberFormat="1" applyFont="1" applyFill="1" applyBorder="1" applyAlignment="1">
      <alignment horizontal="center" vertical="center" wrapText="1"/>
    </xf>
    <xf numFmtId="38" fontId="3" fillId="17" borderId="9" xfId="0" applyNumberFormat="1" applyFont="1" applyFill="1" applyBorder="1" applyAlignment="1">
      <alignment horizontal="center" vertical="center" wrapText="1"/>
    </xf>
    <xf numFmtId="38" fontId="3" fillId="17" borderId="8" xfId="0" applyNumberFormat="1" applyFont="1" applyFill="1" applyBorder="1" applyAlignment="1">
      <alignment horizontal="center" vertical="center" wrapText="1"/>
    </xf>
    <xf numFmtId="38" fontId="3" fillId="17" borderId="40" xfId="0" applyNumberFormat="1" applyFont="1" applyFill="1" applyBorder="1" applyAlignment="1">
      <alignment horizontal="center" vertical="center" wrapText="1"/>
    </xf>
    <xf numFmtId="38" fontId="3" fillId="17" borderId="10" xfId="0" applyNumberFormat="1" applyFont="1" applyFill="1" applyBorder="1" applyAlignment="1">
      <alignment horizontal="center" vertical="center" wrapText="1"/>
    </xf>
    <xf numFmtId="0" fontId="6" fillId="17" borderId="9" xfId="0" applyFont="1" applyFill="1" applyBorder="1" applyAlignment="1">
      <alignment horizontal="center" vertical="center" wrapText="1"/>
    </xf>
    <xf numFmtId="0" fontId="6" fillId="17" borderId="8" xfId="0" applyFont="1" applyFill="1" applyBorder="1" applyAlignment="1">
      <alignment horizontal="center" vertical="center" wrapText="1"/>
    </xf>
    <xf numFmtId="0" fontId="3" fillId="17" borderId="9" xfId="0" applyFont="1" applyFill="1" applyBorder="1" applyAlignment="1">
      <alignment horizontal="center" vertical="center" wrapText="1"/>
    </xf>
    <xf numFmtId="0" fontId="3" fillId="17" borderId="8" xfId="0" applyFont="1" applyFill="1" applyBorder="1" applyAlignment="1">
      <alignment horizontal="center" vertical="center" wrapText="1"/>
    </xf>
    <xf numFmtId="38" fontId="15" fillId="17" borderId="36" xfId="0" applyNumberFormat="1" applyFont="1" applyFill="1" applyBorder="1" applyAlignment="1">
      <alignment horizontal="center" vertical="center" wrapText="1"/>
    </xf>
    <xf numFmtId="38" fontId="15" fillId="17" borderId="9" xfId="0" applyNumberFormat="1" applyFont="1" applyFill="1" applyBorder="1" applyAlignment="1">
      <alignment horizontal="center" vertical="center" wrapText="1"/>
    </xf>
    <xf numFmtId="38" fontId="15" fillId="17" borderId="8" xfId="0" applyNumberFormat="1" applyFont="1" applyFill="1" applyBorder="1" applyAlignment="1">
      <alignment horizontal="center" vertical="center" wrapText="1"/>
    </xf>
    <xf numFmtId="38" fontId="15" fillId="17" borderId="10" xfId="0" applyNumberFormat="1" applyFont="1" applyFill="1" applyBorder="1" applyAlignment="1">
      <alignment horizontal="center" vertical="center" wrapText="1"/>
    </xf>
    <xf numFmtId="38" fontId="3" fillId="4" borderId="58" xfId="0" applyNumberFormat="1" applyFont="1" applyFill="1" applyBorder="1" applyAlignment="1">
      <alignment vertical="center" wrapText="1"/>
    </xf>
    <xf numFmtId="38" fontId="15" fillId="17" borderId="40" xfId="0" applyNumberFormat="1" applyFont="1" applyFill="1" applyBorder="1" applyAlignment="1">
      <alignment horizontal="center" vertical="center" wrapText="1"/>
    </xf>
    <xf numFmtId="38" fontId="19" fillId="4" borderId="36" xfId="0" applyNumberFormat="1" applyFont="1" applyFill="1" applyBorder="1" applyAlignment="1">
      <alignment horizontal="center" vertical="center" wrapText="1"/>
    </xf>
    <xf numFmtId="38" fontId="19" fillId="4" borderId="9" xfId="0" applyNumberFormat="1" applyFont="1" applyFill="1" applyBorder="1" applyAlignment="1">
      <alignment horizontal="center" vertical="center" wrapText="1"/>
    </xf>
    <xf numFmtId="38" fontId="19" fillId="4" borderId="8" xfId="0" applyNumberFormat="1" applyFont="1" applyFill="1" applyBorder="1" applyAlignment="1">
      <alignment horizontal="center" vertical="center" wrapText="1"/>
    </xf>
    <xf numFmtId="38" fontId="19" fillId="4" borderId="10" xfId="0" applyNumberFormat="1" applyFont="1" applyFill="1" applyBorder="1" applyAlignment="1">
      <alignment horizontal="center" vertical="center" wrapText="1"/>
    </xf>
    <xf numFmtId="38" fontId="18" fillId="4" borderId="10" xfId="0" applyNumberFormat="1" applyFont="1" applyFill="1" applyBorder="1" applyAlignment="1">
      <alignment horizontal="center" vertical="center" wrapText="1"/>
    </xf>
    <xf numFmtId="38" fontId="19" fillId="4" borderId="40" xfId="0" applyNumberFormat="1" applyFont="1" applyFill="1" applyBorder="1" applyAlignment="1">
      <alignment horizontal="center" vertical="center" wrapText="1"/>
    </xf>
    <xf numFmtId="38" fontId="3" fillId="4" borderId="5" xfId="0" applyNumberFormat="1" applyFont="1" applyFill="1" applyBorder="1" applyAlignment="1">
      <alignment horizontal="center" vertical="center" wrapText="1"/>
    </xf>
    <xf numFmtId="38" fontId="15" fillId="4" borderId="44" xfId="0" applyNumberFormat="1" applyFont="1" applyFill="1" applyBorder="1" applyAlignment="1">
      <alignment horizontal="center" vertical="center" wrapText="1"/>
    </xf>
    <xf numFmtId="38" fontId="15" fillId="4" borderId="11" xfId="0" applyNumberFormat="1" applyFont="1" applyFill="1" applyBorder="1" applyAlignment="1">
      <alignment horizontal="center" vertical="center" wrapText="1"/>
    </xf>
    <xf numFmtId="38" fontId="15" fillId="4" borderId="6" xfId="0" applyNumberFormat="1" applyFont="1" applyFill="1" applyBorder="1" applyAlignment="1">
      <alignment horizontal="center" vertical="center" wrapText="1"/>
    </xf>
    <xf numFmtId="38" fontId="15" fillId="4" borderId="5" xfId="0" applyNumberFormat="1" applyFont="1" applyFill="1" applyBorder="1" applyAlignment="1">
      <alignment horizontal="center" vertical="center" wrapText="1"/>
    </xf>
    <xf numFmtId="0" fontId="3" fillId="4" borderId="44" xfId="0" applyFont="1" applyFill="1" applyBorder="1" applyAlignment="1">
      <alignment horizontal="center" vertical="center" wrapText="1"/>
    </xf>
    <xf numFmtId="0" fontId="3" fillId="4" borderId="5" xfId="0" applyFont="1" applyFill="1" applyBorder="1" applyAlignment="1">
      <alignment horizontal="center" vertical="center" wrapText="1"/>
    </xf>
    <xf numFmtId="38" fontId="15" fillId="4" borderId="52" xfId="0" applyNumberFormat="1" applyFont="1" applyFill="1" applyBorder="1" applyAlignment="1">
      <alignment horizontal="center" vertical="center" wrapText="1"/>
    </xf>
    <xf numFmtId="38" fontId="15" fillId="4" borderId="53" xfId="0" applyNumberFormat="1" applyFont="1" applyFill="1" applyBorder="1" applyAlignment="1">
      <alignment horizontal="center" vertical="center" wrapText="1"/>
    </xf>
    <xf numFmtId="38" fontId="15" fillId="4" borderId="54" xfId="0" applyNumberFormat="1" applyFont="1" applyFill="1" applyBorder="1" applyAlignment="1">
      <alignment horizontal="center" vertical="center" wrapText="1"/>
    </xf>
    <xf numFmtId="38" fontId="15" fillId="4" borderId="55" xfId="0" applyNumberFormat="1" applyFont="1" applyFill="1" applyBorder="1" applyAlignment="1">
      <alignment horizontal="center" vertical="center" wrapText="1"/>
    </xf>
    <xf numFmtId="38" fontId="15" fillId="4" borderId="56" xfId="0" applyNumberFormat="1" applyFont="1" applyFill="1" applyBorder="1" applyAlignment="1">
      <alignment horizontal="center" vertical="center" wrapText="1"/>
    </xf>
    <xf numFmtId="38" fontId="15" fillId="4" borderId="57" xfId="0" applyNumberFormat="1" applyFont="1" applyFill="1" applyBorder="1" applyAlignment="1">
      <alignment horizontal="center" vertical="center" wrapText="1"/>
    </xf>
    <xf numFmtId="38" fontId="3" fillId="4" borderId="39" xfId="0" applyNumberFormat="1" applyFont="1" applyFill="1" applyBorder="1" applyAlignment="1">
      <alignment horizontal="center" vertical="center" wrapText="1"/>
    </xf>
    <xf numFmtId="38" fontId="15" fillId="4" borderId="46" xfId="0" applyNumberFormat="1" applyFont="1" applyFill="1" applyBorder="1" applyAlignment="1">
      <alignment horizontal="center" vertical="center" wrapText="1"/>
    </xf>
    <xf numFmtId="38" fontId="15" fillId="4" borderId="42" xfId="0" applyNumberFormat="1" applyFont="1" applyFill="1" applyBorder="1" applyAlignment="1">
      <alignment horizontal="center" vertical="center" wrapText="1"/>
    </xf>
    <xf numFmtId="38" fontId="15" fillId="4" borderId="38" xfId="0" applyNumberFormat="1" applyFont="1" applyFill="1" applyBorder="1" applyAlignment="1">
      <alignment horizontal="center" vertical="center" wrapText="1"/>
    </xf>
    <xf numFmtId="38" fontId="15" fillId="4" borderId="39" xfId="0" applyNumberFormat="1" applyFont="1" applyFill="1" applyBorder="1" applyAlignment="1">
      <alignment horizontal="center" vertical="center" wrapText="1"/>
    </xf>
    <xf numFmtId="0" fontId="3" fillId="4" borderId="36" xfId="0" applyFont="1" applyFill="1" applyBorder="1" applyAlignment="1">
      <alignment horizontal="center" vertical="center" wrapText="1"/>
    </xf>
    <xf numFmtId="0" fontId="3" fillId="4" borderId="46" xfId="0" applyFont="1" applyFill="1" applyBorder="1" applyAlignment="1">
      <alignment horizontal="center" vertical="center" wrapText="1"/>
    </xf>
    <xf numFmtId="0" fontId="3" fillId="4" borderId="39" xfId="0" applyFont="1" applyFill="1" applyBorder="1" applyAlignment="1">
      <alignment horizontal="center" vertical="center" wrapText="1"/>
    </xf>
    <xf numFmtId="38" fontId="15" fillId="4" borderId="47" xfId="0" applyNumberFormat="1" applyFont="1" applyFill="1" applyBorder="1" applyAlignment="1">
      <alignment horizontal="center" vertical="center" wrapText="1"/>
    </xf>
    <xf numFmtId="0" fontId="15" fillId="4" borderId="17" xfId="0" applyFont="1" applyFill="1" applyBorder="1" applyAlignment="1">
      <alignment horizontal="center" vertical="center" wrapText="1"/>
    </xf>
    <xf numFmtId="0" fontId="15" fillId="4" borderId="26" xfId="0" applyFont="1" applyFill="1" applyBorder="1" applyAlignment="1">
      <alignment horizontal="center" vertical="center" wrapText="1"/>
    </xf>
    <xf numFmtId="0" fontId="15" fillId="4" borderId="19" xfId="0" applyFont="1" applyFill="1" applyBorder="1" applyAlignment="1">
      <alignment horizontal="center" vertical="center" wrapText="1"/>
    </xf>
    <xf numFmtId="0" fontId="3" fillId="4" borderId="19" xfId="0" applyFont="1" applyFill="1" applyBorder="1" applyAlignment="1">
      <alignment horizontal="center" vertical="center" wrapText="1"/>
    </xf>
    <xf numFmtId="38" fontId="3" fillId="4" borderId="26" xfId="0" applyNumberFormat="1" applyFont="1" applyFill="1" applyBorder="1" applyAlignment="1">
      <alignment horizontal="center" vertical="center" wrapText="1"/>
    </xf>
    <xf numFmtId="38" fontId="3" fillId="4" borderId="18" xfId="0" applyNumberFormat="1" applyFont="1" applyFill="1" applyBorder="1" applyAlignment="1">
      <alignment horizontal="center" vertical="center" wrapText="1"/>
    </xf>
    <xf numFmtId="38" fontId="3" fillId="4" borderId="19" xfId="0" applyNumberFormat="1" applyFont="1" applyFill="1" applyBorder="1" applyAlignment="1">
      <alignment horizontal="center" vertical="center" wrapText="1"/>
    </xf>
    <xf numFmtId="0" fontId="15" fillId="4" borderId="33" xfId="0" applyFont="1" applyFill="1" applyBorder="1" applyAlignment="1">
      <alignment horizontal="center" vertical="center" wrapText="1"/>
    </xf>
    <xf numFmtId="0" fontId="15" fillId="4" borderId="18" xfId="0" applyFont="1" applyFill="1" applyBorder="1" applyAlignment="1">
      <alignment horizontal="center" vertical="center" wrapText="1"/>
    </xf>
    <xf numFmtId="9" fontId="3" fillId="4" borderId="22" xfId="0" applyNumberFormat="1" applyFont="1" applyFill="1" applyBorder="1" applyAlignment="1">
      <alignment horizontal="center" vertical="center" wrapText="1"/>
    </xf>
    <xf numFmtId="9" fontId="15" fillId="4" borderId="34" xfId="0" applyNumberFormat="1" applyFont="1" applyFill="1" applyBorder="1" applyAlignment="1">
      <alignment horizontal="center" vertical="center" wrapText="1"/>
    </xf>
    <xf numFmtId="9" fontId="15" fillId="4" borderId="27" xfId="0" applyNumberFormat="1" applyFont="1" applyFill="1" applyBorder="1" applyAlignment="1">
      <alignment horizontal="center" vertical="center" wrapText="1"/>
    </xf>
    <xf numFmtId="9" fontId="15" fillId="4" borderId="21" xfId="0" applyNumberFormat="1" applyFont="1" applyFill="1" applyBorder="1" applyAlignment="1">
      <alignment horizontal="center" vertical="center" wrapText="1"/>
    </xf>
    <xf numFmtId="9" fontId="15" fillId="4" borderId="20" xfId="0" applyNumberFormat="1" applyFont="1" applyFill="1" applyBorder="1" applyAlignment="1">
      <alignment horizontal="center" vertical="center" wrapText="1"/>
    </xf>
    <xf numFmtId="9" fontId="15" fillId="4" borderId="22" xfId="0" applyNumberFormat="1" applyFont="1" applyFill="1" applyBorder="1" applyAlignment="1">
      <alignment horizontal="center" vertical="center" wrapText="1"/>
    </xf>
    <xf numFmtId="38" fontId="3" fillId="8" borderId="67" xfId="0" applyNumberFormat="1" applyFont="1" applyFill="1" applyBorder="1" applyAlignment="1">
      <alignment horizontal="center" vertical="center" wrapText="1"/>
    </xf>
    <xf numFmtId="38" fontId="3" fillId="8" borderId="64" xfId="0" applyNumberFormat="1" applyFont="1" applyFill="1" applyBorder="1" applyAlignment="1">
      <alignment horizontal="center" vertical="center" wrapText="1"/>
    </xf>
    <xf numFmtId="38" fontId="3" fillId="8" borderId="66" xfId="0" applyNumberFormat="1" applyFont="1" applyFill="1" applyBorder="1" applyAlignment="1">
      <alignment horizontal="center" vertical="center" wrapText="1"/>
    </xf>
    <xf numFmtId="38" fontId="15" fillId="11" borderId="67" xfId="0" applyNumberFormat="1" applyFont="1" applyFill="1" applyBorder="1" applyAlignment="1">
      <alignment horizontal="center" vertical="center" wrapText="1"/>
    </xf>
    <xf numFmtId="38" fontId="15" fillId="11" borderId="64" xfId="0" applyNumberFormat="1" applyFont="1" applyFill="1" applyBorder="1" applyAlignment="1">
      <alignment horizontal="center" vertical="center" wrapText="1"/>
    </xf>
    <xf numFmtId="38" fontId="15" fillId="11" borderId="66" xfId="0" applyNumberFormat="1" applyFont="1" applyFill="1" applyBorder="1" applyAlignment="1">
      <alignment horizontal="center" vertical="center" wrapText="1"/>
    </xf>
    <xf numFmtId="38" fontId="3" fillId="4" borderId="63" xfId="0" applyNumberFormat="1" applyFont="1" applyFill="1" applyBorder="1" applyAlignment="1">
      <alignment horizontal="center" vertical="center" wrapText="1"/>
    </xf>
    <xf numFmtId="38" fontId="3" fillId="4" borderId="64" xfId="0" applyNumberFormat="1" applyFont="1" applyFill="1" applyBorder="1" applyAlignment="1">
      <alignment horizontal="center" vertical="center" wrapText="1"/>
    </xf>
    <xf numFmtId="38" fontId="3" fillId="4" borderId="66" xfId="0" applyNumberFormat="1" applyFont="1" applyFill="1" applyBorder="1" applyAlignment="1">
      <alignment horizontal="center" vertical="center" wrapText="1"/>
    </xf>
    <xf numFmtId="38" fontId="3" fillId="9" borderId="63" xfId="0" applyNumberFormat="1" applyFont="1" applyFill="1" applyBorder="1" applyAlignment="1">
      <alignment horizontal="center" vertical="center" wrapText="1"/>
    </xf>
    <xf numFmtId="38" fontId="3" fillId="9" borderId="64" xfId="0" applyNumberFormat="1" applyFont="1" applyFill="1" applyBorder="1" applyAlignment="1">
      <alignment horizontal="center" vertical="center" wrapText="1"/>
    </xf>
    <xf numFmtId="38" fontId="3" fillId="9" borderId="66" xfId="0" applyNumberFormat="1" applyFont="1" applyFill="1" applyBorder="1" applyAlignment="1">
      <alignment horizontal="center" vertical="center" wrapText="1"/>
    </xf>
    <xf numFmtId="38" fontId="3" fillId="8" borderId="63" xfId="0" applyNumberFormat="1" applyFont="1" applyFill="1" applyBorder="1" applyAlignment="1">
      <alignment horizontal="center" vertical="center" wrapText="1"/>
    </xf>
    <xf numFmtId="38" fontId="3" fillId="9" borderId="65" xfId="0" applyNumberFormat="1" applyFont="1" applyFill="1" applyBorder="1" applyAlignment="1">
      <alignment horizontal="center" vertical="center" wrapText="1"/>
    </xf>
    <xf numFmtId="38" fontId="3" fillId="4" borderId="67" xfId="0" applyNumberFormat="1" applyFont="1" applyFill="1" applyBorder="1" applyAlignment="1">
      <alignment horizontal="center" vertical="center" wrapText="1"/>
    </xf>
    <xf numFmtId="38" fontId="3" fillId="5" borderId="63" xfId="0" applyNumberFormat="1" applyFont="1" applyFill="1" applyBorder="1" applyAlignment="1">
      <alignment horizontal="center" vertical="center" wrapText="1"/>
    </xf>
    <xf numFmtId="38" fontId="3" fillId="5" borderId="64" xfId="0" applyNumberFormat="1" applyFont="1" applyFill="1" applyBorder="1" applyAlignment="1">
      <alignment horizontal="center" vertical="center" wrapText="1"/>
    </xf>
    <xf numFmtId="38" fontId="3" fillId="5" borderId="66" xfId="0" applyNumberFormat="1" applyFont="1" applyFill="1" applyBorder="1" applyAlignment="1">
      <alignment horizontal="center" vertical="center" wrapText="1"/>
    </xf>
    <xf numFmtId="38" fontId="3" fillId="5" borderId="65" xfId="0" applyNumberFormat="1" applyFont="1" applyFill="1" applyBorder="1" applyAlignment="1">
      <alignment horizontal="center" vertical="center" wrapText="1"/>
    </xf>
    <xf numFmtId="38" fontId="15" fillId="12" borderId="63" xfId="0" applyNumberFormat="1" applyFont="1" applyFill="1" applyBorder="1" applyAlignment="1">
      <alignment horizontal="center" vertical="center" wrapText="1"/>
    </xf>
    <xf numFmtId="38" fontId="15" fillId="12" borderId="64" xfId="0" applyNumberFormat="1" applyFont="1" applyFill="1" applyBorder="1" applyAlignment="1">
      <alignment horizontal="center" vertical="center" wrapText="1"/>
    </xf>
    <xf numFmtId="38" fontId="15" fillId="12" borderId="66" xfId="0" applyNumberFormat="1" applyFont="1" applyFill="1" applyBorder="1" applyAlignment="1">
      <alignment horizontal="center" vertical="center" wrapText="1"/>
    </xf>
    <xf numFmtId="38" fontId="15" fillId="11" borderId="63" xfId="0" applyNumberFormat="1" applyFont="1" applyFill="1" applyBorder="1" applyAlignment="1">
      <alignment horizontal="center" vertical="center" wrapText="1"/>
    </xf>
    <xf numFmtId="38" fontId="15" fillId="12" borderId="65" xfId="0" applyNumberFormat="1" applyFont="1" applyFill="1" applyBorder="1" applyAlignment="1">
      <alignment horizontal="center" vertical="center" wrapText="1"/>
    </xf>
    <xf numFmtId="38" fontId="3" fillId="14" borderId="63" xfId="0" applyNumberFormat="1" applyFont="1" applyFill="1" applyBorder="1" applyAlignment="1">
      <alignment horizontal="center" vertical="center" wrapText="1"/>
    </xf>
    <xf numFmtId="38" fontId="3" fillId="14" borderId="64" xfId="0" applyNumberFormat="1" applyFont="1" applyFill="1" applyBorder="1" applyAlignment="1">
      <alignment horizontal="center" vertical="center" wrapText="1"/>
    </xf>
    <xf numFmtId="38" fontId="3" fillId="14" borderId="65" xfId="0" applyNumberFormat="1" applyFont="1" applyFill="1" applyBorder="1" applyAlignment="1">
      <alignment horizontal="center" vertical="center" wrapText="1"/>
    </xf>
    <xf numFmtId="0" fontId="3" fillId="14" borderId="63" xfId="0" applyFont="1" applyFill="1" applyBorder="1" applyAlignment="1">
      <alignment horizontal="center" vertical="center" wrapText="1"/>
    </xf>
    <xf numFmtId="0" fontId="3" fillId="14" borderId="64" xfId="0" applyFont="1" applyFill="1" applyBorder="1" applyAlignment="1">
      <alignment horizontal="center" vertical="center" wrapText="1"/>
    </xf>
    <xf numFmtId="0" fontId="3" fillId="14" borderId="66" xfId="0" applyFont="1" applyFill="1" applyBorder="1" applyAlignment="1">
      <alignment horizontal="center" vertical="center" wrapText="1"/>
    </xf>
    <xf numFmtId="38" fontId="3" fillId="14" borderId="66" xfId="0" applyNumberFormat="1" applyFont="1" applyFill="1" applyBorder="1" applyAlignment="1">
      <alignment horizontal="center" vertical="center" wrapText="1"/>
    </xf>
    <xf numFmtId="0" fontId="3" fillId="14" borderId="65" xfId="0" applyFont="1" applyFill="1" applyBorder="1" applyAlignment="1">
      <alignment horizontal="center" vertical="center" wrapText="1"/>
    </xf>
    <xf numFmtId="38" fontId="3" fillId="14" borderId="67" xfId="0" applyNumberFormat="1" applyFont="1" applyFill="1" applyBorder="1" applyAlignment="1">
      <alignment horizontal="center" vertical="center" wrapText="1"/>
    </xf>
    <xf numFmtId="38" fontId="3" fillId="9" borderId="68" xfId="0" applyNumberFormat="1" applyFont="1" applyFill="1" applyBorder="1" applyAlignment="1">
      <alignment horizontal="center" vertical="center" wrapText="1"/>
    </xf>
    <xf numFmtId="38" fontId="3" fillId="9" borderId="69" xfId="0" applyNumberFormat="1" applyFont="1" applyFill="1" applyBorder="1" applyAlignment="1">
      <alignment horizontal="center" vertical="center" wrapText="1"/>
    </xf>
    <xf numFmtId="38" fontId="3" fillId="9" borderId="70" xfId="0" applyNumberFormat="1" applyFont="1" applyFill="1" applyBorder="1" applyAlignment="1">
      <alignment horizontal="center" vertical="center" wrapText="1"/>
    </xf>
    <xf numFmtId="38" fontId="15" fillId="11" borderId="72" xfId="0" applyNumberFormat="1" applyFont="1" applyFill="1" applyBorder="1" applyAlignment="1">
      <alignment horizontal="center" vertical="center" wrapText="1"/>
    </xf>
    <xf numFmtId="38" fontId="15" fillId="11" borderId="69" xfId="0" applyNumberFormat="1" applyFont="1" applyFill="1" applyBorder="1" applyAlignment="1">
      <alignment horizontal="center" vertical="center" wrapText="1"/>
    </xf>
    <xf numFmtId="38" fontId="15" fillId="11" borderId="71" xfId="0" applyNumberFormat="1" applyFont="1" applyFill="1" applyBorder="1" applyAlignment="1">
      <alignment horizontal="center" vertical="center" wrapText="1"/>
    </xf>
    <xf numFmtId="38" fontId="15" fillId="12" borderId="68" xfId="0" applyNumberFormat="1" applyFont="1" applyFill="1" applyBorder="1" applyAlignment="1">
      <alignment horizontal="center" vertical="center" wrapText="1"/>
    </xf>
    <xf numFmtId="38" fontId="15" fillId="12" borderId="69" xfId="0" applyNumberFormat="1" applyFont="1" applyFill="1" applyBorder="1" applyAlignment="1">
      <alignment horizontal="center" vertical="center" wrapText="1"/>
    </xf>
    <xf numFmtId="38" fontId="15" fillId="12" borderId="71" xfId="0" applyNumberFormat="1" applyFont="1" applyFill="1" applyBorder="1" applyAlignment="1">
      <alignment horizontal="center" vertical="center" wrapText="1"/>
    </xf>
    <xf numFmtId="38" fontId="15" fillId="11" borderId="68" xfId="0" applyNumberFormat="1" applyFont="1" applyFill="1" applyBorder="1" applyAlignment="1">
      <alignment horizontal="center" vertical="center" wrapText="1"/>
    </xf>
    <xf numFmtId="38" fontId="15" fillId="14" borderId="63" xfId="0" applyNumberFormat="1" applyFont="1" applyFill="1" applyBorder="1" applyAlignment="1">
      <alignment horizontal="center" vertical="center" wrapText="1"/>
    </xf>
    <xf numFmtId="38" fontId="15" fillId="14" borderId="64" xfId="0" applyNumberFormat="1" applyFont="1" applyFill="1" applyBorder="1" applyAlignment="1">
      <alignment horizontal="center" vertical="center" wrapText="1"/>
    </xf>
    <xf numFmtId="38" fontId="15" fillId="14" borderId="66" xfId="0" applyNumberFormat="1" applyFont="1" applyFill="1" applyBorder="1" applyAlignment="1">
      <alignment horizontal="center" vertical="center" wrapText="1"/>
    </xf>
    <xf numFmtId="38" fontId="15" fillId="14" borderId="65" xfId="0" applyNumberFormat="1" applyFont="1" applyFill="1" applyBorder="1" applyAlignment="1">
      <alignment horizontal="center" vertical="center" wrapText="1"/>
    </xf>
    <xf numFmtId="38" fontId="3" fillId="4" borderId="72" xfId="0" applyNumberFormat="1" applyFont="1" applyFill="1" applyBorder="1" applyAlignment="1">
      <alignment horizontal="center" vertical="center" wrapText="1"/>
    </xf>
    <xf numFmtId="38" fontId="3" fillId="4" borderId="69" xfId="0" applyNumberFormat="1" applyFont="1" applyFill="1" applyBorder="1" applyAlignment="1">
      <alignment horizontal="center" vertical="center" wrapText="1"/>
    </xf>
    <xf numFmtId="38" fontId="3" fillId="4" borderId="71" xfId="0" applyNumberFormat="1" applyFont="1" applyFill="1" applyBorder="1" applyAlignment="1">
      <alignment horizontal="center" vertical="center" wrapText="1"/>
    </xf>
    <xf numFmtId="38" fontId="3" fillId="5" borderId="68" xfId="0" applyNumberFormat="1" applyFont="1" applyFill="1" applyBorder="1" applyAlignment="1">
      <alignment horizontal="center" vertical="center" wrapText="1"/>
    </xf>
    <xf numFmtId="38" fontId="3" fillId="5" borderId="69" xfId="0" applyNumberFormat="1" applyFont="1" applyFill="1" applyBorder="1" applyAlignment="1">
      <alignment horizontal="center" vertical="center" wrapText="1"/>
    </xf>
    <xf numFmtId="38" fontId="3" fillId="5" borderId="71" xfId="0" applyNumberFormat="1" applyFont="1" applyFill="1" applyBorder="1" applyAlignment="1">
      <alignment horizontal="center" vertical="center" wrapText="1"/>
    </xf>
    <xf numFmtId="38" fontId="3" fillId="4" borderId="68" xfId="0" applyNumberFormat="1" applyFont="1" applyFill="1" applyBorder="1" applyAlignment="1">
      <alignment horizontal="center" vertical="center" wrapText="1"/>
    </xf>
    <xf numFmtId="38" fontId="3" fillId="5" borderId="70" xfId="0" applyNumberFormat="1" applyFont="1" applyFill="1" applyBorder="1" applyAlignment="1">
      <alignment horizontal="center" vertical="center" wrapText="1"/>
    </xf>
    <xf numFmtId="38" fontId="3" fillId="8" borderId="68" xfId="0" applyNumberFormat="1" applyFont="1" applyFill="1" applyBorder="1" applyAlignment="1">
      <alignment horizontal="center" vertical="center" wrapText="1"/>
    </xf>
    <xf numFmtId="38" fontId="3" fillId="8" borderId="69" xfId="0" applyNumberFormat="1" applyFont="1" applyFill="1" applyBorder="1" applyAlignment="1">
      <alignment horizontal="center" vertical="center" wrapText="1"/>
    </xf>
    <xf numFmtId="38" fontId="3" fillId="8" borderId="71" xfId="0" applyNumberFormat="1" applyFont="1" applyFill="1" applyBorder="1" applyAlignment="1">
      <alignment horizontal="center" vertical="center" wrapText="1"/>
    </xf>
    <xf numFmtId="0" fontId="3" fillId="5" borderId="68" xfId="0" applyFont="1" applyFill="1" applyBorder="1" applyAlignment="1">
      <alignment horizontal="center" vertical="center" wrapText="1"/>
    </xf>
    <xf numFmtId="0" fontId="3" fillId="5" borderId="69" xfId="0" applyFont="1" applyFill="1" applyBorder="1" applyAlignment="1">
      <alignment horizontal="center" vertical="center" wrapText="1"/>
    </xf>
    <xf numFmtId="0" fontId="3" fillId="5" borderId="71" xfId="0" applyFont="1" applyFill="1" applyBorder="1" applyAlignment="1">
      <alignment horizontal="center" vertical="center" wrapText="1"/>
    </xf>
    <xf numFmtId="0" fontId="3" fillId="5" borderId="70" xfId="0" applyFont="1" applyFill="1" applyBorder="1" applyAlignment="1">
      <alignment horizontal="center" vertical="center" wrapText="1"/>
    </xf>
    <xf numFmtId="38" fontId="3" fillId="8" borderId="72" xfId="0" applyNumberFormat="1" applyFont="1" applyFill="1" applyBorder="1" applyAlignment="1">
      <alignment horizontal="center" vertical="center" wrapText="1"/>
    </xf>
    <xf numFmtId="38" fontId="3" fillId="9" borderId="71" xfId="0" applyNumberFormat="1" applyFont="1" applyFill="1" applyBorder="1" applyAlignment="1">
      <alignment horizontal="center" vertical="center" wrapText="1"/>
    </xf>
    <xf numFmtId="38" fontId="15" fillId="12" borderId="70" xfId="0" applyNumberFormat="1" applyFont="1" applyFill="1" applyBorder="1" applyAlignment="1">
      <alignment horizontal="center" vertical="center" wrapText="1"/>
    </xf>
    <xf numFmtId="38" fontId="18" fillId="8" borderId="63" xfId="0" applyNumberFormat="1" applyFont="1" applyFill="1" applyBorder="1" applyAlignment="1">
      <alignment horizontal="center" vertical="center" wrapText="1"/>
    </xf>
    <xf numFmtId="38" fontId="18" fillId="8" borderId="64" xfId="0" applyNumberFormat="1" applyFont="1" applyFill="1" applyBorder="1" applyAlignment="1">
      <alignment horizontal="center" vertical="center" wrapText="1"/>
    </xf>
    <xf numFmtId="38" fontId="18" fillId="8" borderId="66" xfId="0" applyNumberFormat="1" applyFont="1" applyFill="1" applyBorder="1" applyAlignment="1">
      <alignment horizontal="center" vertical="center" wrapText="1"/>
    </xf>
    <xf numFmtId="38" fontId="18" fillId="9" borderId="63" xfId="0" applyNumberFormat="1" applyFont="1" applyFill="1" applyBorder="1" applyAlignment="1">
      <alignment horizontal="center" vertical="center" wrapText="1"/>
    </xf>
    <xf numFmtId="38" fontId="18" fillId="9" borderId="64" xfId="0" applyNumberFormat="1" applyFont="1" applyFill="1" applyBorder="1" applyAlignment="1">
      <alignment horizontal="center" vertical="center" wrapText="1"/>
    </xf>
    <xf numFmtId="38" fontId="18" fillId="9" borderId="65" xfId="0" applyNumberFormat="1" applyFont="1" applyFill="1" applyBorder="1" applyAlignment="1">
      <alignment horizontal="center" vertical="center" wrapText="1"/>
    </xf>
    <xf numFmtId="38" fontId="18" fillId="4" borderId="63" xfId="0" applyNumberFormat="1" applyFont="1" applyFill="1" applyBorder="1" applyAlignment="1">
      <alignment horizontal="center" vertical="center" wrapText="1"/>
    </xf>
    <xf numFmtId="38" fontId="18" fillId="4" borderId="64" xfId="0" applyNumberFormat="1" applyFont="1" applyFill="1" applyBorder="1" applyAlignment="1">
      <alignment horizontal="center" vertical="center" wrapText="1"/>
    </xf>
    <xf numFmtId="38" fontId="18" fillId="4" borderId="66" xfId="0" applyNumberFormat="1" applyFont="1" applyFill="1" applyBorder="1" applyAlignment="1">
      <alignment horizontal="center" vertical="center" wrapText="1"/>
    </xf>
    <xf numFmtId="38" fontId="18" fillId="5" borderId="63" xfId="0" applyNumberFormat="1" applyFont="1" applyFill="1" applyBorder="1" applyAlignment="1">
      <alignment horizontal="center" vertical="center" wrapText="1"/>
    </xf>
    <xf numFmtId="38" fontId="18" fillId="5" borderId="64" xfId="0" applyNumberFormat="1" applyFont="1" applyFill="1" applyBorder="1" applyAlignment="1">
      <alignment horizontal="center" vertical="center" wrapText="1"/>
    </xf>
    <xf numFmtId="38" fontId="18" fillId="5" borderId="65" xfId="0" applyNumberFormat="1" applyFont="1" applyFill="1" applyBorder="1" applyAlignment="1">
      <alignment horizontal="center" vertical="center" wrapText="1"/>
    </xf>
    <xf numFmtId="38" fontId="18" fillId="8" borderId="67" xfId="0" applyNumberFormat="1" applyFont="1" applyFill="1" applyBorder="1" applyAlignment="1">
      <alignment horizontal="center" vertical="center" wrapText="1"/>
    </xf>
    <xf numFmtId="38" fontId="18" fillId="9" borderId="66" xfId="0" applyNumberFormat="1" applyFont="1" applyFill="1" applyBorder="1" applyAlignment="1">
      <alignment horizontal="center" vertical="center" wrapText="1"/>
    </xf>
    <xf numFmtId="38" fontId="18" fillId="5" borderId="66" xfId="0" applyNumberFormat="1" applyFont="1" applyFill="1" applyBorder="1" applyAlignment="1">
      <alignment horizontal="center" vertical="center" wrapText="1"/>
    </xf>
    <xf numFmtId="38" fontId="3" fillId="7" borderId="58" xfId="0" applyNumberFormat="1" applyFont="1" applyFill="1" applyBorder="1" applyAlignment="1">
      <alignment horizontal="center" vertical="center" wrapText="1"/>
    </xf>
    <xf numFmtId="38" fontId="3" fillId="6" borderId="58" xfId="0" applyNumberFormat="1" applyFont="1" applyFill="1" applyBorder="1" applyAlignment="1">
      <alignment horizontal="center" vertical="center" wrapText="1"/>
    </xf>
    <xf numFmtId="38" fontId="18" fillId="4" borderId="67" xfId="0" applyNumberFormat="1" applyFont="1" applyFill="1" applyBorder="1" applyAlignment="1">
      <alignment horizontal="center" vertical="center" wrapText="1"/>
    </xf>
    <xf numFmtId="38" fontId="19" fillId="11" borderId="67" xfId="0" applyNumberFormat="1" applyFont="1" applyFill="1" applyBorder="1" applyAlignment="1">
      <alignment horizontal="center" vertical="center" wrapText="1"/>
    </xf>
    <xf numFmtId="38" fontId="19" fillId="11" borderId="64" xfId="0" applyNumberFormat="1" applyFont="1" applyFill="1" applyBorder="1" applyAlignment="1">
      <alignment horizontal="center" vertical="center" wrapText="1"/>
    </xf>
    <xf numFmtId="38" fontId="19" fillId="11" borderId="66" xfId="0" applyNumberFormat="1" applyFont="1" applyFill="1" applyBorder="1" applyAlignment="1">
      <alignment horizontal="center" vertical="center" wrapText="1"/>
    </xf>
    <xf numFmtId="38" fontId="19" fillId="12" borderId="63" xfId="0" applyNumberFormat="1" applyFont="1" applyFill="1" applyBorder="1" applyAlignment="1">
      <alignment horizontal="center" vertical="center" wrapText="1"/>
    </xf>
    <xf numFmtId="38" fontId="19" fillId="12" borderId="64" xfId="0" applyNumberFormat="1" applyFont="1" applyFill="1" applyBorder="1" applyAlignment="1">
      <alignment horizontal="center" vertical="center" wrapText="1"/>
    </xf>
    <xf numFmtId="38" fontId="19" fillId="12" borderId="66" xfId="0" applyNumberFormat="1" applyFont="1" applyFill="1" applyBorder="1" applyAlignment="1">
      <alignment horizontal="center" vertical="center" wrapText="1"/>
    </xf>
    <xf numFmtId="38" fontId="19" fillId="11" borderId="63" xfId="0" applyNumberFormat="1" applyFont="1" applyFill="1" applyBorder="1" applyAlignment="1">
      <alignment horizontal="center" vertical="center" wrapText="1"/>
    </xf>
    <xf numFmtId="38" fontId="19" fillId="12" borderId="65" xfId="0" applyNumberFormat="1" applyFont="1" applyFill="1" applyBorder="1" applyAlignment="1">
      <alignment horizontal="center" vertical="center" wrapText="1"/>
    </xf>
    <xf numFmtId="38" fontId="18" fillId="7" borderId="58" xfId="0" applyNumberFormat="1" applyFont="1" applyFill="1" applyBorder="1" applyAlignment="1">
      <alignment horizontal="center" vertical="center" wrapText="1"/>
    </xf>
    <xf numFmtId="38" fontId="18" fillId="6" borderId="58" xfId="0" applyNumberFormat="1" applyFont="1" applyFill="1" applyBorder="1" applyAlignment="1">
      <alignment horizontal="center" vertical="center" wrapText="1"/>
    </xf>
    <xf numFmtId="0" fontId="6" fillId="2" borderId="58"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11" fillId="0" borderId="73" xfId="0" applyFont="1" applyBorder="1" applyAlignment="1">
      <alignment horizontal="center"/>
    </xf>
    <xf numFmtId="0" fontId="11" fillId="0" borderId="74" xfId="0" applyFont="1" applyBorder="1" applyAlignment="1">
      <alignment horizontal="center"/>
    </xf>
    <xf numFmtId="0" fontId="11" fillId="0" borderId="75" xfId="0" applyFont="1" applyBorder="1"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W36"/>
  <sheetViews>
    <sheetView zoomScale="130" zoomScaleNormal="130" workbookViewId="0">
      <pane xSplit="5" topLeftCell="F1" activePane="topRight" state="frozen"/>
      <selection pane="topRight" activeCell="A4" sqref="A4:A16"/>
    </sheetView>
  </sheetViews>
  <sheetFormatPr baseColWidth="10" defaultRowHeight="15.75"/>
  <cols>
    <col min="1" max="1" width="3.625" bestFit="1" customWidth="1"/>
    <col min="2" max="2" width="4.125" bestFit="1" customWidth="1"/>
    <col min="3" max="3" width="20.125" customWidth="1"/>
    <col min="4" max="4" width="6.625" hidden="1" customWidth="1"/>
    <col min="5" max="5" width="6.375" hidden="1" customWidth="1"/>
    <col min="6" max="6" width="6.625" bestFit="1" customWidth="1"/>
    <col min="7" max="7" width="6.375" bestFit="1" customWidth="1"/>
    <col min="8" max="8" width="6.875" bestFit="1" customWidth="1"/>
    <col min="9" max="9" width="6.625" bestFit="1" customWidth="1"/>
    <col min="10" max="10" width="6.375" bestFit="1" customWidth="1"/>
    <col min="11" max="11" width="6.875" bestFit="1" customWidth="1"/>
    <col min="12" max="12" width="6.625" bestFit="1" customWidth="1"/>
    <col min="13" max="13" width="6.375" bestFit="1" customWidth="1"/>
    <col min="14" max="17" width="6.875" bestFit="1" customWidth="1"/>
    <col min="18" max="18" width="6.625" bestFit="1" customWidth="1"/>
    <col min="19" max="19" width="6.375" bestFit="1" customWidth="1"/>
    <col min="20" max="20" width="6" bestFit="1" customWidth="1"/>
    <col min="21" max="21" width="6.625" bestFit="1" customWidth="1"/>
    <col min="22" max="22" width="6.375" bestFit="1" customWidth="1"/>
    <col min="23" max="23" width="6" bestFit="1" customWidth="1"/>
    <col min="24" max="24" width="6.625" bestFit="1" customWidth="1"/>
    <col min="25" max="25" width="6.375" bestFit="1" customWidth="1"/>
    <col min="26" max="26" width="6" bestFit="1" customWidth="1"/>
    <col min="27" max="27" width="6.625" bestFit="1" customWidth="1"/>
    <col min="28" max="28" width="6.375" bestFit="1" customWidth="1"/>
    <col min="29" max="29" width="6" bestFit="1" customWidth="1"/>
    <col min="30" max="30" width="6.625" bestFit="1" customWidth="1"/>
    <col min="31" max="31" width="6.375" bestFit="1" customWidth="1"/>
    <col min="32" max="32" width="6" bestFit="1" customWidth="1"/>
    <col min="33" max="33" width="6.625" bestFit="1" customWidth="1"/>
    <col min="34" max="34" width="6.375" bestFit="1" customWidth="1"/>
    <col min="35" max="35" width="6" bestFit="1" customWidth="1"/>
    <col min="36" max="36" width="6.625" bestFit="1" customWidth="1"/>
    <col min="37" max="37" width="6.375" bestFit="1" customWidth="1"/>
    <col min="38" max="38" width="6" bestFit="1" customWidth="1"/>
    <col min="39" max="39" width="6.625" bestFit="1" customWidth="1"/>
    <col min="40" max="40" width="6.375" bestFit="1" customWidth="1"/>
    <col min="41" max="41" width="6" bestFit="1" customWidth="1"/>
    <col min="42" max="42" width="6.625" bestFit="1" customWidth="1"/>
    <col min="43" max="43" width="6.375" bestFit="1" customWidth="1"/>
    <col min="44" max="44" width="6" bestFit="1" customWidth="1"/>
    <col min="45" max="45" width="6.625" bestFit="1" customWidth="1"/>
    <col min="46" max="46" width="6.375" bestFit="1" customWidth="1"/>
    <col min="47" max="47" width="6" bestFit="1" customWidth="1"/>
    <col min="48" max="48" width="6.625" bestFit="1" customWidth="1"/>
    <col min="49" max="49" width="6.375" bestFit="1" customWidth="1"/>
    <col min="50" max="50" width="6" bestFit="1" customWidth="1"/>
    <col min="51" max="51" width="6.625" bestFit="1" customWidth="1"/>
    <col min="52" max="52" width="6.375" bestFit="1" customWidth="1"/>
    <col min="53" max="53" width="6" bestFit="1" customWidth="1"/>
    <col min="54" max="54" width="6.625" bestFit="1" customWidth="1"/>
    <col min="55" max="55" width="6.375" bestFit="1" customWidth="1"/>
    <col min="56" max="56" width="5.125" bestFit="1" customWidth="1"/>
    <col min="57" max="57" width="6.625" bestFit="1" customWidth="1"/>
    <col min="58" max="58" width="6.375" bestFit="1" customWidth="1"/>
    <col min="59" max="59" width="6" bestFit="1" customWidth="1"/>
    <col min="60" max="60" width="6.625" bestFit="1" customWidth="1"/>
    <col min="61" max="61" width="6.375" bestFit="1" customWidth="1"/>
    <col min="62" max="62" width="6" bestFit="1" customWidth="1"/>
    <col min="63" max="63" width="6.625" bestFit="1" customWidth="1"/>
    <col min="64" max="64" width="6.375" bestFit="1" customWidth="1"/>
    <col min="65" max="65" width="6" bestFit="1" customWidth="1"/>
    <col min="66" max="66" width="6.625" bestFit="1" customWidth="1"/>
    <col min="67" max="67" width="6.375" bestFit="1" customWidth="1"/>
    <col min="68" max="68" width="6" bestFit="1" customWidth="1"/>
    <col min="69" max="69" width="6.625" bestFit="1" customWidth="1"/>
    <col min="70" max="70" width="6.375" bestFit="1" customWidth="1"/>
    <col min="71" max="71" width="6" bestFit="1" customWidth="1"/>
    <col min="72" max="72" width="6.625" bestFit="1" customWidth="1"/>
    <col min="73" max="73" width="6.375" bestFit="1" customWidth="1"/>
    <col min="74" max="74" width="6" bestFit="1" customWidth="1"/>
    <col min="75" max="75" width="6.625" bestFit="1" customWidth="1"/>
    <col min="76" max="76" width="6.375" bestFit="1" customWidth="1"/>
    <col min="77" max="77" width="6" bestFit="1" customWidth="1"/>
    <col min="78" max="78" width="6.625" bestFit="1" customWidth="1"/>
    <col min="79" max="79" width="6.375" bestFit="1" customWidth="1"/>
    <col min="80" max="80" width="5.625" bestFit="1" customWidth="1"/>
    <col min="81" max="81" width="6.625" bestFit="1" customWidth="1"/>
    <col min="82" max="82" width="6.375" bestFit="1" customWidth="1"/>
    <col min="83" max="83" width="5.625" bestFit="1" customWidth="1"/>
    <col min="84" max="84" width="6.625" bestFit="1" customWidth="1"/>
    <col min="85" max="85" width="6.375" bestFit="1" customWidth="1"/>
    <col min="86" max="86" width="5.625" bestFit="1" customWidth="1"/>
    <col min="87" max="87" width="6.625" bestFit="1" customWidth="1"/>
    <col min="88" max="88" width="6.375" bestFit="1" customWidth="1"/>
    <col min="89" max="89" width="5.625" bestFit="1" customWidth="1"/>
    <col min="90" max="90" width="6.625" bestFit="1" customWidth="1"/>
    <col min="91" max="91" width="6.375" bestFit="1" customWidth="1"/>
    <col min="92" max="92" width="6" bestFit="1" customWidth="1"/>
    <col min="93" max="93" width="6.625" bestFit="1" customWidth="1"/>
    <col min="94" max="94" width="6.375" bestFit="1" customWidth="1"/>
    <col min="95" max="95" width="6" bestFit="1" customWidth="1"/>
    <col min="96" max="96" width="6.625" bestFit="1" customWidth="1"/>
    <col min="97" max="97" width="6.375" bestFit="1" customWidth="1"/>
    <col min="98" max="98" width="6" bestFit="1" customWidth="1"/>
    <col min="99" max="99" width="6.625" bestFit="1" customWidth="1"/>
    <col min="100" max="100" width="6.375" bestFit="1" customWidth="1"/>
    <col min="101" max="101" width="6" bestFit="1" customWidth="1"/>
  </cols>
  <sheetData>
    <row r="1" spans="1:101" s="11" customFormat="1" ht="16.5" thickBot="1">
      <c r="F1" s="829" t="s">
        <v>60</v>
      </c>
      <c r="G1" s="830"/>
      <c r="H1" s="830"/>
      <c r="I1" s="830"/>
      <c r="J1" s="830"/>
      <c r="K1" s="830"/>
      <c r="L1" s="830"/>
      <c r="M1" s="830"/>
      <c r="N1" s="830"/>
      <c r="O1" s="830"/>
      <c r="P1" s="830"/>
      <c r="Q1" s="831"/>
      <c r="R1" s="829" t="s">
        <v>53</v>
      </c>
      <c r="S1" s="830"/>
      <c r="T1" s="830"/>
      <c r="U1" s="830"/>
      <c r="V1" s="830"/>
      <c r="W1" s="830"/>
      <c r="X1" s="830"/>
      <c r="Y1" s="830"/>
      <c r="Z1" s="830"/>
      <c r="AA1" s="830"/>
      <c r="AB1" s="830"/>
      <c r="AC1" s="831"/>
      <c r="AD1" s="829" t="s">
        <v>54</v>
      </c>
      <c r="AE1" s="830"/>
      <c r="AF1" s="830"/>
      <c r="AG1" s="830"/>
      <c r="AH1" s="830"/>
      <c r="AI1" s="830"/>
      <c r="AJ1" s="830"/>
      <c r="AK1" s="830"/>
      <c r="AL1" s="830"/>
      <c r="AM1" s="830"/>
      <c r="AN1" s="830"/>
      <c r="AO1" s="831"/>
      <c r="AP1" s="838" t="s">
        <v>55</v>
      </c>
      <c r="AQ1" s="839"/>
      <c r="AR1" s="839"/>
      <c r="AS1" s="839"/>
      <c r="AT1" s="839"/>
      <c r="AU1" s="839"/>
      <c r="AV1" s="839"/>
      <c r="AW1" s="839"/>
      <c r="AX1" s="839"/>
      <c r="AY1" s="839"/>
      <c r="AZ1" s="839"/>
      <c r="BA1" s="840"/>
      <c r="BB1" s="829" t="s">
        <v>56</v>
      </c>
      <c r="BC1" s="830"/>
      <c r="BD1" s="830"/>
      <c r="BE1" s="830"/>
      <c r="BF1" s="830"/>
      <c r="BG1" s="830"/>
      <c r="BH1" s="830"/>
      <c r="BI1" s="830"/>
      <c r="BJ1" s="830"/>
      <c r="BK1" s="830"/>
      <c r="BL1" s="830"/>
      <c r="BM1" s="831"/>
      <c r="BN1" s="829" t="s">
        <v>57</v>
      </c>
      <c r="BO1" s="830"/>
      <c r="BP1" s="830"/>
      <c r="BQ1" s="830"/>
      <c r="BR1" s="830"/>
      <c r="BS1" s="830"/>
      <c r="BT1" s="830"/>
      <c r="BU1" s="830"/>
      <c r="BV1" s="830"/>
      <c r="BW1" s="830"/>
      <c r="BX1" s="830"/>
      <c r="BY1" s="831"/>
      <c r="BZ1" s="829" t="s">
        <v>58</v>
      </c>
      <c r="CA1" s="830"/>
      <c r="CB1" s="830"/>
      <c r="CC1" s="830"/>
      <c r="CD1" s="830"/>
      <c r="CE1" s="830"/>
      <c r="CF1" s="830"/>
      <c r="CG1" s="830"/>
      <c r="CH1" s="830"/>
      <c r="CI1" s="830"/>
      <c r="CJ1" s="830"/>
      <c r="CK1" s="831"/>
      <c r="CL1" s="829" t="s">
        <v>59</v>
      </c>
      <c r="CM1" s="830"/>
      <c r="CN1" s="830"/>
      <c r="CO1" s="830"/>
      <c r="CP1" s="830"/>
      <c r="CQ1" s="830"/>
      <c r="CR1" s="830"/>
      <c r="CS1" s="830"/>
      <c r="CT1" s="830"/>
      <c r="CU1" s="830"/>
      <c r="CV1" s="830"/>
      <c r="CW1" s="831"/>
    </row>
    <row r="2" spans="1:101" ht="16.5" thickBot="1">
      <c r="A2" s="832" t="s">
        <v>68</v>
      </c>
      <c r="B2" s="834" t="s">
        <v>69</v>
      </c>
      <c r="C2" s="836" t="s">
        <v>5</v>
      </c>
      <c r="D2" s="790" t="s">
        <v>0</v>
      </c>
      <c r="E2" s="789"/>
      <c r="F2" s="787" t="s">
        <v>1</v>
      </c>
      <c r="G2" s="788"/>
      <c r="H2" s="789"/>
      <c r="I2" s="790" t="s">
        <v>63</v>
      </c>
      <c r="J2" s="788"/>
      <c r="K2" s="789"/>
      <c r="L2" s="790" t="s">
        <v>64</v>
      </c>
      <c r="M2" s="788"/>
      <c r="N2" s="789"/>
      <c r="O2" s="790" t="s">
        <v>2</v>
      </c>
      <c r="P2" s="788"/>
      <c r="Q2" s="822"/>
      <c r="R2" s="787" t="s">
        <v>1</v>
      </c>
      <c r="S2" s="788"/>
      <c r="T2" s="789"/>
      <c r="U2" s="790" t="s">
        <v>63</v>
      </c>
      <c r="V2" s="788"/>
      <c r="W2" s="789"/>
      <c r="X2" s="790" t="s">
        <v>64</v>
      </c>
      <c r="Y2" s="788"/>
      <c r="Z2" s="789"/>
      <c r="AA2" s="790" t="s">
        <v>2</v>
      </c>
      <c r="AB2" s="788"/>
      <c r="AC2" s="822"/>
      <c r="AD2" s="787" t="s">
        <v>1</v>
      </c>
      <c r="AE2" s="788"/>
      <c r="AF2" s="789"/>
      <c r="AG2" s="790" t="s">
        <v>63</v>
      </c>
      <c r="AH2" s="788"/>
      <c r="AI2" s="789"/>
      <c r="AJ2" s="790" t="s">
        <v>64</v>
      </c>
      <c r="AK2" s="788"/>
      <c r="AL2" s="789"/>
      <c r="AM2" s="790" t="s">
        <v>2</v>
      </c>
      <c r="AN2" s="788"/>
      <c r="AO2" s="822"/>
      <c r="AP2" s="787" t="s">
        <v>1</v>
      </c>
      <c r="AQ2" s="788"/>
      <c r="AR2" s="789"/>
      <c r="AS2" s="790" t="s">
        <v>63</v>
      </c>
      <c r="AT2" s="788"/>
      <c r="AU2" s="789"/>
      <c r="AV2" s="790" t="s">
        <v>64</v>
      </c>
      <c r="AW2" s="788"/>
      <c r="AX2" s="789"/>
      <c r="AY2" s="790" t="s">
        <v>2</v>
      </c>
      <c r="AZ2" s="788"/>
      <c r="BA2" s="822"/>
      <c r="BB2" s="787" t="s">
        <v>1</v>
      </c>
      <c r="BC2" s="788"/>
      <c r="BD2" s="789"/>
      <c r="BE2" s="790" t="s">
        <v>63</v>
      </c>
      <c r="BF2" s="788"/>
      <c r="BG2" s="789"/>
      <c r="BH2" s="790" t="s">
        <v>64</v>
      </c>
      <c r="BI2" s="788"/>
      <c r="BJ2" s="789"/>
      <c r="BK2" s="790" t="s">
        <v>2</v>
      </c>
      <c r="BL2" s="788"/>
      <c r="BM2" s="822"/>
      <c r="BN2" s="787" t="s">
        <v>1</v>
      </c>
      <c r="BO2" s="788"/>
      <c r="BP2" s="789"/>
      <c r="BQ2" s="790" t="s">
        <v>63</v>
      </c>
      <c r="BR2" s="788"/>
      <c r="BS2" s="789"/>
      <c r="BT2" s="790" t="s">
        <v>64</v>
      </c>
      <c r="BU2" s="788"/>
      <c r="BV2" s="789"/>
      <c r="BW2" s="790" t="s">
        <v>2</v>
      </c>
      <c r="BX2" s="788"/>
      <c r="BY2" s="822"/>
      <c r="BZ2" s="787" t="s">
        <v>1</v>
      </c>
      <c r="CA2" s="788"/>
      <c r="CB2" s="789"/>
      <c r="CC2" s="790" t="s">
        <v>63</v>
      </c>
      <c r="CD2" s="788"/>
      <c r="CE2" s="789"/>
      <c r="CF2" s="790" t="s">
        <v>64</v>
      </c>
      <c r="CG2" s="788"/>
      <c r="CH2" s="789"/>
      <c r="CI2" s="790" t="s">
        <v>2</v>
      </c>
      <c r="CJ2" s="788"/>
      <c r="CK2" s="822"/>
      <c r="CL2" s="787" t="s">
        <v>1</v>
      </c>
      <c r="CM2" s="788"/>
      <c r="CN2" s="789"/>
      <c r="CO2" s="790" t="s">
        <v>63</v>
      </c>
      <c r="CP2" s="788"/>
      <c r="CQ2" s="789"/>
      <c r="CR2" s="790" t="s">
        <v>64</v>
      </c>
      <c r="CS2" s="788"/>
      <c r="CT2" s="789"/>
      <c r="CU2" s="790" t="s">
        <v>2</v>
      </c>
      <c r="CV2" s="788"/>
      <c r="CW2" s="822"/>
    </row>
    <row r="3" spans="1:101" ht="16.5" thickBot="1">
      <c r="A3" s="833"/>
      <c r="B3" s="835"/>
      <c r="C3" s="837"/>
      <c r="D3" s="1" t="s">
        <v>6</v>
      </c>
      <c r="E3" s="1" t="s">
        <v>7</v>
      </c>
      <c r="F3" s="9" t="s">
        <v>6</v>
      </c>
      <c r="G3" s="1" t="s">
        <v>7</v>
      </c>
      <c r="H3" s="1" t="s">
        <v>40</v>
      </c>
      <c r="I3" s="1" t="s">
        <v>6</v>
      </c>
      <c r="J3" s="1" t="s">
        <v>7</v>
      </c>
      <c r="K3" s="1" t="s">
        <v>40</v>
      </c>
      <c r="L3" s="1" t="s">
        <v>6</v>
      </c>
      <c r="M3" s="1" t="s">
        <v>7</v>
      </c>
      <c r="N3" s="1" t="s">
        <v>40</v>
      </c>
      <c r="O3" s="1" t="s">
        <v>6</v>
      </c>
      <c r="P3" s="1" t="s">
        <v>7</v>
      </c>
      <c r="Q3" s="10" t="s">
        <v>40</v>
      </c>
      <c r="R3" s="9" t="s">
        <v>6</v>
      </c>
      <c r="S3" s="1" t="s">
        <v>7</v>
      </c>
      <c r="T3" s="1" t="s">
        <v>40</v>
      </c>
      <c r="U3" s="1" t="s">
        <v>6</v>
      </c>
      <c r="V3" s="1" t="s">
        <v>7</v>
      </c>
      <c r="W3" s="1" t="s">
        <v>40</v>
      </c>
      <c r="X3" s="1" t="s">
        <v>6</v>
      </c>
      <c r="Y3" s="1" t="s">
        <v>7</v>
      </c>
      <c r="Z3" s="1" t="s">
        <v>40</v>
      </c>
      <c r="AA3" s="1" t="s">
        <v>6</v>
      </c>
      <c r="AB3" s="1" t="s">
        <v>7</v>
      </c>
      <c r="AC3" s="10" t="s">
        <v>40</v>
      </c>
      <c r="AD3" s="9" t="s">
        <v>6</v>
      </c>
      <c r="AE3" s="1" t="s">
        <v>7</v>
      </c>
      <c r="AF3" s="1" t="s">
        <v>40</v>
      </c>
      <c r="AG3" s="1" t="s">
        <v>6</v>
      </c>
      <c r="AH3" s="1" t="s">
        <v>7</v>
      </c>
      <c r="AI3" s="1" t="s">
        <v>40</v>
      </c>
      <c r="AJ3" s="1" t="s">
        <v>6</v>
      </c>
      <c r="AK3" s="1" t="s">
        <v>7</v>
      </c>
      <c r="AL3" s="1" t="s">
        <v>40</v>
      </c>
      <c r="AM3" s="1" t="s">
        <v>6</v>
      </c>
      <c r="AN3" s="1" t="s">
        <v>7</v>
      </c>
      <c r="AO3" s="10" t="s">
        <v>40</v>
      </c>
      <c r="AP3" s="91" t="s">
        <v>6</v>
      </c>
      <c r="AQ3" s="92" t="s">
        <v>7</v>
      </c>
      <c r="AR3" s="92" t="s">
        <v>40</v>
      </c>
      <c r="AS3" s="92" t="s">
        <v>6</v>
      </c>
      <c r="AT3" s="92" t="s">
        <v>7</v>
      </c>
      <c r="AU3" s="92" t="s">
        <v>40</v>
      </c>
      <c r="AV3" s="92" t="s">
        <v>6</v>
      </c>
      <c r="AW3" s="92" t="s">
        <v>7</v>
      </c>
      <c r="AX3" s="92" t="s">
        <v>40</v>
      </c>
      <c r="AY3" s="92" t="s">
        <v>6</v>
      </c>
      <c r="AZ3" s="92" t="s">
        <v>7</v>
      </c>
      <c r="BA3" s="93" t="s">
        <v>40</v>
      </c>
      <c r="BB3" s="9" t="s">
        <v>6</v>
      </c>
      <c r="BC3" s="1" t="s">
        <v>7</v>
      </c>
      <c r="BD3" s="1" t="s">
        <v>40</v>
      </c>
      <c r="BE3" s="1" t="s">
        <v>6</v>
      </c>
      <c r="BF3" s="1" t="s">
        <v>7</v>
      </c>
      <c r="BG3" s="1" t="s">
        <v>40</v>
      </c>
      <c r="BH3" s="1" t="s">
        <v>6</v>
      </c>
      <c r="BI3" s="1" t="s">
        <v>7</v>
      </c>
      <c r="BJ3" s="1" t="s">
        <v>40</v>
      </c>
      <c r="BK3" s="1" t="s">
        <v>6</v>
      </c>
      <c r="BL3" s="1" t="s">
        <v>7</v>
      </c>
      <c r="BM3" s="10" t="s">
        <v>40</v>
      </c>
      <c r="BN3" s="9" t="s">
        <v>6</v>
      </c>
      <c r="BO3" s="1" t="s">
        <v>7</v>
      </c>
      <c r="BP3" s="1" t="s">
        <v>40</v>
      </c>
      <c r="BQ3" s="1" t="s">
        <v>6</v>
      </c>
      <c r="BR3" s="1" t="s">
        <v>7</v>
      </c>
      <c r="BS3" s="1" t="s">
        <v>40</v>
      </c>
      <c r="BT3" s="1" t="s">
        <v>6</v>
      </c>
      <c r="BU3" s="1" t="s">
        <v>7</v>
      </c>
      <c r="BV3" s="1" t="s">
        <v>40</v>
      </c>
      <c r="BW3" s="1" t="s">
        <v>6</v>
      </c>
      <c r="BX3" s="1" t="s">
        <v>7</v>
      </c>
      <c r="BY3" s="10" t="s">
        <v>40</v>
      </c>
      <c r="BZ3" s="9" t="s">
        <v>6</v>
      </c>
      <c r="CA3" s="1" t="s">
        <v>7</v>
      </c>
      <c r="CB3" s="1" t="s">
        <v>40</v>
      </c>
      <c r="CC3" s="1" t="s">
        <v>6</v>
      </c>
      <c r="CD3" s="1" t="s">
        <v>7</v>
      </c>
      <c r="CE3" s="1" t="s">
        <v>40</v>
      </c>
      <c r="CF3" s="1" t="s">
        <v>6</v>
      </c>
      <c r="CG3" s="1" t="s">
        <v>7</v>
      </c>
      <c r="CH3" s="1" t="s">
        <v>40</v>
      </c>
      <c r="CI3" s="1" t="s">
        <v>6</v>
      </c>
      <c r="CJ3" s="1" t="s">
        <v>7</v>
      </c>
      <c r="CK3" s="10" t="s">
        <v>40</v>
      </c>
      <c r="CL3" s="9" t="s">
        <v>6</v>
      </c>
      <c r="CM3" s="1" t="s">
        <v>7</v>
      </c>
      <c r="CN3" s="1" t="s">
        <v>40</v>
      </c>
      <c r="CO3" s="1" t="s">
        <v>6</v>
      </c>
      <c r="CP3" s="1" t="s">
        <v>7</v>
      </c>
      <c r="CQ3" s="1" t="s">
        <v>40</v>
      </c>
      <c r="CR3" s="1" t="s">
        <v>6</v>
      </c>
      <c r="CS3" s="1" t="s">
        <v>7</v>
      </c>
      <c r="CT3" s="1" t="s">
        <v>40</v>
      </c>
      <c r="CU3" s="1" t="s">
        <v>6</v>
      </c>
      <c r="CV3" s="1" t="s">
        <v>7</v>
      </c>
      <c r="CW3" s="10" t="s">
        <v>40</v>
      </c>
    </row>
    <row r="4" spans="1:101" s="13" customFormat="1" ht="24">
      <c r="A4" s="732" t="s">
        <v>8</v>
      </c>
      <c r="B4" s="735" t="s">
        <v>9</v>
      </c>
      <c r="C4" s="142" t="s">
        <v>70</v>
      </c>
      <c r="D4" s="823"/>
      <c r="E4" s="824"/>
      <c r="F4" s="825">
        <f t="shared" ref="F4:H21" si="0">SUM(R4,AD4,AP4,BB4,BN4,BZ4,CL4)</f>
        <v>3979</v>
      </c>
      <c r="G4" s="826"/>
      <c r="H4" s="827"/>
      <c r="I4" s="820">
        <f t="shared" ref="I4:K21" si="1">SUM(U4,AG4,AS4,BE4,BQ4,CC4,CO4)</f>
        <v>5306</v>
      </c>
      <c r="J4" s="821"/>
      <c r="K4" s="828"/>
      <c r="L4" s="825">
        <f t="shared" ref="L4:N21" si="2">SUM(X4,AJ4,AV4,BH4,BT4,CF4,CR4)</f>
        <v>6697</v>
      </c>
      <c r="M4" s="826"/>
      <c r="N4" s="827"/>
      <c r="O4" s="820">
        <f t="shared" ref="O4:Q21" si="3">SUM(AA4,AM4,AY4,BK4,BW4,CI4,CU4)</f>
        <v>8194</v>
      </c>
      <c r="P4" s="821"/>
      <c r="Q4" s="821"/>
      <c r="R4" s="794">
        <v>745</v>
      </c>
      <c r="S4" s="795"/>
      <c r="T4" s="796"/>
      <c r="U4" s="797">
        <v>955</v>
      </c>
      <c r="V4" s="798"/>
      <c r="W4" s="799"/>
      <c r="X4" s="800">
        <v>1165</v>
      </c>
      <c r="Y4" s="795"/>
      <c r="Z4" s="796"/>
      <c r="AA4" s="797">
        <v>1375</v>
      </c>
      <c r="AB4" s="798"/>
      <c r="AC4" s="801"/>
      <c r="AD4" s="802">
        <v>502</v>
      </c>
      <c r="AE4" s="810"/>
      <c r="AF4" s="811"/>
      <c r="AG4" s="791">
        <v>687</v>
      </c>
      <c r="AH4" s="812"/>
      <c r="AI4" s="813"/>
      <c r="AJ4" s="806">
        <v>872</v>
      </c>
      <c r="AK4" s="810"/>
      <c r="AL4" s="811"/>
      <c r="AM4" s="791">
        <v>1057</v>
      </c>
      <c r="AN4" s="812"/>
      <c r="AO4" s="814"/>
      <c r="AP4" s="815">
        <v>626</v>
      </c>
      <c r="AQ4" s="816"/>
      <c r="AR4" s="817"/>
      <c r="AS4" s="807">
        <v>876</v>
      </c>
      <c r="AT4" s="808"/>
      <c r="AU4" s="818"/>
      <c r="AV4" s="819">
        <v>1128</v>
      </c>
      <c r="AW4" s="816"/>
      <c r="AX4" s="817"/>
      <c r="AY4" s="807">
        <v>1458</v>
      </c>
      <c r="AZ4" s="808"/>
      <c r="BA4" s="809"/>
      <c r="BB4" s="802">
        <v>369</v>
      </c>
      <c r="BC4" s="810"/>
      <c r="BD4" s="811"/>
      <c r="BE4" s="791">
        <v>479</v>
      </c>
      <c r="BF4" s="812"/>
      <c r="BG4" s="813"/>
      <c r="BH4" s="806">
        <v>589</v>
      </c>
      <c r="BI4" s="810"/>
      <c r="BJ4" s="811"/>
      <c r="BK4" s="791">
        <v>699</v>
      </c>
      <c r="BL4" s="812"/>
      <c r="BM4" s="814"/>
      <c r="BN4" s="794">
        <v>484</v>
      </c>
      <c r="BO4" s="795"/>
      <c r="BP4" s="796"/>
      <c r="BQ4" s="797">
        <v>692</v>
      </c>
      <c r="BR4" s="798"/>
      <c r="BS4" s="799"/>
      <c r="BT4" s="800">
        <v>900</v>
      </c>
      <c r="BU4" s="795"/>
      <c r="BV4" s="796"/>
      <c r="BW4" s="797">
        <v>1108</v>
      </c>
      <c r="BX4" s="798"/>
      <c r="BY4" s="801"/>
      <c r="BZ4" s="802">
        <v>117</v>
      </c>
      <c r="CA4" s="803"/>
      <c r="CB4" s="804"/>
      <c r="CC4" s="791">
        <v>137</v>
      </c>
      <c r="CD4" s="792"/>
      <c r="CE4" s="805"/>
      <c r="CF4" s="806">
        <v>143</v>
      </c>
      <c r="CG4" s="803"/>
      <c r="CH4" s="804"/>
      <c r="CI4" s="791">
        <v>177</v>
      </c>
      <c r="CJ4" s="792"/>
      <c r="CK4" s="793"/>
      <c r="CL4" s="794">
        <v>1136</v>
      </c>
      <c r="CM4" s="795"/>
      <c r="CN4" s="796"/>
      <c r="CO4" s="797">
        <v>1480</v>
      </c>
      <c r="CP4" s="798"/>
      <c r="CQ4" s="799"/>
      <c r="CR4" s="800">
        <v>1900</v>
      </c>
      <c r="CS4" s="795"/>
      <c r="CT4" s="796"/>
      <c r="CU4" s="797">
        <v>2320</v>
      </c>
      <c r="CV4" s="798"/>
      <c r="CW4" s="801"/>
    </row>
    <row r="5" spans="1:101" s="13" customFormat="1" ht="24.75" thickBot="1">
      <c r="A5" s="733"/>
      <c r="B5" s="702"/>
      <c r="C5" s="14" t="s">
        <v>71</v>
      </c>
      <c r="D5" s="14"/>
      <c r="E5" s="14"/>
      <c r="F5" s="37">
        <f t="shared" si="0"/>
        <v>26097</v>
      </c>
      <c r="G5" s="146">
        <f>SUM(S5,AE5,AQ5,BC5,BO5,CA5,CM5)</f>
        <v>28906</v>
      </c>
      <c r="H5" s="146">
        <f>SUM(T5,AF5,AR5,BD5,BP5,CB5,CN5)</f>
        <v>55003</v>
      </c>
      <c r="I5" s="148">
        <f t="shared" si="1"/>
        <v>38024</v>
      </c>
      <c r="J5" s="148">
        <f>SUM(V5,AH5,AT5,BF5,BR5,CD5,CP5)</f>
        <v>41242</v>
      </c>
      <c r="K5" s="148">
        <f>SUM(W5,AI5,AU5,BG5,BS5,CE5,CQ5)</f>
        <v>79266</v>
      </c>
      <c r="L5" s="146">
        <f t="shared" si="2"/>
        <v>47187</v>
      </c>
      <c r="M5" s="146">
        <f>SUM(Y5,AK5,AW5,BI5,BU5,CG5,CS5)</f>
        <v>51404</v>
      </c>
      <c r="N5" s="146">
        <f>SUM(Z5,AL5,AX5,BJ5,BV5,CH5,CT5)</f>
        <v>98591</v>
      </c>
      <c r="O5" s="148">
        <f t="shared" si="3"/>
        <v>56945</v>
      </c>
      <c r="P5" s="148">
        <f>SUM(AB5,AN5,AZ5,BL5,BX5,CJ5,CV5)</f>
        <v>62121</v>
      </c>
      <c r="Q5" s="40">
        <f>SUM(AC5,AO5,BA5,BM5,BY5,CK5,CW5)</f>
        <v>119066</v>
      </c>
      <c r="R5" s="41">
        <v>3455</v>
      </c>
      <c r="S5" s="152">
        <v>4447</v>
      </c>
      <c r="T5" s="152">
        <v>7902</v>
      </c>
      <c r="U5" s="153">
        <v>4431</v>
      </c>
      <c r="V5" s="153">
        <v>5688</v>
      </c>
      <c r="W5" s="153">
        <v>10119</v>
      </c>
      <c r="X5" s="152">
        <v>5407</v>
      </c>
      <c r="Y5" s="152">
        <v>6929</v>
      </c>
      <c r="Z5" s="152">
        <v>12336</v>
      </c>
      <c r="AA5" s="153">
        <v>6383</v>
      </c>
      <c r="AB5" s="153">
        <v>8170</v>
      </c>
      <c r="AC5" s="154">
        <v>14553</v>
      </c>
      <c r="AD5" s="45">
        <v>3198</v>
      </c>
      <c r="AE5" s="158">
        <v>3328</v>
      </c>
      <c r="AF5" s="158">
        <v>6526</v>
      </c>
      <c r="AG5" s="159">
        <v>4376</v>
      </c>
      <c r="AH5" s="159">
        <v>4555</v>
      </c>
      <c r="AI5" s="159">
        <v>8931</v>
      </c>
      <c r="AJ5" s="158">
        <v>5554</v>
      </c>
      <c r="AK5" s="158">
        <v>5782</v>
      </c>
      <c r="AL5" s="158">
        <v>11336</v>
      </c>
      <c r="AM5" s="159">
        <v>6732</v>
      </c>
      <c r="AN5" s="159">
        <v>7009</v>
      </c>
      <c r="AO5" s="160">
        <v>13741</v>
      </c>
      <c r="AP5" s="94">
        <v>3652</v>
      </c>
      <c r="AQ5" s="166">
        <v>4289</v>
      </c>
      <c r="AR5" s="166">
        <v>7941</v>
      </c>
      <c r="AS5" s="167">
        <v>5052</v>
      </c>
      <c r="AT5" s="167">
        <v>5789</v>
      </c>
      <c r="AU5" s="167">
        <v>10841</v>
      </c>
      <c r="AV5" s="166">
        <v>6452</v>
      </c>
      <c r="AW5" s="166">
        <v>7289</v>
      </c>
      <c r="AX5" s="166">
        <v>13741</v>
      </c>
      <c r="AY5" s="167">
        <v>8450</v>
      </c>
      <c r="AZ5" s="167">
        <v>9340</v>
      </c>
      <c r="BA5" s="168">
        <v>17790</v>
      </c>
      <c r="BB5" s="45">
        <v>2363</v>
      </c>
      <c r="BC5" s="158">
        <v>2846</v>
      </c>
      <c r="BD5" s="158">
        <v>5209</v>
      </c>
      <c r="BE5" s="159">
        <v>2913</v>
      </c>
      <c r="BF5" s="159">
        <v>3946</v>
      </c>
      <c r="BG5" s="159">
        <v>6859</v>
      </c>
      <c r="BH5" s="158">
        <v>3463</v>
      </c>
      <c r="BI5" s="158">
        <v>5046</v>
      </c>
      <c r="BJ5" s="158">
        <v>8509</v>
      </c>
      <c r="BK5" s="159">
        <v>4013</v>
      </c>
      <c r="BL5" s="159">
        <v>6146</v>
      </c>
      <c r="BM5" s="160">
        <v>10159</v>
      </c>
      <c r="BN5" s="41">
        <v>3234</v>
      </c>
      <c r="BO5" s="152">
        <v>2589</v>
      </c>
      <c r="BP5" s="152">
        <v>5823</v>
      </c>
      <c r="BQ5" s="153">
        <v>4794</v>
      </c>
      <c r="BR5" s="153">
        <v>4149</v>
      </c>
      <c r="BS5" s="153">
        <v>8943</v>
      </c>
      <c r="BT5" s="152">
        <v>6354</v>
      </c>
      <c r="BU5" s="152">
        <v>5709</v>
      </c>
      <c r="BV5" s="152">
        <v>12063</v>
      </c>
      <c r="BW5" s="153">
        <v>7914</v>
      </c>
      <c r="BX5" s="153">
        <v>7269</v>
      </c>
      <c r="BY5" s="154">
        <v>15183</v>
      </c>
      <c r="BZ5" s="169">
        <v>952</v>
      </c>
      <c r="CA5" s="170">
        <v>1338</v>
      </c>
      <c r="CB5" s="170">
        <v>2290</v>
      </c>
      <c r="CC5" s="171">
        <v>4050</v>
      </c>
      <c r="CD5" s="171">
        <v>4707</v>
      </c>
      <c r="CE5" s="171">
        <v>8757</v>
      </c>
      <c r="CF5" s="170">
        <v>4189</v>
      </c>
      <c r="CG5" s="170">
        <v>4881</v>
      </c>
      <c r="CH5" s="170">
        <v>9070</v>
      </c>
      <c r="CI5" s="171">
        <v>4325</v>
      </c>
      <c r="CJ5" s="171">
        <v>5059</v>
      </c>
      <c r="CK5" s="172">
        <v>9384</v>
      </c>
      <c r="CL5" s="41">
        <v>9243</v>
      </c>
      <c r="CM5" s="152">
        <v>10069</v>
      </c>
      <c r="CN5" s="152">
        <v>19312</v>
      </c>
      <c r="CO5" s="153">
        <v>12408</v>
      </c>
      <c r="CP5" s="153">
        <v>12408</v>
      </c>
      <c r="CQ5" s="153">
        <v>24816</v>
      </c>
      <c r="CR5" s="152">
        <v>15768</v>
      </c>
      <c r="CS5" s="152">
        <v>15768</v>
      </c>
      <c r="CT5" s="152">
        <v>31536</v>
      </c>
      <c r="CU5" s="153">
        <v>19128</v>
      </c>
      <c r="CV5" s="153">
        <v>19128</v>
      </c>
      <c r="CW5" s="154">
        <v>38256</v>
      </c>
    </row>
    <row r="6" spans="1:101" s="13" customFormat="1" ht="48">
      <c r="A6" s="733"/>
      <c r="B6" s="702"/>
      <c r="C6" s="15" t="s">
        <v>51</v>
      </c>
      <c r="D6" s="16"/>
      <c r="E6" s="14"/>
      <c r="F6" s="640">
        <f t="shared" si="0"/>
        <v>83</v>
      </c>
      <c r="G6" s="641"/>
      <c r="H6" s="642"/>
      <c r="I6" s="622">
        <f t="shared" si="1"/>
        <v>126</v>
      </c>
      <c r="J6" s="623"/>
      <c r="K6" s="643"/>
      <c r="L6" s="640">
        <f t="shared" si="2"/>
        <v>0</v>
      </c>
      <c r="M6" s="641"/>
      <c r="N6" s="642"/>
      <c r="O6" s="622">
        <f t="shared" si="3"/>
        <v>0</v>
      </c>
      <c r="P6" s="623"/>
      <c r="Q6" s="623"/>
      <c r="R6" s="591"/>
      <c r="S6" s="592"/>
      <c r="T6" s="593"/>
      <c r="U6" s="594">
        <v>126</v>
      </c>
      <c r="V6" s="595"/>
      <c r="W6" s="596"/>
      <c r="X6" s="597">
        <v>0</v>
      </c>
      <c r="Y6" s="592"/>
      <c r="Z6" s="593"/>
      <c r="AA6" s="594">
        <v>0</v>
      </c>
      <c r="AB6" s="595"/>
      <c r="AC6" s="598"/>
      <c r="AD6" s="607">
        <v>13</v>
      </c>
      <c r="AE6" s="615"/>
      <c r="AF6" s="616"/>
      <c r="AG6" s="588">
        <v>0</v>
      </c>
      <c r="AH6" s="589"/>
      <c r="AI6" s="610"/>
      <c r="AJ6" s="611">
        <v>0</v>
      </c>
      <c r="AK6" s="615"/>
      <c r="AL6" s="616"/>
      <c r="AM6" s="588">
        <v>0</v>
      </c>
      <c r="AN6" s="589"/>
      <c r="AO6" s="590"/>
      <c r="AP6" s="617">
        <v>15</v>
      </c>
      <c r="AQ6" s="618"/>
      <c r="AR6" s="619"/>
      <c r="AS6" s="612">
        <v>0</v>
      </c>
      <c r="AT6" s="613"/>
      <c r="AU6" s="620"/>
      <c r="AV6" s="621">
        <v>0</v>
      </c>
      <c r="AW6" s="618"/>
      <c r="AX6" s="619"/>
      <c r="AY6" s="612">
        <v>0</v>
      </c>
      <c r="AZ6" s="613"/>
      <c r="BA6" s="614"/>
      <c r="BB6" s="607">
        <v>0</v>
      </c>
      <c r="BC6" s="615"/>
      <c r="BD6" s="616"/>
      <c r="BE6" s="588">
        <v>0</v>
      </c>
      <c r="BF6" s="589"/>
      <c r="BG6" s="610"/>
      <c r="BH6" s="611">
        <v>0</v>
      </c>
      <c r="BI6" s="615"/>
      <c r="BJ6" s="616"/>
      <c r="BK6" s="588">
        <v>0</v>
      </c>
      <c r="BL6" s="589"/>
      <c r="BM6" s="590"/>
      <c r="BN6" s="591">
        <v>8</v>
      </c>
      <c r="BO6" s="592"/>
      <c r="BP6" s="593"/>
      <c r="BQ6" s="594">
        <v>0</v>
      </c>
      <c r="BR6" s="595"/>
      <c r="BS6" s="596"/>
      <c r="BT6" s="597">
        <v>0</v>
      </c>
      <c r="BU6" s="592"/>
      <c r="BV6" s="593"/>
      <c r="BW6" s="594">
        <v>0</v>
      </c>
      <c r="BX6" s="595"/>
      <c r="BY6" s="598"/>
      <c r="BZ6" s="607">
        <v>47</v>
      </c>
      <c r="CA6" s="608"/>
      <c r="CB6" s="609"/>
      <c r="CC6" s="588">
        <v>0</v>
      </c>
      <c r="CD6" s="784"/>
      <c r="CE6" s="785"/>
      <c r="CF6" s="611">
        <v>0</v>
      </c>
      <c r="CG6" s="608"/>
      <c r="CH6" s="609"/>
      <c r="CI6" s="588">
        <v>0</v>
      </c>
      <c r="CJ6" s="784"/>
      <c r="CK6" s="786"/>
      <c r="CL6" s="591">
        <v>0</v>
      </c>
      <c r="CM6" s="592"/>
      <c r="CN6" s="593"/>
      <c r="CO6" s="594">
        <v>0</v>
      </c>
      <c r="CP6" s="595"/>
      <c r="CQ6" s="596"/>
      <c r="CR6" s="597">
        <v>0</v>
      </c>
      <c r="CS6" s="592"/>
      <c r="CT6" s="593"/>
      <c r="CU6" s="594">
        <v>0</v>
      </c>
      <c r="CV6" s="595"/>
      <c r="CW6" s="598"/>
    </row>
    <row r="7" spans="1:101" s="13" customFormat="1" ht="48.75" thickBot="1">
      <c r="A7" s="733"/>
      <c r="B7" s="702"/>
      <c r="C7" s="23" t="s">
        <v>52</v>
      </c>
      <c r="D7" s="14"/>
      <c r="E7" s="14"/>
      <c r="F7" s="37">
        <f t="shared" si="0"/>
        <v>550</v>
      </c>
      <c r="G7" s="146">
        <f>SUM(S7,AE7,AQ7,BC7,BO7,CA7,CM7)</f>
        <v>565</v>
      </c>
      <c r="H7" s="146">
        <f>SUM(T7,AF7,AR7,BD7,BP7,CB7,CN7)</f>
        <v>1115</v>
      </c>
      <c r="I7" s="148">
        <f t="shared" si="1"/>
        <v>611</v>
      </c>
      <c r="J7" s="148">
        <f>SUM(V7,AH7,AT7,BF7,BR7,CD7,CP7)</f>
        <v>664</v>
      </c>
      <c r="K7" s="148">
        <f>SUM(W7,AI7,AU7,BG7,BS7,CE7,CQ7)</f>
        <v>1275</v>
      </c>
      <c r="L7" s="146">
        <f t="shared" si="2"/>
        <v>0</v>
      </c>
      <c r="M7" s="146">
        <f>SUM(Y7,AK7,AW7,BI7,BU7,CG7,CS7)</f>
        <v>0</v>
      </c>
      <c r="N7" s="146">
        <f>SUM(Z7,AL7,AX7,BJ7,BV7,CH7,CT7)</f>
        <v>0</v>
      </c>
      <c r="O7" s="148">
        <f t="shared" si="3"/>
        <v>0</v>
      </c>
      <c r="P7" s="148">
        <f>SUM(AB7,AN7,AZ7,BL7,BX7,CJ7,CV7)</f>
        <v>0</v>
      </c>
      <c r="Q7" s="40">
        <f>SUM(AC7,AO7,BA7,BM7,BY7,CK7,CW7)</f>
        <v>0</v>
      </c>
      <c r="R7" s="41"/>
      <c r="S7" s="152"/>
      <c r="T7" s="152">
        <v>0</v>
      </c>
      <c r="U7" s="153">
        <v>611</v>
      </c>
      <c r="V7" s="153">
        <v>664</v>
      </c>
      <c r="W7" s="153">
        <v>1275</v>
      </c>
      <c r="X7" s="152">
        <v>0</v>
      </c>
      <c r="Y7" s="152">
        <v>0</v>
      </c>
      <c r="Z7" s="152">
        <v>0</v>
      </c>
      <c r="AA7" s="153">
        <v>0</v>
      </c>
      <c r="AB7" s="153">
        <v>0</v>
      </c>
      <c r="AC7" s="154">
        <v>0</v>
      </c>
      <c r="AD7" s="45">
        <v>105</v>
      </c>
      <c r="AE7" s="158">
        <v>66</v>
      </c>
      <c r="AF7" s="158">
        <v>171</v>
      </c>
      <c r="AG7" s="159">
        <v>0</v>
      </c>
      <c r="AH7" s="159">
        <v>0</v>
      </c>
      <c r="AI7" s="159">
        <v>0</v>
      </c>
      <c r="AJ7" s="158">
        <v>0</v>
      </c>
      <c r="AK7" s="158">
        <v>0</v>
      </c>
      <c r="AL7" s="158">
        <v>0</v>
      </c>
      <c r="AM7" s="159">
        <v>0</v>
      </c>
      <c r="AN7" s="159">
        <v>0</v>
      </c>
      <c r="AO7" s="160">
        <v>0</v>
      </c>
      <c r="AP7" s="94">
        <v>90</v>
      </c>
      <c r="AQ7" s="166">
        <v>99</v>
      </c>
      <c r="AR7" s="166">
        <v>189</v>
      </c>
      <c r="AS7" s="167">
        <v>0</v>
      </c>
      <c r="AT7" s="167">
        <v>0</v>
      </c>
      <c r="AU7" s="167">
        <v>0</v>
      </c>
      <c r="AV7" s="166">
        <v>0</v>
      </c>
      <c r="AW7" s="166">
        <v>0</v>
      </c>
      <c r="AX7" s="166">
        <v>0</v>
      </c>
      <c r="AY7" s="167">
        <v>0</v>
      </c>
      <c r="AZ7" s="167">
        <v>0</v>
      </c>
      <c r="BA7" s="168">
        <v>0</v>
      </c>
      <c r="BB7" s="45">
        <v>0</v>
      </c>
      <c r="BC7" s="158">
        <v>0</v>
      </c>
      <c r="BD7" s="158">
        <v>0</v>
      </c>
      <c r="BE7" s="159">
        <v>0</v>
      </c>
      <c r="BF7" s="159">
        <v>0</v>
      </c>
      <c r="BG7" s="159">
        <v>0</v>
      </c>
      <c r="BH7" s="158">
        <v>0</v>
      </c>
      <c r="BI7" s="158">
        <v>0</v>
      </c>
      <c r="BJ7" s="158">
        <v>0</v>
      </c>
      <c r="BK7" s="159">
        <v>0</v>
      </c>
      <c r="BL7" s="159">
        <v>0</v>
      </c>
      <c r="BM7" s="160">
        <v>0</v>
      </c>
      <c r="BN7" s="41">
        <v>38</v>
      </c>
      <c r="BO7" s="152">
        <v>59</v>
      </c>
      <c r="BP7" s="152">
        <v>97</v>
      </c>
      <c r="BQ7" s="153">
        <v>0</v>
      </c>
      <c r="BR7" s="153">
        <v>0</v>
      </c>
      <c r="BS7" s="153">
        <v>0</v>
      </c>
      <c r="BT7" s="152">
        <v>0</v>
      </c>
      <c r="BU7" s="152">
        <v>0</v>
      </c>
      <c r="BV7" s="152">
        <v>0</v>
      </c>
      <c r="BW7" s="153">
        <v>0</v>
      </c>
      <c r="BX7" s="153">
        <v>0</v>
      </c>
      <c r="BY7" s="154">
        <v>0</v>
      </c>
      <c r="BZ7" s="169">
        <v>317</v>
      </c>
      <c r="CA7" s="170">
        <v>341</v>
      </c>
      <c r="CB7" s="170">
        <v>658</v>
      </c>
      <c r="CC7" s="171">
        <v>0</v>
      </c>
      <c r="CD7" s="171">
        <v>0</v>
      </c>
      <c r="CE7" s="171">
        <v>0</v>
      </c>
      <c r="CF7" s="170">
        <v>0</v>
      </c>
      <c r="CG7" s="170">
        <v>0</v>
      </c>
      <c r="CH7" s="170">
        <v>0</v>
      </c>
      <c r="CI7" s="171">
        <v>0</v>
      </c>
      <c r="CJ7" s="171">
        <v>0</v>
      </c>
      <c r="CK7" s="172">
        <v>0</v>
      </c>
      <c r="CL7" s="41">
        <v>0</v>
      </c>
      <c r="CM7" s="152">
        <v>0</v>
      </c>
      <c r="CN7" s="152">
        <v>0</v>
      </c>
      <c r="CO7" s="153">
        <v>0</v>
      </c>
      <c r="CP7" s="153">
        <v>0</v>
      </c>
      <c r="CQ7" s="153">
        <v>0</v>
      </c>
      <c r="CR7" s="152">
        <v>0</v>
      </c>
      <c r="CS7" s="152">
        <v>0</v>
      </c>
      <c r="CT7" s="152">
        <v>0</v>
      </c>
      <c r="CU7" s="153">
        <v>0</v>
      </c>
      <c r="CV7" s="153">
        <v>0</v>
      </c>
      <c r="CW7" s="154">
        <v>0</v>
      </c>
    </row>
    <row r="8" spans="1:101" s="13" customFormat="1" ht="48">
      <c r="A8" s="733"/>
      <c r="B8" s="702"/>
      <c r="C8" s="15" t="s">
        <v>47</v>
      </c>
      <c r="D8" s="16"/>
      <c r="E8" s="14"/>
      <c r="F8" s="640">
        <f t="shared" si="0"/>
        <v>12095</v>
      </c>
      <c r="G8" s="641"/>
      <c r="H8" s="642"/>
      <c r="I8" s="622">
        <f t="shared" si="1"/>
        <v>11836</v>
      </c>
      <c r="J8" s="623"/>
      <c r="K8" s="643"/>
      <c r="L8" s="640">
        <f t="shared" si="2"/>
        <v>11986</v>
      </c>
      <c r="M8" s="641"/>
      <c r="N8" s="642"/>
      <c r="O8" s="622">
        <f t="shared" si="3"/>
        <v>12267</v>
      </c>
      <c r="P8" s="623"/>
      <c r="Q8" s="623"/>
      <c r="R8" s="591">
        <v>947</v>
      </c>
      <c r="S8" s="592"/>
      <c r="T8" s="593"/>
      <c r="U8" s="594">
        <v>884</v>
      </c>
      <c r="V8" s="595"/>
      <c r="W8" s="596"/>
      <c r="X8" s="597">
        <v>944</v>
      </c>
      <c r="Y8" s="592"/>
      <c r="Z8" s="593"/>
      <c r="AA8" s="594">
        <v>1004</v>
      </c>
      <c r="AB8" s="595"/>
      <c r="AC8" s="598"/>
      <c r="AD8" s="607">
        <v>1859</v>
      </c>
      <c r="AE8" s="615"/>
      <c r="AF8" s="616"/>
      <c r="AG8" s="588">
        <v>1790</v>
      </c>
      <c r="AH8" s="589"/>
      <c r="AI8" s="610"/>
      <c r="AJ8" s="611">
        <v>1827</v>
      </c>
      <c r="AK8" s="615"/>
      <c r="AL8" s="616"/>
      <c r="AM8" s="588">
        <v>1864</v>
      </c>
      <c r="AN8" s="589"/>
      <c r="AO8" s="590"/>
      <c r="AP8" s="617">
        <v>1843</v>
      </c>
      <c r="AQ8" s="618"/>
      <c r="AR8" s="619"/>
      <c r="AS8" s="612">
        <v>1973</v>
      </c>
      <c r="AT8" s="613"/>
      <c r="AU8" s="620"/>
      <c r="AV8" s="621">
        <v>2045</v>
      </c>
      <c r="AW8" s="618"/>
      <c r="AX8" s="619"/>
      <c r="AY8" s="612">
        <v>2175</v>
      </c>
      <c r="AZ8" s="613"/>
      <c r="BA8" s="614"/>
      <c r="BB8" s="607">
        <v>737</v>
      </c>
      <c r="BC8" s="615"/>
      <c r="BD8" s="616"/>
      <c r="BE8" s="588">
        <v>891</v>
      </c>
      <c r="BF8" s="589"/>
      <c r="BG8" s="610"/>
      <c r="BH8" s="611">
        <v>1045</v>
      </c>
      <c r="BI8" s="615"/>
      <c r="BJ8" s="616"/>
      <c r="BK8" s="588">
        <v>1199</v>
      </c>
      <c r="BL8" s="589"/>
      <c r="BM8" s="590"/>
      <c r="BN8" s="591">
        <v>1194</v>
      </c>
      <c r="BO8" s="592"/>
      <c r="BP8" s="593"/>
      <c r="BQ8" s="594">
        <v>1343</v>
      </c>
      <c r="BR8" s="595"/>
      <c r="BS8" s="596"/>
      <c r="BT8" s="597">
        <v>1317</v>
      </c>
      <c r="BU8" s="592"/>
      <c r="BV8" s="593"/>
      <c r="BW8" s="594">
        <v>1291</v>
      </c>
      <c r="BX8" s="595"/>
      <c r="BY8" s="598"/>
      <c r="BZ8" s="607">
        <v>3408</v>
      </c>
      <c r="CA8" s="608"/>
      <c r="CB8" s="609"/>
      <c r="CC8" s="588">
        <v>2656</v>
      </c>
      <c r="CD8" s="589"/>
      <c r="CE8" s="610"/>
      <c r="CF8" s="611">
        <v>2676</v>
      </c>
      <c r="CG8" s="608"/>
      <c r="CH8" s="609"/>
      <c r="CI8" s="588">
        <v>2696</v>
      </c>
      <c r="CJ8" s="589"/>
      <c r="CK8" s="590"/>
      <c r="CL8" s="591">
        <v>2107</v>
      </c>
      <c r="CM8" s="592"/>
      <c r="CN8" s="593"/>
      <c r="CO8" s="594">
        <v>2299</v>
      </c>
      <c r="CP8" s="595"/>
      <c r="CQ8" s="596"/>
      <c r="CR8" s="597">
        <v>2132</v>
      </c>
      <c r="CS8" s="592"/>
      <c r="CT8" s="593"/>
      <c r="CU8" s="594">
        <v>2038</v>
      </c>
      <c r="CV8" s="595"/>
      <c r="CW8" s="598"/>
    </row>
    <row r="9" spans="1:101" s="13" customFormat="1" ht="48.75" thickBot="1">
      <c r="A9" s="733"/>
      <c r="B9" s="702"/>
      <c r="C9" s="24" t="s">
        <v>48</v>
      </c>
      <c r="D9" s="14"/>
      <c r="E9" s="14"/>
      <c r="F9" s="37">
        <f t="shared" si="0"/>
        <v>86637</v>
      </c>
      <c r="G9" s="146">
        <f>SUM(S9,AE9,AQ9,BC9,BO9,CA9,CM9)</f>
        <v>96474</v>
      </c>
      <c r="H9" s="146">
        <f>SUM(T9,AF9,AR9,BD9,BP9,CB9,CN9)</f>
        <v>183111</v>
      </c>
      <c r="I9" s="148">
        <f t="shared" si="1"/>
        <v>80096</v>
      </c>
      <c r="J9" s="148">
        <f>SUM(V9,AH9,AT9,BF9,BR9,CD9,CP9)</f>
        <v>94637</v>
      </c>
      <c r="K9" s="148">
        <f>SUM(W9,AI9,AU9,BG9,BS9,CE9,CQ9)</f>
        <v>174733</v>
      </c>
      <c r="L9" s="146">
        <f t="shared" si="2"/>
        <v>82518</v>
      </c>
      <c r="M9" s="146">
        <f>SUM(Y9,AK9,AW9,BI9,BU9,CG9,CS9)</f>
        <v>96565</v>
      </c>
      <c r="N9" s="146">
        <f>SUM(Z9,AL9,AX9,BJ9,BV9,CH9,CT9)</f>
        <v>179083</v>
      </c>
      <c r="O9" s="148">
        <f t="shared" si="3"/>
        <v>85761</v>
      </c>
      <c r="P9" s="148">
        <f>SUM(AB9,AN9,AZ9,BL9,BX9,CJ9,CV9)</f>
        <v>101970</v>
      </c>
      <c r="Q9" s="147">
        <f>SUM(AC9,AO9,BA9,BM9,BY9,CK9,CW9)</f>
        <v>187731</v>
      </c>
      <c r="R9" s="41">
        <v>4329</v>
      </c>
      <c r="S9" s="152">
        <v>5516</v>
      </c>
      <c r="T9" s="152">
        <v>9845</v>
      </c>
      <c r="U9" s="153">
        <v>3981</v>
      </c>
      <c r="V9" s="153">
        <v>5277</v>
      </c>
      <c r="W9" s="153">
        <v>9258</v>
      </c>
      <c r="X9" s="152">
        <v>4957</v>
      </c>
      <c r="Y9" s="152">
        <v>6518</v>
      </c>
      <c r="Z9" s="152">
        <v>11475</v>
      </c>
      <c r="AA9" s="153">
        <v>5207</v>
      </c>
      <c r="AB9" s="153">
        <v>6835</v>
      </c>
      <c r="AC9" s="154">
        <v>12042</v>
      </c>
      <c r="AD9" s="45">
        <v>12221</v>
      </c>
      <c r="AE9" s="158">
        <v>13329</v>
      </c>
      <c r="AF9" s="158">
        <v>25550</v>
      </c>
      <c r="AG9" s="159">
        <v>11803</v>
      </c>
      <c r="AH9" s="159">
        <v>12855</v>
      </c>
      <c r="AI9" s="159">
        <v>24658</v>
      </c>
      <c r="AJ9" s="158">
        <v>12981</v>
      </c>
      <c r="AK9" s="158">
        <v>14082</v>
      </c>
      <c r="AL9" s="158">
        <v>27063</v>
      </c>
      <c r="AM9" s="159">
        <v>14159</v>
      </c>
      <c r="AN9" s="159">
        <v>15309</v>
      </c>
      <c r="AO9" s="160">
        <v>29468</v>
      </c>
      <c r="AP9" s="94">
        <v>10737</v>
      </c>
      <c r="AQ9" s="166">
        <v>13343</v>
      </c>
      <c r="AR9" s="166">
        <v>24080</v>
      </c>
      <c r="AS9" s="167">
        <v>11423</v>
      </c>
      <c r="AT9" s="167">
        <v>14043</v>
      </c>
      <c r="AU9" s="167">
        <v>25466</v>
      </c>
      <c r="AV9" s="166">
        <v>11723</v>
      </c>
      <c r="AW9" s="166">
        <v>14343</v>
      </c>
      <c r="AX9" s="166">
        <v>26066</v>
      </c>
      <c r="AY9" s="167">
        <v>12521</v>
      </c>
      <c r="AZ9" s="167">
        <v>15094</v>
      </c>
      <c r="BA9" s="168">
        <v>27615</v>
      </c>
      <c r="BB9" s="45">
        <v>3835</v>
      </c>
      <c r="BC9" s="158">
        <v>6096</v>
      </c>
      <c r="BD9" s="158">
        <v>9931</v>
      </c>
      <c r="BE9" s="159">
        <v>4605</v>
      </c>
      <c r="BF9" s="159">
        <v>7636</v>
      </c>
      <c r="BG9" s="159">
        <v>12241</v>
      </c>
      <c r="BH9" s="158">
        <v>5375</v>
      </c>
      <c r="BI9" s="158">
        <v>9176</v>
      </c>
      <c r="BJ9" s="158">
        <v>14551</v>
      </c>
      <c r="BK9" s="159">
        <v>6145</v>
      </c>
      <c r="BL9" s="159">
        <v>10716</v>
      </c>
      <c r="BM9" s="160">
        <v>16861</v>
      </c>
      <c r="BN9" s="41">
        <v>8189</v>
      </c>
      <c r="BO9" s="152">
        <v>9845</v>
      </c>
      <c r="BP9" s="152">
        <v>18034</v>
      </c>
      <c r="BQ9" s="153">
        <v>9324</v>
      </c>
      <c r="BR9" s="153">
        <v>10811</v>
      </c>
      <c r="BS9" s="153">
        <v>20135</v>
      </c>
      <c r="BT9" s="152">
        <v>9443</v>
      </c>
      <c r="BU9" s="152">
        <v>10536</v>
      </c>
      <c r="BV9" s="152">
        <v>19979</v>
      </c>
      <c r="BW9" s="153">
        <v>9496</v>
      </c>
      <c r="BX9" s="153">
        <v>10327</v>
      </c>
      <c r="BY9" s="154">
        <v>19823</v>
      </c>
      <c r="BZ9" s="169">
        <v>30379</v>
      </c>
      <c r="CA9" s="170">
        <v>29892</v>
      </c>
      <c r="CB9" s="170">
        <v>60271</v>
      </c>
      <c r="CC9" s="171">
        <v>19412</v>
      </c>
      <c r="CD9" s="171">
        <v>24394</v>
      </c>
      <c r="CE9" s="171">
        <v>43806</v>
      </c>
      <c r="CF9" s="170">
        <v>20123</v>
      </c>
      <c r="CG9" s="170">
        <v>23994</v>
      </c>
      <c r="CH9" s="170">
        <v>44117</v>
      </c>
      <c r="CI9" s="171">
        <v>20989</v>
      </c>
      <c r="CJ9" s="171">
        <v>26445</v>
      </c>
      <c r="CK9" s="172">
        <v>47434</v>
      </c>
      <c r="CL9" s="41">
        <v>16947</v>
      </c>
      <c r="CM9" s="152">
        <v>18453</v>
      </c>
      <c r="CN9" s="152">
        <v>35400</v>
      </c>
      <c r="CO9" s="153">
        <v>19548</v>
      </c>
      <c r="CP9" s="153">
        <v>19621</v>
      </c>
      <c r="CQ9" s="153">
        <v>39169</v>
      </c>
      <c r="CR9" s="152">
        <v>17916</v>
      </c>
      <c r="CS9" s="152">
        <v>17916</v>
      </c>
      <c r="CT9" s="152">
        <v>35832</v>
      </c>
      <c r="CU9" s="153">
        <v>17244</v>
      </c>
      <c r="CV9" s="153">
        <v>17244</v>
      </c>
      <c r="CW9" s="154">
        <v>34488</v>
      </c>
    </row>
    <row r="10" spans="1:101" s="13" customFormat="1" ht="36">
      <c r="A10" s="733"/>
      <c r="B10" s="702"/>
      <c r="C10" s="23" t="s">
        <v>49</v>
      </c>
      <c r="D10" s="638"/>
      <c r="E10" s="639"/>
      <c r="F10" s="640">
        <f t="shared" si="0"/>
        <v>10345</v>
      </c>
      <c r="G10" s="641"/>
      <c r="H10" s="642"/>
      <c r="I10" s="622">
        <f t="shared" si="1"/>
        <v>9981</v>
      </c>
      <c r="J10" s="623"/>
      <c r="K10" s="643"/>
      <c r="L10" s="640">
        <f t="shared" si="2"/>
        <v>10138</v>
      </c>
      <c r="M10" s="641"/>
      <c r="N10" s="642"/>
      <c r="O10" s="622">
        <f t="shared" si="3"/>
        <v>10270</v>
      </c>
      <c r="P10" s="623"/>
      <c r="Q10" s="623"/>
      <c r="R10" s="591">
        <v>800</v>
      </c>
      <c r="S10" s="592"/>
      <c r="T10" s="593"/>
      <c r="U10" s="594">
        <v>734</v>
      </c>
      <c r="V10" s="595"/>
      <c r="W10" s="596"/>
      <c r="X10" s="597">
        <v>794</v>
      </c>
      <c r="Y10" s="592"/>
      <c r="Z10" s="593"/>
      <c r="AA10" s="594">
        <v>854</v>
      </c>
      <c r="AB10" s="595"/>
      <c r="AC10" s="598"/>
      <c r="AD10" s="607">
        <v>1605</v>
      </c>
      <c r="AE10" s="615"/>
      <c r="AF10" s="616"/>
      <c r="AG10" s="588">
        <v>1642</v>
      </c>
      <c r="AH10" s="589"/>
      <c r="AI10" s="610"/>
      <c r="AJ10" s="611">
        <v>1679</v>
      </c>
      <c r="AK10" s="615"/>
      <c r="AL10" s="616"/>
      <c r="AM10" s="588">
        <v>1716</v>
      </c>
      <c r="AN10" s="589"/>
      <c r="AO10" s="590"/>
      <c r="AP10" s="617">
        <v>1723</v>
      </c>
      <c r="AQ10" s="618"/>
      <c r="AR10" s="619"/>
      <c r="AS10" s="612">
        <v>1793</v>
      </c>
      <c r="AT10" s="613"/>
      <c r="AU10" s="620"/>
      <c r="AV10" s="621">
        <v>1845</v>
      </c>
      <c r="AW10" s="618"/>
      <c r="AX10" s="619"/>
      <c r="AY10" s="612">
        <v>1923</v>
      </c>
      <c r="AZ10" s="613"/>
      <c r="BA10" s="614"/>
      <c r="BB10" s="607">
        <v>491</v>
      </c>
      <c r="BC10" s="615"/>
      <c r="BD10" s="616"/>
      <c r="BE10" s="588">
        <v>601</v>
      </c>
      <c r="BF10" s="589"/>
      <c r="BG10" s="610"/>
      <c r="BH10" s="611">
        <v>711</v>
      </c>
      <c r="BI10" s="615"/>
      <c r="BJ10" s="616"/>
      <c r="BK10" s="588">
        <v>821</v>
      </c>
      <c r="BL10" s="589"/>
      <c r="BM10" s="590"/>
      <c r="BN10" s="591">
        <v>1135</v>
      </c>
      <c r="BO10" s="592"/>
      <c r="BP10" s="593"/>
      <c r="BQ10" s="594">
        <v>1109</v>
      </c>
      <c r="BR10" s="595"/>
      <c r="BS10" s="596"/>
      <c r="BT10" s="597">
        <v>1083</v>
      </c>
      <c r="BU10" s="592"/>
      <c r="BV10" s="593"/>
      <c r="BW10" s="594">
        <v>1057</v>
      </c>
      <c r="BX10" s="595"/>
      <c r="BY10" s="598"/>
      <c r="BZ10" s="607">
        <v>2636</v>
      </c>
      <c r="CA10" s="608"/>
      <c r="CB10" s="609"/>
      <c r="CC10" s="588">
        <v>2390</v>
      </c>
      <c r="CD10" s="589"/>
      <c r="CE10" s="610"/>
      <c r="CF10" s="611">
        <v>2408</v>
      </c>
      <c r="CG10" s="608"/>
      <c r="CH10" s="609"/>
      <c r="CI10" s="588">
        <v>2427</v>
      </c>
      <c r="CJ10" s="589"/>
      <c r="CK10" s="590"/>
      <c r="CL10" s="591">
        <v>1955</v>
      </c>
      <c r="CM10" s="592"/>
      <c r="CN10" s="593"/>
      <c r="CO10" s="594">
        <v>1712</v>
      </c>
      <c r="CP10" s="595"/>
      <c r="CQ10" s="596"/>
      <c r="CR10" s="597">
        <v>1618</v>
      </c>
      <c r="CS10" s="592"/>
      <c r="CT10" s="593"/>
      <c r="CU10" s="594">
        <v>1472</v>
      </c>
      <c r="CV10" s="595"/>
      <c r="CW10" s="598"/>
    </row>
    <row r="11" spans="1:101" s="13" customFormat="1" ht="48.75" thickBot="1">
      <c r="A11" s="733"/>
      <c r="B11" s="703"/>
      <c r="C11" s="24" t="s">
        <v>50</v>
      </c>
      <c r="D11" s="14"/>
      <c r="E11" s="14"/>
      <c r="F11" s="37">
        <f t="shared" si="0"/>
        <v>71765</v>
      </c>
      <c r="G11" s="146">
        <f>SUM(S11,AE11,AQ11,BC11,BO11,CA11,CM11)</f>
        <v>86519</v>
      </c>
      <c r="H11" s="146">
        <f>SUM(T11,AF11,AR11,BD11,BP11,CB11,CN11)</f>
        <v>158284</v>
      </c>
      <c r="I11" s="148">
        <f t="shared" si="1"/>
        <v>70091</v>
      </c>
      <c r="J11" s="148">
        <f>SUM(V11,AH11,AT11,BF11,BR11,CD11,CP11)</f>
        <v>77598</v>
      </c>
      <c r="K11" s="148">
        <f>SUM(W11,AI11,AU11,BG11,BS11,CE11,CQ11)</f>
        <v>147689</v>
      </c>
      <c r="L11" s="146">
        <f t="shared" si="2"/>
        <v>71646</v>
      </c>
      <c r="M11" s="146">
        <f>SUM(Y11,AK11,AW11,BI11,BU11,CG11,CS11)</f>
        <v>79724</v>
      </c>
      <c r="N11" s="146">
        <f>SUM(Z11,AL11,AX11,BJ11,BV11,CH11,CT11)</f>
        <v>151370</v>
      </c>
      <c r="O11" s="148">
        <f t="shared" si="3"/>
        <v>70854</v>
      </c>
      <c r="P11" s="148">
        <f>SUM(AB11,AN11,AZ11,BL11,BX11,CJ11,CV11)</f>
        <v>79448</v>
      </c>
      <c r="Q11" s="147">
        <f>SUM(AC11,AO11,BA11,BM11,BY11,CK11,CW11)</f>
        <v>150302</v>
      </c>
      <c r="R11" s="41">
        <v>3600</v>
      </c>
      <c r="S11" s="152">
        <v>4728</v>
      </c>
      <c r="T11" s="152">
        <v>8328</v>
      </c>
      <c r="U11" s="153">
        <v>3255</v>
      </c>
      <c r="V11" s="153">
        <v>4353</v>
      </c>
      <c r="W11" s="153">
        <v>7608</v>
      </c>
      <c r="X11" s="152">
        <v>4231</v>
      </c>
      <c r="Y11" s="152">
        <v>5594</v>
      </c>
      <c r="Z11" s="152">
        <v>9825</v>
      </c>
      <c r="AA11" s="153">
        <v>4481</v>
      </c>
      <c r="AB11" s="153">
        <v>5911</v>
      </c>
      <c r="AC11" s="154">
        <v>10392</v>
      </c>
      <c r="AD11" s="45">
        <v>10625</v>
      </c>
      <c r="AE11" s="158">
        <v>11628</v>
      </c>
      <c r="AF11" s="158">
        <v>22253</v>
      </c>
      <c r="AG11" s="159">
        <v>10933</v>
      </c>
      <c r="AH11" s="159">
        <v>11949</v>
      </c>
      <c r="AI11" s="159">
        <v>22882</v>
      </c>
      <c r="AJ11" s="158">
        <v>11241</v>
      </c>
      <c r="AK11" s="158">
        <v>12270</v>
      </c>
      <c r="AL11" s="158">
        <v>23511</v>
      </c>
      <c r="AM11" s="159">
        <v>11549</v>
      </c>
      <c r="AN11" s="159">
        <v>12591</v>
      </c>
      <c r="AO11" s="160">
        <v>24140</v>
      </c>
      <c r="AP11" s="94">
        <v>10023</v>
      </c>
      <c r="AQ11" s="166">
        <v>12543</v>
      </c>
      <c r="AR11" s="166">
        <v>22566</v>
      </c>
      <c r="AS11" s="167">
        <v>10323</v>
      </c>
      <c r="AT11" s="167">
        <v>12843</v>
      </c>
      <c r="AU11" s="167">
        <v>23166</v>
      </c>
      <c r="AV11" s="166">
        <v>10523</v>
      </c>
      <c r="AW11" s="166">
        <v>13043</v>
      </c>
      <c r="AX11" s="166">
        <v>23566</v>
      </c>
      <c r="AY11" s="167">
        <v>9705</v>
      </c>
      <c r="AZ11" s="167">
        <v>12193</v>
      </c>
      <c r="BA11" s="168">
        <v>21898</v>
      </c>
      <c r="BB11" s="45">
        <v>3318</v>
      </c>
      <c r="BC11" s="158">
        <v>4278</v>
      </c>
      <c r="BD11" s="158">
        <v>7596</v>
      </c>
      <c r="BE11" s="159">
        <v>3868</v>
      </c>
      <c r="BF11" s="159">
        <v>5378</v>
      </c>
      <c r="BG11" s="159">
        <v>9246</v>
      </c>
      <c r="BH11" s="158">
        <v>4418</v>
      </c>
      <c r="BI11" s="158">
        <v>6478</v>
      </c>
      <c r="BJ11" s="158">
        <v>10896</v>
      </c>
      <c r="BK11" s="159">
        <v>4968</v>
      </c>
      <c r="BL11" s="159">
        <v>7578</v>
      </c>
      <c r="BM11" s="160">
        <v>12546</v>
      </c>
      <c r="BN11" s="41">
        <v>7764</v>
      </c>
      <c r="BO11" s="152">
        <v>9251</v>
      </c>
      <c r="BP11" s="152">
        <v>17015</v>
      </c>
      <c r="BQ11" s="153">
        <v>7883</v>
      </c>
      <c r="BR11" s="153">
        <v>8976</v>
      </c>
      <c r="BS11" s="153">
        <v>16859</v>
      </c>
      <c r="BT11" s="152">
        <v>7936</v>
      </c>
      <c r="BU11" s="152">
        <v>8767</v>
      </c>
      <c r="BV11" s="152">
        <v>16703</v>
      </c>
      <c r="BW11" s="153">
        <v>7870</v>
      </c>
      <c r="BX11" s="153">
        <v>8624</v>
      </c>
      <c r="BY11" s="154">
        <v>16494</v>
      </c>
      <c r="BZ11" s="169">
        <v>20498</v>
      </c>
      <c r="CA11" s="170">
        <v>26731</v>
      </c>
      <c r="CB11" s="170">
        <v>47229</v>
      </c>
      <c r="CC11" s="171">
        <v>19273</v>
      </c>
      <c r="CD11" s="171">
        <v>19543</v>
      </c>
      <c r="CE11" s="171">
        <v>38816</v>
      </c>
      <c r="CF11" s="170">
        <v>19413</v>
      </c>
      <c r="CG11" s="170">
        <v>19688</v>
      </c>
      <c r="CH11" s="170">
        <v>39101</v>
      </c>
      <c r="CI11" s="171">
        <v>19565</v>
      </c>
      <c r="CJ11" s="171">
        <v>19835</v>
      </c>
      <c r="CK11" s="172">
        <v>39400</v>
      </c>
      <c r="CL11" s="41">
        <v>15937</v>
      </c>
      <c r="CM11" s="152">
        <v>17360</v>
      </c>
      <c r="CN11" s="152">
        <v>33297</v>
      </c>
      <c r="CO11" s="153">
        <v>14556</v>
      </c>
      <c r="CP11" s="153">
        <v>14556</v>
      </c>
      <c r="CQ11" s="153">
        <v>29112</v>
      </c>
      <c r="CR11" s="152">
        <v>13884</v>
      </c>
      <c r="CS11" s="152">
        <v>13884</v>
      </c>
      <c r="CT11" s="152">
        <v>27768</v>
      </c>
      <c r="CU11" s="153">
        <v>12716</v>
      </c>
      <c r="CV11" s="153">
        <v>12716</v>
      </c>
      <c r="CW11" s="154">
        <v>25432</v>
      </c>
    </row>
    <row r="12" spans="1:101" s="186" customFormat="1" ht="36">
      <c r="A12" s="733"/>
      <c r="B12" s="735" t="s">
        <v>12</v>
      </c>
      <c r="C12" s="185" t="s">
        <v>72</v>
      </c>
      <c r="D12" s="771"/>
      <c r="E12" s="772"/>
      <c r="F12" s="773">
        <f t="shared" si="0"/>
        <v>3756</v>
      </c>
      <c r="G12" s="774"/>
      <c r="H12" s="775"/>
      <c r="I12" s="776">
        <f t="shared" si="1"/>
        <v>5365</v>
      </c>
      <c r="J12" s="777"/>
      <c r="K12" s="778"/>
      <c r="L12" s="773">
        <f t="shared" si="2"/>
        <v>6922.6</v>
      </c>
      <c r="M12" s="774"/>
      <c r="N12" s="775"/>
      <c r="O12" s="776">
        <f t="shared" si="3"/>
        <v>8586.0400000000009</v>
      </c>
      <c r="P12" s="777"/>
      <c r="Q12" s="777"/>
      <c r="R12" s="766">
        <v>472</v>
      </c>
      <c r="S12" s="751"/>
      <c r="T12" s="752"/>
      <c r="U12" s="753">
        <v>622</v>
      </c>
      <c r="V12" s="754"/>
      <c r="W12" s="767"/>
      <c r="X12" s="750">
        <v>772</v>
      </c>
      <c r="Y12" s="751"/>
      <c r="Z12" s="752"/>
      <c r="AA12" s="753">
        <v>922</v>
      </c>
      <c r="AB12" s="754"/>
      <c r="AC12" s="755"/>
      <c r="AD12" s="756">
        <v>783</v>
      </c>
      <c r="AE12" s="764"/>
      <c r="AF12" s="765"/>
      <c r="AG12" s="759">
        <v>931</v>
      </c>
      <c r="AH12" s="760"/>
      <c r="AI12" s="761"/>
      <c r="AJ12" s="762">
        <v>1079</v>
      </c>
      <c r="AK12" s="764"/>
      <c r="AL12" s="765"/>
      <c r="AM12" s="759">
        <v>1227</v>
      </c>
      <c r="AN12" s="760"/>
      <c r="AO12" s="763"/>
      <c r="AP12" s="779">
        <v>442</v>
      </c>
      <c r="AQ12" s="780"/>
      <c r="AR12" s="781"/>
      <c r="AS12" s="768">
        <v>622</v>
      </c>
      <c r="AT12" s="769"/>
      <c r="AU12" s="782"/>
      <c r="AV12" s="783">
        <v>822</v>
      </c>
      <c r="AW12" s="780"/>
      <c r="AX12" s="781"/>
      <c r="AY12" s="768">
        <v>1074</v>
      </c>
      <c r="AZ12" s="769"/>
      <c r="BA12" s="770"/>
      <c r="BB12" s="756">
        <v>246</v>
      </c>
      <c r="BC12" s="764"/>
      <c r="BD12" s="765"/>
      <c r="BE12" s="759">
        <v>290</v>
      </c>
      <c r="BF12" s="760"/>
      <c r="BG12" s="761"/>
      <c r="BH12" s="762">
        <v>334</v>
      </c>
      <c r="BI12" s="764"/>
      <c r="BJ12" s="765"/>
      <c r="BK12" s="759">
        <v>378</v>
      </c>
      <c r="BL12" s="760"/>
      <c r="BM12" s="763"/>
      <c r="BN12" s="766">
        <v>355</v>
      </c>
      <c r="BO12" s="751"/>
      <c r="BP12" s="752"/>
      <c r="BQ12" s="753">
        <v>589</v>
      </c>
      <c r="BR12" s="754"/>
      <c r="BS12" s="767"/>
      <c r="BT12" s="750">
        <v>823</v>
      </c>
      <c r="BU12" s="751"/>
      <c r="BV12" s="752"/>
      <c r="BW12" s="753">
        <v>1057</v>
      </c>
      <c r="BX12" s="754"/>
      <c r="BY12" s="755"/>
      <c r="BZ12" s="756">
        <v>819</v>
      </c>
      <c r="CA12" s="757"/>
      <c r="CB12" s="758"/>
      <c r="CC12" s="759">
        <v>1085</v>
      </c>
      <c r="CD12" s="760"/>
      <c r="CE12" s="761"/>
      <c r="CF12" s="762">
        <v>1353</v>
      </c>
      <c r="CG12" s="757"/>
      <c r="CH12" s="758"/>
      <c r="CI12" s="759">
        <v>1622</v>
      </c>
      <c r="CJ12" s="760"/>
      <c r="CK12" s="763"/>
      <c r="CL12" s="766">
        <v>639</v>
      </c>
      <c r="CM12" s="751"/>
      <c r="CN12" s="752"/>
      <c r="CO12" s="753">
        <v>1226</v>
      </c>
      <c r="CP12" s="754"/>
      <c r="CQ12" s="767"/>
      <c r="CR12" s="750">
        <v>1739.6</v>
      </c>
      <c r="CS12" s="751"/>
      <c r="CT12" s="752"/>
      <c r="CU12" s="753">
        <v>2306.04</v>
      </c>
      <c r="CV12" s="754"/>
      <c r="CW12" s="755"/>
    </row>
    <row r="13" spans="1:101" s="13" customFormat="1" ht="48.75" thickBot="1">
      <c r="A13" s="733"/>
      <c r="B13" s="703"/>
      <c r="C13" s="25" t="s">
        <v>73</v>
      </c>
      <c r="D13" s="14"/>
      <c r="E13" s="14"/>
      <c r="F13" s="37">
        <f t="shared" si="0"/>
        <v>22360</v>
      </c>
      <c r="G13" s="146">
        <f>SUM(S13,AE13,AQ13,BC13,BO13,CA13,CM13)</f>
        <v>25182</v>
      </c>
      <c r="H13" s="146">
        <f>SUM(T13,AF13,AR13,BD13,BP13,CB13,CN13)</f>
        <v>47542</v>
      </c>
      <c r="I13" s="148">
        <f t="shared" si="1"/>
        <v>35042</v>
      </c>
      <c r="J13" s="148">
        <f>SUM(V13,AH13,AT13,BF13,BR13,CD13,CP13)</f>
        <v>39215</v>
      </c>
      <c r="K13" s="148">
        <f>SUM(W13,AI13,AU13,BG13,BS13,CE13,CQ13)</f>
        <v>74257</v>
      </c>
      <c r="L13" s="146">
        <f t="shared" si="2"/>
        <v>45684</v>
      </c>
      <c r="M13" s="146">
        <f>SUM(Y13,AK13,AW13,BI13,BU13,CG13,CS13)</f>
        <v>50851</v>
      </c>
      <c r="N13" s="146">
        <f>SUM(Z13,AL13,AX13,BJ13,BV13,CH13,CT13)</f>
        <v>96535</v>
      </c>
      <c r="O13" s="148">
        <f t="shared" si="3"/>
        <v>58584</v>
      </c>
      <c r="P13" s="148">
        <f>SUM(AB13,AN13,AZ13,BL13,BX13,CJ13,CV13)</f>
        <v>64452</v>
      </c>
      <c r="Q13" s="147">
        <f>SUM(AC13,AO13,BA13,BM13,BY13,CK13,CW13)</f>
        <v>123036</v>
      </c>
      <c r="R13" s="41">
        <v>2446</v>
      </c>
      <c r="S13" s="152">
        <v>2995</v>
      </c>
      <c r="T13" s="152">
        <v>5441</v>
      </c>
      <c r="U13" s="153">
        <v>3172</v>
      </c>
      <c r="V13" s="153">
        <v>3783</v>
      </c>
      <c r="W13" s="153">
        <v>6955</v>
      </c>
      <c r="X13" s="152">
        <v>3898</v>
      </c>
      <c r="Y13" s="152">
        <v>4707</v>
      </c>
      <c r="Z13" s="152">
        <v>8605</v>
      </c>
      <c r="AA13" s="153">
        <v>4624</v>
      </c>
      <c r="AB13" s="153">
        <v>5631</v>
      </c>
      <c r="AC13" s="154">
        <v>10255</v>
      </c>
      <c r="AD13" s="45">
        <v>5295</v>
      </c>
      <c r="AE13" s="158">
        <v>5510</v>
      </c>
      <c r="AF13" s="158">
        <v>10805</v>
      </c>
      <c r="AG13" s="159">
        <v>6165</v>
      </c>
      <c r="AH13" s="159">
        <v>6416</v>
      </c>
      <c r="AI13" s="159">
        <v>12581</v>
      </c>
      <c r="AJ13" s="158">
        <v>7035</v>
      </c>
      <c r="AK13" s="158">
        <v>7322</v>
      </c>
      <c r="AL13" s="158">
        <v>14357</v>
      </c>
      <c r="AM13" s="159">
        <v>7905</v>
      </c>
      <c r="AN13" s="159">
        <v>8228</v>
      </c>
      <c r="AO13" s="160">
        <v>16133</v>
      </c>
      <c r="AP13" s="94">
        <v>1584</v>
      </c>
      <c r="AQ13" s="166">
        <v>1800</v>
      </c>
      <c r="AR13" s="166">
        <v>3384</v>
      </c>
      <c r="AS13" s="167">
        <v>2684</v>
      </c>
      <c r="AT13" s="167">
        <v>3000</v>
      </c>
      <c r="AU13" s="167">
        <v>5684</v>
      </c>
      <c r="AV13" s="166">
        <v>3884</v>
      </c>
      <c r="AW13" s="166">
        <v>4300</v>
      </c>
      <c r="AX13" s="166">
        <v>8184</v>
      </c>
      <c r="AY13" s="167">
        <v>6700</v>
      </c>
      <c r="AZ13" s="167">
        <v>7200</v>
      </c>
      <c r="BA13" s="168">
        <v>13900</v>
      </c>
      <c r="BB13" s="45">
        <v>517</v>
      </c>
      <c r="BC13" s="158">
        <v>1818</v>
      </c>
      <c r="BD13" s="158">
        <v>2335</v>
      </c>
      <c r="BE13" s="159">
        <v>737</v>
      </c>
      <c r="BF13" s="159">
        <v>2258</v>
      </c>
      <c r="BG13" s="159">
        <v>2995</v>
      </c>
      <c r="BH13" s="158">
        <v>957</v>
      </c>
      <c r="BI13" s="158">
        <v>2698</v>
      </c>
      <c r="BJ13" s="158">
        <v>3655</v>
      </c>
      <c r="BK13" s="159">
        <v>1177</v>
      </c>
      <c r="BL13" s="159">
        <v>3138</v>
      </c>
      <c r="BM13" s="160">
        <v>4315</v>
      </c>
      <c r="BN13" s="41">
        <v>2609</v>
      </c>
      <c r="BO13" s="152">
        <v>3493</v>
      </c>
      <c r="BP13" s="152">
        <v>6102</v>
      </c>
      <c r="BQ13" s="153">
        <v>4050</v>
      </c>
      <c r="BR13" s="153">
        <v>5328</v>
      </c>
      <c r="BS13" s="153">
        <v>9378</v>
      </c>
      <c r="BT13" s="152">
        <v>5557</v>
      </c>
      <c r="BU13" s="152">
        <v>7097</v>
      </c>
      <c r="BV13" s="152">
        <v>12654</v>
      </c>
      <c r="BW13" s="153">
        <v>7130</v>
      </c>
      <c r="BX13" s="153">
        <v>8800</v>
      </c>
      <c r="BY13" s="154">
        <v>15930</v>
      </c>
      <c r="BZ13" s="169">
        <v>5097</v>
      </c>
      <c r="CA13" s="170">
        <v>4827</v>
      </c>
      <c r="CB13" s="170">
        <v>9924</v>
      </c>
      <c r="CC13" s="171">
        <v>8430</v>
      </c>
      <c r="CD13" s="171">
        <v>8626</v>
      </c>
      <c r="CE13" s="171">
        <v>17056</v>
      </c>
      <c r="CF13" s="170">
        <v>10517</v>
      </c>
      <c r="CG13" s="170">
        <v>10891</v>
      </c>
      <c r="CH13" s="170">
        <v>21408</v>
      </c>
      <c r="CI13" s="171">
        <v>12684</v>
      </c>
      <c r="CJ13" s="171">
        <v>13091</v>
      </c>
      <c r="CK13" s="172">
        <v>25775</v>
      </c>
      <c r="CL13" s="41">
        <v>4812</v>
      </c>
      <c r="CM13" s="152">
        <v>4739</v>
      </c>
      <c r="CN13" s="152">
        <v>9551</v>
      </c>
      <c r="CO13" s="153">
        <v>9804</v>
      </c>
      <c r="CP13" s="153">
        <v>9804</v>
      </c>
      <c r="CQ13" s="153">
        <v>19608</v>
      </c>
      <c r="CR13" s="152">
        <v>13836</v>
      </c>
      <c r="CS13" s="152">
        <v>13836</v>
      </c>
      <c r="CT13" s="152">
        <v>27672</v>
      </c>
      <c r="CU13" s="153">
        <v>18364</v>
      </c>
      <c r="CV13" s="153">
        <v>18364</v>
      </c>
      <c r="CW13" s="154">
        <v>36728</v>
      </c>
    </row>
    <row r="14" spans="1:101" s="13" customFormat="1" ht="24">
      <c r="A14" s="733"/>
      <c r="B14" s="735" t="s">
        <v>15</v>
      </c>
      <c r="C14" s="14" t="s">
        <v>16</v>
      </c>
      <c r="D14" s="638"/>
      <c r="E14" s="639"/>
      <c r="F14" s="640">
        <f t="shared" si="0"/>
        <v>3148</v>
      </c>
      <c r="G14" s="641"/>
      <c r="H14" s="642"/>
      <c r="I14" s="622">
        <f t="shared" si="1"/>
        <v>3548</v>
      </c>
      <c r="J14" s="623"/>
      <c r="K14" s="643"/>
      <c r="L14" s="640">
        <f t="shared" si="2"/>
        <v>3888</v>
      </c>
      <c r="M14" s="641"/>
      <c r="N14" s="642"/>
      <c r="O14" s="622">
        <f t="shared" si="3"/>
        <v>4363</v>
      </c>
      <c r="P14" s="623"/>
      <c r="Q14" s="623"/>
      <c r="R14" s="591">
        <v>162</v>
      </c>
      <c r="S14" s="592"/>
      <c r="T14" s="593"/>
      <c r="U14" s="594">
        <v>165</v>
      </c>
      <c r="V14" s="595"/>
      <c r="W14" s="596"/>
      <c r="X14" s="597">
        <v>180</v>
      </c>
      <c r="Y14" s="592"/>
      <c r="Z14" s="593"/>
      <c r="AA14" s="594">
        <v>190</v>
      </c>
      <c r="AB14" s="595"/>
      <c r="AC14" s="598"/>
      <c r="AD14" s="607">
        <v>567</v>
      </c>
      <c r="AE14" s="615"/>
      <c r="AF14" s="616"/>
      <c r="AG14" s="588">
        <v>641</v>
      </c>
      <c r="AH14" s="589"/>
      <c r="AI14" s="610"/>
      <c r="AJ14" s="611">
        <v>715</v>
      </c>
      <c r="AK14" s="615"/>
      <c r="AL14" s="616"/>
      <c r="AM14" s="588">
        <v>789</v>
      </c>
      <c r="AN14" s="589"/>
      <c r="AO14" s="590"/>
      <c r="AP14" s="617">
        <v>459</v>
      </c>
      <c r="AQ14" s="618"/>
      <c r="AR14" s="619"/>
      <c r="AS14" s="612">
        <v>559</v>
      </c>
      <c r="AT14" s="613"/>
      <c r="AU14" s="620"/>
      <c r="AV14" s="621">
        <v>653</v>
      </c>
      <c r="AW14" s="618"/>
      <c r="AX14" s="619"/>
      <c r="AY14" s="612">
        <v>740</v>
      </c>
      <c r="AZ14" s="613"/>
      <c r="BA14" s="614"/>
      <c r="BB14" s="607">
        <v>118</v>
      </c>
      <c r="BC14" s="615"/>
      <c r="BD14" s="616"/>
      <c r="BE14" s="588">
        <v>151</v>
      </c>
      <c r="BF14" s="589"/>
      <c r="BG14" s="610"/>
      <c r="BH14" s="611">
        <v>184</v>
      </c>
      <c r="BI14" s="615"/>
      <c r="BJ14" s="616"/>
      <c r="BK14" s="588">
        <v>217</v>
      </c>
      <c r="BL14" s="589"/>
      <c r="BM14" s="590"/>
      <c r="BN14" s="591">
        <v>189</v>
      </c>
      <c r="BO14" s="592"/>
      <c r="BP14" s="593"/>
      <c r="BQ14" s="594">
        <v>214</v>
      </c>
      <c r="BR14" s="595"/>
      <c r="BS14" s="596"/>
      <c r="BT14" s="597">
        <v>239</v>
      </c>
      <c r="BU14" s="592"/>
      <c r="BV14" s="593"/>
      <c r="BW14" s="594">
        <v>264</v>
      </c>
      <c r="BX14" s="595"/>
      <c r="BY14" s="598"/>
      <c r="BZ14" s="607">
        <v>1003</v>
      </c>
      <c r="CA14" s="608"/>
      <c r="CB14" s="609"/>
      <c r="CC14" s="588">
        <v>1028</v>
      </c>
      <c r="CD14" s="589"/>
      <c r="CE14" s="610"/>
      <c r="CF14" s="611">
        <v>1043</v>
      </c>
      <c r="CG14" s="608"/>
      <c r="CH14" s="609"/>
      <c r="CI14" s="588">
        <v>1109</v>
      </c>
      <c r="CJ14" s="589"/>
      <c r="CK14" s="590"/>
      <c r="CL14" s="591">
        <v>650</v>
      </c>
      <c r="CM14" s="592"/>
      <c r="CN14" s="593"/>
      <c r="CO14" s="594">
        <v>790</v>
      </c>
      <c r="CP14" s="595"/>
      <c r="CQ14" s="596"/>
      <c r="CR14" s="597">
        <v>874</v>
      </c>
      <c r="CS14" s="592"/>
      <c r="CT14" s="593"/>
      <c r="CU14" s="594">
        <v>1054</v>
      </c>
      <c r="CV14" s="595"/>
      <c r="CW14" s="598"/>
    </row>
    <row r="15" spans="1:101" s="13" customFormat="1" ht="24">
      <c r="A15" s="733"/>
      <c r="B15" s="702"/>
      <c r="C15" s="14" t="s">
        <v>74</v>
      </c>
      <c r="D15" s="14"/>
      <c r="E15" s="14"/>
      <c r="F15" s="141">
        <f t="shared" si="0"/>
        <v>77960</v>
      </c>
      <c r="G15" s="141">
        <f t="shared" si="0"/>
        <v>81895</v>
      </c>
      <c r="H15" s="141">
        <f t="shared" si="0"/>
        <v>159855</v>
      </c>
      <c r="I15" s="140">
        <f t="shared" si="1"/>
        <v>86976</v>
      </c>
      <c r="J15" s="140">
        <f t="shared" si="1"/>
        <v>91582</v>
      </c>
      <c r="K15" s="140">
        <f t="shared" si="1"/>
        <v>178558</v>
      </c>
      <c r="L15" s="141">
        <f t="shared" si="2"/>
        <v>91165</v>
      </c>
      <c r="M15" s="141">
        <f t="shared" si="2"/>
        <v>97615</v>
      </c>
      <c r="N15" s="141">
        <f t="shared" si="2"/>
        <v>188780</v>
      </c>
      <c r="O15" s="140">
        <f t="shared" si="3"/>
        <v>103610</v>
      </c>
      <c r="P15" s="140">
        <f t="shared" si="3"/>
        <v>106693</v>
      </c>
      <c r="Q15" s="139">
        <f t="shared" si="3"/>
        <v>210333</v>
      </c>
      <c r="R15" s="47">
        <v>4911</v>
      </c>
      <c r="S15" s="129">
        <v>5806</v>
      </c>
      <c r="T15" s="129">
        <v>10717</v>
      </c>
      <c r="U15" s="130">
        <v>5100</v>
      </c>
      <c r="V15" s="130">
        <v>5900</v>
      </c>
      <c r="W15" s="130">
        <v>11000</v>
      </c>
      <c r="X15" s="129">
        <v>5390</v>
      </c>
      <c r="Y15" s="129">
        <v>6270</v>
      </c>
      <c r="Z15" s="129">
        <v>11660</v>
      </c>
      <c r="AA15" s="130">
        <v>5584</v>
      </c>
      <c r="AB15" s="130">
        <v>6516</v>
      </c>
      <c r="AC15" s="131">
        <v>12100</v>
      </c>
      <c r="AD15" s="48">
        <v>13518</v>
      </c>
      <c r="AE15" s="136">
        <v>14260</v>
      </c>
      <c r="AF15" s="136">
        <v>27778</v>
      </c>
      <c r="AG15" s="137">
        <v>14678</v>
      </c>
      <c r="AH15" s="137">
        <v>15468</v>
      </c>
      <c r="AI15" s="137">
        <v>30146</v>
      </c>
      <c r="AJ15" s="136">
        <v>15838</v>
      </c>
      <c r="AK15" s="136">
        <v>16676</v>
      </c>
      <c r="AL15" s="136">
        <v>32514</v>
      </c>
      <c r="AM15" s="137">
        <v>16998</v>
      </c>
      <c r="AN15" s="137">
        <v>17884</v>
      </c>
      <c r="AO15" s="138">
        <v>34882</v>
      </c>
      <c r="AP15" s="98">
        <v>12910</v>
      </c>
      <c r="AQ15" s="133">
        <v>13715</v>
      </c>
      <c r="AR15" s="133">
        <v>26625</v>
      </c>
      <c r="AS15" s="134">
        <v>14895</v>
      </c>
      <c r="AT15" s="134">
        <v>15908</v>
      </c>
      <c r="AU15" s="134">
        <v>30803</v>
      </c>
      <c r="AV15" s="133">
        <v>16795</v>
      </c>
      <c r="AW15" s="133">
        <v>17908</v>
      </c>
      <c r="AX15" s="101">
        <v>34703</v>
      </c>
      <c r="AY15" s="134">
        <v>19500</v>
      </c>
      <c r="AZ15" s="134">
        <v>20600</v>
      </c>
      <c r="BA15" s="135">
        <v>40100</v>
      </c>
      <c r="BB15" s="48">
        <v>2787</v>
      </c>
      <c r="BC15" s="136">
        <v>3462</v>
      </c>
      <c r="BD15" s="136">
        <v>6249</v>
      </c>
      <c r="BE15" s="137">
        <v>2952</v>
      </c>
      <c r="BF15" s="137">
        <v>3792</v>
      </c>
      <c r="BG15" s="137">
        <v>6744</v>
      </c>
      <c r="BH15" s="136">
        <v>3117</v>
      </c>
      <c r="BI15" s="136">
        <v>4122</v>
      </c>
      <c r="BJ15" s="136">
        <v>7239</v>
      </c>
      <c r="BK15" s="137">
        <v>3282</v>
      </c>
      <c r="BL15" s="137">
        <v>4452</v>
      </c>
      <c r="BM15" s="138">
        <v>7734</v>
      </c>
      <c r="BN15" s="47">
        <v>4367</v>
      </c>
      <c r="BO15" s="129">
        <v>6019</v>
      </c>
      <c r="BP15" s="129">
        <v>10386</v>
      </c>
      <c r="BQ15" s="130">
        <v>4978</v>
      </c>
      <c r="BR15" s="130">
        <v>6922</v>
      </c>
      <c r="BS15" s="130">
        <v>11900</v>
      </c>
      <c r="BT15" s="129">
        <v>5675</v>
      </c>
      <c r="BU15" s="129">
        <v>7960</v>
      </c>
      <c r="BV15" s="129">
        <v>13635</v>
      </c>
      <c r="BW15" s="130">
        <v>6470</v>
      </c>
      <c r="BX15" s="130">
        <v>9154</v>
      </c>
      <c r="BY15" s="131">
        <v>15624</v>
      </c>
      <c r="BZ15" s="173">
        <v>25828</v>
      </c>
      <c r="CA15" s="174">
        <v>24719</v>
      </c>
      <c r="CB15" s="174">
        <v>50547</v>
      </c>
      <c r="CC15" s="175">
        <v>25413</v>
      </c>
      <c r="CD15" s="175">
        <v>24632</v>
      </c>
      <c r="CE15" s="175">
        <v>50045</v>
      </c>
      <c r="CF15" s="174">
        <v>24718</v>
      </c>
      <c r="CG15" s="174">
        <v>25047</v>
      </c>
      <c r="CH15" s="174">
        <v>49765</v>
      </c>
      <c r="CI15" s="175">
        <v>30719</v>
      </c>
      <c r="CJ15" s="175">
        <v>27030</v>
      </c>
      <c r="CK15" s="176">
        <v>57749</v>
      </c>
      <c r="CL15" s="47">
        <v>13639</v>
      </c>
      <c r="CM15" s="129">
        <v>13914</v>
      </c>
      <c r="CN15" s="129">
        <v>27553</v>
      </c>
      <c r="CO15" s="130">
        <v>18960</v>
      </c>
      <c r="CP15" s="130">
        <v>18960</v>
      </c>
      <c r="CQ15" s="130">
        <v>37920</v>
      </c>
      <c r="CR15" s="129">
        <v>19632</v>
      </c>
      <c r="CS15" s="129">
        <v>19632</v>
      </c>
      <c r="CT15" s="129">
        <v>39264</v>
      </c>
      <c r="CU15" s="130">
        <v>21057</v>
      </c>
      <c r="CV15" s="130">
        <v>21057</v>
      </c>
      <c r="CW15" s="131">
        <v>42144</v>
      </c>
    </row>
    <row r="16" spans="1:101" s="13" customFormat="1" ht="36.75" thickBot="1">
      <c r="A16" s="734"/>
      <c r="B16" s="703"/>
      <c r="C16" s="25" t="s">
        <v>75</v>
      </c>
      <c r="D16" s="26"/>
      <c r="E16" s="26"/>
      <c r="F16" s="49">
        <f t="shared" si="0"/>
        <v>36717</v>
      </c>
      <c r="G16" s="50">
        <f t="shared" si="0"/>
        <v>40516</v>
      </c>
      <c r="H16" s="50">
        <f t="shared" si="0"/>
        <v>77233</v>
      </c>
      <c r="I16" s="51">
        <f t="shared" si="1"/>
        <v>42918.32</v>
      </c>
      <c r="J16" s="51">
        <f t="shared" si="1"/>
        <v>47204.04</v>
      </c>
      <c r="K16" s="51">
        <f t="shared" si="1"/>
        <v>90122.36</v>
      </c>
      <c r="L16" s="50">
        <f t="shared" si="2"/>
        <v>46194.25</v>
      </c>
      <c r="M16" s="50">
        <f t="shared" si="2"/>
        <v>50168.17</v>
      </c>
      <c r="N16" s="50">
        <f t="shared" si="2"/>
        <v>96362.42</v>
      </c>
      <c r="O16" s="51">
        <f t="shared" si="3"/>
        <v>54508</v>
      </c>
      <c r="P16" s="51">
        <f t="shared" si="3"/>
        <v>59633</v>
      </c>
      <c r="Q16" s="52">
        <f t="shared" si="3"/>
        <v>114141</v>
      </c>
      <c r="R16" s="53">
        <v>3936</v>
      </c>
      <c r="S16" s="54">
        <v>5096</v>
      </c>
      <c r="T16" s="54">
        <v>9032</v>
      </c>
      <c r="U16" s="55">
        <v>2805</v>
      </c>
      <c r="V16" s="55">
        <v>3597</v>
      </c>
      <c r="W16" s="55">
        <v>6402</v>
      </c>
      <c r="X16" s="54">
        <v>2900</v>
      </c>
      <c r="Y16" s="54">
        <v>3780</v>
      </c>
      <c r="Z16" s="54">
        <v>6680</v>
      </c>
      <c r="AA16" s="55">
        <v>3700</v>
      </c>
      <c r="AB16" s="55">
        <v>4600</v>
      </c>
      <c r="AC16" s="56">
        <v>8300</v>
      </c>
      <c r="AD16" s="57">
        <v>5274</v>
      </c>
      <c r="AE16" s="58">
        <v>5773</v>
      </c>
      <c r="AF16" s="58">
        <v>11047</v>
      </c>
      <c r="AG16" s="59">
        <v>6217</v>
      </c>
      <c r="AH16" s="59">
        <v>6754</v>
      </c>
      <c r="AI16" s="59">
        <v>12971</v>
      </c>
      <c r="AJ16" s="58">
        <v>7160</v>
      </c>
      <c r="AK16" s="58">
        <v>7735</v>
      </c>
      <c r="AL16" s="58">
        <v>14895</v>
      </c>
      <c r="AM16" s="59">
        <v>8103</v>
      </c>
      <c r="AN16" s="59">
        <v>8716</v>
      </c>
      <c r="AO16" s="60">
        <v>16819</v>
      </c>
      <c r="AP16" s="103">
        <v>3282</v>
      </c>
      <c r="AQ16" s="104">
        <v>3741</v>
      </c>
      <c r="AR16" s="104">
        <v>7023</v>
      </c>
      <c r="AS16" s="105">
        <v>5000</v>
      </c>
      <c r="AT16" s="105">
        <v>6400</v>
      </c>
      <c r="AU16" s="105">
        <v>11400</v>
      </c>
      <c r="AV16" s="104">
        <v>5800</v>
      </c>
      <c r="AW16" s="104">
        <v>7000</v>
      </c>
      <c r="AX16" s="106">
        <v>12800</v>
      </c>
      <c r="AY16" s="105">
        <v>5900</v>
      </c>
      <c r="AZ16" s="105">
        <v>7900</v>
      </c>
      <c r="BA16" s="107">
        <v>13800</v>
      </c>
      <c r="BB16" s="57">
        <v>1994</v>
      </c>
      <c r="BC16" s="58">
        <v>2623</v>
      </c>
      <c r="BD16" s="58">
        <v>4617</v>
      </c>
      <c r="BE16" s="59">
        <v>3383</v>
      </c>
      <c r="BF16" s="59">
        <v>4022</v>
      </c>
      <c r="BG16" s="59">
        <v>7405</v>
      </c>
      <c r="BH16" s="58">
        <v>3537</v>
      </c>
      <c r="BI16" s="58">
        <v>4321</v>
      </c>
      <c r="BJ16" s="58">
        <v>7858</v>
      </c>
      <c r="BK16" s="59">
        <v>3867</v>
      </c>
      <c r="BL16" s="59">
        <v>4651</v>
      </c>
      <c r="BM16" s="60">
        <v>8518</v>
      </c>
      <c r="BN16" s="53">
        <v>3304</v>
      </c>
      <c r="BO16" s="54">
        <v>4268</v>
      </c>
      <c r="BP16" s="129">
        <v>7572</v>
      </c>
      <c r="BQ16" s="55">
        <v>3354</v>
      </c>
      <c r="BR16" s="55">
        <v>4141</v>
      </c>
      <c r="BS16" s="55">
        <v>7495</v>
      </c>
      <c r="BT16" s="54">
        <v>3377</v>
      </c>
      <c r="BU16" s="54">
        <v>4045</v>
      </c>
      <c r="BV16" s="54">
        <v>7422</v>
      </c>
      <c r="BW16" s="55">
        <v>3349</v>
      </c>
      <c r="BX16" s="55">
        <v>3979</v>
      </c>
      <c r="BY16" s="56">
        <v>7328</v>
      </c>
      <c r="BZ16" s="177">
        <v>11225</v>
      </c>
      <c r="CA16" s="178">
        <v>11172</v>
      </c>
      <c r="CB16" s="178">
        <v>22397</v>
      </c>
      <c r="CC16" s="179">
        <v>12459.32</v>
      </c>
      <c r="CD16" s="179">
        <v>12590.04</v>
      </c>
      <c r="CE16" s="179">
        <v>25049.360000000001</v>
      </c>
      <c r="CF16" s="178">
        <v>12313.25</v>
      </c>
      <c r="CG16" s="178">
        <v>12180.17</v>
      </c>
      <c r="CH16" s="178">
        <v>24493.42</v>
      </c>
      <c r="CI16" s="179">
        <v>14287</v>
      </c>
      <c r="CJ16" s="179">
        <v>14485</v>
      </c>
      <c r="CK16" s="180">
        <v>28772</v>
      </c>
      <c r="CL16" s="53">
        <v>7702</v>
      </c>
      <c r="CM16" s="54">
        <v>7843</v>
      </c>
      <c r="CN16" s="129">
        <v>15545</v>
      </c>
      <c r="CO16" s="55">
        <v>9700</v>
      </c>
      <c r="CP16" s="55">
        <v>9700</v>
      </c>
      <c r="CQ16" s="55">
        <v>19400</v>
      </c>
      <c r="CR16" s="54">
        <v>11107</v>
      </c>
      <c r="CS16" s="54">
        <v>11107</v>
      </c>
      <c r="CT16" s="54">
        <v>22214</v>
      </c>
      <c r="CU16" s="55">
        <v>15302</v>
      </c>
      <c r="CV16" s="55">
        <v>15302</v>
      </c>
      <c r="CW16" s="56">
        <v>30604</v>
      </c>
    </row>
    <row r="17" spans="1:101" s="13" customFormat="1" ht="24">
      <c r="A17" s="732" t="s">
        <v>19</v>
      </c>
      <c r="B17" s="735" t="s">
        <v>20</v>
      </c>
      <c r="C17" s="27" t="s">
        <v>21</v>
      </c>
      <c r="D17" s="142"/>
      <c r="E17" s="142"/>
      <c r="F17" s="143">
        <f t="shared" si="0"/>
        <v>131</v>
      </c>
      <c r="G17" s="143">
        <f t="shared" si="0"/>
        <v>122</v>
      </c>
      <c r="H17" s="143">
        <f t="shared" si="0"/>
        <v>253</v>
      </c>
      <c r="I17" s="145">
        <f t="shared" si="1"/>
        <v>246</v>
      </c>
      <c r="J17" s="145">
        <f t="shared" si="1"/>
        <v>262</v>
      </c>
      <c r="K17" s="145">
        <f t="shared" si="1"/>
        <v>508</v>
      </c>
      <c r="L17" s="143">
        <f t="shared" si="2"/>
        <v>386</v>
      </c>
      <c r="M17" s="143">
        <f t="shared" si="2"/>
        <v>400</v>
      </c>
      <c r="N17" s="143">
        <f t="shared" si="2"/>
        <v>786</v>
      </c>
      <c r="O17" s="145">
        <f t="shared" si="3"/>
        <v>508</v>
      </c>
      <c r="P17" s="145">
        <f t="shared" si="3"/>
        <v>545</v>
      </c>
      <c r="Q17" s="144">
        <f t="shared" si="3"/>
        <v>1053</v>
      </c>
      <c r="R17" s="64">
        <v>4</v>
      </c>
      <c r="S17" s="149">
        <v>2</v>
      </c>
      <c r="T17" s="149">
        <v>6</v>
      </c>
      <c r="U17" s="150">
        <v>6</v>
      </c>
      <c r="V17" s="150">
        <v>9</v>
      </c>
      <c r="W17" s="150">
        <v>15</v>
      </c>
      <c r="X17" s="149">
        <v>15</v>
      </c>
      <c r="Y17" s="149">
        <v>20</v>
      </c>
      <c r="Z17" s="149">
        <v>35</v>
      </c>
      <c r="AA17" s="150">
        <v>25</v>
      </c>
      <c r="AB17" s="150">
        <v>35</v>
      </c>
      <c r="AC17" s="151">
        <v>60</v>
      </c>
      <c r="AD17" s="68">
        <v>31</v>
      </c>
      <c r="AE17" s="155">
        <v>36</v>
      </c>
      <c r="AF17" s="155">
        <v>67</v>
      </c>
      <c r="AG17" s="156">
        <v>61</v>
      </c>
      <c r="AH17" s="156">
        <v>66</v>
      </c>
      <c r="AI17" s="156">
        <v>127</v>
      </c>
      <c r="AJ17" s="155">
        <v>70</v>
      </c>
      <c r="AK17" s="155">
        <v>73</v>
      </c>
      <c r="AL17" s="155">
        <v>143</v>
      </c>
      <c r="AM17" s="156">
        <v>73</v>
      </c>
      <c r="AN17" s="156">
        <v>77</v>
      </c>
      <c r="AO17" s="157">
        <v>150</v>
      </c>
      <c r="AP17" s="162">
        <v>0</v>
      </c>
      <c r="AQ17" s="161">
        <v>0</v>
      </c>
      <c r="AR17" s="109">
        <v>0</v>
      </c>
      <c r="AS17" s="163">
        <v>10</v>
      </c>
      <c r="AT17" s="163">
        <v>26</v>
      </c>
      <c r="AU17" s="163">
        <v>36</v>
      </c>
      <c r="AV17" s="162">
        <v>41</v>
      </c>
      <c r="AW17" s="161">
        <v>51</v>
      </c>
      <c r="AX17" s="109">
        <v>92</v>
      </c>
      <c r="AY17" s="163">
        <v>65</v>
      </c>
      <c r="AZ17" s="163">
        <v>88</v>
      </c>
      <c r="BA17" s="164">
        <v>153</v>
      </c>
      <c r="BB17" s="68">
        <v>0</v>
      </c>
      <c r="BC17" s="155">
        <v>0</v>
      </c>
      <c r="BD17" s="155">
        <v>0</v>
      </c>
      <c r="BE17" s="156">
        <v>0</v>
      </c>
      <c r="BF17" s="156">
        <v>0</v>
      </c>
      <c r="BG17" s="156">
        <v>0</v>
      </c>
      <c r="BH17" s="155">
        <v>0</v>
      </c>
      <c r="BI17" s="155">
        <v>0</v>
      </c>
      <c r="BJ17" s="155">
        <v>0</v>
      </c>
      <c r="BK17" s="156">
        <v>0</v>
      </c>
      <c r="BL17" s="156">
        <v>0</v>
      </c>
      <c r="BM17" s="156">
        <v>0</v>
      </c>
      <c r="BN17" s="64">
        <v>7</v>
      </c>
      <c r="BO17" s="149">
        <v>4</v>
      </c>
      <c r="BP17" s="149">
        <v>11</v>
      </c>
      <c r="BQ17" s="150">
        <v>37</v>
      </c>
      <c r="BR17" s="150">
        <v>34</v>
      </c>
      <c r="BS17" s="150">
        <v>71</v>
      </c>
      <c r="BT17" s="149">
        <v>67</v>
      </c>
      <c r="BU17" s="149">
        <v>64</v>
      </c>
      <c r="BV17" s="149">
        <v>131</v>
      </c>
      <c r="BW17" s="150">
        <v>98</v>
      </c>
      <c r="BX17" s="150">
        <v>97</v>
      </c>
      <c r="BY17" s="151">
        <v>195</v>
      </c>
      <c r="BZ17" s="181">
        <v>41</v>
      </c>
      <c r="CA17" s="182">
        <v>35</v>
      </c>
      <c r="CB17" s="182">
        <v>76</v>
      </c>
      <c r="CC17" s="183">
        <v>72</v>
      </c>
      <c r="CD17" s="183">
        <v>67</v>
      </c>
      <c r="CE17" s="183">
        <v>139</v>
      </c>
      <c r="CF17" s="182">
        <v>113</v>
      </c>
      <c r="CG17" s="182">
        <v>112</v>
      </c>
      <c r="CH17" s="182">
        <v>225</v>
      </c>
      <c r="CI17" s="183">
        <v>154</v>
      </c>
      <c r="CJ17" s="183">
        <v>151</v>
      </c>
      <c r="CK17" s="184">
        <v>305</v>
      </c>
      <c r="CL17" s="64">
        <v>48</v>
      </c>
      <c r="CM17" s="149">
        <v>45</v>
      </c>
      <c r="CN17" s="149">
        <v>93</v>
      </c>
      <c r="CO17" s="150">
        <v>60</v>
      </c>
      <c r="CP17" s="150">
        <v>60</v>
      </c>
      <c r="CQ17" s="150">
        <v>120</v>
      </c>
      <c r="CR17" s="149">
        <v>80</v>
      </c>
      <c r="CS17" s="149">
        <v>80</v>
      </c>
      <c r="CT17" s="149">
        <v>160</v>
      </c>
      <c r="CU17" s="150">
        <v>93</v>
      </c>
      <c r="CV17" s="150">
        <v>97</v>
      </c>
      <c r="CW17" s="151">
        <v>190</v>
      </c>
    </row>
    <row r="18" spans="1:101" s="13" customFormat="1" ht="24">
      <c r="A18" s="733"/>
      <c r="B18" s="702"/>
      <c r="C18" s="28" t="s">
        <v>22</v>
      </c>
      <c r="D18" s="14"/>
      <c r="E18" s="14"/>
      <c r="F18" s="141">
        <f t="shared" si="0"/>
        <v>309</v>
      </c>
      <c r="G18" s="141">
        <f t="shared" si="0"/>
        <v>332</v>
      </c>
      <c r="H18" s="141">
        <f t="shared" si="0"/>
        <v>641</v>
      </c>
      <c r="I18" s="140">
        <f t="shared" si="1"/>
        <v>471</v>
      </c>
      <c r="J18" s="140">
        <f t="shared" si="1"/>
        <v>522</v>
      </c>
      <c r="K18" s="140">
        <f t="shared" si="1"/>
        <v>993</v>
      </c>
      <c r="L18" s="141">
        <f t="shared" si="2"/>
        <v>477</v>
      </c>
      <c r="M18" s="141">
        <f t="shared" si="2"/>
        <v>557</v>
      </c>
      <c r="N18" s="141">
        <f t="shared" si="2"/>
        <v>1014</v>
      </c>
      <c r="O18" s="140">
        <f t="shared" si="3"/>
        <v>578</v>
      </c>
      <c r="P18" s="140">
        <f t="shared" si="3"/>
        <v>653</v>
      </c>
      <c r="Q18" s="139">
        <f t="shared" si="3"/>
        <v>1231</v>
      </c>
      <c r="R18" s="47">
        <v>6</v>
      </c>
      <c r="S18" s="129">
        <v>12</v>
      </c>
      <c r="T18" s="129">
        <v>18</v>
      </c>
      <c r="U18" s="130">
        <v>17</v>
      </c>
      <c r="V18" s="130">
        <v>23</v>
      </c>
      <c r="W18" s="130">
        <v>40</v>
      </c>
      <c r="X18" s="129">
        <v>19</v>
      </c>
      <c r="Y18" s="129">
        <v>21</v>
      </c>
      <c r="Z18" s="129">
        <v>40</v>
      </c>
      <c r="AA18" s="130">
        <v>17</v>
      </c>
      <c r="AB18" s="130">
        <v>18</v>
      </c>
      <c r="AC18" s="131">
        <v>35</v>
      </c>
      <c r="AD18" s="48">
        <v>18</v>
      </c>
      <c r="AE18" s="136">
        <v>18</v>
      </c>
      <c r="AF18" s="136">
        <v>36</v>
      </c>
      <c r="AG18" s="137">
        <v>38</v>
      </c>
      <c r="AH18" s="137">
        <v>46</v>
      </c>
      <c r="AI18" s="137">
        <v>84</v>
      </c>
      <c r="AJ18" s="136">
        <v>42</v>
      </c>
      <c r="AK18" s="136">
        <v>53</v>
      </c>
      <c r="AL18" s="136">
        <v>95</v>
      </c>
      <c r="AM18" s="137">
        <v>45</v>
      </c>
      <c r="AN18" s="137">
        <v>70</v>
      </c>
      <c r="AO18" s="138">
        <v>115</v>
      </c>
      <c r="AP18" s="133">
        <v>42</v>
      </c>
      <c r="AQ18" s="132">
        <v>50</v>
      </c>
      <c r="AR18" s="112">
        <v>92</v>
      </c>
      <c r="AS18" s="134">
        <v>109</v>
      </c>
      <c r="AT18" s="134">
        <v>142</v>
      </c>
      <c r="AU18" s="134">
        <v>251</v>
      </c>
      <c r="AV18" s="187">
        <v>108</v>
      </c>
      <c r="AW18" s="188">
        <v>172</v>
      </c>
      <c r="AX18" s="112">
        <v>260</v>
      </c>
      <c r="AY18" s="134">
        <v>230</v>
      </c>
      <c r="AZ18" s="134">
        <v>260</v>
      </c>
      <c r="BA18" s="135">
        <v>490</v>
      </c>
      <c r="BB18" s="48">
        <v>36</v>
      </c>
      <c r="BC18" s="136">
        <v>38</v>
      </c>
      <c r="BD18" s="136">
        <v>74</v>
      </c>
      <c r="BE18" s="137">
        <v>34</v>
      </c>
      <c r="BF18" s="137">
        <v>36</v>
      </c>
      <c r="BG18" s="137">
        <v>70</v>
      </c>
      <c r="BH18" s="136">
        <v>34</v>
      </c>
      <c r="BI18" s="136">
        <v>34</v>
      </c>
      <c r="BJ18" s="136">
        <v>68</v>
      </c>
      <c r="BK18" s="137">
        <v>37</v>
      </c>
      <c r="BL18" s="137">
        <v>35</v>
      </c>
      <c r="BM18" s="137">
        <v>72</v>
      </c>
      <c r="BN18" s="47">
        <v>36</v>
      </c>
      <c r="BO18" s="129">
        <v>34</v>
      </c>
      <c r="BP18" s="129">
        <v>70</v>
      </c>
      <c r="BQ18" s="130">
        <v>29</v>
      </c>
      <c r="BR18" s="130">
        <v>29</v>
      </c>
      <c r="BS18" s="130">
        <v>58</v>
      </c>
      <c r="BT18" s="129">
        <v>21</v>
      </c>
      <c r="BU18" s="129">
        <v>23</v>
      </c>
      <c r="BV18" s="129">
        <v>44</v>
      </c>
      <c r="BW18" s="130">
        <v>14</v>
      </c>
      <c r="BX18" s="130">
        <v>16</v>
      </c>
      <c r="BY18" s="131">
        <v>30</v>
      </c>
      <c r="BZ18" s="173">
        <v>28</v>
      </c>
      <c r="CA18" s="174">
        <v>31</v>
      </c>
      <c r="CB18" s="174">
        <v>59</v>
      </c>
      <c r="CC18" s="175">
        <v>83</v>
      </c>
      <c r="CD18" s="175">
        <v>85</v>
      </c>
      <c r="CE18" s="175">
        <v>168</v>
      </c>
      <c r="CF18" s="174">
        <v>73</v>
      </c>
      <c r="CG18" s="174">
        <v>74</v>
      </c>
      <c r="CH18" s="174">
        <v>147</v>
      </c>
      <c r="CI18" s="175">
        <v>68</v>
      </c>
      <c r="CJ18" s="175">
        <v>79</v>
      </c>
      <c r="CK18" s="176">
        <v>147</v>
      </c>
      <c r="CL18" s="47">
        <v>143</v>
      </c>
      <c r="CM18" s="129">
        <v>149</v>
      </c>
      <c r="CN18" s="129">
        <v>292</v>
      </c>
      <c r="CO18" s="130">
        <v>161</v>
      </c>
      <c r="CP18" s="130">
        <v>161</v>
      </c>
      <c r="CQ18" s="130">
        <v>322</v>
      </c>
      <c r="CR18" s="129">
        <v>180</v>
      </c>
      <c r="CS18" s="129">
        <v>180</v>
      </c>
      <c r="CT18" s="129">
        <v>360</v>
      </c>
      <c r="CU18" s="130">
        <v>167</v>
      </c>
      <c r="CV18" s="130">
        <v>175</v>
      </c>
      <c r="CW18" s="131">
        <v>342</v>
      </c>
    </row>
    <row r="19" spans="1:101" s="13" customFormat="1" ht="24">
      <c r="A19" s="733"/>
      <c r="B19" s="702"/>
      <c r="C19" s="28" t="s">
        <v>23</v>
      </c>
      <c r="D19" s="14"/>
      <c r="E19" s="14"/>
      <c r="F19" s="141">
        <f t="shared" si="0"/>
        <v>411</v>
      </c>
      <c r="G19" s="141">
        <f t="shared" si="0"/>
        <v>509</v>
      </c>
      <c r="H19" s="141">
        <f t="shared" si="0"/>
        <v>920</v>
      </c>
      <c r="I19" s="140">
        <f t="shared" si="1"/>
        <v>499</v>
      </c>
      <c r="J19" s="140">
        <f t="shared" si="1"/>
        <v>506</v>
      </c>
      <c r="K19" s="140">
        <f t="shared" si="1"/>
        <v>1005</v>
      </c>
      <c r="L19" s="141">
        <f t="shared" si="2"/>
        <v>465</v>
      </c>
      <c r="M19" s="141">
        <f t="shared" si="2"/>
        <v>494</v>
      </c>
      <c r="N19" s="141">
        <f t="shared" si="2"/>
        <v>979</v>
      </c>
      <c r="O19" s="140">
        <f t="shared" si="3"/>
        <v>410</v>
      </c>
      <c r="P19" s="140">
        <f t="shared" si="3"/>
        <v>421</v>
      </c>
      <c r="Q19" s="139">
        <f t="shared" si="3"/>
        <v>819</v>
      </c>
      <c r="R19" s="47">
        <v>1</v>
      </c>
      <c r="S19" s="129">
        <v>3</v>
      </c>
      <c r="T19" s="129">
        <v>4</v>
      </c>
      <c r="U19" s="130">
        <v>15</v>
      </c>
      <c r="V19" s="130">
        <v>18</v>
      </c>
      <c r="W19" s="130">
        <v>33</v>
      </c>
      <c r="X19" s="129">
        <v>20</v>
      </c>
      <c r="Y19" s="129">
        <v>20</v>
      </c>
      <c r="Z19" s="129">
        <v>40</v>
      </c>
      <c r="AA19" s="130">
        <v>22</v>
      </c>
      <c r="AB19" s="130">
        <v>23</v>
      </c>
      <c r="AC19" s="131">
        <v>45</v>
      </c>
      <c r="AD19" s="48">
        <v>20</v>
      </c>
      <c r="AE19" s="136">
        <v>28</v>
      </c>
      <c r="AF19" s="136">
        <v>48</v>
      </c>
      <c r="AG19" s="137">
        <v>43</v>
      </c>
      <c r="AH19" s="137">
        <v>44</v>
      </c>
      <c r="AI19" s="137">
        <v>87</v>
      </c>
      <c r="AJ19" s="136">
        <v>50</v>
      </c>
      <c r="AK19" s="136">
        <v>68</v>
      </c>
      <c r="AL19" s="136">
        <v>118</v>
      </c>
      <c r="AM19" s="137">
        <v>55</v>
      </c>
      <c r="AN19" s="137">
        <v>62</v>
      </c>
      <c r="AO19" s="138">
        <v>117</v>
      </c>
      <c r="AP19" s="133">
        <v>102</v>
      </c>
      <c r="AQ19" s="132">
        <v>166</v>
      </c>
      <c r="AR19" s="112">
        <v>268</v>
      </c>
      <c r="AS19" s="134">
        <v>178</v>
      </c>
      <c r="AT19" s="134">
        <v>171</v>
      </c>
      <c r="AU19" s="134">
        <v>349</v>
      </c>
      <c r="AV19" s="187">
        <v>163</v>
      </c>
      <c r="AW19" s="188">
        <v>161</v>
      </c>
      <c r="AX19" s="112">
        <v>344</v>
      </c>
      <c r="AY19" s="134">
        <v>112</v>
      </c>
      <c r="AZ19" s="134">
        <v>111</v>
      </c>
      <c r="BA19" s="135">
        <v>211</v>
      </c>
      <c r="BB19" s="48">
        <v>22</v>
      </c>
      <c r="BC19" s="136">
        <v>23</v>
      </c>
      <c r="BD19" s="136">
        <v>45</v>
      </c>
      <c r="BE19" s="137">
        <v>23</v>
      </c>
      <c r="BF19" s="137">
        <v>26</v>
      </c>
      <c r="BG19" s="137">
        <v>49</v>
      </c>
      <c r="BH19" s="136">
        <v>21</v>
      </c>
      <c r="BI19" s="136">
        <v>28</v>
      </c>
      <c r="BJ19" s="136">
        <v>49</v>
      </c>
      <c r="BK19" s="137">
        <v>25</v>
      </c>
      <c r="BL19" s="137">
        <v>22</v>
      </c>
      <c r="BM19" s="137">
        <v>47</v>
      </c>
      <c r="BN19" s="47">
        <v>50</v>
      </c>
      <c r="BO19" s="129">
        <v>64</v>
      </c>
      <c r="BP19" s="129">
        <v>114</v>
      </c>
      <c r="BQ19" s="130">
        <v>42</v>
      </c>
      <c r="BR19" s="130">
        <v>53</v>
      </c>
      <c r="BS19" s="130">
        <v>95</v>
      </c>
      <c r="BT19" s="129">
        <v>35</v>
      </c>
      <c r="BU19" s="129">
        <v>42</v>
      </c>
      <c r="BV19" s="129">
        <v>77</v>
      </c>
      <c r="BW19" s="130">
        <v>28</v>
      </c>
      <c r="BX19" s="130">
        <v>30</v>
      </c>
      <c r="BY19" s="131">
        <v>58</v>
      </c>
      <c r="BZ19" s="173">
        <v>71</v>
      </c>
      <c r="CA19" s="174">
        <v>68</v>
      </c>
      <c r="CB19" s="174">
        <v>139</v>
      </c>
      <c r="CC19" s="175">
        <v>60</v>
      </c>
      <c r="CD19" s="175">
        <v>56</v>
      </c>
      <c r="CE19" s="175">
        <v>116</v>
      </c>
      <c r="CF19" s="174">
        <v>53</v>
      </c>
      <c r="CG19" s="174">
        <v>52</v>
      </c>
      <c r="CH19" s="174">
        <v>105</v>
      </c>
      <c r="CI19" s="175">
        <v>33</v>
      </c>
      <c r="CJ19" s="175">
        <v>39</v>
      </c>
      <c r="CK19" s="176">
        <v>72</v>
      </c>
      <c r="CL19" s="47">
        <v>145</v>
      </c>
      <c r="CM19" s="129">
        <v>157</v>
      </c>
      <c r="CN19" s="129">
        <v>302</v>
      </c>
      <c r="CO19" s="130">
        <v>138</v>
      </c>
      <c r="CP19" s="130">
        <v>138</v>
      </c>
      <c r="CQ19" s="130">
        <v>276</v>
      </c>
      <c r="CR19" s="129">
        <v>123</v>
      </c>
      <c r="CS19" s="129">
        <v>123</v>
      </c>
      <c r="CT19" s="129">
        <v>246</v>
      </c>
      <c r="CU19" s="130">
        <v>135</v>
      </c>
      <c r="CV19" s="130">
        <v>134</v>
      </c>
      <c r="CW19" s="131">
        <v>269</v>
      </c>
    </row>
    <row r="20" spans="1:101" s="13" customFormat="1" ht="24">
      <c r="A20" s="733"/>
      <c r="B20" s="702"/>
      <c r="C20" s="28" t="s">
        <v>24</v>
      </c>
      <c r="D20" s="14"/>
      <c r="E20" s="14"/>
      <c r="F20" s="141">
        <f t="shared" si="0"/>
        <v>708</v>
      </c>
      <c r="G20" s="141">
        <f t="shared" si="0"/>
        <v>803</v>
      </c>
      <c r="H20" s="141">
        <f t="shared" si="0"/>
        <v>1511</v>
      </c>
      <c r="I20" s="140">
        <f t="shared" si="1"/>
        <v>420</v>
      </c>
      <c r="J20" s="140">
        <f t="shared" si="1"/>
        <v>485</v>
      </c>
      <c r="K20" s="140">
        <f t="shared" si="1"/>
        <v>905</v>
      </c>
      <c r="L20" s="141">
        <f t="shared" si="2"/>
        <v>345</v>
      </c>
      <c r="M20" s="141">
        <f t="shared" si="2"/>
        <v>368</v>
      </c>
      <c r="N20" s="141">
        <f t="shared" si="2"/>
        <v>713</v>
      </c>
      <c r="O20" s="140">
        <f t="shared" si="3"/>
        <v>197</v>
      </c>
      <c r="P20" s="140">
        <f t="shared" si="3"/>
        <v>231</v>
      </c>
      <c r="Q20" s="139">
        <f t="shared" si="3"/>
        <v>440</v>
      </c>
      <c r="R20" s="47">
        <v>52</v>
      </c>
      <c r="S20" s="129">
        <v>59</v>
      </c>
      <c r="T20" s="129">
        <v>111</v>
      </c>
      <c r="U20" s="130">
        <v>25</v>
      </c>
      <c r="V20" s="130">
        <v>22</v>
      </c>
      <c r="W20" s="130">
        <v>47</v>
      </c>
      <c r="X20" s="129">
        <v>23</v>
      </c>
      <c r="Y20" s="129">
        <v>17</v>
      </c>
      <c r="Z20" s="129">
        <v>40</v>
      </c>
      <c r="AA20" s="130">
        <v>12</v>
      </c>
      <c r="AB20" s="130">
        <v>10</v>
      </c>
      <c r="AC20" s="131">
        <v>22</v>
      </c>
      <c r="AD20" s="48">
        <v>143</v>
      </c>
      <c r="AE20" s="136">
        <v>184</v>
      </c>
      <c r="AF20" s="136">
        <v>327</v>
      </c>
      <c r="AG20" s="137">
        <v>78</v>
      </c>
      <c r="AH20" s="137">
        <v>116</v>
      </c>
      <c r="AI20" s="137">
        <v>194</v>
      </c>
      <c r="AJ20" s="136">
        <v>60</v>
      </c>
      <c r="AK20" s="136">
        <v>78</v>
      </c>
      <c r="AL20" s="136">
        <v>138</v>
      </c>
      <c r="AM20" s="137">
        <v>51</v>
      </c>
      <c r="AN20" s="137">
        <v>64</v>
      </c>
      <c r="AO20" s="138">
        <v>115</v>
      </c>
      <c r="AP20" s="133">
        <v>286</v>
      </c>
      <c r="AQ20" s="132">
        <v>290</v>
      </c>
      <c r="AR20" s="112">
        <v>576</v>
      </c>
      <c r="AS20" s="134">
        <v>152</v>
      </c>
      <c r="AT20" s="134">
        <v>173</v>
      </c>
      <c r="AU20" s="134">
        <v>325</v>
      </c>
      <c r="AV20" s="187">
        <v>148</v>
      </c>
      <c r="AW20" s="188">
        <v>148</v>
      </c>
      <c r="AX20" s="112">
        <v>296</v>
      </c>
      <c r="AY20" s="134">
        <v>63</v>
      </c>
      <c r="AZ20" s="134">
        <v>83</v>
      </c>
      <c r="BA20" s="135">
        <v>158</v>
      </c>
      <c r="BB20" s="48">
        <v>1</v>
      </c>
      <c r="BC20" s="136">
        <v>2</v>
      </c>
      <c r="BD20" s="136">
        <v>3</v>
      </c>
      <c r="BE20" s="137">
        <v>2</v>
      </c>
      <c r="BF20" s="137">
        <v>2</v>
      </c>
      <c r="BG20" s="137">
        <v>4</v>
      </c>
      <c r="BH20" s="136">
        <v>1</v>
      </c>
      <c r="BI20" s="136">
        <v>3</v>
      </c>
      <c r="BJ20" s="136">
        <v>4</v>
      </c>
      <c r="BK20" s="137">
        <v>3</v>
      </c>
      <c r="BL20" s="137">
        <v>2</v>
      </c>
      <c r="BM20" s="137">
        <v>5</v>
      </c>
      <c r="BN20" s="47">
        <v>42</v>
      </c>
      <c r="BO20" s="129">
        <v>37</v>
      </c>
      <c r="BP20" s="129">
        <v>79</v>
      </c>
      <c r="BQ20" s="130">
        <v>28</v>
      </c>
      <c r="BR20" s="130">
        <v>24</v>
      </c>
      <c r="BS20" s="130">
        <v>52</v>
      </c>
      <c r="BT20" s="129">
        <v>14</v>
      </c>
      <c r="BU20" s="129">
        <v>13</v>
      </c>
      <c r="BV20" s="129">
        <v>27</v>
      </c>
      <c r="BW20" s="130">
        <v>0</v>
      </c>
      <c r="BX20" s="130">
        <v>0</v>
      </c>
      <c r="BY20" s="131">
        <v>0</v>
      </c>
      <c r="BZ20" s="173">
        <v>94</v>
      </c>
      <c r="CA20" s="174">
        <v>103</v>
      </c>
      <c r="CB20" s="174">
        <v>197</v>
      </c>
      <c r="CC20" s="175">
        <v>43</v>
      </c>
      <c r="CD20" s="175">
        <v>56</v>
      </c>
      <c r="CE20" s="175">
        <v>99</v>
      </c>
      <c r="CF20" s="174">
        <v>27</v>
      </c>
      <c r="CG20" s="174">
        <v>37</v>
      </c>
      <c r="CH20" s="174">
        <v>64</v>
      </c>
      <c r="CI20" s="175">
        <v>13</v>
      </c>
      <c r="CJ20" s="175">
        <v>8</v>
      </c>
      <c r="CK20" s="176">
        <v>21</v>
      </c>
      <c r="CL20" s="47">
        <v>90</v>
      </c>
      <c r="CM20" s="129">
        <v>128</v>
      </c>
      <c r="CN20" s="129">
        <v>218</v>
      </c>
      <c r="CO20" s="130">
        <v>92</v>
      </c>
      <c r="CP20" s="130">
        <v>92</v>
      </c>
      <c r="CQ20" s="130">
        <v>184</v>
      </c>
      <c r="CR20" s="129">
        <v>72</v>
      </c>
      <c r="CS20" s="129">
        <v>72</v>
      </c>
      <c r="CT20" s="129">
        <v>144</v>
      </c>
      <c r="CU20" s="130">
        <v>55</v>
      </c>
      <c r="CV20" s="130">
        <v>64</v>
      </c>
      <c r="CW20" s="131">
        <v>119</v>
      </c>
    </row>
    <row r="21" spans="1:101" s="13" customFormat="1" ht="24">
      <c r="A21" s="733"/>
      <c r="B21" s="702"/>
      <c r="C21" s="28" t="s">
        <v>61</v>
      </c>
      <c r="D21" s="14"/>
      <c r="E21" s="14"/>
      <c r="F21" s="141">
        <f t="shared" si="0"/>
        <v>166</v>
      </c>
      <c r="G21" s="141">
        <f t="shared" si="0"/>
        <v>157</v>
      </c>
      <c r="H21" s="141">
        <f t="shared" si="0"/>
        <v>323</v>
      </c>
      <c r="I21" s="140">
        <f t="shared" si="1"/>
        <v>74</v>
      </c>
      <c r="J21" s="140">
        <f t="shared" si="1"/>
        <v>71</v>
      </c>
      <c r="K21" s="140">
        <f t="shared" si="1"/>
        <v>145</v>
      </c>
      <c r="L21" s="141">
        <f t="shared" si="2"/>
        <v>37</v>
      </c>
      <c r="M21" s="141">
        <f t="shared" si="2"/>
        <v>27</v>
      </c>
      <c r="N21" s="141">
        <f t="shared" si="2"/>
        <v>64</v>
      </c>
      <c r="O21" s="140">
        <f t="shared" si="3"/>
        <v>10</v>
      </c>
      <c r="P21" s="140">
        <f t="shared" si="3"/>
        <v>3</v>
      </c>
      <c r="Q21" s="139">
        <f t="shared" si="3"/>
        <v>13</v>
      </c>
      <c r="R21" s="47">
        <v>53</v>
      </c>
      <c r="S21" s="129">
        <v>44</v>
      </c>
      <c r="T21" s="129">
        <v>97</v>
      </c>
      <c r="U21" s="130">
        <v>15</v>
      </c>
      <c r="V21" s="130">
        <v>12</v>
      </c>
      <c r="W21" s="130">
        <v>27</v>
      </c>
      <c r="X21" s="129">
        <v>4</v>
      </c>
      <c r="Y21" s="129">
        <v>3</v>
      </c>
      <c r="Z21" s="129">
        <v>7</v>
      </c>
      <c r="AA21" s="130">
        <v>0</v>
      </c>
      <c r="AB21" s="130">
        <v>0</v>
      </c>
      <c r="AC21" s="131">
        <v>0</v>
      </c>
      <c r="AD21" s="48">
        <v>16</v>
      </c>
      <c r="AE21" s="136">
        <v>7</v>
      </c>
      <c r="AF21" s="136">
        <v>23</v>
      </c>
      <c r="AG21" s="137">
        <v>8</v>
      </c>
      <c r="AH21" s="137">
        <v>1</v>
      </c>
      <c r="AI21" s="137">
        <v>9</v>
      </c>
      <c r="AJ21" s="136">
        <v>6</v>
      </c>
      <c r="AK21" s="136">
        <v>1</v>
      </c>
      <c r="AL21" s="136">
        <v>7</v>
      </c>
      <c r="AM21" s="137">
        <v>4</v>
      </c>
      <c r="AN21" s="137">
        <v>0</v>
      </c>
      <c r="AO21" s="138">
        <v>4</v>
      </c>
      <c r="AP21" s="133">
        <v>44</v>
      </c>
      <c r="AQ21" s="132">
        <v>38</v>
      </c>
      <c r="AR21" s="112">
        <v>82</v>
      </c>
      <c r="AS21" s="134">
        <v>25</v>
      </c>
      <c r="AT21" s="134">
        <v>32</v>
      </c>
      <c r="AU21" s="134">
        <v>57</v>
      </c>
      <c r="AV21" s="133">
        <v>14</v>
      </c>
      <c r="AW21" s="132">
        <v>12</v>
      </c>
      <c r="AX21" s="112">
        <v>26</v>
      </c>
      <c r="AY21" s="134">
        <v>4</v>
      </c>
      <c r="AZ21" s="134">
        <v>2</v>
      </c>
      <c r="BA21" s="135">
        <v>6</v>
      </c>
      <c r="BB21" s="48">
        <v>0</v>
      </c>
      <c r="BC21" s="136">
        <v>2</v>
      </c>
      <c r="BD21" s="136">
        <v>2</v>
      </c>
      <c r="BE21" s="137">
        <v>1</v>
      </c>
      <c r="BF21" s="137">
        <v>0</v>
      </c>
      <c r="BG21" s="137">
        <v>1</v>
      </c>
      <c r="BH21" s="136">
        <v>1</v>
      </c>
      <c r="BI21" s="136">
        <v>2</v>
      </c>
      <c r="BJ21" s="136">
        <v>3</v>
      </c>
      <c r="BK21" s="137">
        <v>0</v>
      </c>
      <c r="BL21" s="137">
        <v>0</v>
      </c>
      <c r="BM21" s="137">
        <v>0</v>
      </c>
      <c r="BN21" s="47">
        <v>5</v>
      </c>
      <c r="BO21" s="129">
        <v>4</v>
      </c>
      <c r="BP21" s="129">
        <v>9</v>
      </c>
      <c r="BQ21" s="130">
        <v>4</v>
      </c>
      <c r="BR21" s="130">
        <v>3</v>
      </c>
      <c r="BS21" s="130">
        <v>7</v>
      </c>
      <c r="BT21" s="129">
        <v>3</v>
      </c>
      <c r="BU21" s="129">
        <v>1</v>
      </c>
      <c r="BV21" s="129">
        <v>4</v>
      </c>
      <c r="BW21" s="130">
        <v>0</v>
      </c>
      <c r="BX21" s="130">
        <v>0</v>
      </c>
      <c r="BY21" s="131">
        <v>0</v>
      </c>
      <c r="BZ21" s="173">
        <v>36</v>
      </c>
      <c r="CA21" s="174">
        <v>41</v>
      </c>
      <c r="CB21" s="174">
        <v>77</v>
      </c>
      <c r="CC21" s="175">
        <v>12</v>
      </c>
      <c r="CD21" s="175">
        <v>14</v>
      </c>
      <c r="CE21" s="175">
        <v>26</v>
      </c>
      <c r="CF21" s="174">
        <v>4</v>
      </c>
      <c r="CG21" s="174">
        <v>3</v>
      </c>
      <c r="CH21" s="174">
        <v>7</v>
      </c>
      <c r="CI21" s="175">
        <v>2</v>
      </c>
      <c r="CJ21" s="175">
        <v>1</v>
      </c>
      <c r="CK21" s="176">
        <v>3</v>
      </c>
      <c r="CL21" s="47">
        <v>12</v>
      </c>
      <c r="CM21" s="129">
        <v>21</v>
      </c>
      <c r="CN21" s="129">
        <v>33</v>
      </c>
      <c r="CO21" s="130">
        <v>9</v>
      </c>
      <c r="CP21" s="130">
        <v>9</v>
      </c>
      <c r="CQ21" s="130">
        <v>18</v>
      </c>
      <c r="CR21" s="129">
        <v>5</v>
      </c>
      <c r="CS21" s="129">
        <v>5</v>
      </c>
      <c r="CT21" s="129">
        <v>10</v>
      </c>
      <c r="CU21" s="130">
        <v>0</v>
      </c>
      <c r="CV21" s="130">
        <v>0</v>
      </c>
      <c r="CW21" s="131">
        <v>0</v>
      </c>
    </row>
    <row r="22" spans="1:101" s="13" customFormat="1" ht="16.5" thickBot="1">
      <c r="A22" s="733"/>
      <c r="B22" s="703"/>
      <c r="C22" s="29" t="s">
        <v>62</v>
      </c>
      <c r="D22" s="14"/>
      <c r="E22" s="14"/>
      <c r="F22" s="37">
        <f>SUM(F17:F21)</f>
        <v>1725</v>
      </c>
      <c r="G22" s="37">
        <f t="shared" ref="G22:Q22" si="4">SUM(G17:G21)</f>
        <v>1923</v>
      </c>
      <c r="H22" s="37">
        <f t="shared" si="4"/>
        <v>3648</v>
      </c>
      <c r="I22" s="148">
        <f t="shared" si="4"/>
        <v>1710</v>
      </c>
      <c r="J22" s="148">
        <f t="shared" si="4"/>
        <v>1846</v>
      </c>
      <c r="K22" s="148">
        <f t="shared" si="4"/>
        <v>3556</v>
      </c>
      <c r="L22" s="146">
        <f t="shared" si="4"/>
        <v>1710</v>
      </c>
      <c r="M22" s="146">
        <f t="shared" si="4"/>
        <v>1846</v>
      </c>
      <c r="N22" s="146">
        <f t="shared" si="4"/>
        <v>3556</v>
      </c>
      <c r="O22" s="148">
        <f t="shared" si="4"/>
        <v>1703</v>
      </c>
      <c r="P22" s="148">
        <f t="shared" si="4"/>
        <v>1853</v>
      </c>
      <c r="Q22" s="147">
        <f t="shared" si="4"/>
        <v>3556</v>
      </c>
      <c r="R22" s="53">
        <v>116</v>
      </c>
      <c r="S22" s="54">
        <v>120</v>
      </c>
      <c r="T22" s="54">
        <v>236</v>
      </c>
      <c r="U22" s="153">
        <v>78</v>
      </c>
      <c r="V22" s="153">
        <v>84</v>
      </c>
      <c r="W22" s="153">
        <v>162</v>
      </c>
      <c r="X22" s="152">
        <v>81</v>
      </c>
      <c r="Y22" s="152">
        <v>81</v>
      </c>
      <c r="Z22" s="152">
        <v>162</v>
      </c>
      <c r="AA22" s="153">
        <v>76</v>
      </c>
      <c r="AB22" s="153">
        <v>86</v>
      </c>
      <c r="AC22" s="154">
        <v>162</v>
      </c>
      <c r="AD22" s="57">
        <v>228</v>
      </c>
      <c r="AE22" s="58">
        <v>273</v>
      </c>
      <c r="AF22" s="58">
        <v>501</v>
      </c>
      <c r="AG22" s="59">
        <v>228</v>
      </c>
      <c r="AH22" s="59">
        <v>273</v>
      </c>
      <c r="AI22" s="59">
        <v>501</v>
      </c>
      <c r="AJ22" s="58">
        <v>228</v>
      </c>
      <c r="AK22" s="58">
        <v>273</v>
      </c>
      <c r="AL22" s="58">
        <v>501</v>
      </c>
      <c r="AM22" s="59">
        <v>228</v>
      </c>
      <c r="AN22" s="59">
        <v>273</v>
      </c>
      <c r="AO22" s="60">
        <v>501</v>
      </c>
      <c r="AP22" s="166">
        <v>474</v>
      </c>
      <c r="AQ22" s="165">
        <v>544</v>
      </c>
      <c r="AR22" s="165">
        <v>1018</v>
      </c>
      <c r="AS22" s="167">
        <v>474</v>
      </c>
      <c r="AT22" s="167">
        <v>544</v>
      </c>
      <c r="AU22" s="167">
        <v>1018</v>
      </c>
      <c r="AV22" s="166">
        <v>474</v>
      </c>
      <c r="AW22" s="165">
        <v>544</v>
      </c>
      <c r="AX22" s="165">
        <v>1018</v>
      </c>
      <c r="AY22" s="167">
        <v>474</v>
      </c>
      <c r="AZ22" s="167">
        <v>544</v>
      </c>
      <c r="BA22" s="168">
        <v>1018</v>
      </c>
      <c r="BB22" s="45">
        <v>59</v>
      </c>
      <c r="BC22" s="158">
        <v>65</v>
      </c>
      <c r="BD22" s="158">
        <v>124</v>
      </c>
      <c r="BE22" s="159">
        <v>60</v>
      </c>
      <c r="BF22" s="159">
        <v>64</v>
      </c>
      <c r="BG22" s="159">
        <v>124</v>
      </c>
      <c r="BH22" s="158">
        <v>57</v>
      </c>
      <c r="BI22" s="158">
        <v>67</v>
      </c>
      <c r="BJ22" s="158">
        <v>124</v>
      </c>
      <c r="BK22" s="159">
        <v>65</v>
      </c>
      <c r="BL22" s="159">
        <v>59</v>
      </c>
      <c r="BM22" s="160">
        <v>124</v>
      </c>
      <c r="BN22" s="41">
        <v>140</v>
      </c>
      <c r="BO22" s="152">
        <v>143</v>
      </c>
      <c r="BP22" s="152">
        <v>283</v>
      </c>
      <c r="BQ22" s="153">
        <v>140</v>
      </c>
      <c r="BR22" s="153">
        <v>143</v>
      </c>
      <c r="BS22" s="153">
        <v>283</v>
      </c>
      <c r="BT22" s="152">
        <v>140</v>
      </c>
      <c r="BU22" s="152">
        <v>143</v>
      </c>
      <c r="BV22" s="152">
        <v>283</v>
      </c>
      <c r="BW22" s="153">
        <v>140</v>
      </c>
      <c r="BX22" s="153">
        <v>143</v>
      </c>
      <c r="BY22" s="154">
        <v>283</v>
      </c>
      <c r="BZ22" s="169">
        <v>270</v>
      </c>
      <c r="CA22" s="170">
        <v>278</v>
      </c>
      <c r="CB22" s="170">
        <v>548</v>
      </c>
      <c r="CC22" s="171">
        <v>270</v>
      </c>
      <c r="CD22" s="171">
        <v>278</v>
      </c>
      <c r="CE22" s="171">
        <v>548</v>
      </c>
      <c r="CF22" s="170">
        <v>270</v>
      </c>
      <c r="CG22" s="170">
        <v>278</v>
      </c>
      <c r="CH22" s="170">
        <v>548</v>
      </c>
      <c r="CI22" s="171">
        <v>270</v>
      </c>
      <c r="CJ22" s="171">
        <v>278</v>
      </c>
      <c r="CK22" s="172">
        <v>548</v>
      </c>
      <c r="CL22" s="41">
        <v>438</v>
      </c>
      <c r="CM22" s="152">
        <v>500</v>
      </c>
      <c r="CN22" s="152">
        <v>938</v>
      </c>
      <c r="CO22" s="153">
        <v>460</v>
      </c>
      <c r="CP22" s="153">
        <v>460</v>
      </c>
      <c r="CQ22" s="153">
        <v>920</v>
      </c>
      <c r="CR22" s="152">
        <v>460</v>
      </c>
      <c r="CS22" s="152">
        <v>460</v>
      </c>
      <c r="CT22" s="152">
        <v>920</v>
      </c>
      <c r="CU22" s="153">
        <v>450</v>
      </c>
      <c r="CV22" s="153">
        <v>470</v>
      </c>
      <c r="CW22" s="154">
        <v>920</v>
      </c>
    </row>
    <row r="23" spans="1:101" s="251" customFormat="1" ht="48">
      <c r="A23" s="733"/>
      <c r="B23" s="736" t="s">
        <v>25</v>
      </c>
      <c r="C23" s="238" t="s">
        <v>26</v>
      </c>
      <c r="D23" s="239"/>
      <c r="E23" s="239"/>
      <c r="F23" s="240">
        <f t="shared" ref="F23:Q32" si="5">SUM(R23,AD23,AP23,BB23,BN23,BZ23,CL23)</f>
        <v>2412</v>
      </c>
      <c r="G23" s="240">
        <f t="shared" si="5"/>
        <v>3133</v>
      </c>
      <c r="H23" s="240">
        <f t="shared" si="5"/>
        <v>5545</v>
      </c>
      <c r="I23" s="240">
        <f t="shared" si="5"/>
        <v>18992</v>
      </c>
      <c r="J23" s="240">
        <f t="shared" si="5"/>
        <v>20552</v>
      </c>
      <c r="K23" s="240">
        <f t="shared" si="5"/>
        <v>39544</v>
      </c>
      <c r="L23" s="240">
        <f t="shared" si="5"/>
        <v>19124</v>
      </c>
      <c r="M23" s="240">
        <f t="shared" si="5"/>
        <v>20895</v>
      </c>
      <c r="N23" s="240">
        <f t="shared" si="5"/>
        <v>40019</v>
      </c>
      <c r="O23" s="240">
        <f t="shared" si="5"/>
        <v>19784</v>
      </c>
      <c r="P23" s="240">
        <f t="shared" si="5"/>
        <v>20423</v>
      </c>
      <c r="Q23" s="241">
        <f t="shared" si="5"/>
        <v>40207</v>
      </c>
      <c r="R23" s="242">
        <v>2412</v>
      </c>
      <c r="S23" s="240">
        <v>3133</v>
      </c>
      <c r="T23" s="240">
        <v>5545</v>
      </c>
      <c r="U23" s="240">
        <v>1260</v>
      </c>
      <c r="V23" s="240">
        <v>1800</v>
      </c>
      <c r="W23" s="240">
        <v>3060</v>
      </c>
      <c r="X23" s="240">
        <v>1000</v>
      </c>
      <c r="Y23" s="240">
        <v>1300</v>
      </c>
      <c r="Z23" s="240">
        <v>2300</v>
      </c>
      <c r="AA23" s="240">
        <v>1000</v>
      </c>
      <c r="AB23" s="240">
        <v>1200</v>
      </c>
      <c r="AC23" s="243">
        <v>2200</v>
      </c>
      <c r="AD23" s="244" t="s">
        <v>65</v>
      </c>
      <c r="AE23" s="245" t="s">
        <v>65</v>
      </c>
      <c r="AF23" s="245" t="s">
        <v>65</v>
      </c>
      <c r="AG23" s="240">
        <v>980</v>
      </c>
      <c r="AH23" s="240">
        <v>1020</v>
      </c>
      <c r="AI23" s="240">
        <v>2000</v>
      </c>
      <c r="AJ23" s="240">
        <v>980</v>
      </c>
      <c r="AK23" s="240">
        <v>1020</v>
      </c>
      <c r="AL23" s="240">
        <v>2000</v>
      </c>
      <c r="AM23" s="240">
        <v>980</v>
      </c>
      <c r="AN23" s="240">
        <v>1020</v>
      </c>
      <c r="AO23" s="243">
        <v>2000</v>
      </c>
      <c r="AP23" s="246">
        <v>0</v>
      </c>
      <c r="AQ23" s="246">
        <v>0</v>
      </c>
      <c r="AR23" s="246">
        <v>0</v>
      </c>
      <c r="AS23" s="246">
        <v>1480</v>
      </c>
      <c r="AT23" s="246">
        <v>1550</v>
      </c>
      <c r="AU23" s="246">
        <v>3030</v>
      </c>
      <c r="AV23" s="246">
        <v>1500</v>
      </c>
      <c r="AW23" s="246">
        <v>1680</v>
      </c>
      <c r="AX23" s="246">
        <v>3180</v>
      </c>
      <c r="AY23" s="246">
        <v>1570</v>
      </c>
      <c r="AZ23" s="246">
        <v>1620</v>
      </c>
      <c r="BA23" s="247">
        <v>3190</v>
      </c>
      <c r="BB23" s="244">
        <v>0</v>
      </c>
      <c r="BC23" s="245">
        <v>0</v>
      </c>
      <c r="BD23" s="245">
        <v>0</v>
      </c>
      <c r="BE23" s="240">
        <v>440</v>
      </c>
      <c r="BF23" s="240">
        <v>880</v>
      </c>
      <c r="BG23" s="240">
        <v>1320</v>
      </c>
      <c r="BH23" s="240">
        <v>550</v>
      </c>
      <c r="BI23" s="240">
        <v>1100</v>
      </c>
      <c r="BJ23" s="240">
        <v>1650</v>
      </c>
      <c r="BK23" s="240">
        <v>550</v>
      </c>
      <c r="BL23" s="240">
        <v>1100</v>
      </c>
      <c r="BM23" s="243">
        <v>1650</v>
      </c>
      <c r="BN23" s="242">
        <v>0</v>
      </c>
      <c r="BO23" s="240">
        <v>0</v>
      </c>
      <c r="BP23" s="240">
        <v>0</v>
      </c>
      <c r="BQ23" s="240">
        <v>631</v>
      </c>
      <c r="BR23" s="240">
        <v>1436</v>
      </c>
      <c r="BS23" s="240">
        <v>2067</v>
      </c>
      <c r="BT23" s="240">
        <v>714</v>
      </c>
      <c r="BU23" s="240">
        <v>1490</v>
      </c>
      <c r="BV23" s="240">
        <v>2204</v>
      </c>
      <c r="BW23" s="240">
        <v>708</v>
      </c>
      <c r="BX23" s="240">
        <v>1552</v>
      </c>
      <c r="BY23" s="243">
        <v>2260</v>
      </c>
      <c r="BZ23" s="248">
        <v>0</v>
      </c>
      <c r="CA23" s="249">
        <v>0</v>
      </c>
      <c r="CB23" s="249">
        <v>0</v>
      </c>
      <c r="CC23" s="249">
        <v>9834</v>
      </c>
      <c r="CD23" s="249">
        <v>9499</v>
      </c>
      <c r="CE23" s="249">
        <v>19333</v>
      </c>
      <c r="CF23" s="249">
        <v>10215</v>
      </c>
      <c r="CG23" s="249">
        <v>10140</v>
      </c>
      <c r="CH23" s="249">
        <v>20355</v>
      </c>
      <c r="CI23" s="249">
        <v>11161</v>
      </c>
      <c r="CJ23" s="249">
        <v>10116</v>
      </c>
      <c r="CK23" s="250">
        <v>21277</v>
      </c>
      <c r="CL23" s="242">
        <v>0</v>
      </c>
      <c r="CM23" s="240">
        <v>0</v>
      </c>
      <c r="CN23" s="240">
        <v>0</v>
      </c>
      <c r="CO23" s="240">
        <v>4367</v>
      </c>
      <c r="CP23" s="240">
        <v>4367</v>
      </c>
      <c r="CQ23" s="240">
        <v>8734</v>
      </c>
      <c r="CR23" s="240">
        <v>4165</v>
      </c>
      <c r="CS23" s="240">
        <v>4165</v>
      </c>
      <c r="CT23" s="240">
        <v>8330</v>
      </c>
      <c r="CU23" s="240">
        <v>3815</v>
      </c>
      <c r="CV23" s="240">
        <v>3815</v>
      </c>
      <c r="CW23" s="243">
        <v>7630</v>
      </c>
    </row>
    <row r="24" spans="1:101" s="251" customFormat="1" ht="72.75" thickBot="1">
      <c r="A24" s="733"/>
      <c r="B24" s="737"/>
      <c r="C24" s="252" t="s">
        <v>41</v>
      </c>
      <c r="D24" s="239"/>
      <c r="E24" s="239"/>
      <c r="F24" s="253">
        <f t="shared" si="5"/>
        <v>2412</v>
      </c>
      <c r="G24" s="254">
        <f t="shared" si="5"/>
        <v>3133</v>
      </c>
      <c r="H24" s="254">
        <f t="shared" si="5"/>
        <v>5545</v>
      </c>
      <c r="I24" s="254">
        <f t="shared" si="5"/>
        <v>26316</v>
      </c>
      <c r="J24" s="254">
        <f t="shared" si="5"/>
        <v>31877</v>
      </c>
      <c r="K24" s="254">
        <f t="shared" si="5"/>
        <v>58193</v>
      </c>
      <c r="L24" s="254">
        <f t="shared" si="5"/>
        <v>38945</v>
      </c>
      <c r="M24" s="254">
        <f t="shared" si="5"/>
        <v>46612</v>
      </c>
      <c r="N24" s="254">
        <f t="shared" si="5"/>
        <v>85557</v>
      </c>
      <c r="O24" s="254">
        <f t="shared" si="5"/>
        <v>45178</v>
      </c>
      <c r="P24" s="254">
        <f t="shared" si="5"/>
        <v>56506</v>
      </c>
      <c r="Q24" s="255">
        <f t="shared" si="5"/>
        <v>101684</v>
      </c>
      <c r="R24" s="256">
        <v>2412</v>
      </c>
      <c r="S24" s="254">
        <v>3133</v>
      </c>
      <c r="T24" s="254">
        <v>5545</v>
      </c>
      <c r="U24" s="254">
        <v>3672</v>
      </c>
      <c r="V24" s="254">
        <v>4933</v>
      </c>
      <c r="W24" s="254">
        <v>8605</v>
      </c>
      <c r="X24" s="254">
        <v>4672</v>
      </c>
      <c r="Y24" s="254">
        <v>6233</v>
      </c>
      <c r="Z24" s="254">
        <v>10905</v>
      </c>
      <c r="AA24" s="254">
        <v>5672</v>
      </c>
      <c r="AB24" s="254">
        <v>7433</v>
      </c>
      <c r="AC24" s="257">
        <v>13105</v>
      </c>
      <c r="AD24" s="256">
        <v>0</v>
      </c>
      <c r="AE24" s="254">
        <v>0</v>
      </c>
      <c r="AF24" s="254">
        <v>0</v>
      </c>
      <c r="AG24" s="254">
        <v>980</v>
      </c>
      <c r="AH24" s="254">
        <v>1020</v>
      </c>
      <c r="AI24" s="254">
        <v>2000</v>
      </c>
      <c r="AJ24" s="254">
        <v>980</v>
      </c>
      <c r="AK24" s="254">
        <v>1020</v>
      </c>
      <c r="AL24" s="254">
        <v>2000</v>
      </c>
      <c r="AM24" s="254">
        <v>980</v>
      </c>
      <c r="AN24" s="254">
        <v>1020</v>
      </c>
      <c r="AO24" s="257">
        <v>2000</v>
      </c>
      <c r="AP24" s="258">
        <v>0</v>
      </c>
      <c r="AQ24" s="258">
        <v>0</v>
      </c>
      <c r="AR24" s="258">
        <v>0</v>
      </c>
      <c r="AS24" s="258">
        <v>10940</v>
      </c>
      <c r="AT24" s="258">
        <v>12493</v>
      </c>
      <c r="AU24" s="258">
        <v>23433</v>
      </c>
      <c r="AV24" s="258">
        <v>12440</v>
      </c>
      <c r="AW24" s="258">
        <v>14173</v>
      </c>
      <c r="AX24" s="258">
        <v>26613</v>
      </c>
      <c r="AY24" s="258">
        <v>7300</v>
      </c>
      <c r="AZ24" s="258">
        <v>10500</v>
      </c>
      <c r="BA24" s="259">
        <v>17800</v>
      </c>
      <c r="BB24" s="256">
        <v>0</v>
      </c>
      <c r="BC24" s="254">
        <v>0</v>
      </c>
      <c r="BD24" s="254">
        <v>0</v>
      </c>
      <c r="BE24" s="254">
        <v>440</v>
      </c>
      <c r="BF24" s="254">
        <v>880</v>
      </c>
      <c r="BG24" s="254">
        <v>1320</v>
      </c>
      <c r="BH24" s="254">
        <v>990</v>
      </c>
      <c r="BI24" s="254">
        <v>1980</v>
      </c>
      <c r="BJ24" s="254">
        <v>2970</v>
      </c>
      <c r="BK24" s="254">
        <v>1540</v>
      </c>
      <c r="BL24" s="254">
        <v>3080</v>
      </c>
      <c r="BM24" s="257">
        <v>4620</v>
      </c>
      <c r="BN24" s="256">
        <v>0</v>
      </c>
      <c r="BO24" s="254">
        <v>0</v>
      </c>
      <c r="BP24" s="254">
        <v>0</v>
      </c>
      <c r="BQ24" s="254">
        <v>631</v>
      </c>
      <c r="BR24" s="254">
        <v>1436</v>
      </c>
      <c r="BS24" s="240">
        <v>2067</v>
      </c>
      <c r="BT24" s="254">
        <v>1345</v>
      </c>
      <c r="BU24" s="254">
        <v>2926</v>
      </c>
      <c r="BV24" s="240">
        <v>4271</v>
      </c>
      <c r="BW24" s="254">
        <v>2053</v>
      </c>
      <c r="BX24" s="254">
        <v>4478</v>
      </c>
      <c r="BY24" s="257">
        <v>6531</v>
      </c>
      <c r="BZ24" s="260">
        <v>0</v>
      </c>
      <c r="CA24" s="261">
        <v>0</v>
      </c>
      <c r="CB24" s="261">
        <v>0</v>
      </c>
      <c r="CC24" s="261">
        <v>5286</v>
      </c>
      <c r="CD24" s="261">
        <v>6748</v>
      </c>
      <c r="CE24" s="261">
        <v>12034</v>
      </c>
      <c r="CF24" s="261">
        <v>9986</v>
      </c>
      <c r="CG24" s="261">
        <v>11748</v>
      </c>
      <c r="CH24" s="261">
        <v>21734</v>
      </c>
      <c r="CI24" s="261">
        <v>15286</v>
      </c>
      <c r="CJ24" s="261">
        <v>17648</v>
      </c>
      <c r="CK24" s="262">
        <v>32934</v>
      </c>
      <c r="CL24" s="256">
        <v>0</v>
      </c>
      <c r="CM24" s="254">
        <v>0</v>
      </c>
      <c r="CN24" s="254">
        <v>0</v>
      </c>
      <c r="CO24" s="254">
        <v>4367</v>
      </c>
      <c r="CP24" s="254">
        <v>4367</v>
      </c>
      <c r="CQ24" s="254">
        <v>8734</v>
      </c>
      <c r="CR24" s="254">
        <v>8532</v>
      </c>
      <c r="CS24" s="254">
        <v>8532</v>
      </c>
      <c r="CT24" s="254">
        <v>17064</v>
      </c>
      <c r="CU24" s="254">
        <v>12347</v>
      </c>
      <c r="CV24" s="254">
        <v>12347</v>
      </c>
      <c r="CW24" s="257">
        <v>24694</v>
      </c>
    </row>
    <row r="25" spans="1:101" s="13" customFormat="1" ht="72.75" thickBot="1">
      <c r="A25" s="734"/>
      <c r="B25" s="31" t="s">
        <v>27</v>
      </c>
      <c r="C25" s="30" t="s">
        <v>42</v>
      </c>
      <c r="D25" s="738"/>
      <c r="E25" s="739"/>
      <c r="F25" s="740">
        <f t="shared" si="5"/>
        <v>1089</v>
      </c>
      <c r="G25" s="741"/>
      <c r="H25" s="742"/>
      <c r="I25" s="743">
        <f t="shared" si="5"/>
        <v>1272</v>
      </c>
      <c r="J25" s="744"/>
      <c r="K25" s="745"/>
      <c r="L25" s="740">
        <f t="shared" si="5"/>
        <v>1434</v>
      </c>
      <c r="M25" s="741"/>
      <c r="N25" s="742"/>
      <c r="O25" s="743">
        <f t="shared" si="5"/>
        <v>1505</v>
      </c>
      <c r="P25" s="744"/>
      <c r="Q25" s="744"/>
      <c r="R25" s="722">
        <v>4</v>
      </c>
      <c r="S25" s="723"/>
      <c r="T25" s="724"/>
      <c r="U25" s="725">
        <v>20</v>
      </c>
      <c r="V25" s="726"/>
      <c r="W25" s="727"/>
      <c r="X25" s="728">
        <v>10</v>
      </c>
      <c r="Y25" s="723"/>
      <c r="Z25" s="724"/>
      <c r="AA25" s="725">
        <v>12</v>
      </c>
      <c r="AB25" s="726"/>
      <c r="AC25" s="729"/>
      <c r="AD25" s="730">
        <v>185</v>
      </c>
      <c r="AE25" s="747"/>
      <c r="AF25" s="748"/>
      <c r="AG25" s="707">
        <v>285</v>
      </c>
      <c r="AH25" s="708"/>
      <c r="AI25" s="749"/>
      <c r="AJ25" s="716">
        <v>385</v>
      </c>
      <c r="AK25" s="747"/>
      <c r="AL25" s="748"/>
      <c r="AM25" s="707">
        <v>485</v>
      </c>
      <c r="AN25" s="708"/>
      <c r="AO25" s="709"/>
      <c r="AP25" s="710">
        <v>302</v>
      </c>
      <c r="AQ25" s="711"/>
      <c r="AR25" s="712"/>
      <c r="AS25" s="713">
        <v>200</v>
      </c>
      <c r="AT25" s="714"/>
      <c r="AU25" s="715"/>
      <c r="AV25" s="710">
        <v>150</v>
      </c>
      <c r="AW25" s="711"/>
      <c r="AX25" s="712"/>
      <c r="AY25" s="713">
        <v>88</v>
      </c>
      <c r="AZ25" s="714"/>
      <c r="BA25" s="746"/>
      <c r="BB25" s="730">
        <v>23</v>
      </c>
      <c r="BC25" s="747"/>
      <c r="BD25" s="748"/>
      <c r="BE25" s="707">
        <v>64</v>
      </c>
      <c r="BF25" s="708"/>
      <c r="BG25" s="749"/>
      <c r="BH25" s="716">
        <v>76</v>
      </c>
      <c r="BI25" s="747"/>
      <c r="BJ25" s="748"/>
      <c r="BK25" s="707">
        <v>90</v>
      </c>
      <c r="BL25" s="708"/>
      <c r="BM25" s="709"/>
      <c r="BN25" s="722">
        <v>0</v>
      </c>
      <c r="BO25" s="723"/>
      <c r="BP25" s="724"/>
      <c r="BQ25" s="725">
        <v>50</v>
      </c>
      <c r="BR25" s="726"/>
      <c r="BS25" s="727"/>
      <c r="BT25" s="728">
        <v>60</v>
      </c>
      <c r="BU25" s="723"/>
      <c r="BV25" s="724"/>
      <c r="BW25" s="725">
        <v>60</v>
      </c>
      <c r="BX25" s="726"/>
      <c r="BY25" s="729"/>
      <c r="BZ25" s="730">
        <v>443</v>
      </c>
      <c r="CA25" s="717"/>
      <c r="CB25" s="718"/>
      <c r="CC25" s="719">
        <v>473</v>
      </c>
      <c r="CD25" s="720"/>
      <c r="CE25" s="731"/>
      <c r="CF25" s="716">
        <v>573</v>
      </c>
      <c r="CG25" s="717"/>
      <c r="CH25" s="718"/>
      <c r="CI25" s="719">
        <v>589</v>
      </c>
      <c r="CJ25" s="720"/>
      <c r="CK25" s="721"/>
      <c r="CL25" s="722">
        <v>132</v>
      </c>
      <c r="CM25" s="723"/>
      <c r="CN25" s="724"/>
      <c r="CO25" s="725">
        <v>180</v>
      </c>
      <c r="CP25" s="726"/>
      <c r="CQ25" s="727"/>
      <c r="CR25" s="728">
        <v>180</v>
      </c>
      <c r="CS25" s="723"/>
      <c r="CT25" s="724"/>
      <c r="CU25" s="725">
        <v>181</v>
      </c>
      <c r="CV25" s="726"/>
      <c r="CW25" s="729"/>
    </row>
    <row r="26" spans="1:101" s="275" customFormat="1" ht="36">
      <c r="A26" s="700" t="s">
        <v>28</v>
      </c>
      <c r="B26" s="702" t="s">
        <v>29</v>
      </c>
      <c r="C26" s="263" t="s">
        <v>67</v>
      </c>
      <c r="D26" s="264"/>
      <c r="E26" s="264"/>
      <c r="F26" s="265">
        <f t="shared" si="5"/>
        <v>28156</v>
      </c>
      <c r="G26" s="265">
        <f>SUM(S26,AE26,AQ26,BC26,BO26,CA26,CM26)</f>
        <v>29726</v>
      </c>
      <c r="H26" s="265">
        <f>SUM(T26,AF26,AR26,BD26,BP26,CB26,CN26)</f>
        <v>57882</v>
      </c>
      <c r="I26" s="265">
        <f t="shared" si="5"/>
        <v>25827</v>
      </c>
      <c r="J26" s="265">
        <f>SUM(V26,AH26,AT26,BF26,BR26,CD26,CP26)</f>
        <v>27526</v>
      </c>
      <c r="K26" s="265">
        <f>SUM(W26,AI26,AU26,BG26,BS26,CE26,CQ26)</f>
        <v>53353</v>
      </c>
      <c r="L26" s="265">
        <f t="shared" si="5"/>
        <v>24858</v>
      </c>
      <c r="M26" s="265">
        <f>SUM(Y26,AK26,AW26,BI26,BU26,CG26,CS26)</f>
        <v>26896</v>
      </c>
      <c r="N26" s="265">
        <f>SUM(Z26,AL26,AX26,BJ26,BV26,CH26,CT26)</f>
        <v>51754</v>
      </c>
      <c r="O26" s="265">
        <f t="shared" si="5"/>
        <v>26309</v>
      </c>
      <c r="P26" s="265">
        <f>SUM(AB26,AN26,AZ26,BL26,BX26,CJ26,CV26)</f>
        <v>29837</v>
      </c>
      <c r="Q26" s="266">
        <f>SUM(AC26,AO26,BA26,BM26,BY26,CK26,CW26)</f>
        <v>57130</v>
      </c>
      <c r="R26" s="267">
        <v>2219</v>
      </c>
      <c r="S26" s="265">
        <v>2785</v>
      </c>
      <c r="T26" s="265">
        <v>5004</v>
      </c>
      <c r="U26" s="265">
        <v>2300</v>
      </c>
      <c r="V26" s="265">
        <v>2860</v>
      </c>
      <c r="W26" s="265">
        <v>5160</v>
      </c>
      <c r="X26" s="265">
        <v>2320</v>
      </c>
      <c r="Y26" s="265">
        <v>2880</v>
      </c>
      <c r="Z26" s="265">
        <v>5200</v>
      </c>
      <c r="AA26" s="265">
        <v>2350</v>
      </c>
      <c r="AB26" s="265">
        <v>2950</v>
      </c>
      <c r="AC26" s="268">
        <v>5300</v>
      </c>
      <c r="AD26" s="267">
        <v>3574</v>
      </c>
      <c r="AE26" s="265">
        <v>3898</v>
      </c>
      <c r="AF26" s="265">
        <v>7472</v>
      </c>
      <c r="AG26" s="265">
        <v>4309</v>
      </c>
      <c r="AH26" s="265">
        <v>4663</v>
      </c>
      <c r="AI26" s="265">
        <v>8972</v>
      </c>
      <c r="AJ26" s="265">
        <v>5044</v>
      </c>
      <c r="AK26" s="265">
        <v>5428</v>
      </c>
      <c r="AL26" s="265">
        <v>10472</v>
      </c>
      <c r="AM26" s="265">
        <v>5779</v>
      </c>
      <c r="AN26" s="265">
        <v>6193</v>
      </c>
      <c r="AO26" s="268">
        <v>11972</v>
      </c>
      <c r="AP26" s="269">
        <v>4103</v>
      </c>
      <c r="AQ26" s="270">
        <v>4800</v>
      </c>
      <c r="AR26" s="270">
        <v>8903</v>
      </c>
      <c r="AS26" s="270">
        <v>6000</v>
      </c>
      <c r="AT26" s="270">
        <v>6500</v>
      </c>
      <c r="AU26" s="270">
        <v>12500</v>
      </c>
      <c r="AV26" s="270">
        <v>6500</v>
      </c>
      <c r="AW26" s="270">
        <v>7300</v>
      </c>
      <c r="AX26" s="270">
        <v>13800</v>
      </c>
      <c r="AY26" s="270">
        <v>7900</v>
      </c>
      <c r="AZ26" s="270">
        <v>8600</v>
      </c>
      <c r="BA26" s="271">
        <v>16500</v>
      </c>
      <c r="BB26" s="267">
        <v>984</v>
      </c>
      <c r="BC26" s="265">
        <v>1211</v>
      </c>
      <c r="BD26" s="265">
        <v>2195</v>
      </c>
      <c r="BE26" s="265">
        <v>1049</v>
      </c>
      <c r="BF26" s="265">
        <v>1341</v>
      </c>
      <c r="BG26" s="265">
        <v>2390</v>
      </c>
      <c r="BH26" s="265">
        <v>1114</v>
      </c>
      <c r="BI26" s="265">
        <v>1471</v>
      </c>
      <c r="BJ26" s="265">
        <v>2585</v>
      </c>
      <c r="BK26" s="265">
        <v>1179</v>
      </c>
      <c r="BL26" s="265">
        <v>1601</v>
      </c>
      <c r="BM26" s="268">
        <v>3764</v>
      </c>
      <c r="BN26" s="267">
        <v>1228</v>
      </c>
      <c r="BO26" s="265">
        <v>1927</v>
      </c>
      <c r="BP26" s="265">
        <v>3155</v>
      </c>
      <c r="BQ26" s="265">
        <v>1265</v>
      </c>
      <c r="BR26" s="265">
        <v>1985</v>
      </c>
      <c r="BS26" s="265">
        <f>BQ26+BR26</f>
        <v>3250</v>
      </c>
      <c r="BT26" s="265">
        <v>1316</v>
      </c>
      <c r="BU26" s="265">
        <v>2064</v>
      </c>
      <c r="BV26" s="265">
        <v>3380</v>
      </c>
      <c r="BW26" s="265">
        <v>1381</v>
      </c>
      <c r="BX26" s="265">
        <v>2168</v>
      </c>
      <c r="BY26" s="268">
        <v>3549</v>
      </c>
      <c r="BZ26" s="272">
        <v>12666</v>
      </c>
      <c r="CA26" s="273">
        <v>11110</v>
      </c>
      <c r="CB26" s="273">
        <v>23776</v>
      </c>
      <c r="CC26" s="273">
        <v>5595</v>
      </c>
      <c r="CD26" s="273">
        <v>4868</v>
      </c>
      <c r="CE26" s="273">
        <v>10463</v>
      </c>
      <c r="CF26" s="273">
        <v>2194</v>
      </c>
      <c r="CG26" s="273">
        <v>1383</v>
      </c>
      <c r="CH26" s="273">
        <v>3577</v>
      </c>
      <c r="CI26" s="273">
        <v>2199</v>
      </c>
      <c r="CJ26" s="273">
        <v>2344</v>
      </c>
      <c r="CK26" s="274">
        <v>4543</v>
      </c>
      <c r="CL26" s="267">
        <v>3382</v>
      </c>
      <c r="CM26" s="265">
        <v>3995</v>
      </c>
      <c r="CN26" s="265">
        <v>7377</v>
      </c>
      <c r="CO26" s="265">
        <v>5309</v>
      </c>
      <c r="CP26" s="265">
        <v>5309</v>
      </c>
      <c r="CQ26" s="265">
        <v>10618</v>
      </c>
      <c r="CR26" s="265">
        <v>6370</v>
      </c>
      <c r="CS26" s="265">
        <v>6370</v>
      </c>
      <c r="CT26" s="265">
        <v>12740</v>
      </c>
      <c r="CU26" s="265">
        <v>5521</v>
      </c>
      <c r="CV26" s="265">
        <v>5981</v>
      </c>
      <c r="CW26" s="268">
        <v>11502</v>
      </c>
    </row>
    <row r="27" spans="1:101" s="13" customFormat="1" ht="84.75" thickBot="1">
      <c r="A27" s="700"/>
      <c r="B27" s="703"/>
      <c r="C27" s="33" t="s">
        <v>43</v>
      </c>
      <c r="D27" s="14"/>
      <c r="E27" s="14"/>
      <c r="F27" s="37">
        <f t="shared" si="5"/>
        <v>37384</v>
      </c>
      <c r="G27" s="146">
        <f>SUM(S27,AE27,AQ27,BC27,BO27,CA27,CM27)</f>
        <v>42030</v>
      </c>
      <c r="H27" s="146">
        <f>SUM(T27,AF27,AR27,BD27,BP27,CB27,CN27)</f>
        <v>79414</v>
      </c>
      <c r="I27" s="148">
        <f t="shared" si="5"/>
        <v>40614</v>
      </c>
      <c r="J27" s="148">
        <f>SUM(V27,AH27,AT27,BF27,BR27,CD27,CP27)</f>
        <v>42998</v>
      </c>
      <c r="K27" s="148">
        <f>SUM(W27,AI27,AU27,BG27,BS27,CE27,CQ27)</f>
        <v>83612</v>
      </c>
      <c r="L27" s="146">
        <f t="shared" si="5"/>
        <v>47434</v>
      </c>
      <c r="M27" s="146">
        <f>SUM(Y27,AK27,AW27,BI27,BU27,CG27,CS27)</f>
        <v>50598</v>
      </c>
      <c r="N27" s="146">
        <f>SUM(Z27,AL27,AX27,BJ27,BV27,CH27,CT27)</f>
        <v>98032</v>
      </c>
      <c r="O27" s="148">
        <f t="shared" si="5"/>
        <v>43079</v>
      </c>
      <c r="P27" s="148">
        <f>SUM(AB27,AN27,AZ27,BL27,BX27,CJ27,CV27)</f>
        <v>46340</v>
      </c>
      <c r="Q27" s="147">
        <f>SUM(AC27,AO27,BA27,BM27,BY27,CK27,CW27)</f>
        <v>89419</v>
      </c>
      <c r="R27" s="41">
        <v>1857</v>
      </c>
      <c r="S27" s="152">
        <v>2014</v>
      </c>
      <c r="T27" s="152">
        <v>3871</v>
      </c>
      <c r="U27" s="153">
        <v>2400</v>
      </c>
      <c r="V27" s="153">
        <v>3150</v>
      </c>
      <c r="W27" s="153">
        <v>5550</v>
      </c>
      <c r="X27" s="152">
        <v>2650</v>
      </c>
      <c r="Y27" s="152">
        <v>3200</v>
      </c>
      <c r="Z27" s="152">
        <v>5850</v>
      </c>
      <c r="AA27" s="153">
        <v>2700</v>
      </c>
      <c r="AB27" s="153">
        <v>3300</v>
      </c>
      <c r="AC27" s="154">
        <v>6000</v>
      </c>
      <c r="AD27" s="45">
        <v>7812</v>
      </c>
      <c r="AE27" s="158">
        <v>8344</v>
      </c>
      <c r="AF27" s="158">
        <v>16156</v>
      </c>
      <c r="AG27" s="159">
        <v>8281</v>
      </c>
      <c r="AH27" s="159">
        <v>9490</v>
      </c>
      <c r="AI27" s="159">
        <v>17771</v>
      </c>
      <c r="AJ27" s="158">
        <v>8750</v>
      </c>
      <c r="AK27" s="158">
        <v>10636</v>
      </c>
      <c r="AL27" s="158">
        <v>19386</v>
      </c>
      <c r="AM27" s="159">
        <v>9219</v>
      </c>
      <c r="AN27" s="159">
        <v>11782</v>
      </c>
      <c r="AO27" s="160">
        <v>21001</v>
      </c>
      <c r="AP27" s="94">
        <v>5809</v>
      </c>
      <c r="AQ27" s="166">
        <v>7001</v>
      </c>
      <c r="AR27" s="166">
        <v>12810</v>
      </c>
      <c r="AS27" s="167">
        <v>7200</v>
      </c>
      <c r="AT27" s="167">
        <v>7800</v>
      </c>
      <c r="AU27" s="167">
        <v>15000</v>
      </c>
      <c r="AV27" s="166">
        <v>10000</v>
      </c>
      <c r="AW27" s="166">
        <v>10700</v>
      </c>
      <c r="AX27" s="166">
        <v>20700</v>
      </c>
      <c r="AY27" s="167">
        <v>11500</v>
      </c>
      <c r="AZ27" s="167">
        <v>12000</v>
      </c>
      <c r="BA27" s="168">
        <v>23500</v>
      </c>
      <c r="BB27" s="45">
        <v>816</v>
      </c>
      <c r="BC27" s="158">
        <v>1091</v>
      </c>
      <c r="BD27" s="158">
        <v>1907</v>
      </c>
      <c r="BE27" s="159">
        <v>916</v>
      </c>
      <c r="BF27" s="159">
        <v>1291</v>
      </c>
      <c r="BG27" s="159">
        <v>2207</v>
      </c>
      <c r="BH27" s="158">
        <v>1016</v>
      </c>
      <c r="BI27" s="158">
        <v>1491</v>
      </c>
      <c r="BJ27" s="158">
        <v>2507</v>
      </c>
      <c r="BK27" s="159">
        <v>1116</v>
      </c>
      <c r="BL27" s="159">
        <v>1691</v>
      </c>
      <c r="BM27" s="160">
        <v>2807</v>
      </c>
      <c r="BN27" s="41">
        <v>3548</v>
      </c>
      <c r="BO27" s="152">
        <v>4828</v>
      </c>
      <c r="BP27" s="152">
        <v>8376</v>
      </c>
      <c r="BQ27" s="153">
        <v>3640</v>
      </c>
      <c r="BR27" s="153">
        <v>3845</v>
      </c>
      <c r="BS27" s="153">
        <v>7485</v>
      </c>
      <c r="BT27" s="152">
        <v>3641</v>
      </c>
      <c r="BU27" s="152">
        <v>3687</v>
      </c>
      <c r="BV27" s="152">
        <v>7328</v>
      </c>
      <c r="BW27" s="153">
        <v>3569</v>
      </c>
      <c r="BX27" s="153">
        <v>3551</v>
      </c>
      <c r="BY27" s="154">
        <v>7120</v>
      </c>
      <c r="BZ27" s="169">
        <v>8502</v>
      </c>
      <c r="CA27" s="170">
        <v>8529</v>
      </c>
      <c r="CB27" s="170">
        <v>17031</v>
      </c>
      <c r="CC27" s="171">
        <v>9443</v>
      </c>
      <c r="CD27" s="171">
        <v>8688</v>
      </c>
      <c r="CE27" s="171">
        <v>18131</v>
      </c>
      <c r="CF27" s="170">
        <v>10897</v>
      </c>
      <c r="CG27" s="170">
        <v>10404</v>
      </c>
      <c r="CH27" s="170">
        <v>21301</v>
      </c>
      <c r="CI27" s="171">
        <v>12049</v>
      </c>
      <c r="CJ27" s="171">
        <v>10847</v>
      </c>
      <c r="CK27" s="172">
        <v>22896</v>
      </c>
      <c r="CL27" s="41">
        <v>9040</v>
      </c>
      <c r="CM27" s="152">
        <v>10223</v>
      </c>
      <c r="CN27" s="152">
        <v>19263</v>
      </c>
      <c r="CO27" s="153">
        <v>8734</v>
      </c>
      <c r="CP27" s="153">
        <v>8734</v>
      </c>
      <c r="CQ27" s="153">
        <v>17468</v>
      </c>
      <c r="CR27" s="152">
        <v>10480</v>
      </c>
      <c r="CS27" s="152">
        <v>10480</v>
      </c>
      <c r="CT27" s="152">
        <v>20960</v>
      </c>
      <c r="CU27" s="153">
        <v>2926</v>
      </c>
      <c r="CV27" s="153">
        <v>3169</v>
      </c>
      <c r="CW27" s="154">
        <v>6095</v>
      </c>
    </row>
    <row r="28" spans="1:101" s="275" customFormat="1" ht="108">
      <c r="A28" s="700"/>
      <c r="B28" s="276" t="s">
        <v>30</v>
      </c>
      <c r="C28" s="263" t="s">
        <v>44</v>
      </c>
      <c r="D28" s="704"/>
      <c r="E28" s="705"/>
      <c r="F28" s="685">
        <f t="shared" si="5"/>
        <v>1739</v>
      </c>
      <c r="G28" s="683"/>
      <c r="H28" s="684"/>
      <c r="I28" s="685">
        <f t="shared" si="5"/>
        <v>1750</v>
      </c>
      <c r="J28" s="683"/>
      <c r="K28" s="684"/>
      <c r="L28" s="685">
        <f t="shared" si="5"/>
        <v>2094</v>
      </c>
      <c r="M28" s="683"/>
      <c r="N28" s="684"/>
      <c r="O28" s="685">
        <f t="shared" si="5"/>
        <v>2731</v>
      </c>
      <c r="P28" s="683"/>
      <c r="Q28" s="683"/>
      <c r="R28" s="682">
        <v>59</v>
      </c>
      <c r="S28" s="683"/>
      <c r="T28" s="684"/>
      <c r="U28" s="685">
        <v>80</v>
      </c>
      <c r="V28" s="683"/>
      <c r="W28" s="684"/>
      <c r="X28" s="685">
        <v>90</v>
      </c>
      <c r="Y28" s="683"/>
      <c r="Z28" s="684"/>
      <c r="AA28" s="685">
        <v>100</v>
      </c>
      <c r="AB28" s="683"/>
      <c r="AC28" s="686"/>
      <c r="AD28" s="682">
        <v>222</v>
      </c>
      <c r="AE28" s="683"/>
      <c r="AF28" s="684"/>
      <c r="AG28" s="685">
        <v>272</v>
      </c>
      <c r="AH28" s="683"/>
      <c r="AI28" s="684"/>
      <c r="AJ28" s="685">
        <v>322</v>
      </c>
      <c r="AK28" s="683"/>
      <c r="AL28" s="684"/>
      <c r="AM28" s="685">
        <v>372</v>
      </c>
      <c r="AN28" s="683"/>
      <c r="AO28" s="686"/>
      <c r="AP28" s="693">
        <v>351</v>
      </c>
      <c r="AQ28" s="694"/>
      <c r="AR28" s="695"/>
      <c r="AS28" s="690">
        <v>85</v>
      </c>
      <c r="AT28" s="691"/>
      <c r="AU28" s="699"/>
      <c r="AV28" s="690">
        <v>115</v>
      </c>
      <c r="AW28" s="691"/>
      <c r="AX28" s="699"/>
      <c r="AY28" s="690">
        <v>200</v>
      </c>
      <c r="AZ28" s="691"/>
      <c r="BA28" s="692"/>
      <c r="BB28" s="682">
        <v>67</v>
      </c>
      <c r="BC28" s="683"/>
      <c r="BD28" s="684"/>
      <c r="BE28" s="685">
        <v>96</v>
      </c>
      <c r="BF28" s="683"/>
      <c r="BG28" s="684"/>
      <c r="BH28" s="685">
        <v>105</v>
      </c>
      <c r="BI28" s="683"/>
      <c r="BJ28" s="684"/>
      <c r="BK28" s="685">
        <v>144</v>
      </c>
      <c r="BL28" s="683"/>
      <c r="BM28" s="686"/>
      <c r="BN28" s="682">
        <v>52</v>
      </c>
      <c r="BO28" s="683"/>
      <c r="BP28" s="684"/>
      <c r="BQ28" s="685">
        <v>54</v>
      </c>
      <c r="BR28" s="683"/>
      <c r="BS28" s="684"/>
      <c r="BT28" s="685">
        <v>60</v>
      </c>
      <c r="BU28" s="683"/>
      <c r="BV28" s="684"/>
      <c r="BW28" s="685">
        <v>66</v>
      </c>
      <c r="BX28" s="683"/>
      <c r="BY28" s="686"/>
      <c r="BZ28" s="682">
        <v>591</v>
      </c>
      <c r="CA28" s="680"/>
      <c r="CB28" s="687"/>
      <c r="CC28" s="679">
        <v>663</v>
      </c>
      <c r="CD28" s="680"/>
      <c r="CE28" s="687"/>
      <c r="CF28" s="685">
        <v>732</v>
      </c>
      <c r="CG28" s="680"/>
      <c r="CH28" s="687"/>
      <c r="CI28" s="679">
        <v>900</v>
      </c>
      <c r="CJ28" s="680"/>
      <c r="CK28" s="681"/>
      <c r="CL28" s="682">
        <v>397</v>
      </c>
      <c r="CM28" s="683"/>
      <c r="CN28" s="684"/>
      <c r="CO28" s="685">
        <v>500</v>
      </c>
      <c r="CP28" s="683"/>
      <c r="CQ28" s="684"/>
      <c r="CR28" s="685">
        <v>670</v>
      </c>
      <c r="CS28" s="683"/>
      <c r="CT28" s="684"/>
      <c r="CU28" s="685">
        <v>949</v>
      </c>
      <c r="CV28" s="683"/>
      <c r="CW28" s="686"/>
    </row>
    <row r="29" spans="1:101" s="275" customFormat="1" ht="84.75" thickBot="1">
      <c r="A29" s="700"/>
      <c r="B29" s="282"/>
      <c r="C29" s="283" t="s">
        <v>45</v>
      </c>
      <c r="D29" s="704"/>
      <c r="E29" s="705"/>
      <c r="F29" s="661">
        <f t="shared" si="5"/>
        <v>1446</v>
      </c>
      <c r="G29" s="662"/>
      <c r="H29" s="663"/>
      <c r="I29" s="661">
        <f t="shared" si="5"/>
        <v>1923</v>
      </c>
      <c r="J29" s="662"/>
      <c r="K29" s="663"/>
      <c r="L29" s="661">
        <f t="shared" si="5"/>
        <v>1950</v>
      </c>
      <c r="M29" s="662"/>
      <c r="N29" s="663"/>
      <c r="O29" s="661">
        <f t="shared" si="5"/>
        <v>2203</v>
      </c>
      <c r="P29" s="662"/>
      <c r="Q29" s="662"/>
      <c r="R29" s="665">
        <v>10</v>
      </c>
      <c r="S29" s="662"/>
      <c r="T29" s="663"/>
      <c r="U29" s="661">
        <v>50</v>
      </c>
      <c r="V29" s="662"/>
      <c r="W29" s="663"/>
      <c r="X29" s="661">
        <v>50</v>
      </c>
      <c r="Y29" s="662"/>
      <c r="Z29" s="663"/>
      <c r="AA29" s="661">
        <v>55</v>
      </c>
      <c r="AB29" s="662"/>
      <c r="AC29" s="664"/>
      <c r="AD29" s="665">
        <v>522</v>
      </c>
      <c r="AE29" s="662"/>
      <c r="AF29" s="663"/>
      <c r="AG29" s="661">
        <v>567</v>
      </c>
      <c r="AH29" s="662"/>
      <c r="AI29" s="663"/>
      <c r="AJ29" s="661">
        <v>612</v>
      </c>
      <c r="AK29" s="662"/>
      <c r="AL29" s="663"/>
      <c r="AM29" s="661">
        <v>650</v>
      </c>
      <c r="AN29" s="662"/>
      <c r="AO29" s="664"/>
      <c r="AP29" s="696"/>
      <c r="AQ29" s="697"/>
      <c r="AR29" s="698"/>
      <c r="AS29" s="669">
        <v>350</v>
      </c>
      <c r="AT29" s="670"/>
      <c r="AU29" s="688"/>
      <c r="AV29" s="669">
        <v>402</v>
      </c>
      <c r="AW29" s="670"/>
      <c r="AX29" s="688"/>
      <c r="AY29" s="669">
        <v>500</v>
      </c>
      <c r="AZ29" s="670"/>
      <c r="BA29" s="671"/>
      <c r="BB29" s="665">
        <v>70</v>
      </c>
      <c r="BC29" s="662"/>
      <c r="BD29" s="663"/>
      <c r="BE29" s="661">
        <v>96</v>
      </c>
      <c r="BF29" s="662"/>
      <c r="BG29" s="663"/>
      <c r="BH29" s="661">
        <v>108</v>
      </c>
      <c r="BI29" s="662"/>
      <c r="BJ29" s="663"/>
      <c r="BK29" s="661">
        <v>145</v>
      </c>
      <c r="BL29" s="662"/>
      <c r="BM29" s="664"/>
      <c r="BN29" s="665"/>
      <c r="BO29" s="662"/>
      <c r="BP29" s="663"/>
      <c r="BQ29" s="661">
        <v>25</v>
      </c>
      <c r="BR29" s="662"/>
      <c r="BS29" s="663"/>
      <c r="BT29" s="661">
        <v>25</v>
      </c>
      <c r="BU29" s="662"/>
      <c r="BV29" s="663"/>
      <c r="BW29" s="661">
        <v>25</v>
      </c>
      <c r="BX29" s="662"/>
      <c r="BY29" s="664"/>
      <c r="BZ29" s="665">
        <v>591</v>
      </c>
      <c r="CA29" s="666"/>
      <c r="CB29" s="667"/>
      <c r="CC29" s="668">
        <v>535</v>
      </c>
      <c r="CD29" s="666"/>
      <c r="CE29" s="667"/>
      <c r="CF29" s="661">
        <v>549</v>
      </c>
      <c r="CG29" s="666"/>
      <c r="CH29" s="667"/>
      <c r="CI29" s="668">
        <v>723</v>
      </c>
      <c r="CJ29" s="666"/>
      <c r="CK29" s="689"/>
      <c r="CL29" s="665">
        <v>253</v>
      </c>
      <c r="CM29" s="662"/>
      <c r="CN29" s="663"/>
      <c r="CO29" s="661">
        <v>300</v>
      </c>
      <c r="CP29" s="662"/>
      <c r="CQ29" s="663"/>
      <c r="CR29" s="661">
        <v>204</v>
      </c>
      <c r="CS29" s="662"/>
      <c r="CT29" s="663"/>
      <c r="CU29" s="661">
        <v>105</v>
      </c>
      <c r="CV29" s="662"/>
      <c r="CW29" s="664"/>
    </row>
    <row r="30" spans="1:101" s="13" customFormat="1" ht="84">
      <c r="A30" s="700"/>
      <c r="B30" s="702" t="s">
        <v>31</v>
      </c>
      <c r="C30" s="32" t="s">
        <v>46</v>
      </c>
      <c r="D30" s="14"/>
      <c r="E30" s="14"/>
      <c r="F30" s="141">
        <f t="shared" si="5"/>
        <v>35953</v>
      </c>
      <c r="G30" s="141">
        <f>SUM(S30,AE30,AQ30,BC30,BO30,CA30,CM30)</f>
        <v>39452</v>
      </c>
      <c r="H30" s="141">
        <f>SUM(T30,AF30,AR30,BD30,BP30,CB30,CN30)</f>
        <v>75405</v>
      </c>
      <c r="I30" s="140">
        <f t="shared" si="5"/>
        <v>60347.896000000001</v>
      </c>
      <c r="J30" s="140">
        <f>SUM(V30,AH30,AT30,BF30,BR30,CD30,CP30)</f>
        <v>68143.754000000001</v>
      </c>
      <c r="K30" s="140">
        <f>SUM(W30,AI30,AU30,BG30,BS30,CE30,CQ30)</f>
        <v>128491.65</v>
      </c>
      <c r="L30" s="141">
        <f t="shared" si="5"/>
        <v>56516.46</v>
      </c>
      <c r="M30" s="141">
        <f>SUM(Y30,AK30,AW30,BI30,BU30,CG30,CS30)</f>
        <v>63596.59</v>
      </c>
      <c r="N30" s="141">
        <f>SUM(Z30,AL30,AX30,BJ30,BV30,CH30,CT30)</f>
        <v>120113.05</v>
      </c>
      <c r="O30" s="140">
        <f t="shared" si="5"/>
        <v>68914.527999999991</v>
      </c>
      <c r="P30" s="140">
        <f>SUM(AB30,AN30,AZ30,BL30,BX30,CJ30,CV30)</f>
        <v>76223.358000000007</v>
      </c>
      <c r="Q30" s="139">
        <f>SUM(AC30,AO30,BA30,BM30,BY30,CK30,CW30)</f>
        <v>145137.886</v>
      </c>
      <c r="R30" s="47"/>
      <c r="S30" s="129"/>
      <c r="T30" s="129"/>
      <c r="U30" s="130">
        <v>440</v>
      </c>
      <c r="V30" s="130">
        <v>560</v>
      </c>
      <c r="W30" s="130">
        <v>1000</v>
      </c>
      <c r="X30" s="129">
        <v>528</v>
      </c>
      <c r="Y30" s="129">
        <v>672</v>
      </c>
      <c r="Z30" s="129">
        <v>1200</v>
      </c>
      <c r="AA30" s="130">
        <v>572</v>
      </c>
      <c r="AB30" s="130">
        <v>728</v>
      </c>
      <c r="AC30" s="131">
        <v>1300</v>
      </c>
      <c r="AD30" s="48">
        <v>10625</v>
      </c>
      <c r="AE30" s="136">
        <v>11628</v>
      </c>
      <c r="AF30" s="136">
        <v>22253</v>
      </c>
      <c r="AG30" s="137">
        <v>10933</v>
      </c>
      <c r="AH30" s="137">
        <v>11949</v>
      </c>
      <c r="AI30" s="137">
        <v>22882</v>
      </c>
      <c r="AJ30" s="136">
        <v>11241</v>
      </c>
      <c r="AK30" s="136">
        <v>12270</v>
      </c>
      <c r="AL30" s="136">
        <v>23511</v>
      </c>
      <c r="AM30" s="137">
        <v>11549</v>
      </c>
      <c r="AN30" s="137">
        <v>12591</v>
      </c>
      <c r="AO30" s="138">
        <v>24140</v>
      </c>
      <c r="AP30" s="98"/>
      <c r="AQ30" s="133"/>
      <c r="AR30" s="133"/>
      <c r="AS30" s="134">
        <v>12200</v>
      </c>
      <c r="AT30" s="134">
        <v>14000</v>
      </c>
      <c r="AU30" s="134">
        <v>26200</v>
      </c>
      <c r="AV30" s="133">
        <v>13800</v>
      </c>
      <c r="AW30" s="133">
        <v>15200</v>
      </c>
      <c r="AX30" s="133">
        <v>29000</v>
      </c>
      <c r="AY30" s="134">
        <v>19000</v>
      </c>
      <c r="AZ30" s="134">
        <v>20000</v>
      </c>
      <c r="BA30" s="135">
        <v>39000</v>
      </c>
      <c r="BB30" s="48"/>
      <c r="BC30" s="136"/>
      <c r="BD30" s="136"/>
      <c r="BE30" s="137">
        <v>4324</v>
      </c>
      <c r="BF30" s="137">
        <v>5378</v>
      </c>
      <c r="BG30" s="137">
        <v>9702</v>
      </c>
      <c r="BH30" s="136">
        <v>4142</v>
      </c>
      <c r="BI30" s="136">
        <v>5065</v>
      </c>
      <c r="BJ30" s="136">
        <v>9207</v>
      </c>
      <c r="BK30" s="137">
        <v>4968</v>
      </c>
      <c r="BL30" s="137">
        <v>7578</v>
      </c>
      <c r="BM30" s="138">
        <v>12546</v>
      </c>
      <c r="BN30" s="47"/>
      <c r="BO30" s="129"/>
      <c r="BP30" s="129"/>
      <c r="BQ30" s="130">
        <v>2758.8959999999997</v>
      </c>
      <c r="BR30" s="130">
        <v>3141.7539999999999</v>
      </c>
      <c r="BS30" s="130">
        <v>5900.65</v>
      </c>
      <c r="BT30" s="129">
        <v>2777.4599999999996</v>
      </c>
      <c r="BU30" s="129">
        <v>3068.5899999999997</v>
      </c>
      <c r="BV30" s="129">
        <v>5846.0499999999993</v>
      </c>
      <c r="BW30" s="130">
        <v>2754.5279999999998</v>
      </c>
      <c r="BX30" s="130">
        <v>3018.3579999999997</v>
      </c>
      <c r="BY30" s="131">
        <v>5772.8859999999995</v>
      </c>
      <c r="BZ30" s="173">
        <v>9391</v>
      </c>
      <c r="CA30" s="174">
        <v>10464</v>
      </c>
      <c r="CB30" s="174">
        <v>19855</v>
      </c>
      <c r="CC30" s="175">
        <v>14392</v>
      </c>
      <c r="CD30" s="175">
        <v>17815</v>
      </c>
      <c r="CE30" s="175">
        <v>32207</v>
      </c>
      <c r="CF30" s="174">
        <v>13430</v>
      </c>
      <c r="CG30" s="174">
        <v>16723</v>
      </c>
      <c r="CH30" s="174">
        <v>30153</v>
      </c>
      <c r="CI30" s="175">
        <v>14771</v>
      </c>
      <c r="CJ30" s="175">
        <v>17008</v>
      </c>
      <c r="CK30" s="176">
        <v>31779</v>
      </c>
      <c r="CL30" s="47">
        <v>15937</v>
      </c>
      <c r="CM30" s="129">
        <v>17360</v>
      </c>
      <c r="CN30" s="129">
        <v>33297</v>
      </c>
      <c r="CO30" s="130">
        <v>15300</v>
      </c>
      <c r="CP30" s="130">
        <v>15300</v>
      </c>
      <c r="CQ30" s="130">
        <v>30600</v>
      </c>
      <c r="CR30" s="129">
        <v>10598</v>
      </c>
      <c r="CS30" s="129">
        <v>10598</v>
      </c>
      <c r="CT30" s="129">
        <v>21196</v>
      </c>
      <c r="CU30" s="130">
        <v>15300</v>
      </c>
      <c r="CV30" s="130">
        <v>15300</v>
      </c>
      <c r="CW30" s="131">
        <v>30600</v>
      </c>
    </row>
    <row r="31" spans="1:101" s="13" customFormat="1" ht="48.75" thickBot="1">
      <c r="A31" s="700"/>
      <c r="B31" s="703"/>
      <c r="C31" s="33" t="s">
        <v>32</v>
      </c>
      <c r="D31" s="638"/>
      <c r="E31" s="639"/>
      <c r="F31" s="658">
        <f t="shared" si="5"/>
        <v>909</v>
      </c>
      <c r="G31" s="659"/>
      <c r="H31" s="660"/>
      <c r="I31" s="677">
        <f t="shared" si="5"/>
        <v>940</v>
      </c>
      <c r="J31" s="678"/>
      <c r="K31" s="706"/>
      <c r="L31" s="658">
        <f t="shared" si="5"/>
        <v>995</v>
      </c>
      <c r="M31" s="659"/>
      <c r="N31" s="660"/>
      <c r="O31" s="677">
        <f t="shared" si="5"/>
        <v>1201</v>
      </c>
      <c r="P31" s="678"/>
      <c r="Q31" s="678"/>
      <c r="R31" s="627">
        <v>104</v>
      </c>
      <c r="S31" s="628"/>
      <c r="T31" s="629"/>
      <c r="U31" s="630">
        <v>42</v>
      </c>
      <c r="V31" s="631"/>
      <c r="W31" s="632"/>
      <c r="X31" s="633">
        <v>47</v>
      </c>
      <c r="Y31" s="628"/>
      <c r="Z31" s="629"/>
      <c r="AA31" s="630">
        <v>52</v>
      </c>
      <c r="AB31" s="631"/>
      <c r="AC31" s="634"/>
      <c r="AD31" s="644">
        <v>162</v>
      </c>
      <c r="AE31" s="653"/>
      <c r="AF31" s="654"/>
      <c r="AG31" s="624">
        <v>182</v>
      </c>
      <c r="AH31" s="655"/>
      <c r="AI31" s="656"/>
      <c r="AJ31" s="649">
        <v>191</v>
      </c>
      <c r="AK31" s="653"/>
      <c r="AL31" s="654"/>
      <c r="AM31" s="624">
        <v>200</v>
      </c>
      <c r="AN31" s="655"/>
      <c r="AO31" s="657"/>
      <c r="AP31" s="672">
        <v>33</v>
      </c>
      <c r="AQ31" s="673"/>
      <c r="AR31" s="674"/>
      <c r="AS31" s="650">
        <v>71</v>
      </c>
      <c r="AT31" s="651"/>
      <c r="AU31" s="675"/>
      <c r="AV31" s="676">
        <v>80</v>
      </c>
      <c r="AW31" s="673"/>
      <c r="AX31" s="674"/>
      <c r="AY31" s="650">
        <v>175</v>
      </c>
      <c r="AZ31" s="651"/>
      <c r="BA31" s="652"/>
      <c r="BB31" s="644"/>
      <c r="BC31" s="653"/>
      <c r="BD31" s="654"/>
      <c r="BE31" s="624">
        <v>70</v>
      </c>
      <c r="BF31" s="655"/>
      <c r="BG31" s="656"/>
      <c r="BH31" s="649">
        <v>73</v>
      </c>
      <c r="BI31" s="653"/>
      <c r="BJ31" s="654"/>
      <c r="BK31" s="624">
        <v>140</v>
      </c>
      <c r="BL31" s="655"/>
      <c r="BM31" s="657"/>
      <c r="BN31" s="627">
        <v>0</v>
      </c>
      <c r="BO31" s="628"/>
      <c r="BP31" s="629"/>
      <c r="BQ31" s="630">
        <v>20</v>
      </c>
      <c r="BR31" s="631"/>
      <c r="BS31" s="632"/>
      <c r="BT31" s="633">
        <v>25</v>
      </c>
      <c r="BU31" s="628"/>
      <c r="BV31" s="629"/>
      <c r="BW31" s="630">
        <v>30</v>
      </c>
      <c r="BX31" s="631"/>
      <c r="BY31" s="634"/>
      <c r="BZ31" s="644">
        <v>320</v>
      </c>
      <c r="CA31" s="645"/>
      <c r="CB31" s="646"/>
      <c r="CC31" s="647">
        <v>255</v>
      </c>
      <c r="CD31" s="625"/>
      <c r="CE31" s="648"/>
      <c r="CF31" s="649">
        <v>254</v>
      </c>
      <c r="CG31" s="645"/>
      <c r="CH31" s="646"/>
      <c r="CI31" s="624">
        <v>304</v>
      </c>
      <c r="CJ31" s="625"/>
      <c r="CK31" s="626"/>
      <c r="CL31" s="627">
        <v>290</v>
      </c>
      <c r="CM31" s="628"/>
      <c r="CN31" s="629"/>
      <c r="CO31" s="630">
        <v>300</v>
      </c>
      <c r="CP31" s="631"/>
      <c r="CQ31" s="632"/>
      <c r="CR31" s="633">
        <v>325</v>
      </c>
      <c r="CS31" s="628"/>
      <c r="CT31" s="629"/>
      <c r="CU31" s="630">
        <v>300</v>
      </c>
      <c r="CV31" s="631"/>
      <c r="CW31" s="634"/>
    </row>
    <row r="32" spans="1:101" s="13" customFormat="1" ht="60">
      <c r="A32" s="700"/>
      <c r="B32" s="635" t="s">
        <v>33</v>
      </c>
      <c r="C32" s="32" t="s">
        <v>34</v>
      </c>
      <c r="D32" s="638"/>
      <c r="E32" s="639"/>
      <c r="F32" s="640">
        <f t="shared" si="5"/>
        <v>7090</v>
      </c>
      <c r="G32" s="641"/>
      <c r="H32" s="642"/>
      <c r="I32" s="622">
        <f t="shared" si="5"/>
        <v>7322</v>
      </c>
      <c r="J32" s="623"/>
      <c r="K32" s="643"/>
      <c r="L32" s="640">
        <f t="shared" si="5"/>
        <v>7629.1</v>
      </c>
      <c r="M32" s="641"/>
      <c r="N32" s="642"/>
      <c r="O32" s="622">
        <f t="shared" si="5"/>
        <v>8636</v>
      </c>
      <c r="P32" s="623"/>
      <c r="Q32" s="623"/>
      <c r="R32" s="591">
        <v>736</v>
      </c>
      <c r="S32" s="592"/>
      <c r="T32" s="593"/>
      <c r="U32" s="594">
        <v>800</v>
      </c>
      <c r="V32" s="595"/>
      <c r="W32" s="596"/>
      <c r="X32" s="597">
        <v>880</v>
      </c>
      <c r="Y32" s="592"/>
      <c r="Z32" s="593"/>
      <c r="AA32" s="594">
        <v>930</v>
      </c>
      <c r="AB32" s="595"/>
      <c r="AC32" s="598"/>
      <c r="AD32" s="607">
        <v>1559</v>
      </c>
      <c r="AE32" s="615"/>
      <c r="AF32" s="616"/>
      <c r="AG32" s="588">
        <v>1628</v>
      </c>
      <c r="AH32" s="589"/>
      <c r="AI32" s="610"/>
      <c r="AJ32" s="611">
        <v>1662</v>
      </c>
      <c r="AK32" s="615"/>
      <c r="AL32" s="616"/>
      <c r="AM32" s="588">
        <v>1992</v>
      </c>
      <c r="AN32" s="589"/>
      <c r="AO32" s="590"/>
      <c r="AP32" s="617">
        <v>861</v>
      </c>
      <c r="AQ32" s="618"/>
      <c r="AR32" s="619"/>
      <c r="AS32" s="612">
        <v>934</v>
      </c>
      <c r="AT32" s="613"/>
      <c r="AU32" s="620"/>
      <c r="AV32" s="621">
        <v>1000</v>
      </c>
      <c r="AW32" s="618"/>
      <c r="AX32" s="619"/>
      <c r="AY32" s="612">
        <v>1100</v>
      </c>
      <c r="AZ32" s="613"/>
      <c r="BA32" s="614"/>
      <c r="BB32" s="607">
        <v>289</v>
      </c>
      <c r="BC32" s="615"/>
      <c r="BD32" s="616"/>
      <c r="BE32" s="588">
        <v>381</v>
      </c>
      <c r="BF32" s="589"/>
      <c r="BG32" s="610"/>
      <c r="BH32" s="611">
        <v>436</v>
      </c>
      <c r="BI32" s="615"/>
      <c r="BJ32" s="616"/>
      <c r="BK32" s="588">
        <v>546</v>
      </c>
      <c r="BL32" s="589"/>
      <c r="BM32" s="590"/>
      <c r="BN32" s="591">
        <v>664</v>
      </c>
      <c r="BO32" s="592"/>
      <c r="BP32" s="593"/>
      <c r="BQ32" s="594">
        <v>665</v>
      </c>
      <c r="BR32" s="595"/>
      <c r="BS32" s="596"/>
      <c r="BT32" s="597">
        <v>704</v>
      </c>
      <c r="BU32" s="592"/>
      <c r="BV32" s="593"/>
      <c r="BW32" s="594">
        <v>740</v>
      </c>
      <c r="BX32" s="595"/>
      <c r="BY32" s="598"/>
      <c r="BZ32" s="607">
        <v>1906</v>
      </c>
      <c r="CA32" s="608"/>
      <c r="CB32" s="609"/>
      <c r="CC32" s="588">
        <v>1886</v>
      </c>
      <c r="CD32" s="589"/>
      <c r="CE32" s="610"/>
      <c r="CF32" s="611">
        <v>1917.1</v>
      </c>
      <c r="CG32" s="608"/>
      <c r="CH32" s="609"/>
      <c r="CI32" s="588">
        <v>2468</v>
      </c>
      <c r="CJ32" s="589"/>
      <c r="CK32" s="590"/>
      <c r="CL32" s="591">
        <v>1075</v>
      </c>
      <c r="CM32" s="592"/>
      <c r="CN32" s="593"/>
      <c r="CO32" s="594">
        <v>1028</v>
      </c>
      <c r="CP32" s="595"/>
      <c r="CQ32" s="596"/>
      <c r="CR32" s="597">
        <v>1030</v>
      </c>
      <c r="CS32" s="592"/>
      <c r="CT32" s="593"/>
      <c r="CU32" s="594">
        <v>860</v>
      </c>
      <c r="CV32" s="595"/>
      <c r="CW32" s="598"/>
    </row>
    <row r="33" spans="1:101" s="7" customFormat="1" ht="60">
      <c r="A33" s="700"/>
      <c r="B33" s="636"/>
      <c r="C33" s="6" t="s">
        <v>35</v>
      </c>
      <c r="D33" s="599"/>
      <c r="E33" s="600"/>
      <c r="F33" s="601">
        <f>F32/F8</f>
        <v>0.58619264158743278</v>
      </c>
      <c r="G33" s="602"/>
      <c r="H33" s="603"/>
      <c r="I33" s="604">
        <f t="shared" ref="I33" si="6">I32/I8</f>
        <v>0.61862115579587695</v>
      </c>
      <c r="J33" s="605"/>
      <c r="K33" s="606"/>
      <c r="L33" s="601">
        <f t="shared" ref="L33" si="7">L32/L8</f>
        <v>0.63650091773736028</v>
      </c>
      <c r="M33" s="602"/>
      <c r="N33" s="603"/>
      <c r="O33" s="604">
        <f t="shared" ref="O33" si="8">O32/O8</f>
        <v>0.7040026086247656</v>
      </c>
      <c r="P33" s="605"/>
      <c r="Q33" s="605"/>
      <c r="R33" s="580">
        <v>0.77719112988384376</v>
      </c>
      <c r="S33" s="581"/>
      <c r="T33" s="582"/>
      <c r="U33" s="583">
        <v>0.90497737556561086</v>
      </c>
      <c r="V33" s="584"/>
      <c r="W33" s="585"/>
      <c r="X33" s="586">
        <v>0.93220338983050843</v>
      </c>
      <c r="Y33" s="581"/>
      <c r="Z33" s="582"/>
      <c r="AA33" s="583">
        <v>0.92629482071713143</v>
      </c>
      <c r="AB33" s="584"/>
      <c r="AC33" s="587"/>
      <c r="AD33" s="564">
        <v>0.97</v>
      </c>
      <c r="AE33" s="565"/>
      <c r="AF33" s="566"/>
      <c r="AG33" s="567">
        <v>0.97</v>
      </c>
      <c r="AH33" s="568"/>
      <c r="AI33" s="569"/>
      <c r="AJ33" s="570">
        <v>0.97</v>
      </c>
      <c r="AK33" s="565"/>
      <c r="AL33" s="566"/>
      <c r="AM33" s="567">
        <v>0.97</v>
      </c>
      <c r="AN33" s="568"/>
      <c r="AO33" s="571"/>
      <c r="AP33" s="572">
        <v>0.5</v>
      </c>
      <c r="AQ33" s="573"/>
      <c r="AR33" s="574"/>
      <c r="AS33" s="575">
        <v>0.51</v>
      </c>
      <c r="AT33" s="576"/>
      <c r="AU33" s="577"/>
      <c r="AV33" s="578">
        <v>0.54</v>
      </c>
      <c r="AW33" s="573"/>
      <c r="AX33" s="574"/>
      <c r="AY33" s="575">
        <v>0.56999999999999995</v>
      </c>
      <c r="AZ33" s="576"/>
      <c r="BA33" s="579"/>
      <c r="BB33" s="564">
        <v>0.58859470468431774</v>
      </c>
      <c r="BC33" s="565"/>
      <c r="BD33" s="566"/>
      <c r="BE33" s="567">
        <v>0.6</v>
      </c>
      <c r="BF33" s="568"/>
      <c r="BG33" s="569"/>
      <c r="BH33" s="570">
        <v>0.63</v>
      </c>
      <c r="BI33" s="565"/>
      <c r="BJ33" s="566"/>
      <c r="BK33" s="567">
        <v>0.68</v>
      </c>
      <c r="BL33" s="568"/>
      <c r="BM33" s="571"/>
      <c r="BN33" s="548">
        <v>0.59</v>
      </c>
      <c r="BO33" s="549"/>
      <c r="BP33" s="550"/>
      <c r="BQ33" s="551">
        <v>0.6</v>
      </c>
      <c r="BR33" s="552"/>
      <c r="BS33" s="553"/>
      <c r="BT33" s="554">
        <v>0.65</v>
      </c>
      <c r="BU33" s="549"/>
      <c r="BV33" s="550"/>
      <c r="BW33" s="551">
        <v>0.7</v>
      </c>
      <c r="BX33" s="552"/>
      <c r="BY33" s="555"/>
      <c r="BZ33" s="564">
        <v>0.55927230046948362</v>
      </c>
      <c r="CA33" s="565"/>
      <c r="CB33" s="566"/>
      <c r="CC33" s="567">
        <v>0.71009036144578308</v>
      </c>
      <c r="CD33" s="568"/>
      <c r="CE33" s="569"/>
      <c r="CF33" s="570">
        <v>0.71640508221225707</v>
      </c>
      <c r="CG33" s="565"/>
      <c r="CH33" s="566"/>
      <c r="CI33" s="567">
        <v>0.91543026706231456</v>
      </c>
      <c r="CJ33" s="568"/>
      <c r="CK33" s="571"/>
      <c r="CL33" s="548">
        <v>0.55000000000000004</v>
      </c>
      <c r="CM33" s="549"/>
      <c r="CN33" s="550"/>
      <c r="CO33" s="551">
        <v>0.6</v>
      </c>
      <c r="CP33" s="552"/>
      <c r="CQ33" s="553"/>
      <c r="CR33" s="554">
        <v>0.7</v>
      </c>
      <c r="CS33" s="549"/>
      <c r="CT33" s="550"/>
      <c r="CU33" s="551">
        <v>0.9</v>
      </c>
      <c r="CV33" s="552"/>
      <c r="CW33" s="555"/>
    </row>
    <row r="34" spans="1:101" ht="48">
      <c r="A34" s="700"/>
      <c r="B34" s="636"/>
      <c r="C34" s="5" t="s">
        <v>36</v>
      </c>
      <c r="D34" s="556"/>
      <c r="E34" s="557"/>
      <c r="F34" s="558">
        <f>SUM(R34,AD34,AP34,BB34,BN34,BZ34,CL34)</f>
        <v>1938</v>
      </c>
      <c r="G34" s="559"/>
      <c r="H34" s="560"/>
      <c r="I34" s="561">
        <f>SUM(U34,AG34,AS34,BE34,BQ34,CC34,CO34)</f>
        <v>2753</v>
      </c>
      <c r="J34" s="562"/>
      <c r="K34" s="563"/>
      <c r="L34" s="558">
        <f>SUM(X34,AJ34,AV34,BH34,BT34,CF34,CR34)</f>
        <v>3337</v>
      </c>
      <c r="M34" s="559"/>
      <c r="N34" s="560"/>
      <c r="O34" s="561">
        <f>SUM(AA34,AM34,AY34,BK34,BW34,CI34,CU34)</f>
        <v>3508</v>
      </c>
      <c r="P34" s="562"/>
      <c r="Q34" s="562"/>
      <c r="R34" s="533">
        <v>123</v>
      </c>
      <c r="S34" s="514"/>
      <c r="T34" s="515"/>
      <c r="U34" s="510">
        <v>150</v>
      </c>
      <c r="V34" s="511"/>
      <c r="W34" s="512"/>
      <c r="X34" s="513">
        <v>180</v>
      </c>
      <c r="Y34" s="514"/>
      <c r="Z34" s="515"/>
      <c r="AA34" s="510">
        <v>190</v>
      </c>
      <c r="AB34" s="511"/>
      <c r="AC34" s="516"/>
      <c r="AD34" s="547">
        <v>453</v>
      </c>
      <c r="AE34" s="526"/>
      <c r="AF34" s="527"/>
      <c r="AG34" s="534">
        <v>504</v>
      </c>
      <c r="AH34" s="535"/>
      <c r="AI34" s="536"/>
      <c r="AJ34" s="537">
        <v>551</v>
      </c>
      <c r="AK34" s="526"/>
      <c r="AL34" s="527"/>
      <c r="AM34" s="534">
        <v>701</v>
      </c>
      <c r="AN34" s="535"/>
      <c r="AO34" s="538"/>
      <c r="AP34" s="539">
        <v>102</v>
      </c>
      <c r="AQ34" s="540"/>
      <c r="AR34" s="541"/>
      <c r="AS34" s="542">
        <v>300</v>
      </c>
      <c r="AT34" s="543"/>
      <c r="AU34" s="544"/>
      <c r="AV34" s="545">
        <v>410</v>
      </c>
      <c r="AW34" s="540"/>
      <c r="AX34" s="541"/>
      <c r="AY34" s="542">
        <v>590</v>
      </c>
      <c r="AZ34" s="543"/>
      <c r="BA34" s="546"/>
      <c r="BB34" s="547">
        <v>106</v>
      </c>
      <c r="BC34" s="526"/>
      <c r="BD34" s="527"/>
      <c r="BE34" s="534">
        <v>254</v>
      </c>
      <c r="BF34" s="535"/>
      <c r="BG34" s="536"/>
      <c r="BH34" s="537">
        <v>256</v>
      </c>
      <c r="BI34" s="526"/>
      <c r="BJ34" s="527"/>
      <c r="BK34" s="534">
        <v>256</v>
      </c>
      <c r="BL34" s="535"/>
      <c r="BM34" s="538"/>
      <c r="BN34" s="533">
        <v>129</v>
      </c>
      <c r="BO34" s="514"/>
      <c r="BP34" s="515"/>
      <c r="BQ34" s="510">
        <v>144</v>
      </c>
      <c r="BR34" s="511"/>
      <c r="BS34" s="512"/>
      <c r="BT34" s="513">
        <v>152</v>
      </c>
      <c r="BU34" s="514"/>
      <c r="BV34" s="515"/>
      <c r="BW34" s="510">
        <v>159</v>
      </c>
      <c r="BX34" s="511"/>
      <c r="BY34" s="516"/>
      <c r="BZ34" s="525">
        <v>635</v>
      </c>
      <c r="CA34" s="526"/>
      <c r="CB34" s="527"/>
      <c r="CC34" s="528">
        <v>973</v>
      </c>
      <c r="CD34" s="529"/>
      <c r="CE34" s="530"/>
      <c r="CF34" s="531">
        <v>1188</v>
      </c>
      <c r="CG34" s="526"/>
      <c r="CH34" s="527"/>
      <c r="CI34" s="528">
        <v>1277</v>
      </c>
      <c r="CJ34" s="529"/>
      <c r="CK34" s="532"/>
      <c r="CL34" s="533">
        <v>390</v>
      </c>
      <c r="CM34" s="514"/>
      <c r="CN34" s="515"/>
      <c r="CO34" s="510">
        <v>428</v>
      </c>
      <c r="CP34" s="511"/>
      <c r="CQ34" s="512"/>
      <c r="CR34" s="513">
        <v>600</v>
      </c>
      <c r="CS34" s="514"/>
      <c r="CT34" s="515"/>
      <c r="CU34" s="510">
        <v>335</v>
      </c>
      <c r="CV34" s="511"/>
      <c r="CW34" s="516"/>
    </row>
    <row r="35" spans="1:101" s="7" customFormat="1" ht="60.75" thickBot="1">
      <c r="A35" s="701"/>
      <c r="B35" s="637"/>
      <c r="C35" s="8" t="s">
        <v>37</v>
      </c>
      <c r="D35" s="517"/>
      <c r="E35" s="518"/>
      <c r="F35" s="519">
        <f>F34/F8</f>
        <v>0.16023150062009095</v>
      </c>
      <c r="G35" s="520"/>
      <c r="H35" s="521"/>
      <c r="I35" s="522">
        <f t="shared" ref="I35" si="9">I34/I8</f>
        <v>0.23259547144305509</v>
      </c>
      <c r="J35" s="523"/>
      <c r="K35" s="524"/>
      <c r="L35" s="519">
        <f t="shared" ref="L35" si="10">L34/L8</f>
        <v>0.27840814283330551</v>
      </c>
      <c r="M35" s="520"/>
      <c r="N35" s="521"/>
      <c r="O35" s="522">
        <f t="shared" ref="O35" si="11">O34/O8</f>
        <v>0.28597048993233881</v>
      </c>
      <c r="P35" s="523"/>
      <c r="Q35" s="523"/>
      <c r="R35" s="500">
        <v>0.12988384371700107</v>
      </c>
      <c r="S35" s="477"/>
      <c r="T35" s="478"/>
      <c r="U35" s="479">
        <v>0.16968325791855204</v>
      </c>
      <c r="V35" s="480"/>
      <c r="W35" s="501"/>
      <c r="X35" s="476">
        <v>0.19067796610169491</v>
      </c>
      <c r="Y35" s="477"/>
      <c r="Z35" s="478"/>
      <c r="AA35" s="479">
        <v>0.18924302788844621</v>
      </c>
      <c r="AB35" s="480"/>
      <c r="AC35" s="481"/>
      <c r="AD35" s="492">
        <v>0.28000000000000003</v>
      </c>
      <c r="AE35" s="493"/>
      <c r="AF35" s="494"/>
      <c r="AG35" s="495">
        <v>0.3</v>
      </c>
      <c r="AH35" s="496"/>
      <c r="AI35" s="497"/>
      <c r="AJ35" s="498">
        <v>0.33</v>
      </c>
      <c r="AK35" s="493"/>
      <c r="AL35" s="494"/>
      <c r="AM35" s="495">
        <v>0.35</v>
      </c>
      <c r="AN35" s="496"/>
      <c r="AO35" s="499"/>
      <c r="AP35" s="502">
        <v>0.17</v>
      </c>
      <c r="AQ35" s="503"/>
      <c r="AR35" s="504"/>
      <c r="AS35" s="505">
        <v>0.17</v>
      </c>
      <c r="AT35" s="506"/>
      <c r="AU35" s="507"/>
      <c r="AV35" s="508">
        <v>0.22</v>
      </c>
      <c r="AW35" s="503"/>
      <c r="AX35" s="504"/>
      <c r="AY35" s="505">
        <v>0.3</v>
      </c>
      <c r="AZ35" s="506"/>
      <c r="BA35" s="509"/>
      <c r="BB35" s="492">
        <v>0.21588594704684319</v>
      </c>
      <c r="BC35" s="493"/>
      <c r="BD35" s="494"/>
      <c r="BE35" s="495">
        <v>0.4</v>
      </c>
      <c r="BF35" s="496"/>
      <c r="BG35" s="497"/>
      <c r="BH35" s="498">
        <v>0.17</v>
      </c>
      <c r="BI35" s="493"/>
      <c r="BJ35" s="494"/>
      <c r="BK35" s="495">
        <v>0.32</v>
      </c>
      <c r="BL35" s="496"/>
      <c r="BM35" s="499"/>
      <c r="BN35" s="500">
        <v>0.11</v>
      </c>
      <c r="BO35" s="477"/>
      <c r="BP35" s="478"/>
      <c r="BQ35" s="479">
        <v>0.13</v>
      </c>
      <c r="BR35" s="480"/>
      <c r="BS35" s="501"/>
      <c r="BT35" s="476">
        <v>0.14000000000000001</v>
      </c>
      <c r="BU35" s="477"/>
      <c r="BV35" s="478"/>
      <c r="BW35" s="479">
        <v>0.15</v>
      </c>
      <c r="BX35" s="480"/>
      <c r="BY35" s="481"/>
      <c r="BZ35" s="492">
        <v>0.18632629107981222</v>
      </c>
      <c r="CA35" s="493"/>
      <c r="CB35" s="494"/>
      <c r="CC35" s="495">
        <v>0.36634036144578314</v>
      </c>
      <c r="CD35" s="496"/>
      <c r="CE35" s="497"/>
      <c r="CF35" s="498">
        <v>0.44394618834080718</v>
      </c>
      <c r="CG35" s="493"/>
      <c r="CH35" s="494"/>
      <c r="CI35" s="495">
        <v>0.4736646884272997</v>
      </c>
      <c r="CJ35" s="496"/>
      <c r="CK35" s="499"/>
      <c r="CL35" s="500">
        <v>0.2</v>
      </c>
      <c r="CM35" s="477"/>
      <c r="CN35" s="478"/>
      <c r="CO35" s="479">
        <v>0.25</v>
      </c>
      <c r="CP35" s="480"/>
      <c r="CQ35" s="501"/>
      <c r="CR35" s="476">
        <v>0.3</v>
      </c>
      <c r="CS35" s="477"/>
      <c r="CT35" s="478"/>
      <c r="CU35" s="479">
        <v>0.35</v>
      </c>
      <c r="CV35" s="480"/>
      <c r="CW35" s="481"/>
    </row>
    <row r="36" spans="1:101" ht="144.75" thickBot="1">
      <c r="A36" s="2" t="s">
        <v>38</v>
      </c>
      <c r="B36" s="3"/>
      <c r="C36" s="4" t="s">
        <v>39</v>
      </c>
      <c r="D36" s="482"/>
      <c r="E36" s="483"/>
      <c r="F36" s="484"/>
      <c r="G36" s="485"/>
      <c r="H36" s="486"/>
      <c r="I36" s="487"/>
      <c r="J36" s="488"/>
      <c r="K36" s="489"/>
      <c r="L36" s="484"/>
      <c r="M36" s="485"/>
      <c r="N36" s="486"/>
      <c r="O36" s="487"/>
      <c r="P36" s="488"/>
      <c r="Q36" s="488"/>
      <c r="R36" s="457"/>
      <c r="S36" s="458"/>
      <c r="T36" s="459"/>
      <c r="U36" s="472"/>
      <c r="V36" s="473"/>
      <c r="W36" s="490"/>
      <c r="X36" s="491"/>
      <c r="Y36" s="458"/>
      <c r="Z36" s="459"/>
      <c r="AA36" s="472"/>
      <c r="AB36" s="473"/>
      <c r="AC36" s="474"/>
      <c r="AD36" s="464"/>
      <c r="AE36" s="454"/>
      <c r="AF36" s="455"/>
      <c r="AG36" s="450"/>
      <c r="AH36" s="451"/>
      <c r="AI36" s="452"/>
      <c r="AJ36" s="453"/>
      <c r="AK36" s="454"/>
      <c r="AL36" s="455"/>
      <c r="AM36" s="450"/>
      <c r="AN36" s="451"/>
      <c r="AO36" s="456"/>
      <c r="AP36" s="475"/>
      <c r="AQ36" s="469"/>
      <c r="AR36" s="470"/>
      <c r="AS36" s="465"/>
      <c r="AT36" s="466"/>
      <c r="AU36" s="467"/>
      <c r="AV36" s="468"/>
      <c r="AW36" s="469"/>
      <c r="AX36" s="470"/>
      <c r="AY36" s="465"/>
      <c r="AZ36" s="466"/>
      <c r="BA36" s="471"/>
      <c r="BB36" s="464"/>
      <c r="BC36" s="454"/>
      <c r="BD36" s="455"/>
      <c r="BE36" s="450"/>
      <c r="BF36" s="451"/>
      <c r="BG36" s="452"/>
      <c r="BH36" s="453" t="s">
        <v>66</v>
      </c>
      <c r="BI36" s="454"/>
      <c r="BJ36" s="455"/>
      <c r="BK36" s="450"/>
      <c r="BL36" s="451"/>
      <c r="BM36" s="456"/>
      <c r="BN36" s="457"/>
      <c r="BO36" s="458"/>
      <c r="BP36" s="459"/>
      <c r="BQ36" s="447">
        <v>1</v>
      </c>
      <c r="BR36" s="448"/>
      <c r="BS36" s="460"/>
      <c r="BT36" s="461">
        <v>1</v>
      </c>
      <c r="BU36" s="462"/>
      <c r="BV36" s="463"/>
      <c r="BW36" s="447">
        <v>1</v>
      </c>
      <c r="BX36" s="448"/>
      <c r="BY36" s="449"/>
      <c r="BZ36" s="464"/>
      <c r="CA36" s="454"/>
      <c r="CB36" s="455"/>
      <c r="CC36" s="450"/>
      <c r="CD36" s="451"/>
      <c r="CE36" s="452"/>
      <c r="CF36" s="453"/>
      <c r="CG36" s="454"/>
      <c r="CH36" s="455"/>
      <c r="CI36" s="450"/>
      <c r="CJ36" s="451"/>
      <c r="CK36" s="456"/>
      <c r="CL36" s="457"/>
      <c r="CM36" s="458"/>
      <c r="CN36" s="459"/>
      <c r="CO36" s="447"/>
      <c r="CP36" s="448"/>
      <c r="CQ36" s="460"/>
      <c r="CR36" s="461"/>
      <c r="CS36" s="462"/>
      <c r="CT36" s="463"/>
      <c r="CU36" s="447"/>
      <c r="CV36" s="448"/>
      <c r="CW36" s="449"/>
    </row>
  </sheetData>
  <mergeCells count="547">
    <mergeCell ref="BZ1:CK1"/>
    <mergeCell ref="CL1:CW1"/>
    <mergeCell ref="A2:A3"/>
    <mergeCell ref="B2:B3"/>
    <mergeCell ref="C2:C3"/>
    <mergeCell ref="D2:E2"/>
    <mergeCell ref="F2:H2"/>
    <mergeCell ref="I2:K2"/>
    <mergeCell ref="L2:N2"/>
    <mergeCell ref="O2:Q2"/>
    <mergeCell ref="F1:Q1"/>
    <mergeCell ref="R1:AC1"/>
    <mergeCell ref="AD1:AO1"/>
    <mergeCell ref="AP1:BA1"/>
    <mergeCell ref="BB1:BM1"/>
    <mergeCell ref="BN1:BY1"/>
    <mergeCell ref="AP2:AR2"/>
    <mergeCell ref="AS2:AU2"/>
    <mergeCell ref="AV2:AX2"/>
    <mergeCell ref="AY2:BA2"/>
    <mergeCell ref="R2:T2"/>
    <mergeCell ref="U2:W2"/>
    <mergeCell ref="X2:Z2"/>
    <mergeCell ref="AA2:AC2"/>
    <mergeCell ref="CL2:CN2"/>
    <mergeCell ref="CO2:CQ2"/>
    <mergeCell ref="CR2:CT2"/>
    <mergeCell ref="CU2:CW2"/>
    <mergeCell ref="A4:A16"/>
    <mergeCell ref="B4:B11"/>
    <mergeCell ref="D4:E4"/>
    <mergeCell ref="F4:H4"/>
    <mergeCell ref="I4:K4"/>
    <mergeCell ref="L4:N4"/>
    <mergeCell ref="BT2:BV2"/>
    <mergeCell ref="BW2:BY2"/>
    <mergeCell ref="BZ2:CB2"/>
    <mergeCell ref="CC2:CE2"/>
    <mergeCell ref="CF2:CH2"/>
    <mergeCell ref="CI2:CK2"/>
    <mergeCell ref="BB2:BD2"/>
    <mergeCell ref="BE2:BG2"/>
    <mergeCell ref="BH2:BJ2"/>
    <mergeCell ref="BK2:BM2"/>
    <mergeCell ref="BN2:BP2"/>
    <mergeCell ref="BQ2:BS2"/>
    <mergeCell ref="AJ2:AL2"/>
    <mergeCell ref="AM2:AO2"/>
    <mergeCell ref="AM4:AO4"/>
    <mergeCell ref="AP4:AR4"/>
    <mergeCell ref="AS4:AU4"/>
    <mergeCell ref="AV4:AX4"/>
    <mergeCell ref="O4:Q4"/>
    <mergeCell ref="R4:T4"/>
    <mergeCell ref="U4:W4"/>
    <mergeCell ref="X4:Z4"/>
    <mergeCell ref="AA4:AC4"/>
    <mergeCell ref="AD4:AF4"/>
    <mergeCell ref="AG4:AI4"/>
    <mergeCell ref="AJ4:AL4"/>
    <mergeCell ref="AD2:AF2"/>
    <mergeCell ref="AG2:AI2"/>
    <mergeCell ref="CI4:CK4"/>
    <mergeCell ref="CL4:CN4"/>
    <mergeCell ref="CO4:CQ4"/>
    <mergeCell ref="CR4:CT4"/>
    <mergeCell ref="CU4:CW4"/>
    <mergeCell ref="F6:H6"/>
    <mergeCell ref="I6:K6"/>
    <mergeCell ref="L6:N6"/>
    <mergeCell ref="O6:Q6"/>
    <mergeCell ref="R6:T6"/>
    <mergeCell ref="BQ4:BS4"/>
    <mergeCell ref="BT4:BV4"/>
    <mergeCell ref="BW4:BY4"/>
    <mergeCell ref="BZ4:CB4"/>
    <mergeCell ref="CC4:CE4"/>
    <mergeCell ref="CF4:CH4"/>
    <mergeCell ref="AY4:BA4"/>
    <mergeCell ref="BB4:BD4"/>
    <mergeCell ref="BE4:BG4"/>
    <mergeCell ref="BH4:BJ4"/>
    <mergeCell ref="BK4:BM4"/>
    <mergeCell ref="BN4:BP4"/>
    <mergeCell ref="AS6:AU6"/>
    <mergeCell ref="AV6:AX6"/>
    <mergeCell ref="AY6:BA6"/>
    <mergeCell ref="BB6:BD6"/>
    <mergeCell ref="U6:W6"/>
    <mergeCell ref="X6:Z6"/>
    <mergeCell ref="AA6:AC6"/>
    <mergeCell ref="AD6:AF6"/>
    <mergeCell ref="AG6:AI6"/>
    <mergeCell ref="AJ6:AL6"/>
    <mergeCell ref="CO6:CQ6"/>
    <mergeCell ref="CR6:CT6"/>
    <mergeCell ref="CU6:CW6"/>
    <mergeCell ref="F8:H8"/>
    <mergeCell ref="I8:K8"/>
    <mergeCell ref="L8:N8"/>
    <mergeCell ref="O8:Q8"/>
    <mergeCell ref="R8:T8"/>
    <mergeCell ref="U8:W8"/>
    <mergeCell ref="X8:Z8"/>
    <mergeCell ref="BW6:BY6"/>
    <mergeCell ref="BZ6:CB6"/>
    <mergeCell ref="CC6:CE6"/>
    <mergeCell ref="CF6:CH6"/>
    <mergeCell ref="CI6:CK6"/>
    <mergeCell ref="CL6:CN6"/>
    <mergeCell ref="BE6:BG6"/>
    <mergeCell ref="BH6:BJ6"/>
    <mergeCell ref="BK6:BM6"/>
    <mergeCell ref="BN6:BP6"/>
    <mergeCell ref="BQ6:BS6"/>
    <mergeCell ref="BT6:BV6"/>
    <mergeCell ref="AM6:AO6"/>
    <mergeCell ref="AP6:AR6"/>
    <mergeCell ref="AY8:BA8"/>
    <mergeCell ref="BB8:BD8"/>
    <mergeCell ref="BE8:BG8"/>
    <mergeCell ref="BH8:BJ8"/>
    <mergeCell ref="AA8:AC8"/>
    <mergeCell ref="AD8:AF8"/>
    <mergeCell ref="AG8:AI8"/>
    <mergeCell ref="AJ8:AL8"/>
    <mergeCell ref="AM8:AO8"/>
    <mergeCell ref="AP8:AR8"/>
    <mergeCell ref="CU8:CW8"/>
    <mergeCell ref="D10:E10"/>
    <mergeCell ref="F10:H10"/>
    <mergeCell ref="I10:K10"/>
    <mergeCell ref="L10:N10"/>
    <mergeCell ref="O10:Q10"/>
    <mergeCell ref="R10:T10"/>
    <mergeCell ref="U10:W10"/>
    <mergeCell ref="X10:Z10"/>
    <mergeCell ref="AA10:AC10"/>
    <mergeCell ref="CC8:CE8"/>
    <mergeCell ref="CF8:CH8"/>
    <mergeCell ref="CI8:CK8"/>
    <mergeCell ref="CL8:CN8"/>
    <mergeCell ref="CO8:CQ8"/>
    <mergeCell ref="CR8:CT8"/>
    <mergeCell ref="BK8:BM8"/>
    <mergeCell ref="BN8:BP8"/>
    <mergeCell ref="BQ8:BS8"/>
    <mergeCell ref="BT8:BV8"/>
    <mergeCell ref="BW8:BY8"/>
    <mergeCell ref="BZ8:CB8"/>
    <mergeCell ref="AS8:AU8"/>
    <mergeCell ref="AV8:AX8"/>
    <mergeCell ref="CO10:CQ10"/>
    <mergeCell ref="CR10:CT10"/>
    <mergeCell ref="CU10:CW10"/>
    <mergeCell ref="BN10:BP10"/>
    <mergeCell ref="BQ10:BS10"/>
    <mergeCell ref="BT10:BV10"/>
    <mergeCell ref="BW10:BY10"/>
    <mergeCell ref="BZ10:CB10"/>
    <mergeCell ref="CC10:CE10"/>
    <mergeCell ref="B12:B13"/>
    <mergeCell ref="D12:E12"/>
    <mergeCell ref="F12:H12"/>
    <mergeCell ref="I12:K12"/>
    <mergeCell ref="L12:N12"/>
    <mergeCell ref="O12:Q12"/>
    <mergeCell ref="CF10:CH10"/>
    <mergeCell ref="CI10:CK10"/>
    <mergeCell ref="CL10:CN10"/>
    <mergeCell ref="AV10:AX10"/>
    <mergeCell ref="AY10:BA10"/>
    <mergeCell ref="BB10:BD10"/>
    <mergeCell ref="BE10:BG10"/>
    <mergeCell ref="BH10:BJ10"/>
    <mergeCell ref="BK10:BM10"/>
    <mergeCell ref="AD10:AF10"/>
    <mergeCell ref="AG10:AI10"/>
    <mergeCell ref="AJ10:AL10"/>
    <mergeCell ref="AM10:AO10"/>
    <mergeCell ref="AP10:AR10"/>
    <mergeCell ref="AS10:AU10"/>
    <mergeCell ref="AP12:AR12"/>
    <mergeCell ref="AS12:AU12"/>
    <mergeCell ref="AV12:AX12"/>
    <mergeCell ref="AY12:BA12"/>
    <mergeCell ref="R12:T12"/>
    <mergeCell ref="U12:W12"/>
    <mergeCell ref="X12:Z12"/>
    <mergeCell ref="AA12:AC12"/>
    <mergeCell ref="AD12:AF12"/>
    <mergeCell ref="AG12:AI12"/>
    <mergeCell ref="CL12:CN12"/>
    <mergeCell ref="CO12:CQ12"/>
    <mergeCell ref="CR12:CT12"/>
    <mergeCell ref="CU12:CW12"/>
    <mergeCell ref="B14:B16"/>
    <mergeCell ref="D14:E14"/>
    <mergeCell ref="F14:H14"/>
    <mergeCell ref="I14:K14"/>
    <mergeCell ref="L14:N14"/>
    <mergeCell ref="O14:Q14"/>
    <mergeCell ref="BT12:BV12"/>
    <mergeCell ref="BW12:BY12"/>
    <mergeCell ref="BZ12:CB12"/>
    <mergeCell ref="CC12:CE12"/>
    <mergeCell ref="CF12:CH12"/>
    <mergeCell ref="CI12:CK12"/>
    <mergeCell ref="BB12:BD12"/>
    <mergeCell ref="BE12:BG12"/>
    <mergeCell ref="BH12:BJ12"/>
    <mergeCell ref="BK12:BM12"/>
    <mergeCell ref="BN12:BP12"/>
    <mergeCell ref="BQ12:BS12"/>
    <mergeCell ref="AJ12:AL12"/>
    <mergeCell ref="AM12:AO12"/>
    <mergeCell ref="CU14:CW14"/>
    <mergeCell ref="CC14:CE14"/>
    <mergeCell ref="A17:A25"/>
    <mergeCell ref="B17:B22"/>
    <mergeCell ref="B23:B24"/>
    <mergeCell ref="D25:E25"/>
    <mergeCell ref="F25:H25"/>
    <mergeCell ref="I25:K25"/>
    <mergeCell ref="BT14:BV14"/>
    <mergeCell ref="BW14:BY14"/>
    <mergeCell ref="BZ14:CB14"/>
    <mergeCell ref="L25:N25"/>
    <mergeCell ref="O25:Q25"/>
    <mergeCell ref="R25:T25"/>
    <mergeCell ref="U25:W25"/>
    <mergeCell ref="X25:Z25"/>
    <mergeCell ref="AA25:AC25"/>
    <mergeCell ref="AV25:AX25"/>
    <mergeCell ref="AY25:BA25"/>
    <mergeCell ref="BB25:BD25"/>
    <mergeCell ref="BE25:BG25"/>
    <mergeCell ref="BH25:BJ25"/>
    <mergeCell ref="BK25:BM25"/>
    <mergeCell ref="AD25:AF25"/>
    <mergeCell ref="AG25:AI25"/>
    <mergeCell ref="AJ25:AL25"/>
    <mergeCell ref="CL14:CN14"/>
    <mergeCell ref="CO14:CQ14"/>
    <mergeCell ref="CR14:CT14"/>
    <mergeCell ref="AY14:BA14"/>
    <mergeCell ref="R14:T14"/>
    <mergeCell ref="U14:W14"/>
    <mergeCell ref="X14:Z14"/>
    <mergeCell ref="AA14:AC14"/>
    <mergeCell ref="AD14:AF14"/>
    <mergeCell ref="AG14:AI14"/>
    <mergeCell ref="CF14:CH14"/>
    <mergeCell ref="CI14:CK14"/>
    <mergeCell ref="BB14:BD14"/>
    <mergeCell ref="BE14:BG14"/>
    <mergeCell ref="BH14:BJ14"/>
    <mergeCell ref="BK14:BM14"/>
    <mergeCell ref="BN14:BP14"/>
    <mergeCell ref="BQ14:BS14"/>
    <mergeCell ref="AJ14:AL14"/>
    <mergeCell ref="AM14:AO14"/>
    <mergeCell ref="AP14:AR14"/>
    <mergeCell ref="AS14:AU14"/>
    <mergeCell ref="AV14:AX14"/>
    <mergeCell ref="AM25:AO25"/>
    <mergeCell ref="AP25:AR25"/>
    <mergeCell ref="AS25:AU25"/>
    <mergeCell ref="CF25:CH25"/>
    <mergeCell ref="CI25:CK25"/>
    <mergeCell ref="CL25:CN25"/>
    <mergeCell ref="CO25:CQ25"/>
    <mergeCell ref="CR25:CT25"/>
    <mergeCell ref="CU25:CW25"/>
    <mergeCell ref="BN25:BP25"/>
    <mergeCell ref="BQ25:BS25"/>
    <mergeCell ref="BT25:BV25"/>
    <mergeCell ref="BW25:BY25"/>
    <mergeCell ref="BZ25:CB25"/>
    <mergeCell ref="CC25:CE25"/>
    <mergeCell ref="O28:Q28"/>
    <mergeCell ref="R28:T28"/>
    <mergeCell ref="U28:W28"/>
    <mergeCell ref="X28:Z28"/>
    <mergeCell ref="AA28:AC28"/>
    <mergeCell ref="AD28:AF28"/>
    <mergeCell ref="A26:A35"/>
    <mergeCell ref="B26:B27"/>
    <mergeCell ref="D28:E28"/>
    <mergeCell ref="F28:H28"/>
    <mergeCell ref="I28:K28"/>
    <mergeCell ref="L28:N28"/>
    <mergeCell ref="D29:E29"/>
    <mergeCell ref="F29:H29"/>
    <mergeCell ref="I29:K29"/>
    <mergeCell ref="L29:N29"/>
    <mergeCell ref="O29:Q29"/>
    <mergeCell ref="X29:Z29"/>
    <mergeCell ref="AA29:AC29"/>
    <mergeCell ref="AD29:AF29"/>
    <mergeCell ref="B30:B31"/>
    <mergeCell ref="D31:E31"/>
    <mergeCell ref="F31:H31"/>
    <mergeCell ref="I31:K31"/>
    <mergeCell ref="AG28:AI28"/>
    <mergeCell ref="AJ28:AL28"/>
    <mergeCell ref="AM28:AO28"/>
    <mergeCell ref="AP28:AR29"/>
    <mergeCell ref="AS28:AU28"/>
    <mergeCell ref="AV28:AX28"/>
    <mergeCell ref="AJ29:AL29"/>
    <mergeCell ref="AM29:AO29"/>
    <mergeCell ref="AS29:AU29"/>
    <mergeCell ref="AG29:AI29"/>
    <mergeCell ref="CI28:CK28"/>
    <mergeCell ref="CL28:CN28"/>
    <mergeCell ref="CO28:CQ28"/>
    <mergeCell ref="CR28:CT28"/>
    <mergeCell ref="CU28:CW28"/>
    <mergeCell ref="CC28:CE28"/>
    <mergeCell ref="CF28:CH28"/>
    <mergeCell ref="AV29:AX29"/>
    <mergeCell ref="CI29:CK29"/>
    <mergeCell ref="CL29:CN29"/>
    <mergeCell ref="CO29:CQ29"/>
    <mergeCell ref="CR29:CT29"/>
    <mergeCell ref="CU29:CW29"/>
    <mergeCell ref="BQ28:BS28"/>
    <mergeCell ref="BT28:BV28"/>
    <mergeCell ref="BW28:BY28"/>
    <mergeCell ref="BZ28:CB28"/>
    <mergeCell ref="AY28:BA28"/>
    <mergeCell ref="BB28:BD28"/>
    <mergeCell ref="BE28:BG28"/>
    <mergeCell ref="BH28:BJ28"/>
    <mergeCell ref="BK28:BM28"/>
    <mergeCell ref="BN28:BP28"/>
    <mergeCell ref="BQ29:BS29"/>
    <mergeCell ref="R29:T29"/>
    <mergeCell ref="U29:W29"/>
    <mergeCell ref="AM31:AO31"/>
    <mergeCell ref="AP31:AR31"/>
    <mergeCell ref="AS31:AU31"/>
    <mergeCell ref="AV31:AX31"/>
    <mergeCell ref="O31:Q31"/>
    <mergeCell ref="R31:T31"/>
    <mergeCell ref="U31:W31"/>
    <mergeCell ref="X31:Z31"/>
    <mergeCell ref="AA31:AC31"/>
    <mergeCell ref="AJ31:AL31"/>
    <mergeCell ref="AD31:AF31"/>
    <mergeCell ref="BT29:BV29"/>
    <mergeCell ref="BW29:BY29"/>
    <mergeCell ref="BZ29:CB29"/>
    <mergeCell ref="CC29:CE29"/>
    <mergeCell ref="CF29:CH29"/>
    <mergeCell ref="AY29:BA29"/>
    <mergeCell ref="BB29:BD29"/>
    <mergeCell ref="BE29:BG29"/>
    <mergeCell ref="BH29:BJ29"/>
    <mergeCell ref="BK29:BM29"/>
    <mergeCell ref="BN29:BP29"/>
    <mergeCell ref="CI31:CK31"/>
    <mergeCell ref="CL31:CN31"/>
    <mergeCell ref="CO31:CQ31"/>
    <mergeCell ref="CR31:CT31"/>
    <mergeCell ref="CU31:CW31"/>
    <mergeCell ref="B32:B35"/>
    <mergeCell ref="D32:E32"/>
    <mergeCell ref="F32:H32"/>
    <mergeCell ref="I32:K32"/>
    <mergeCell ref="L32:N32"/>
    <mergeCell ref="BQ31:BS31"/>
    <mergeCell ref="BT31:BV31"/>
    <mergeCell ref="BW31:BY31"/>
    <mergeCell ref="BZ31:CB31"/>
    <mergeCell ref="CC31:CE31"/>
    <mergeCell ref="CF31:CH31"/>
    <mergeCell ref="AY31:BA31"/>
    <mergeCell ref="BB31:BD31"/>
    <mergeCell ref="BE31:BG31"/>
    <mergeCell ref="BH31:BJ31"/>
    <mergeCell ref="BK31:BM31"/>
    <mergeCell ref="BN31:BP31"/>
    <mergeCell ref="AG31:AI31"/>
    <mergeCell ref="L31:N31"/>
    <mergeCell ref="AM32:AO32"/>
    <mergeCell ref="AP32:AR32"/>
    <mergeCell ref="AS32:AU32"/>
    <mergeCell ref="AV32:AX32"/>
    <mergeCell ref="O32:Q32"/>
    <mergeCell ref="R32:T32"/>
    <mergeCell ref="U32:W32"/>
    <mergeCell ref="X32:Z32"/>
    <mergeCell ref="AA32:AC32"/>
    <mergeCell ref="AD32:AF32"/>
    <mergeCell ref="CI32:CK32"/>
    <mergeCell ref="CL32:CN32"/>
    <mergeCell ref="CO32:CQ32"/>
    <mergeCell ref="CR32:CT32"/>
    <mergeCell ref="CU32:CW32"/>
    <mergeCell ref="D33:E33"/>
    <mergeCell ref="F33:H33"/>
    <mergeCell ref="I33:K33"/>
    <mergeCell ref="L33:N33"/>
    <mergeCell ref="O33:Q33"/>
    <mergeCell ref="BQ32:BS32"/>
    <mergeCell ref="BT32:BV32"/>
    <mergeCell ref="BW32:BY32"/>
    <mergeCell ref="BZ32:CB32"/>
    <mergeCell ref="CC32:CE32"/>
    <mergeCell ref="CF32:CH32"/>
    <mergeCell ref="AY32:BA32"/>
    <mergeCell ref="BB32:BD32"/>
    <mergeCell ref="BE32:BG32"/>
    <mergeCell ref="BH32:BJ32"/>
    <mergeCell ref="BK32:BM32"/>
    <mergeCell ref="BN32:BP32"/>
    <mergeCell ref="AG32:AI32"/>
    <mergeCell ref="AJ32:AL32"/>
    <mergeCell ref="AP33:AR33"/>
    <mergeCell ref="AS33:AU33"/>
    <mergeCell ref="AV33:AX33"/>
    <mergeCell ref="AY33:BA33"/>
    <mergeCell ref="R33:T33"/>
    <mergeCell ref="U33:W33"/>
    <mergeCell ref="X33:Z33"/>
    <mergeCell ref="AA33:AC33"/>
    <mergeCell ref="AD33:AF33"/>
    <mergeCell ref="AG33:AI33"/>
    <mergeCell ref="CL33:CN33"/>
    <mergeCell ref="CO33:CQ33"/>
    <mergeCell ref="CR33:CT33"/>
    <mergeCell ref="CU33:CW33"/>
    <mergeCell ref="D34:E34"/>
    <mergeCell ref="F34:H34"/>
    <mergeCell ref="I34:K34"/>
    <mergeCell ref="L34:N34"/>
    <mergeCell ref="O34:Q34"/>
    <mergeCell ref="R34:T34"/>
    <mergeCell ref="BT33:BV33"/>
    <mergeCell ref="BW33:BY33"/>
    <mergeCell ref="BZ33:CB33"/>
    <mergeCell ref="CC33:CE33"/>
    <mergeCell ref="CF33:CH33"/>
    <mergeCell ref="CI33:CK33"/>
    <mergeCell ref="BB33:BD33"/>
    <mergeCell ref="BE33:BG33"/>
    <mergeCell ref="BH33:BJ33"/>
    <mergeCell ref="BK33:BM33"/>
    <mergeCell ref="BN33:BP33"/>
    <mergeCell ref="BQ33:BS33"/>
    <mergeCell ref="AJ33:AL33"/>
    <mergeCell ref="AM33:AO33"/>
    <mergeCell ref="AS34:AU34"/>
    <mergeCell ref="AV34:AX34"/>
    <mergeCell ref="AY34:BA34"/>
    <mergeCell ref="BB34:BD34"/>
    <mergeCell ref="U34:W34"/>
    <mergeCell ref="X34:Z34"/>
    <mergeCell ref="AA34:AC34"/>
    <mergeCell ref="AD34:AF34"/>
    <mergeCell ref="AG34:AI34"/>
    <mergeCell ref="AJ34:AL34"/>
    <mergeCell ref="CO34:CQ34"/>
    <mergeCell ref="CR34:CT34"/>
    <mergeCell ref="CU34:CW34"/>
    <mergeCell ref="D35:E35"/>
    <mergeCell ref="F35:H35"/>
    <mergeCell ref="I35:K35"/>
    <mergeCell ref="L35:N35"/>
    <mergeCell ref="O35:Q35"/>
    <mergeCell ref="R35:T35"/>
    <mergeCell ref="U35:W35"/>
    <mergeCell ref="BW34:BY34"/>
    <mergeCell ref="BZ34:CB34"/>
    <mergeCell ref="CC34:CE34"/>
    <mergeCell ref="CF34:CH34"/>
    <mergeCell ref="CI34:CK34"/>
    <mergeCell ref="CL34:CN34"/>
    <mergeCell ref="BE34:BG34"/>
    <mergeCell ref="BH34:BJ34"/>
    <mergeCell ref="BK34:BM34"/>
    <mergeCell ref="BN34:BP34"/>
    <mergeCell ref="BQ34:BS34"/>
    <mergeCell ref="BT34:BV34"/>
    <mergeCell ref="AM34:AO34"/>
    <mergeCell ref="AP34:AR34"/>
    <mergeCell ref="AV35:AX35"/>
    <mergeCell ref="AY35:BA35"/>
    <mergeCell ref="BB35:BD35"/>
    <mergeCell ref="BE35:BG35"/>
    <mergeCell ref="X35:Z35"/>
    <mergeCell ref="AA35:AC35"/>
    <mergeCell ref="AD35:AF35"/>
    <mergeCell ref="AG35:AI35"/>
    <mergeCell ref="AJ35:AL35"/>
    <mergeCell ref="AM35:AO35"/>
    <mergeCell ref="CR35:CT35"/>
    <mergeCell ref="CU35:CW35"/>
    <mergeCell ref="D36:E36"/>
    <mergeCell ref="F36:H36"/>
    <mergeCell ref="I36:K36"/>
    <mergeCell ref="L36:N36"/>
    <mergeCell ref="O36:Q36"/>
    <mergeCell ref="R36:T36"/>
    <mergeCell ref="U36:W36"/>
    <mergeCell ref="X36:Z36"/>
    <mergeCell ref="BZ35:CB35"/>
    <mergeCell ref="CC35:CE35"/>
    <mergeCell ref="CF35:CH35"/>
    <mergeCell ref="CI35:CK35"/>
    <mergeCell ref="CL35:CN35"/>
    <mergeCell ref="CO35:CQ35"/>
    <mergeCell ref="BH35:BJ35"/>
    <mergeCell ref="BK35:BM35"/>
    <mergeCell ref="BN35:BP35"/>
    <mergeCell ref="BQ35:BS35"/>
    <mergeCell ref="BT35:BV35"/>
    <mergeCell ref="BW35:BY35"/>
    <mergeCell ref="AP35:AR35"/>
    <mergeCell ref="AS35:AU35"/>
    <mergeCell ref="AS36:AU36"/>
    <mergeCell ref="AV36:AX36"/>
    <mergeCell ref="AY36:BA36"/>
    <mergeCell ref="BB36:BD36"/>
    <mergeCell ref="BE36:BG36"/>
    <mergeCell ref="BH36:BJ36"/>
    <mergeCell ref="AA36:AC36"/>
    <mergeCell ref="AD36:AF36"/>
    <mergeCell ref="AG36:AI36"/>
    <mergeCell ref="AJ36:AL36"/>
    <mergeCell ref="AM36:AO36"/>
    <mergeCell ref="AP36:AR36"/>
    <mergeCell ref="CU36:CW36"/>
    <mergeCell ref="CC36:CE36"/>
    <mergeCell ref="CF36:CH36"/>
    <mergeCell ref="CI36:CK36"/>
    <mergeCell ref="CL36:CN36"/>
    <mergeCell ref="CO36:CQ36"/>
    <mergeCell ref="CR36:CT36"/>
    <mergeCell ref="BK36:BM36"/>
    <mergeCell ref="BN36:BP36"/>
    <mergeCell ref="BQ36:BS36"/>
    <mergeCell ref="BT36:BV36"/>
    <mergeCell ref="BW36:BY36"/>
    <mergeCell ref="BZ36:CB36"/>
  </mergeCells>
  <pageMargins left="0.70866141732283472" right="0.70866141732283472" top="0.74803149606299213" bottom="0.74803149606299213" header="0.31496062992125984" footer="0.31496062992125984"/>
  <pageSetup paperSize="9" scale="95" fitToHeight="0" orientation="landscape"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U36"/>
  <sheetViews>
    <sheetView zoomScale="130" zoomScaleNormal="130" workbookViewId="0">
      <pane xSplit="3" topLeftCell="D1" activePane="topRight" state="frozen"/>
      <selection pane="topRight" activeCell="J4" sqref="J4:L4"/>
    </sheetView>
  </sheetViews>
  <sheetFormatPr baseColWidth="10" defaultRowHeight="15.75"/>
  <cols>
    <col min="1" max="1" width="3.625" customWidth="1"/>
    <col min="2" max="2" width="4.375" customWidth="1"/>
    <col min="3" max="3" width="30.125" customWidth="1"/>
    <col min="4" max="4" width="6.625" bestFit="1" customWidth="1"/>
    <col min="5" max="5" width="6.375" bestFit="1" customWidth="1"/>
    <col min="6" max="6" width="6.875" bestFit="1" customWidth="1"/>
    <col min="7" max="7" width="6.625" bestFit="1" customWidth="1"/>
    <col min="8" max="8" width="6.375" bestFit="1" customWidth="1"/>
    <col min="9" max="9" width="6.875" bestFit="1" customWidth="1"/>
    <col min="10" max="10" width="6.625" bestFit="1" customWidth="1"/>
    <col min="11" max="11" width="6.375" bestFit="1" customWidth="1"/>
    <col min="12" max="15" width="6.875" bestFit="1" customWidth="1"/>
    <col min="16" max="99" width="13.625" customWidth="1"/>
  </cols>
  <sheetData>
    <row r="1" spans="1:99" s="11" customFormat="1" ht="16.5" thickBot="1">
      <c r="D1" s="829" t="s">
        <v>60</v>
      </c>
      <c r="E1" s="830"/>
      <c r="F1" s="830"/>
      <c r="G1" s="830"/>
      <c r="H1" s="830"/>
      <c r="I1" s="830"/>
      <c r="J1" s="830"/>
      <c r="K1" s="830"/>
      <c r="L1" s="830"/>
      <c r="M1" s="830"/>
      <c r="N1" s="830"/>
      <c r="O1" s="831"/>
      <c r="P1" s="829" t="s">
        <v>53</v>
      </c>
      <c r="Q1" s="830"/>
      <c r="R1" s="830"/>
      <c r="S1" s="830"/>
      <c r="T1" s="830"/>
      <c r="U1" s="830"/>
      <c r="V1" s="830"/>
      <c r="W1" s="830"/>
      <c r="X1" s="830"/>
      <c r="Y1" s="830"/>
      <c r="Z1" s="830"/>
      <c r="AA1" s="831"/>
      <c r="AB1" s="829" t="s">
        <v>54</v>
      </c>
      <c r="AC1" s="830"/>
      <c r="AD1" s="830"/>
      <c r="AE1" s="830"/>
      <c r="AF1" s="830"/>
      <c r="AG1" s="830"/>
      <c r="AH1" s="830"/>
      <c r="AI1" s="830"/>
      <c r="AJ1" s="830"/>
      <c r="AK1" s="830"/>
      <c r="AL1" s="830"/>
      <c r="AM1" s="831"/>
      <c r="AN1" s="838" t="s">
        <v>55</v>
      </c>
      <c r="AO1" s="839"/>
      <c r="AP1" s="839"/>
      <c r="AQ1" s="839"/>
      <c r="AR1" s="839"/>
      <c r="AS1" s="839"/>
      <c r="AT1" s="839"/>
      <c r="AU1" s="839"/>
      <c r="AV1" s="839"/>
      <c r="AW1" s="839"/>
      <c r="AX1" s="839"/>
      <c r="AY1" s="840"/>
      <c r="AZ1" s="829" t="s">
        <v>56</v>
      </c>
      <c r="BA1" s="830"/>
      <c r="BB1" s="830"/>
      <c r="BC1" s="830"/>
      <c r="BD1" s="830"/>
      <c r="BE1" s="830"/>
      <c r="BF1" s="830"/>
      <c r="BG1" s="830"/>
      <c r="BH1" s="830"/>
      <c r="BI1" s="830"/>
      <c r="BJ1" s="830"/>
      <c r="BK1" s="831"/>
      <c r="BL1" s="829" t="s">
        <v>57</v>
      </c>
      <c r="BM1" s="830"/>
      <c r="BN1" s="830"/>
      <c r="BO1" s="830"/>
      <c r="BP1" s="830"/>
      <c r="BQ1" s="830"/>
      <c r="BR1" s="830"/>
      <c r="BS1" s="830"/>
      <c r="BT1" s="830"/>
      <c r="BU1" s="830"/>
      <c r="BV1" s="830"/>
      <c r="BW1" s="831"/>
      <c r="BX1" s="829" t="s">
        <v>58</v>
      </c>
      <c r="BY1" s="830"/>
      <c r="BZ1" s="830"/>
      <c r="CA1" s="830"/>
      <c r="CB1" s="830"/>
      <c r="CC1" s="830"/>
      <c r="CD1" s="830"/>
      <c r="CE1" s="830"/>
      <c r="CF1" s="830"/>
      <c r="CG1" s="830"/>
      <c r="CH1" s="830"/>
      <c r="CI1" s="831"/>
      <c r="CJ1" s="829" t="s">
        <v>59</v>
      </c>
      <c r="CK1" s="830"/>
      <c r="CL1" s="830"/>
      <c r="CM1" s="830"/>
      <c r="CN1" s="830"/>
      <c r="CO1" s="830"/>
      <c r="CP1" s="830"/>
      <c r="CQ1" s="830"/>
      <c r="CR1" s="830"/>
      <c r="CS1" s="830"/>
      <c r="CT1" s="830"/>
      <c r="CU1" s="831"/>
    </row>
    <row r="2" spans="1:99" ht="16.5" thickBot="1">
      <c r="A2" s="832" t="s">
        <v>3</v>
      </c>
      <c r="B2" s="834" t="s">
        <v>4</v>
      </c>
      <c r="C2" s="836" t="s">
        <v>5</v>
      </c>
      <c r="D2" s="787" t="s">
        <v>1</v>
      </c>
      <c r="E2" s="788"/>
      <c r="F2" s="789"/>
      <c r="G2" s="790" t="s">
        <v>63</v>
      </c>
      <c r="H2" s="788"/>
      <c r="I2" s="789"/>
      <c r="J2" s="790" t="s">
        <v>64</v>
      </c>
      <c r="K2" s="788"/>
      <c r="L2" s="789"/>
      <c r="M2" s="790" t="s">
        <v>2</v>
      </c>
      <c r="N2" s="788"/>
      <c r="O2" s="822"/>
      <c r="P2" s="787" t="s">
        <v>1</v>
      </c>
      <c r="Q2" s="788"/>
      <c r="R2" s="789"/>
      <c r="S2" s="790" t="s">
        <v>63</v>
      </c>
      <c r="T2" s="788"/>
      <c r="U2" s="789"/>
      <c r="V2" s="790" t="s">
        <v>64</v>
      </c>
      <c r="W2" s="788"/>
      <c r="X2" s="789"/>
      <c r="Y2" s="790" t="s">
        <v>2</v>
      </c>
      <c r="Z2" s="788"/>
      <c r="AA2" s="822"/>
      <c r="AB2" s="787" t="s">
        <v>1</v>
      </c>
      <c r="AC2" s="788"/>
      <c r="AD2" s="789"/>
      <c r="AE2" s="790" t="s">
        <v>63</v>
      </c>
      <c r="AF2" s="788"/>
      <c r="AG2" s="789"/>
      <c r="AH2" s="790" t="s">
        <v>64</v>
      </c>
      <c r="AI2" s="788"/>
      <c r="AJ2" s="789"/>
      <c r="AK2" s="790" t="s">
        <v>2</v>
      </c>
      <c r="AL2" s="788"/>
      <c r="AM2" s="822"/>
      <c r="AN2" s="787" t="s">
        <v>1</v>
      </c>
      <c r="AO2" s="788"/>
      <c r="AP2" s="789"/>
      <c r="AQ2" s="790" t="s">
        <v>63</v>
      </c>
      <c r="AR2" s="788"/>
      <c r="AS2" s="789"/>
      <c r="AT2" s="790" t="s">
        <v>64</v>
      </c>
      <c r="AU2" s="788"/>
      <c r="AV2" s="789"/>
      <c r="AW2" s="790" t="s">
        <v>2</v>
      </c>
      <c r="AX2" s="788"/>
      <c r="AY2" s="822"/>
      <c r="AZ2" s="787" t="s">
        <v>1</v>
      </c>
      <c r="BA2" s="788"/>
      <c r="BB2" s="789"/>
      <c r="BC2" s="790" t="s">
        <v>63</v>
      </c>
      <c r="BD2" s="788"/>
      <c r="BE2" s="789"/>
      <c r="BF2" s="790" t="s">
        <v>64</v>
      </c>
      <c r="BG2" s="788"/>
      <c r="BH2" s="789"/>
      <c r="BI2" s="790" t="s">
        <v>2</v>
      </c>
      <c r="BJ2" s="788"/>
      <c r="BK2" s="822"/>
      <c r="BL2" s="787" t="s">
        <v>1</v>
      </c>
      <c r="BM2" s="788"/>
      <c r="BN2" s="789"/>
      <c r="BO2" s="790" t="s">
        <v>63</v>
      </c>
      <c r="BP2" s="788"/>
      <c r="BQ2" s="789"/>
      <c r="BR2" s="790" t="s">
        <v>64</v>
      </c>
      <c r="BS2" s="788"/>
      <c r="BT2" s="789"/>
      <c r="BU2" s="790" t="s">
        <v>2</v>
      </c>
      <c r="BV2" s="788"/>
      <c r="BW2" s="822"/>
      <c r="BX2" s="787" t="s">
        <v>1</v>
      </c>
      <c r="BY2" s="788"/>
      <c r="BZ2" s="789"/>
      <c r="CA2" s="790" t="s">
        <v>63</v>
      </c>
      <c r="CB2" s="788"/>
      <c r="CC2" s="789"/>
      <c r="CD2" s="790" t="s">
        <v>64</v>
      </c>
      <c r="CE2" s="788"/>
      <c r="CF2" s="789"/>
      <c r="CG2" s="790" t="s">
        <v>2</v>
      </c>
      <c r="CH2" s="788"/>
      <c r="CI2" s="822"/>
      <c r="CJ2" s="787" t="s">
        <v>1</v>
      </c>
      <c r="CK2" s="788"/>
      <c r="CL2" s="789"/>
      <c r="CM2" s="790" t="s">
        <v>63</v>
      </c>
      <c r="CN2" s="788"/>
      <c r="CO2" s="789"/>
      <c r="CP2" s="790" t="s">
        <v>64</v>
      </c>
      <c r="CQ2" s="788"/>
      <c r="CR2" s="789"/>
      <c r="CS2" s="790" t="s">
        <v>2</v>
      </c>
      <c r="CT2" s="788"/>
      <c r="CU2" s="822"/>
    </row>
    <row r="3" spans="1:99" ht="16.5" thickBot="1">
      <c r="A3" s="833"/>
      <c r="B3" s="835"/>
      <c r="C3" s="837"/>
      <c r="D3" s="9" t="s">
        <v>6</v>
      </c>
      <c r="E3" s="1" t="s">
        <v>7</v>
      </c>
      <c r="F3" s="1" t="s">
        <v>40</v>
      </c>
      <c r="G3" s="1" t="s">
        <v>6</v>
      </c>
      <c r="H3" s="1" t="s">
        <v>7</v>
      </c>
      <c r="I3" s="1" t="s">
        <v>40</v>
      </c>
      <c r="J3" s="1" t="s">
        <v>6</v>
      </c>
      <c r="K3" s="1" t="s">
        <v>7</v>
      </c>
      <c r="L3" s="1" t="s">
        <v>40</v>
      </c>
      <c r="M3" s="1" t="s">
        <v>6</v>
      </c>
      <c r="N3" s="1" t="s">
        <v>7</v>
      </c>
      <c r="O3" s="10" t="s">
        <v>40</v>
      </c>
      <c r="P3" s="9" t="s">
        <v>6</v>
      </c>
      <c r="Q3" s="1" t="s">
        <v>7</v>
      </c>
      <c r="R3" s="1" t="s">
        <v>40</v>
      </c>
      <c r="S3" s="1" t="s">
        <v>6</v>
      </c>
      <c r="T3" s="1" t="s">
        <v>7</v>
      </c>
      <c r="U3" s="1" t="s">
        <v>40</v>
      </c>
      <c r="V3" s="1" t="s">
        <v>6</v>
      </c>
      <c r="W3" s="1" t="s">
        <v>7</v>
      </c>
      <c r="X3" s="1" t="s">
        <v>40</v>
      </c>
      <c r="Y3" s="1" t="s">
        <v>6</v>
      </c>
      <c r="Z3" s="1" t="s">
        <v>7</v>
      </c>
      <c r="AA3" s="10" t="s">
        <v>40</v>
      </c>
      <c r="AB3" s="9" t="s">
        <v>6</v>
      </c>
      <c r="AC3" s="1" t="s">
        <v>7</v>
      </c>
      <c r="AD3" s="1" t="s">
        <v>40</v>
      </c>
      <c r="AE3" s="1" t="s">
        <v>6</v>
      </c>
      <c r="AF3" s="1" t="s">
        <v>7</v>
      </c>
      <c r="AG3" s="1" t="s">
        <v>40</v>
      </c>
      <c r="AH3" s="1" t="s">
        <v>6</v>
      </c>
      <c r="AI3" s="1" t="s">
        <v>7</v>
      </c>
      <c r="AJ3" s="1" t="s">
        <v>40</v>
      </c>
      <c r="AK3" s="1" t="s">
        <v>6</v>
      </c>
      <c r="AL3" s="1" t="s">
        <v>7</v>
      </c>
      <c r="AM3" s="10" t="s">
        <v>40</v>
      </c>
      <c r="AN3" s="91" t="s">
        <v>6</v>
      </c>
      <c r="AO3" s="92" t="s">
        <v>7</v>
      </c>
      <c r="AP3" s="92" t="s">
        <v>40</v>
      </c>
      <c r="AQ3" s="92" t="s">
        <v>6</v>
      </c>
      <c r="AR3" s="92" t="s">
        <v>7</v>
      </c>
      <c r="AS3" s="92" t="s">
        <v>40</v>
      </c>
      <c r="AT3" s="92" t="s">
        <v>6</v>
      </c>
      <c r="AU3" s="92" t="s">
        <v>7</v>
      </c>
      <c r="AV3" s="92" t="s">
        <v>40</v>
      </c>
      <c r="AW3" s="92" t="s">
        <v>6</v>
      </c>
      <c r="AX3" s="92" t="s">
        <v>7</v>
      </c>
      <c r="AY3" s="93" t="s">
        <v>40</v>
      </c>
      <c r="AZ3" s="9" t="s">
        <v>6</v>
      </c>
      <c r="BA3" s="1" t="s">
        <v>7</v>
      </c>
      <c r="BB3" s="1" t="s">
        <v>40</v>
      </c>
      <c r="BC3" s="1" t="s">
        <v>6</v>
      </c>
      <c r="BD3" s="1" t="s">
        <v>7</v>
      </c>
      <c r="BE3" s="1" t="s">
        <v>40</v>
      </c>
      <c r="BF3" s="1" t="s">
        <v>6</v>
      </c>
      <c r="BG3" s="1" t="s">
        <v>7</v>
      </c>
      <c r="BH3" s="1" t="s">
        <v>40</v>
      </c>
      <c r="BI3" s="1" t="s">
        <v>6</v>
      </c>
      <c r="BJ3" s="1" t="s">
        <v>7</v>
      </c>
      <c r="BK3" s="10" t="s">
        <v>40</v>
      </c>
      <c r="BL3" s="9" t="s">
        <v>6</v>
      </c>
      <c r="BM3" s="1" t="s">
        <v>7</v>
      </c>
      <c r="BN3" s="1" t="s">
        <v>40</v>
      </c>
      <c r="BO3" s="1" t="s">
        <v>6</v>
      </c>
      <c r="BP3" s="1" t="s">
        <v>7</v>
      </c>
      <c r="BQ3" s="1" t="s">
        <v>40</v>
      </c>
      <c r="BR3" s="1" t="s">
        <v>6</v>
      </c>
      <c r="BS3" s="1" t="s">
        <v>7</v>
      </c>
      <c r="BT3" s="1" t="s">
        <v>40</v>
      </c>
      <c r="BU3" s="1" t="s">
        <v>6</v>
      </c>
      <c r="BV3" s="1" t="s">
        <v>7</v>
      </c>
      <c r="BW3" s="10" t="s">
        <v>40</v>
      </c>
      <c r="BX3" s="9" t="s">
        <v>6</v>
      </c>
      <c r="BY3" s="1" t="s">
        <v>7</v>
      </c>
      <c r="BZ3" s="1" t="s">
        <v>40</v>
      </c>
      <c r="CA3" s="1" t="s">
        <v>6</v>
      </c>
      <c r="CB3" s="1" t="s">
        <v>7</v>
      </c>
      <c r="CC3" s="1" t="s">
        <v>40</v>
      </c>
      <c r="CD3" s="1" t="s">
        <v>6</v>
      </c>
      <c r="CE3" s="1" t="s">
        <v>7</v>
      </c>
      <c r="CF3" s="1" t="s">
        <v>40</v>
      </c>
      <c r="CG3" s="1" t="s">
        <v>6</v>
      </c>
      <c r="CH3" s="1" t="s">
        <v>7</v>
      </c>
      <c r="CI3" s="10" t="s">
        <v>40</v>
      </c>
      <c r="CJ3" s="9" t="s">
        <v>6</v>
      </c>
      <c r="CK3" s="1" t="s">
        <v>7</v>
      </c>
      <c r="CL3" s="1" t="s">
        <v>40</v>
      </c>
      <c r="CM3" s="1" t="s">
        <v>6</v>
      </c>
      <c r="CN3" s="1" t="s">
        <v>7</v>
      </c>
      <c r="CO3" s="1" t="s">
        <v>40</v>
      </c>
      <c r="CP3" s="1" t="s">
        <v>6</v>
      </c>
      <c r="CQ3" s="1" t="s">
        <v>7</v>
      </c>
      <c r="CR3" s="1" t="s">
        <v>40</v>
      </c>
      <c r="CS3" s="1" t="s">
        <v>6</v>
      </c>
      <c r="CT3" s="1" t="s">
        <v>7</v>
      </c>
      <c r="CU3" s="10" t="s">
        <v>40</v>
      </c>
    </row>
    <row r="4" spans="1:99" s="13" customFormat="1" ht="24">
      <c r="A4" s="732" t="s">
        <v>8</v>
      </c>
      <c r="B4" s="735" t="s">
        <v>9</v>
      </c>
      <c r="C4" s="12" t="s">
        <v>10</v>
      </c>
      <c r="D4" s="825">
        <f t="shared" ref="D4:D21" si="0">SUM(P4,AB4,AN4,AZ4,BL4,BX4,CJ4)</f>
        <v>3979</v>
      </c>
      <c r="E4" s="826"/>
      <c r="F4" s="827"/>
      <c r="G4" s="820">
        <f t="shared" ref="G4:G21" si="1">SUM(S4,AE4,AQ4,BC4,BO4,CA4,CM4)</f>
        <v>5306</v>
      </c>
      <c r="H4" s="821"/>
      <c r="I4" s="828"/>
      <c r="J4" s="825">
        <f t="shared" ref="J4:J21" si="2">SUM(V4,AH4,AT4,BF4,BR4,CD4,CP4)</f>
        <v>6697</v>
      </c>
      <c r="K4" s="826"/>
      <c r="L4" s="827"/>
      <c r="M4" s="820">
        <f t="shared" ref="M4:M21" si="3">SUM(Y4,AK4,AW4,BI4,BU4,CG4,CS4)</f>
        <v>8194</v>
      </c>
      <c r="N4" s="821"/>
      <c r="O4" s="821"/>
      <c r="P4" s="794">
        <v>745</v>
      </c>
      <c r="Q4" s="795"/>
      <c r="R4" s="796"/>
      <c r="S4" s="797">
        <f>+P4+210</f>
        <v>955</v>
      </c>
      <c r="T4" s="798"/>
      <c r="U4" s="799"/>
      <c r="V4" s="800">
        <f>+S4+210</f>
        <v>1165</v>
      </c>
      <c r="W4" s="795"/>
      <c r="X4" s="796"/>
      <c r="Y4" s="797">
        <f>+V4+210</f>
        <v>1375</v>
      </c>
      <c r="Z4" s="798"/>
      <c r="AA4" s="801"/>
      <c r="AB4" s="802">
        <v>502</v>
      </c>
      <c r="AC4" s="810"/>
      <c r="AD4" s="811"/>
      <c r="AE4" s="791">
        <f>AB4+185</f>
        <v>687</v>
      </c>
      <c r="AF4" s="812"/>
      <c r="AG4" s="813"/>
      <c r="AH4" s="806">
        <f>AE4+185</f>
        <v>872</v>
      </c>
      <c r="AI4" s="810"/>
      <c r="AJ4" s="811"/>
      <c r="AK4" s="791">
        <f>AH4+185</f>
        <v>1057</v>
      </c>
      <c r="AL4" s="812"/>
      <c r="AM4" s="814"/>
      <c r="AN4" s="815">
        <v>626</v>
      </c>
      <c r="AO4" s="816"/>
      <c r="AP4" s="817"/>
      <c r="AQ4" s="807">
        <v>876</v>
      </c>
      <c r="AR4" s="808"/>
      <c r="AS4" s="818"/>
      <c r="AT4" s="819">
        <v>1128</v>
      </c>
      <c r="AU4" s="816"/>
      <c r="AV4" s="817"/>
      <c r="AW4" s="807">
        <v>1458</v>
      </c>
      <c r="AX4" s="808"/>
      <c r="AY4" s="809"/>
      <c r="AZ4" s="802">
        <v>369</v>
      </c>
      <c r="BA4" s="810"/>
      <c r="BB4" s="811"/>
      <c r="BC4" s="791">
        <f>AZ4+110</f>
        <v>479</v>
      </c>
      <c r="BD4" s="812"/>
      <c r="BE4" s="813"/>
      <c r="BF4" s="806">
        <f>BC4+110</f>
        <v>589</v>
      </c>
      <c r="BG4" s="810"/>
      <c r="BH4" s="811"/>
      <c r="BI4" s="791">
        <f xml:space="preserve"> BF4+110</f>
        <v>699</v>
      </c>
      <c r="BJ4" s="812"/>
      <c r="BK4" s="814"/>
      <c r="BL4" s="794">
        <v>484</v>
      </c>
      <c r="BM4" s="795"/>
      <c r="BN4" s="796"/>
      <c r="BO4" s="797">
        <v>692</v>
      </c>
      <c r="BP4" s="798"/>
      <c r="BQ4" s="799"/>
      <c r="BR4" s="800">
        <v>900</v>
      </c>
      <c r="BS4" s="795"/>
      <c r="BT4" s="796"/>
      <c r="BU4" s="797">
        <v>1108</v>
      </c>
      <c r="BV4" s="798"/>
      <c r="BW4" s="801"/>
      <c r="BX4" s="802">
        <v>117</v>
      </c>
      <c r="BY4" s="803"/>
      <c r="BZ4" s="804"/>
      <c r="CA4" s="791">
        <v>137</v>
      </c>
      <c r="CB4" s="792"/>
      <c r="CC4" s="805"/>
      <c r="CD4" s="806">
        <v>143</v>
      </c>
      <c r="CE4" s="803"/>
      <c r="CF4" s="804"/>
      <c r="CG4" s="791">
        <v>177</v>
      </c>
      <c r="CH4" s="792"/>
      <c r="CI4" s="793"/>
      <c r="CJ4" s="794">
        <v>1136</v>
      </c>
      <c r="CK4" s="795"/>
      <c r="CL4" s="796"/>
      <c r="CM4" s="797">
        <v>1480</v>
      </c>
      <c r="CN4" s="798"/>
      <c r="CO4" s="799"/>
      <c r="CP4" s="800">
        <f>CM4+42*10</f>
        <v>1900</v>
      </c>
      <c r="CQ4" s="795"/>
      <c r="CR4" s="796"/>
      <c r="CS4" s="797">
        <f>CP4+42*10</f>
        <v>2320</v>
      </c>
      <c r="CT4" s="798"/>
      <c r="CU4" s="801"/>
    </row>
    <row r="5" spans="1:99" s="13" customFormat="1" ht="24.75" thickBot="1">
      <c r="A5" s="733"/>
      <c r="B5" s="702"/>
      <c r="C5" s="14" t="s">
        <v>11</v>
      </c>
      <c r="D5" s="37">
        <f t="shared" si="0"/>
        <v>26097</v>
      </c>
      <c r="E5" s="38">
        <f>SUM(Q5,AC5,AO5,BA5,BM5,BY5,CK5)</f>
        <v>28906</v>
      </c>
      <c r="F5" s="38">
        <f>SUM(R5,AD5,AP5,BB5,BN5,BZ5,CL5)</f>
        <v>55003</v>
      </c>
      <c r="G5" s="39">
        <f t="shared" si="1"/>
        <v>38024</v>
      </c>
      <c r="H5" s="39">
        <f>SUM(T5,AF5,AR5,BD5,BP5,CB5,CN5)</f>
        <v>41242</v>
      </c>
      <c r="I5" s="39">
        <f>SUM(U5,AG5,AS5,BE5,BQ5,CC5,CO5)</f>
        <v>79266</v>
      </c>
      <c r="J5" s="38">
        <f t="shared" si="2"/>
        <v>47187</v>
      </c>
      <c r="K5" s="38">
        <f>SUM(W5,AI5,AU5,BG5,BS5,CE5,CQ5)</f>
        <v>51404</v>
      </c>
      <c r="L5" s="38">
        <f>SUM(X5,AJ5,AV5,BH5,BT5,CF5,CR5)</f>
        <v>98591</v>
      </c>
      <c r="M5" s="39">
        <f t="shared" si="3"/>
        <v>56945</v>
      </c>
      <c r="N5" s="39">
        <f>SUM(Z5,AL5,AX5,BJ5,BV5,CH5,CT5)</f>
        <v>62121</v>
      </c>
      <c r="O5" s="40">
        <f>SUM(AA5,AM5,AY5,BK5,BW5,CI5,CU5)</f>
        <v>119066</v>
      </c>
      <c r="P5" s="41">
        <v>3455</v>
      </c>
      <c r="Q5" s="42">
        <v>4447</v>
      </c>
      <c r="R5" s="42">
        <v>7902</v>
      </c>
      <c r="S5" s="43">
        <f>+P5+976</f>
        <v>4431</v>
      </c>
      <c r="T5" s="43">
        <f>+Q5+1241</f>
        <v>5688</v>
      </c>
      <c r="U5" s="43">
        <f>+S5+T5</f>
        <v>10119</v>
      </c>
      <c r="V5" s="42">
        <f>+S5+976</f>
        <v>5407</v>
      </c>
      <c r="W5" s="42">
        <f>+T5+1241</f>
        <v>6929</v>
      </c>
      <c r="X5" s="42">
        <f>+V5+W5</f>
        <v>12336</v>
      </c>
      <c r="Y5" s="43">
        <f>+V5+976</f>
        <v>6383</v>
      </c>
      <c r="Z5" s="43">
        <f>+W5+1241</f>
        <v>8170</v>
      </c>
      <c r="AA5" s="44">
        <f>+Y5+Z5</f>
        <v>14553</v>
      </c>
      <c r="AB5" s="45">
        <v>3198</v>
      </c>
      <c r="AC5" s="86">
        <v>3328</v>
      </c>
      <c r="AD5" s="86">
        <f>AB5+AC5</f>
        <v>6526</v>
      </c>
      <c r="AE5" s="87">
        <f>AB5+1178</f>
        <v>4376</v>
      </c>
      <c r="AF5" s="87">
        <f>AC5+1227</f>
        <v>4555</v>
      </c>
      <c r="AG5" s="87">
        <f>AE5+AF5</f>
        <v>8931</v>
      </c>
      <c r="AH5" s="86">
        <f>AE5+1178</f>
        <v>5554</v>
      </c>
      <c r="AI5" s="86">
        <f>AF5+1227</f>
        <v>5782</v>
      </c>
      <c r="AJ5" s="86">
        <f>AH5+AI5</f>
        <v>11336</v>
      </c>
      <c r="AK5" s="87">
        <f>AH5+1178</f>
        <v>6732</v>
      </c>
      <c r="AL5" s="87">
        <f>AI5+1227</f>
        <v>7009</v>
      </c>
      <c r="AM5" s="88">
        <f>AK5+AL5</f>
        <v>13741</v>
      </c>
      <c r="AN5" s="94">
        <v>3652</v>
      </c>
      <c r="AO5" s="95">
        <v>4289</v>
      </c>
      <c r="AP5" s="95">
        <v>7941</v>
      </c>
      <c r="AQ5" s="96">
        <v>5052</v>
      </c>
      <c r="AR5" s="96">
        <v>5789</v>
      </c>
      <c r="AS5" s="96">
        <v>10841</v>
      </c>
      <c r="AT5" s="95">
        <v>6452</v>
      </c>
      <c r="AU5" s="95">
        <v>7289</v>
      </c>
      <c r="AV5" s="95">
        <v>13741</v>
      </c>
      <c r="AW5" s="96">
        <v>8450</v>
      </c>
      <c r="AX5" s="96">
        <v>9340</v>
      </c>
      <c r="AY5" s="97">
        <v>17790</v>
      </c>
      <c r="AZ5" s="45">
        <v>2363</v>
      </c>
      <c r="BA5" s="86">
        <v>2846</v>
      </c>
      <c r="BB5" s="86">
        <v>5209</v>
      </c>
      <c r="BC5" s="87">
        <f>AZ5+550</f>
        <v>2913</v>
      </c>
      <c r="BD5" s="87">
        <f>BA5+1100</f>
        <v>3946</v>
      </c>
      <c r="BE5" s="87">
        <v>6859</v>
      </c>
      <c r="BF5" s="86">
        <f>BC5+550</f>
        <v>3463</v>
      </c>
      <c r="BG5" s="86">
        <f>BD5+1100</f>
        <v>5046</v>
      </c>
      <c r="BH5" s="86">
        <f>BE5+1650</f>
        <v>8509</v>
      </c>
      <c r="BI5" s="87">
        <f>BF5+550</f>
        <v>4013</v>
      </c>
      <c r="BJ5" s="87">
        <f>BG5+1100</f>
        <v>6146</v>
      </c>
      <c r="BK5" s="88">
        <f>BH5+1650</f>
        <v>10159</v>
      </c>
      <c r="BL5" s="41">
        <v>3234</v>
      </c>
      <c r="BM5" s="71">
        <v>2589</v>
      </c>
      <c r="BN5" s="71">
        <f>+BL5+BM5</f>
        <v>5823</v>
      </c>
      <c r="BO5" s="72">
        <v>4794</v>
      </c>
      <c r="BP5" s="72">
        <v>4149</v>
      </c>
      <c r="BQ5" s="72">
        <f>+BO5+BP5</f>
        <v>8943</v>
      </c>
      <c r="BR5" s="83">
        <v>6354</v>
      </c>
      <c r="BS5" s="83">
        <v>5709</v>
      </c>
      <c r="BT5" s="83">
        <f>+BR5+BS5</f>
        <v>12063</v>
      </c>
      <c r="BU5" s="72">
        <v>7914</v>
      </c>
      <c r="BV5" s="72">
        <v>7269</v>
      </c>
      <c r="BW5" s="76">
        <f>+BU5+BV5</f>
        <v>15183</v>
      </c>
      <c r="BX5" s="169">
        <v>952</v>
      </c>
      <c r="BY5" s="170">
        <v>1338</v>
      </c>
      <c r="BZ5" s="170">
        <v>2290</v>
      </c>
      <c r="CA5" s="171">
        <v>4050</v>
      </c>
      <c r="CB5" s="171">
        <v>4707</v>
      </c>
      <c r="CC5" s="171">
        <v>8757</v>
      </c>
      <c r="CD5" s="170">
        <v>4189</v>
      </c>
      <c r="CE5" s="170">
        <v>4881</v>
      </c>
      <c r="CF5" s="170">
        <v>9070</v>
      </c>
      <c r="CG5" s="171">
        <v>4325</v>
      </c>
      <c r="CH5" s="171">
        <v>5059</v>
      </c>
      <c r="CI5" s="172">
        <v>9384</v>
      </c>
      <c r="CJ5" s="41">
        <v>9243</v>
      </c>
      <c r="CK5" s="120">
        <v>10069</v>
      </c>
      <c r="CL5" s="120">
        <f>+CJ5+CK5</f>
        <v>19312</v>
      </c>
      <c r="CM5" s="121">
        <v>12408</v>
      </c>
      <c r="CN5" s="121">
        <v>12408</v>
      </c>
      <c r="CO5" s="121">
        <f>+CM5+CN5</f>
        <v>24816</v>
      </c>
      <c r="CP5" s="120">
        <f>CM5+(42*10*16)/2</f>
        <v>15768</v>
      </c>
      <c r="CQ5" s="120">
        <f>CN5+(42*10*16)/2</f>
        <v>15768</v>
      </c>
      <c r="CR5" s="120">
        <f>+CP5+CQ5</f>
        <v>31536</v>
      </c>
      <c r="CS5" s="121">
        <f>CP5+(42*10*16)/2</f>
        <v>19128</v>
      </c>
      <c r="CT5" s="121">
        <f>CQ5+(42*10*16)/2</f>
        <v>19128</v>
      </c>
      <c r="CU5" s="122">
        <f>CS5+CT5</f>
        <v>38256</v>
      </c>
    </row>
    <row r="6" spans="1:99" s="13" customFormat="1" ht="24">
      <c r="A6" s="733"/>
      <c r="B6" s="702"/>
      <c r="C6" s="15" t="s">
        <v>51</v>
      </c>
      <c r="D6" s="640">
        <f t="shared" si="0"/>
        <v>83</v>
      </c>
      <c r="E6" s="641"/>
      <c r="F6" s="642"/>
      <c r="G6" s="622">
        <f t="shared" si="1"/>
        <v>126</v>
      </c>
      <c r="H6" s="623"/>
      <c r="I6" s="643"/>
      <c r="J6" s="640">
        <f t="shared" si="2"/>
        <v>0</v>
      </c>
      <c r="K6" s="641"/>
      <c r="L6" s="642"/>
      <c r="M6" s="622">
        <f t="shared" si="3"/>
        <v>0</v>
      </c>
      <c r="N6" s="623"/>
      <c r="O6" s="623"/>
      <c r="P6" s="591"/>
      <c r="Q6" s="592"/>
      <c r="R6" s="593"/>
      <c r="S6" s="594">
        <v>126</v>
      </c>
      <c r="T6" s="595"/>
      <c r="U6" s="596"/>
      <c r="V6" s="597">
        <v>0</v>
      </c>
      <c r="W6" s="592"/>
      <c r="X6" s="593"/>
      <c r="Y6" s="594">
        <v>0</v>
      </c>
      <c r="Z6" s="595"/>
      <c r="AA6" s="598"/>
      <c r="AB6" s="607">
        <v>13</v>
      </c>
      <c r="AC6" s="615"/>
      <c r="AD6" s="616"/>
      <c r="AE6" s="588">
        <v>0</v>
      </c>
      <c r="AF6" s="589"/>
      <c r="AG6" s="610"/>
      <c r="AH6" s="611">
        <v>0</v>
      </c>
      <c r="AI6" s="615"/>
      <c r="AJ6" s="616"/>
      <c r="AK6" s="588">
        <v>0</v>
      </c>
      <c r="AL6" s="589"/>
      <c r="AM6" s="590"/>
      <c r="AN6" s="617">
        <v>15</v>
      </c>
      <c r="AO6" s="618"/>
      <c r="AP6" s="619"/>
      <c r="AQ6" s="612"/>
      <c r="AR6" s="613"/>
      <c r="AS6" s="620"/>
      <c r="AT6" s="621"/>
      <c r="AU6" s="618"/>
      <c r="AV6" s="619"/>
      <c r="AW6" s="612"/>
      <c r="AX6" s="613"/>
      <c r="AY6" s="614"/>
      <c r="AZ6" s="607">
        <v>0</v>
      </c>
      <c r="BA6" s="615"/>
      <c r="BB6" s="616"/>
      <c r="BC6" s="588">
        <v>0</v>
      </c>
      <c r="BD6" s="589"/>
      <c r="BE6" s="610"/>
      <c r="BF6" s="611">
        <v>0</v>
      </c>
      <c r="BG6" s="615"/>
      <c r="BH6" s="616"/>
      <c r="BI6" s="588">
        <v>0</v>
      </c>
      <c r="BJ6" s="589"/>
      <c r="BK6" s="590"/>
      <c r="BL6" s="591">
        <v>8</v>
      </c>
      <c r="BM6" s="592"/>
      <c r="BN6" s="593"/>
      <c r="BO6" s="594">
        <v>0</v>
      </c>
      <c r="BP6" s="595"/>
      <c r="BQ6" s="596"/>
      <c r="BR6" s="597">
        <v>0</v>
      </c>
      <c r="BS6" s="592"/>
      <c r="BT6" s="593"/>
      <c r="BU6" s="594">
        <v>0</v>
      </c>
      <c r="BV6" s="595"/>
      <c r="BW6" s="598"/>
      <c r="BX6" s="607">
        <v>47</v>
      </c>
      <c r="BY6" s="608"/>
      <c r="BZ6" s="609"/>
      <c r="CA6" s="588">
        <v>0</v>
      </c>
      <c r="CB6" s="784"/>
      <c r="CC6" s="785"/>
      <c r="CD6" s="611">
        <v>0</v>
      </c>
      <c r="CE6" s="608"/>
      <c r="CF6" s="609"/>
      <c r="CG6" s="588">
        <v>0</v>
      </c>
      <c r="CH6" s="784"/>
      <c r="CI6" s="786"/>
      <c r="CJ6" s="591">
        <v>0</v>
      </c>
      <c r="CK6" s="592"/>
      <c r="CL6" s="593"/>
      <c r="CM6" s="594">
        <v>0</v>
      </c>
      <c r="CN6" s="595"/>
      <c r="CO6" s="596"/>
      <c r="CP6" s="597">
        <v>0</v>
      </c>
      <c r="CQ6" s="592"/>
      <c r="CR6" s="593"/>
      <c r="CS6" s="594">
        <v>0</v>
      </c>
      <c r="CT6" s="595"/>
      <c r="CU6" s="598"/>
    </row>
    <row r="7" spans="1:99" s="13" customFormat="1" ht="24.75" thickBot="1">
      <c r="A7" s="733"/>
      <c r="B7" s="702"/>
      <c r="C7" s="23" t="s">
        <v>52</v>
      </c>
      <c r="D7" s="37">
        <f t="shared" si="0"/>
        <v>550</v>
      </c>
      <c r="E7" s="38">
        <f>SUM(Q7,AC7,AO7,BA7,BM7,BY7,CK7)</f>
        <v>565</v>
      </c>
      <c r="F7" s="38">
        <f>SUM(R7,AD7,AP7,BB7,BN7,BZ7,CL7)</f>
        <v>1115</v>
      </c>
      <c r="G7" s="39">
        <f t="shared" si="1"/>
        <v>611</v>
      </c>
      <c r="H7" s="39">
        <f>SUM(T7,AF7,AR7,BD7,BP7,CB7,CN7)</f>
        <v>664</v>
      </c>
      <c r="I7" s="39">
        <f>SUM(U7,AG7,AS7,BE7,BQ7,CC7,CO7)</f>
        <v>1275</v>
      </c>
      <c r="J7" s="38">
        <f t="shared" si="2"/>
        <v>0</v>
      </c>
      <c r="K7" s="38">
        <f>SUM(W7,AI7,AU7,BG7,BS7,CE7,CQ7)</f>
        <v>0</v>
      </c>
      <c r="L7" s="38">
        <f>SUM(X7,AJ7,AV7,BH7,BT7,CF7,CR7)</f>
        <v>0</v>
      </c>
      <c r="M7" s="39">
        <f t="shared" si="3"/>
        <v>0</v>
      </c>
      <c r="N7" s="39">
        <f>SUM(Z7,AL7,AX7,BJ7,BV7,CH7,CT7)</f>
        <v>0</v>
      </c>
      <c r="O7" s="40">
        <f>SUM(AA7,AM7,AY7,BK7,BW7,CI7,CU7)</f>
        <v>0</v>
      </c>
      <c r="P7" s="41"/>
      <c r="Q7" s="42"/>
      <c r="R7" s="42">
        <f>P7+Q7</f>
        <v>0</v>
      </c>
      <c r="S7" s="43">
        <v>611</v>
      </c>
      <c r="T7" s="43">
        <v>664</v>
      </c>
      <c r="U7" s="43">
        <f>+S7+T7</f>
        <v>1275</v>
      </c>
      <c r="V7" s="42">
        <v>0</v>
      </c>
      <c r="W7" s="42">
        <v>0</v>
      </c>
      <c r="X7" s="42">
        <f>+V7+W7</f>
        <v>0</v>
      </c>
      <c r="Y7" s="43">
        <v>0</v>
      </c>
      <c r="Z7" s="43">
        <v>0</v>
      </c>
      <c r="AA7" s="44">
        <f>+Y7+Z7</f>
        <v>0</v>
      </c>
      <c r="AB7" s="45">
        <v>105</v>
      </c>
      <c r="AC7" s="86">
        <v>66</v>
      </c>
      <c r="AD7" s="86">
        <v>171</v>
      </c>
      <c r="AE7" s="87">
        <v>0</v>
      </c>
      <c r="AF7" s="87">
        <v>0</v>
      </c>
      <c r="AG7" s="87">
        <v>0</v>
      </c>
      <c r="AH7" s="86">
        <v>0</v>
      </c>
      <c r="AI7" s="86">
        <v>0</v>
      </c>
      <c r="AJ7" s="86">
        <v>0</v>
      </c>
      <c r="AK7" s="87">
        <v>0</v>
      </c>
      <c r="AL7" s="87">
        <v>0</v>
      </c>
      <c r="AM7" s="88">
        <v>0</v>
      </c>
      <c r="AN7" s="94">
        <v>90</v>
      </c>
      <c r="AO7" s="95">
        <v>99</v>
      </c>
      <c r="AP7" s="95">
        <v>189</v>
      </c>
      <c r="AQ7" s="96"/>
      <c r="AR7" s="96"/>
      <c r="AS7" s="96"/>
      <c r="AT7" s="95"/>
      <c r="AU7" s="95"/>
      <c r="AV7" s="95"/>
      <c r="AW7" s="96"/>
      <c r="AX7" s="96"/>
      <c r="AY7" s="97"/>
      <c r="AZ7" s="45">
        <v>0</v>
      </c>
      <c r="BA7" s="86">
        <v>0</v>
      </c>
      <c r="BB7" s="86">
        <v>0</v>
      </c>
      <c r="BC7" s="87"/>
      <c r="BD7" s="87"/>
      <c r="BE7" s="87"/>
      <c r="BF7" s="86"/>
      <c r="BG7" s="86"/>
      <c r="BH7" s="86"/>
      <c r="BI7" s="87"/>
      <c r="BJ7" s="87"/>
      <c r="BK7" s="88"/>
      <c r="BL7" s="41">
        <v>38</v>
      </c>
      <c r="BM7" s="71">
        <v>59</v>
      </c>
      <c r="BN7" s="71">
        <f>+BL7+BM7</f>
        <v>97</v>
      </c>
      <c r="BO7" s="72">
        <v>0</v>
      </c>
      <c r="BP7" s="72">
        <v>0</v>
      </c>
      <c r="BQ7" s="72">
        <v>0</v>
      </c>
      <c r="BR7" s="71">
        <v>0</v>
      </c>
      <c r="BS7" s="71">
        <v>0</v>
      </c>
      <c r="BT7" s="71">
        <v>0</v>
      </c>
      <c r="BU7" s="72">
        <v>0</v>
      </c>
      <c r="BV7" s="72">
        <v>0</v>
      </c>
      <c r="BW7" s="76">
        <v>0</v>
      </c>
      <c r="BX7" s="169">
        <v>317</v>
      </c>
      <c r="BY7" s="170">
        <v>341</v>
      </c>
      <c r="BZ7" s="170">
        <v>658</v>
      </c>
      <c r="CA7" s="171">
        <v>0</v>
      </c>
      <c r="CB7" s="171">
        <v>0</v>
      </c>
      <c r="CC7" s="171">
        <v>0</v>
      </c>
      <c r="CD7" s="170">
        <v>0</v>
      </c>
      <c r="CE7" s="170">
        <v>0</v>
      </c>
      <c r="CF7" s="170">
        <v>0</v>
      </c>
      <c r="CG7" s="171">
        <v>0</v>
      </c>
      <c r="CH7" s="171">
        <v>0</v>
      </c>
      <c r="CI7" s="172">
        <v>0</v>
      </c>
      <c r="CJ7" s="41">
        <v>0</v>
      </c>
      <c r="CK7" s="120">
        <v>0</v>
      </c>
      <c r="CL7" s="120">
        <v>0</v>
      </c>
      <c r="CM7" s="121">
        <v>0</v>
      </c>
      <c r="CN7" s="121">
        <v>0</v>
      </c>
      <c r="CO7" s="121">
        <f>+CM7+CN7</f>
        <v>0</v>
      </c>
      <c r="CP7" s="120">
        <v>0</v>
      </c>
      <c r="CQ7" s="120">
        <v>0</v>
      </c>
      <c r="CR7" s="120">
        <f>+CP7+CQ7</f>
        <v>0</v>
      </c>
      <c r="CS7" s="121">
        <v>0</v>
      </c>
      <c r="CT7" s="121">
        <v>0</v>
      </c>
      <c r="CU7" s="122">
        <f>+CS7+CT7</f>
        <v>0</v>
      </c>
    </row>
    <row r="8" spans="1:99" s="13" customFormat="1" ht="36">
      <c r="A8" s="733"/>
      <c r="B8" s="702"/>
      <c r="C8" s="15" t="s">
        <v>47</v>
      </c>
      <c r="D8" s="640">
        <f t="shared" si="0"/>
        <v>12095</v>
      </c>
      <c r="E8" s="641"/>
      <c r="F8" s="642"/>
      <c r="G8" s="622">
        <f t="shared" si="1"/>
        <v>11836</v>
      </c>
      <c r="H8" s="623"/>
      <c r="I8" s="643"/>
      <c r="J8" s="640">
        <f t="shared" si="2"/>
        <v>11986</v>
      </c>
      <c r="K8" s="641"/>
      <c r="L8" s="642"/>
      <c r="M8" s="622">
        <f t="shared" si="3"/>
        <v>12267.4</v>
      </c>
      <c r="N8" s="623"/>
      <c r="O8" s="623"/>
      <c r="P8" s="591">
        <v>947</v>
      </c>
      <c r="Q8" s="592"/>
      <c r="R8" s="593"/>
      <c r="S8" s="594">
        <f>+P10+210-S6</f>
        <v>884</v>
      </c>
      <c r="T8" s="595"/>
      <c r="U8" s="596"/>
      <c r="V8" s="597">
        <f>+S10+210-V6</f>
        <v>944</v>
      </c>
      <c r="W8" s="592"/>
      <c r="X8" s="593"/>
      <c r="Y8" s="594">
        <f>+V10+210-Y6</f>
        <v>1004</v>
      </c>
      <c r="Z8" s="595"/>
      <c r="AA8" s="598"/>
      <c r="AB8" s="607">
        <v>1859</v>
      </c>
      <c r="AC8" s="615"/>
      <c r="AD8" s="616"/>
      <c r="AE8" s="588">
        <f>AB10+185</f>
        <v>1790</v>
      </c>
      <c r="AF8" s="589"/>
      <c r="AG8" s="610"/>
      <c r="AH8" s="611">
        <f>AE10+185</f>
        <v>1827</v>
      </c>
      <c r="AI8" s="615"/>
      <c r="AJ8" s="616"/>
      <c r="AK8" s="588">
        <f>AH10+185</f>
        <v>1864</v>
      </c>
      <c r="AL8" s="589"/>
      <c r="AM8" s="590"/>
      <c r="AN8" s="617">
        <v>1843</v>
      </c>
      <c r="AO8" s="618"/>
      <c r="AP8" s="619"/>
      <c r="AQ8" s="612">
        <v>1973</v>
      </c>
      <c r="AR8" s="613"/>
      <c r="AS8" s="620"/>
      <c r="AT8" s="621">
        <v>2045</v>
      </c>
      <c r="AU8" s="618"/>
      <c r="AV8" s="619"/>
      <c r="AW8" s="612">
        <v>2175</v>
      </c>
      <c r="AX8" s="613"/>
      <c r="AY8" s="614"/>
      <c r="AZ8" s="607">
        <v>737</v>
      </c>
      <c r="BA8" s="615"/>
      <c r="BB8" s="616"/>
      <c r="BC8" s="588">
        <f>BC12+BC10-BC6</f>
        <v>891</v>
      </c>
      <c r="BD8" s="589"/>
      <c r="BE8" s="610"/>
      <c r="BF8" s="611">
        <f>BF12+BF10</f>
        <v>1045</v>
      </c>
      <c r="BG8" s="615"/>
      <c r="BH8" s="616"/>
      <c r="BI8" s="588">
        <f>BI10+BI12</f>
        <v>1199</v>
      </c>
      <c r="BJ8" s="589"/>
      <c r="BK8" s="590"/>
      <c r="BL8" s="591">
        <v>1194</v>
      </c>
      <c r="BM8" s="592"/>
      <c r="BN8" s="593"/>
      <c r="BO8" s="594">
        <v>1343</v>
      </c>
      <c r="BP8" s="595"/>
      <c r="BQ8" s="596"/>
      <c r="BR8" s="597">
        <v>1317</v>
      </c>
      <c r="BS8" s="592"/>
      <c r="BT8" s="593"/>
      <c r="BU8" s="594">
        <v>1291</v>
      </c>
      <c r="BV8" s="595"/>
      <c r="BW8" s="598"/>
      <c r="BX8" s="607">
        <v>3408</v>
      </c>
      <c r="BY8" s="608"/>
      <c r="BZ8" s="609"/>
      <c r="CA8" s="588">
        <v>2656</v>
      </c>
      <c r="CB8" s="589"/>
      <c r="CC8" s="610"/>
      <c r="CD8" s="611">
        <v>2676</v>
      </c>
      <c r="CE8" s="608"/>
      <c r="CF8" s="609"/>
      <c r="CG8" s="588">
        <v>2696</v>
      </c>
      <c r="CH8" s="589"/>
      <c r="CI8" s="590"/>
      <c r="CJ8" s="591">
        <f>+CJ10+152</f>
        <v>2107</v>
      </c>
      <c r="CK8" s="592"/>
      <c r="CL8" s="593"/>
      <c r="CM8" s="594">
        <f>CJ10+(CM4-CJ4)-CM6</f>
        <v>2299</v>
      </c>
      <c r="CN8" s="595"/>
      <c r="CO8" s="596"/>
      <c r="CP8" s="597">
        <f>CM10+(CP4-CM4)-CP6</f>
        <v>2132</v>
      </c>
      <c r="CQ8" s="592"/>
      <c r="CR8" s="593"/>
      <c r="CS8" s="594">
        <f>CP10+(CS4-CP4)-CS6</f>
        <v>2038.4</v>
      </c>
      <c r="CT8" s="595"/>
      <c r="CU8" s="598"/>
    </row>
    <row r="9" spans="1:99" s="13" customFormat="1" ht="36.75" thickBot="1">
      <c r="A9" s="733"/>
      <c r="B9" s="702"/>
      <c r="C9" s="24" t="s">
        <v>48</v>
      </c>
      <c r="D9" s="37">
        <f t="shared" si="0"/>
        <v>86637</v>
      </c>
      <c r="E9" s="38">
        <f>SUM(Q9,AC9,AO9,BA9,BM9,BY9,CK9)</f>
        <v>96474</v>
      </c>
      <c r="F9" s="38">
        <f>SUM(R9,AD9,AP9,BB9,BN9,BZ9,CL9)</f>
        <v>183111</v>
      </c>
      <c r="G9" s="39">
        <f t="shared" si="1"/>
        <v>80096</v>
      </c>
      <c r="H9" s="39">
        <f>SUM(T9,AF9,AR9,BD9,BP9,CB9,CN9)</f>
        <v>94637</v>
      </c>
      <c r="I9" s="39">
        <f>SUM(U9,AG9,AS9,BE9,BQ9,CC9,CO9)</f>
        <v>174733</v>
      </c>
      <c r="J9" s="38">
        <f t="shared" si="2"/>
        <v>82518</v>
      </c>
      <c r="K9" s="38">
        <f>SUM(W9,AI9,AU9,BG9,BS9,CE9,CQ9)</f>
        <v>96565</v>
      </c>
      <c r="L9" s="38">
        <f>SUM(X9,AJ9,AV9,BH9,BT9,CF9,CR9)</f>
        <v>179083</v>
      </c>
      <c r="M9" s="39">
        <f t="shared" si="3"/>
        <v>85761</v>
      </c>
      <c r="N9" s="39">
        <f>SUM(Z9,AL9,AX9,BJ9,BV9,CH9,CT9)</f>
        <v>101970</v>
      </c>
      <c r="O9" s="46">
        <f>SUM(AA9,AM9,AY9,BK9,BW9,CI9,CU9)</f>
        <v>187731</v>
      </c>
      <c r="P9" s="41">
        <v>4329</v>
      </c>
      <c r="Q9" s="42">
        <v>5516</v>
      </c>
      <c r="R9" s="42">
        <f>P9+Q9</f>
        <v>9845</v>
      </c>
      <c r="S9" s="43">
        <f>+P11+992-S7</f>
        <v>3981</v>
      </c>
      <c r="T9" s="43">
        <f>+Q11+1213-T7</f>
        <v>5277</v>
      </c>
      <c r="U9" s="43">
        <f>+R11+2205-U7</f>
        <v>9258</v>
      </c>
      <c r="V9" s="42">
        <f>+S9+976-V7</f>
        <v>4957</v>
      </c>
      <c r="W9" s="42">
        <f>+T9+1241-W7</f>
        <v>6518</v>
      </c>
      <c r="X9" s="42">
        <f>+V9+W9</f>
        <v>11475</v>
      </c>
      <c r="Y9" s="43">
        <f>+V11+976-Y7</f>
        <v>5207</v>
      </c>
      <c r="Z9" s="43">
        <f>+W11+1241-Z7</f>
        <v>6835</v>
      </c>
      <c r="AA9" s="44">
        <f>+Y9+Z9</f>
        <v>12042</v>
      </c>
      <c r="AB9" s="45">
        <v>12221</v>
      </c>
      <c r="AC9" s="86">
        <v>13329</v>
      </c>
      <c r="AD9" s="86">
        <f>AB9+AC9</f>
        <v>25550</v>
      </c>
      <c r="AE9" s="87">
        <v>11803</v>
      </c>
      <c r="AF9" s="87">
        <v>12855</v>
      </c>
      <c r="AG9" s="87">
        <f>AE9+AF9</f>
        <v>24658</v>
      </c>
      <c r="AH9" s="86">
        <f>AE9+1178</f>
        <v>12981</v>
      </c>
      <c r="AI9" s="86">
        <f>AF9+1227</f>
        <v>14082</v>
      </c>
      <c r="AJ9" s="86">
        <f>AH9+AI9</f>
        <v>27063</v>
      </c>
      <c r="AK9" s="87">
        <f>AH9+1178</f>
        <v>14159</v>
      </c>
      <c r="AL9" s="87">
        <f>AI9+1227</f>
        <v>15309</v>
      </c>
      <c r="AM9" s="88">
        <f>AK9+AL9</f>
        <v>29468</v>
      </c>
      <c r="AN9" s="94">
        <v>10737</v>
      </c>
      <c r="AO9" s="95">
        <v>13343</v>
      </c>
      <c r="AP9" s="95">
        <v>24080</v>
      </c>
      <c r="AQ9" s="96">
        <v>11423</v>
      </c>
      <c r="AR9" s="96">
        <v>14043</v>
      </c>
      <c r="AS9" s="96">
        <v>25466</v>
      </c>
      <c r="AT9" s="95">
        <v>11723</v>
      </c>
      <c r="AU9" s="95">
        <v>14343</v>
      </c>
      <c r="AV9" s="95">
        <v>26066</v>
      </c>
      <c r="AW9" s="96">
        <v>12521</v>
      </c>
      <c r="AX9" s="96">
        <v>15094</v>
      </c>
      <c r="AY9" s="97">
        <v>27615</v>
      </c>
      <c r="AZ9" s="45">
        <v>3835</v>
      </c>
      <c r="BA9" s="86">
        <v>6096</v>
      </c>
      <c r="BB9" s="86">
        <v>9931</v>
      </c>
      <c r="BC9" s="87">
        <f>BC13+BC11</f>
        <v>4605</v>
      </c>
      <c r="BD9" s="87">
        <f>BD13+BD11</f>
        <v>7636</v>
      </c>
      <c r="BE9" s="87">
        <f>BC9+BD9</f>
        <v>12241</v>
      </c>
      <c r="BF9" s="86">
        <f>BF13+BF11</f>
        <v>5375</v>
      </c>
      <c r="BG9" s="86">
        <f>BG13+BG11</f>
        <v>9176</v>
      </c>
      <c r="BH9" s="86">
        <f>BF9+BG9</f>
        <v>14551</v>
      </c>
      <c r="BI9" s="87">
        <f>BI11+BI13</f>
        <v>6145</v>
      </c>
      <c r="BJ9" s="87">
        <f>BJ11+BJ13</f>
        <v>10716</v>
      </c>
      <c r="BK9" s="88">
        <f>BI9+BJ9</f>
        <v>16861</v>
      </c>
      <c r="BL9" s="41">
        <v>8189</v>
      </c>
      <c r="BM9" s="71">
        <v>9845</v>
      </c>
      <c r="BN9" s="71">
        <f>+BL9+BM9</f>
        <v>18034</v>
      </c>
      <c r="BO9" s="72">
        <v>9324</v>
      </c>
      <c r="BP9" s="72">
        <v>10811</v>
      </c>
      <c r="BQ9" s="72">
        <f>+BO9+BP9</f>
        <v>20135</v>
      </c>
      <c r="BR9" s="71">
        <v>9443</v>
      </c>
      <c r="BS9" s="71">
        <v>10536</v>
      </c>
      <c r="BT9" s="71">
        <f>+BR9+BS9</f>
        <v>19979</v>
      </c>
      <c r="BU9" s="72">
        <v>9496</v>
      </c>
      <c r="BV9" s="72">
        <v>10327</v>
      </c>
      <c r="BW9" s="76">
        <f>+BU9+BV9</f>
        <v>19823</v>
      </c>
      <c r="BX9" s="169">
        <v>30379</v>
      </c>
      <c r="BY9" s="170">
        <v>29892</v>
      </c>
      <c r="BZ9" s="170">
        <v>60271</v>
      </c>
      <c r="CA9" s="171">
        <v>19412</v>
      </c>
      <c r="CB9" s="171">
        <v>24394</v>
      </c>
      <c r="CC9" s="171">
        <v>43806</v>
      </c>
      <c r="CD9" s="170">
        <v>20123</v>
      </c>
      <c r="CE9" s="170">
        <v>23994</v>
      </c>
      <c r="CF9" s="170">
        <v>44117</v>
      </c>
      <c r="CG9" s="171">
        <v>20989</v>
      </c>
      <c r="CH9" s="171">
        <v>26445</v>
      </c>
      <c r="CI9" s="172">
        <v>47434</v>
      </c>
      <c r="CJ9" s="41">
        <v>16947</v>
      </c>
      <c r="CK9" s="120">
        <f>17360+1093</f>
        <v>18453</v>
      </c>
      <c r="CL9" s="120">
        <f>+CK9+CJ9</f>
        <v>35400</v>
      </c>
      <c r="CM9" s="121">
        <f>CM11+(CM13-CJ13)</f>
        <v>19548</v>
      </c>
      <c r="CN9" s="121">
        <f>CN11+(CN13-CK13)</f>
        <v>19621</v>
      </c>
      <c r="CO9" s="121">
        <f>+CM9+CN9</f>
        <v>39169</v>
      </c>
      <c r="CP9" s="120">
        <f>CM11+(CP5-CM5)-CP7</f>
        <v>17916</v>
      </c>
      <c r="CQ9" s="120">
        <f>CN11+(CQ5-CN5)-CQ7</f>
        <v>17916</v>
      </c>
      <c r="CR9" s="120">
        <f>+CP9+CQ9</f>
        <v>35832</v>
      </c>
      <c r="CS9" s="121">
        <f>CP11+(CS5-CP5)-CS7</f>
        <v>17244</v>
      </c>
      <c r="CT9" s="121">
        <f>CQ11+(CT5-CQ5)-CT7</f>
        <v>17244</v>
      </c>
      <c r="CU9" s="122">
        <f>CS9+CT9</f>
        <v>34488</v>
      </c>
    </row>
    <row r="10" spans="1:99" s="13" customFormat="1" ht="24">
      <c r="A10" s="733"/>
      <c r="B10" s="702"/>
      <c r="C10" s="23" t="s">
        <v>49</v>
      </c>
      <c r="D10" s="640">
        <f t="shared" si="0"/>
        <v>10345</v>
      </c>
      <c r="E10" s="641"/>
      <c r="F10" s="642"/>
      <c r="G10" s="622">
        <f t="shared" si="1"/>
        <v>9981</v>
      </c>
      <c r="H10" s="623"/>
      <c r="I10" s="643"/>
      <c r="J10" s="640">
        <f t="shared" si="2"/>
        <v>10138.4</v>
      </c>
      <c r="K10" s="641"/>
      <c r="L10" s="642"/>
      <c r="M10" s="622">
        <f t="shared" si="3"/>
        <v>10269.959999999999</v>
      </c>
      <c r="N10" s="623"/>
      <c r="O10" s="623"/>
      <c r="P10" s="591">
        <v>800</v>
      </c>
      <c r="Q10" s="592"/>
      <c r="R10" s="593"/>
      <c r="S10" s="594">
        <f>+S8-150</f>
        <v>734</v>
      </c>
      <c r="T10" s="595"/>
      <c r="U10" s="596"/>
      <c r="V10" s="597">
        <f>+V8-150</f>
        <v>794</v>
      </c>
      <c r="W10" s="592"/>
      <c r="X10" s="593"/>
      <c r="Y10" s="594">
        <f>+Y8-150</f>
        <v>854</v>
      </c>
      <c r="Z10" s="595"/>
      <c r="AA10" s="598"/>
      <c r="AB10" s="607">
        <v>1605</v>
      </c>
      <c r="AC10" s="615"/>
      <c r="AD10" s="616"/>
      <c r="AE10" s="588">
        <v>1642</v>
      </c>
      <c r="AF10" s="589"/>
      <c r="AG10" s="610"/>
      <c r="AH10" s="611">
        <v>1679</v>
      </c>
      <c r="AI10" s="615"/>
      <c r="AJ10" s="616"/>
      <c r="AK10" s="588">
        <v>1716</v>
      </c>
      <c r="AL10" s="589"/>
      <c r="AM10" s="590"/>
      <c r="AN10" s="617">
        <v>1723</v>
      </c>
      <c r="AO10" s="618"/>
      <c r="AP10" s="619"/>
      <c r="AQ10" s="612">
        <v>1793</v>
      </c>
      <c r="AR10" s="613"/>
      <c r="AS10" s="620"/>
      <c r="AT10" s="621">
        <v>1845</v>
      </c>
      <c r="AU10" s="618"/>
      <c r="AV10" s="619"/>
      <c r="AW10" s="612">
        <v>1923</v>
      </c>
      <c r="AX10" s="613"/>
      <c r="AY10" s="614"/>
      <c r="AZ10" s="607">
        <v>491</v>
      </c>
      <c r="BA10" s="615"/>
      <c r="BB10" s="616"/>
      <c r="BC10" s="588">
        <f>AZ10+110</f>
        <v>601</v>
      </c>
      <c r="BD10" s="589"/>
      <c r="BE10" s="610"/>
      <c r="BF10" s="611">
        <f>BC10+110</f>
        <v>711</v>
      </c>
      <c r="BG10" s="615"/>
      <c r="BH10" s="616"/>
      <c r="BI10" s="588">
        <f>BF10+110</f>
        <v>821</v>
      </c>
      <c r="BJ10" s="589"/>
      <c r="BK10" s="590"/>
      <c r="BL10" s="591">
        <v>1135</v>
      </c>
      <c r="BM10" s="592"/>
      <c r="BN10" s="593"/>
      <c r="BO10" s="594">
        <v>1109</v>
      </c>
      <c r="BP10" s="595"/>
      <c r="BQ10" s="596"/>
      <c r="BR10" s="597">
        <v>1083</v>
      </c>
      <c r="BS10" s="592"/>
      <c r="BT10" s="593"/>
      <c r="BU10" s="594">
        <v>1057</v>
      </c>
      <c r="BV10" s="595"/>
      <c r="BW10" s="598"/>
      <c r="BX10" s="607">
        <v>2636</v>
      </c>
      <c r="BY10" s="608"/>
      <c r="BZ10" s="609"/>
      <c r="CA10" s="588">
        <v>2390</v>
      </c>
      <c r="CB10" s="589"/>
      <c r="CC10" s="610"/>
      <c r="CD10" s="611">
        <v>2408</v>
      </c>
      <c r="CE10" s="608"/>
      <c r="CF10" s="609"/>
      <c r="CG10" s="588">
        <v>2427</v>
      </c>
      <c r="CH10" s="589"/>
      <c r="CI10" s="590"/>
      <c r="CJ10" s="591">
        <v>1955</v>
      </c>
      <c r="CK10" s="592"/>
      <c r="CL10" s="593"/>
      <c r="CM10" s="594">
        <v>1712</v>
      </c>
      <c r="CN10" s="595"/>
      <c r="CO10" s="596"/>
      <c r="CP10" s="597">
        <f>(CM10+(CP4-CM4)-(CP12-CM12)-CP6)</f>
        <v>1618.4</v>
      </c>
      <c r="CQ10" s="592"/>
      <c r="CR10" s="593"/>
      <c r="CS10" s="594">
        <f>(CP10+(CS4-CP4)-(CS12-CP12)-CS6)</f>
        <v>1471.96</v>
      </c>
      <c r="CT10" s="595"/>
      <c r="CU10" s="598"/>
    </row>
    <row r="11" spans="1:99" s="13" customFormat="1" ht="36.75" thickBot="1">
      <c r="A11" s="733"/>
      <c r="B11" s="703"/>
      <c r="C11" s="24" t="s">
        <v>50</v>
      </c>
      <c r="D11" s="37">
        <f t="shared" si="0"/>
        <v>71765</v>
      </c>
      <c r="E11" s="38">
        <f>SUM(Q11,AC11,AO11,BA11,BM11,BY11,CK11)</f>
        <v>86519</v>
      </c>
      <c r="F11" s="38">
        <f>SUM(R11,AD11,AP11,BB11,BN11,BZ11,CL11)</f>
        <v>158284</v>
      </c>
      <c r="G11" s="39">
        <f t="shared" si="1"/>
        <v>70091</v>
      </c>
      <c r="H11" s="39">
        <f>SUM(T11,AF11,AR11,BD11,BP11,CB11,CN11)</f>
        <v>77598</v>
      </c>
      <c r="I11" s="39">
        <f>SUM(U11,AG11,AS11,BE11,BQ11,CC11,CO11)</f>
        <v>147689</v>
      </c>
      <c r="J11" s="38">
        <f t="shared" si="2"/>
        <v>71646</v>
      </c>
      <c r="K11" s="38">
        <f>SUM(W11,AI11,AU11,BG11,BS11,CE11,CQ11)</f>
        <v>79724</v>
      </c>
      <c r="L11" s="38">
        <f>SUM(X11,AJ11,AV11,BH11,BT11,CF11,CR11)</f>
        <v>151370</v>
      </c>
      <c r="M11" s="39">
        <f t="shared" si="3"/>
        <v>70854</v>
      </c>
      <c r="N11" s="39">
        <f>SUM(Z11,AL11,AX11,BJ11,BV11,CH11,CT11)</f>
        <v>79448</v>
      </c>
      <c r="O11" s="46">
        <f>SUM(AA11,AM11,AY11,BK11,BW11,CI11,CU11)</f>
        <v>150302</v>
      </c>
      <c r="P11" s="41">
        <v>3600</v>
      </c>
      <c r="Q11" s="42">
        <v>4728</v>
      </c>
      <c r="R11" s="42">
        <f>P11+Q11</f>
        <v>8328</v>
      </c>
      <c r="S11" s="43">
        <f>+S9-726</f>
        <v>3255</v>
      </c>
      <c r="T11" s="43">
        <f>+T9-924</f>
        <v>4353</v>
      </c>
      <c r="U11" s="43">
        <f>+S11+T11</f>
        <v>7608</v>
      </c>
      <c r="V11" s="42">
        <f>+V9-726</f>
        <v>4231</v>
      </c>
      <c r="W11" s="42">
        <f>+W9-924</f>
        <v>5594</v>
      </c>
      <c r="X11" s="42">
        <f>+V11+W11</f>
        <v>9825</v>
      </c>
      <c r="Y11" s="43">
        <f>+Y9-726</f>
        <v>4481</v>
      </c>
      <c r="Z11" s="43">
        <f>+Z9-924</f>
        <v>5911</v>
      </c>
      <c r="AA11" s="44">
        <f>+Y11+Z11</f>
        <v>10392</v>
      </c>
      <c r="AB11" s="45">
        <v>10625</v>
      </c>
      <c r="AC11" s="86">
        <v>11628</v>
      </c>
      <c r="AD11" s="86">
        <f>AB11+AC11</f>
        <v>22253</v>
      </c>
      <c r="AE11" s="87">
        <v>10933</v>
      </c>
      <c r="AF11" s="87">
        <v>11949</v>
      </c>
      <c r="AG11" s="87">
        <v>22882</v>
      </c>
      <c r="AH11" s="86">
        <v>11241</v>
      </c>
      <c r="AI11" s="86">
        <v>12270</v>
      </c>
      <c r="AJ11" s="86">
        <v>23511</v>
      </c>
      <c r="AK11" s="87">
        <v>11549</v>
      </c>
      <c r="AL11" s="87">
        <v>12591</v>
      </c>
      <c r="AM11" s="88">
        <v>24140</v>
      </c>
      <c r="AN11" s="94">
        <v>10023</v>
      </c>
      <c r="AO11" s="95">
        <v>12543</v>
      </c>
      <c r="AP11" s="95">
        <v>22566</v>
      </c>
      <c r="AQ11" s="96">
        <v>10323</v>
      </c>
      <c r="AR11" s="96">
        <v>12843</v>
      </c>
      <c r="AS11" s="96">
        <v>23166</v>
      </c>
      <c r="AT11" s="95">
        <v>10523</v>
      </c>
      <c r="AU11" s="95">
        <v>13043</v>
      </c>
      <c r="AV11" s="95">
        <v>23566</v>
      </c>
      <c r="AW11" s="96">
        <v>9705</v>
      </c>
      <c r="AX11" s="96">
        <v>12193</v>
      </c>
      <c r="AY11" s="97">
        <v>21898</v>
      </c>
      <c r="AZ11" s="45">
        <v>3318</v>
      </c>
      <c r="BA11" s="86">
        <v>4278</v>
      </c>
      <c r="BB11" s="86">
        <v>7596</v>
      </c>
      <c r="BC11" s="87">
        <f>AZ11+550</f>
        <v>3868</v>
      </c>
      <c r="BD11" s="87">
        <f>BA11+1100</f>
        <v>5378</v>
      </c>
      <c r="BE11" s="87">
        <f>BC11+BD11</f>
        <v>9246</v>
      </c>
      <c r="BF11" s="86">
        <f>BC11+550</f>
        <v>4418</v>
      </c>
      <c r="BG11" s="86">
        <f>BD11+1100</f>
        <v>6478</v>
      </c>
      <c r="BH11" s="86">
        <f>BF11+BG11</f>
        <v>10896</v>
      </c>
      <c r="BI11" s="87">
        <f>BF11+550</f>
        <v>4968</v>
      </c>
      <c r="BJ11" s="87">
        <f>BG11+1100</f>
        <v>7578</v>
      </c>
      <c r="BK11" s="88">
        <f>BI11+BJ11</f>
        <v>12546</v>
      </c>
      <c r="BL11" s="41">
        <v>7764</v>
      </c>
      <c r="BM11" s="71">
        <v>9251</v>
      </c>
      <c r="BN11" s="71">
        <f>+BL11+BM11</f>
        <v>17015</v>
      </c>
      <c r="BO11" s="72">
        <v>7883</v>
      </c>
      <c r="BP11" s="72">
        <v>8976</v>
      </c>
      <c r="BQ11" s="72">
        <f>+BO11+BP11</f>
        <v>16859</v>
      </c>
      <c r="BR11" s="71">
        <v>7936</v>
      </c>
      <c r="BS11" s="71">
        <v>8767</v>
      </c>
      <c r="BT11" s="71">
        <f>+BR11+BS11</f>
        <v>16703</v>
      </c>
      <c r="BU11" s="72">
        <v>7870</v>
      </c>
      <c r="BV11" s="72">
        <v>8624</v>
      </c>
      <c r="BW11" s="76">
        <f>+BU11+BV11</f>
        <v>16494</v>
      </c>
      <c r="BX11" s="169">
        <v>20498</v>
      </c>
      <c r="BY11" s="170">
        <v>26731</v>
      </c>
      <c r="BZ11" s="170">
        <v>47229</v>
      </c>
      <c r="CA11" s="171">
        <v>19273</v>
      </c>
      <c r="CB11" s="171">
        <v>19543</v>
      </c>
      <c r="CC11" s="171">
        <v>38816</v>
      </c>
      <c r="CD11" s="170">
        <v>19413</v>
      </c>
      <c r="CE11" s="170">
        <v>19688</v>
      </c>
      <c r="CF11" s="170">
        <v>39101</v>
      </c>
      <c r="CG11" s="171">
        <v>19565</v>
      </c>
      <c r="CH11" s="171">
        <v>19835</v>
      </c>
      <c r="CI11" s="172">
        <v>39400</v>
      </c>
      <c r="CJ11" s="41">
        <v>15937</v>
      </c>
      <c r="CK11" s="120">
        <v>17360</v>
      </c>
      <c r="CL11" s="120">
        <f>+CJ11+CK11</f>
        <v>33297</v>
      </c>
      <c r="CM11" s="121">
        <v>14556</v>
      </c>
      <c r="CN11" s="121">
        <v>14556</v>
      </c>
      <c r="CO11" s="121">
        <f>+CM11+CN11</f>
        <v>29112</v>
      </c>
      <c r="CP11" s="120">
        <f>CM11+(CP5-CM5)-(CP13-CM13)-CP7</f>
        <v>13884</v>
      </c>
      <c r="CQ11" s="120">
        <f>CN11+(CQ5-CN5)-(CQ13-CN13)-CQ7</f>
        <v>13884</v>
      </c>
      <c r="CR11" s="120">
        <f>+CP11+CQ11</f>
        <v>27768</v>
      </c>
      <c r="CS11" s="121">
        <f>CP11+(CS5-CP5)-(CS13-CP13)-CS7</f>
        <v>12716</v>
      </c>
      <c r="CT11" s="121">
        <f>CQ11+(CT5-CQ5)-(CT13-CQ13)-CT7</f>
        <v>12716</v>
      </c>
      <c r="CU11" s="122">
        <f>+CS11+CT11</f>
        <v>25432</v>
      </c>
    </row>
    <row r="12" spans="1:99" s="186" customFormat="1" ht="24">
      <c r="A12" s="733"/>
      <c r="B12" s="735" t="s">
        <v>12</v>
      </c>
      <c r="C12" s="185" t="s">
        <v>13</v>
      </c>
      <c r="D12" s="773">
        <f t="shared" si="0"/>
        <v>3756</v>
      </c>
      <c r="E12" s="774"/>
      <c r="F12" s="775"/>
      <c r="G12" s="776">
        <f t="shared" si="1"/>
        <v>5365</v>
      </c>
      <c r="H12" s="777"/>
      <c r="I12" s="778"/>
      <c r="J12" s="773">
        <f t="shared" si="2"/>
        <v>6922.6</v>
      </c>
      <c r="K12" s="774"/>
      <c r="L12" s="775"/>
      <c r="M12" s="776">
        <f t="shared" si="3"/>
        <v>8586.0400000000009</v>
      </c>
      <c r="N12" s="777"/>
      <c r="O12" s="777"/>
      <c r="P12" s="766">
        <v>472</v>
      </c>
      <c r="Q12" s="751"/>
      <c r="R12" s="752"/>
      <c r="S12" s="753">
        <f>+P12+S8-S10</f>
        <v>622</v>
      </c>
      <c r="T12" s="754"/>
      <c r="U12" s="767"/>
      <c r="V12" s="750">
        <f>+S12+V8-V10</f>
        <v>772</v>
      </c>
      <c r="W12" s="751"/>
      <c r="X12" s="752"/>
      <c r="Y12" s="753">
        <f>+V12+Y8-Y10</f>
        <v>922</v>
      </c>
      <c r="Z12" s="754"/>
      <c r="AA12" s="755"/>
      <c r="AB12" s="756">
        <v>783</v>
      </c>
      <c r="AC12" s="764"/>
      <c r="AD12" s="765"/>
      <c r="AE12" s="759">
        <f>AB12+148</f>
        <v>931</v>
      </c>
      <c r="AF12" s="760"/>
      <c r="AG12" s="761"/>
      <c r="AH12" s="762">
        <f>AE12+148</f>
        <v>1079</v>
      </c>
      <c r="AI12" s="764"/>
      <c r="AJ12" s="765"/>
      <c r="AK12" s="759">
        <f>AH12+148</f>
        <v>1227</v>
      </c>
      <c r="AL12" s="760"/>
      <c r="AM12" s="763"/>
      <c r="AN12" s="779">
        <v>442</v>
      </c>
      <c r="AO12" s="780"/>
      <c r="AP12" s="781"/>
      <c r="AQ12" s="768">
        <v>622</v>
      </c>
      <c r="AR12" s="769"/>
      <c r="AS12" s="782"/>
      <c r="AT12" s="783">
        <v>822</v>
      </c>
      <c r="AU12" s="780"/>
      <c r="AV12" s="781"/>
      <c r="AW12" s="768">
        <v>1074</v>
      </c>
      <c r="AX12" s="769"/>
      <c r="AY12" s="770"/>
      <c r="AZ12" s="756">
        <v>246</v>
      </c>
      <c r="BA12" s="764"/>
      <c r="BB12" s="765"/>
      <c r="BC12" s="759">
        <v>290</v>
      </c>
      <c r="BD12" s="760"/>
      <c r="BE12" s="761"/>
      <c r="BF12" s="762">
        <f>BC12+44</f>
        <v>334</v>
      </c>
      <c r="BG12" s="764"/>
      <c r="BH12" s="765"/>
      <c r="BI12" s="759">
        <f>BF12+44</f>
        <v>378</v>
      </c>
      <c r="BJ12" s="760"/>
      <c r="BK12" s="763"/>
      <c r="BL12" s="766">
        <v>355</v>
      </c>
      <c r="BM12" s="751"/>
      <c r="BN12" s="752"/>
      <c r="BO12" s="753">
        <v>589</v>
      </c>
      <c r="BP12" s="754"/>
      <c r="BQ12" s="767"/>
      <c r="BR12" s="750">
        <v>823</v>
      </c>
      <c r="BS12" s="751"/>
      <c r="BT12" s="752"/>
      <c r="BU12" s="753">
        <f>+BR12+234</f>
        <v>1057</v>
      </c>
      <c r="BV12" s="754"/>
      <c r="BW12" s="755"/>
      <c r="BX12" s="756">
        <v>819</v>
      </c>
      <c r="BY12" s="757"/>
      <c r="BZ12" s="758"/>
      <c r="CA12" s="759">
        <v>1085</v>
      </c>
      <c r="CB12" s="760"/>
      <c r="CC12" s="761"/>
      <c r="CD12" s="762">
        <v>1353</v>
      </c>
      <c r="CE12" s="757"/>
      <c r="CF12" s="758"/>
      <c r="CG12" s="759">
        <v>1622</v>
      </c>
      <c r="CH12" s="760"/>
      <c r="CI12" s="763"/>
      <c r="CJ12" s="766">
        <v>639</v>
      </c>
      <c r="CK12" s="751"/>
      <c r="CL12" s="752"/>
      <c r="CM12" s="753">
        <v>1226</v>
      </c>
      <c r="CN12" s="754"/>
      <c r="CO12" s="767"/>
      <c r="CP12" s="750">
        <f>CM12+(CM10*0.3)</f>
        <v>1739.6</v>
      </c>
      <c r="CQ12" s="751"/>
      <c r="CR12" s="752"/>
      <c r="CS12" s="753">
        <f>CP12+(CP10*0.35)</f>
        <v>2306.04</v>
      </c>
      <c r="CT12" s="754"/>
      <c r="CU12" s="755"/>
    </row>
    <row r="13" spans="1:99" s="13" customFormat="1" ht="24.75" thickBot="1">
      <c r="A13" s="733"/>
      <c r="B13" s="703"/>
      <c r="C13" s="25" t="s">
        <v>14</v>
      </c>
      <c r="D13" s="37">
        <f t="shared" si="0"/>
        <v>22360</v>
      </c>
      <c r="E13" s="38">
        <f>SUM(Q13,AC13,AO13,BA13,BM13,BY13,CK13)</f>
        <v>25182</v>
      </c>
      <c r="F13" s="38">
        <f>SUM(R13,AD13,AP13,BB13,BN13,BZ13,CL13)</f>
        <v>47542</v>
      </c>
      <c r="G13" s="39">
        <f t="shared" si="1"/>
        <v>35042</v>
      </c>
      <c r="H13" s="39">
        <f>SUM(T13,AF13,AR13,BD13,BP13,CB13,CN13)</f>
        <v>39215</v>
      </c>
      <c r="I13" s="39">
        <f>SUM(U13,AG13,AS13,BE13,BQ13,CC13,CO13)</f>
        <v>74257</v>
      </c>
      <c r="J13" s="38">
        <f t="shared" si="2"/>
        <v>45684</v>
      </c>
      <c r="K13" s="38">
        <f>SUM(W13,AI13,AU13,BG13,BS13,CE13,CQ13)</f>
        <v>50851</v>
      </c>
      <c r="L13" s="38">
        <f>SUM(X13,AJ13,AV13,BH13,BT13,CF13,CR13)</f>
        <v>96535</v>
      </c>
      <c r="M13" s="39">
        <f t="shared" si="3"/>
        <v>58584</v>
      </c>
      <c r="N13" s="39">
        <f>SUM(Z13,AL13,AX13,BJ13,BV13,CH13,CT13)</f>
        <v>64452</v>
      </c>
      <c r="O13" s="46">
        <f>SUM(AA13,AM13,AY13,BK13,BW13,CI13,CU13)</f>
        <v>123036</v>
      </c>
      <c r="P13" s="41">
        <v>2446</v>
      </c>
      <c r="Q13" s="42">
        <v>2995</v>
      </c>
      <c r="R13" s="69">
        <f>P13+Q13</f>
        <v>5441</v>
      </c>
      <c r="S13" s="43">
        <f>+P13+S9-S11</f>
        <v>3172</v>
      </c>
      <c r="T13" s="70">
        <f>+Q9-Q11+Q13</f>
        <v>3783</v>
      </c>
      <c r="U13" s="43">
        <f>+S13+T13</f>
        <v>6955</v>
      </c>
      <c r="V13" s="42">
        <f>+S13+V9-V11</f>
        <v>3898</v>
      </c>
      <c r="W13" s="42">
        <f>+T13+W9-W11</f>
        <v>4707</v>
      </c>
      <c r="X13" s="42">
        <f>+V13+W13</f>
        <v>8605</v>
      </c>
      <c r="Y13" s="43">
        <f>+V13+Y9-Y11</f>
        <v>4624</v>
      </c>
      <c r="Z13" s="43">
        <f>+W13+Z9-Z11</f>
        <v>5631</v>
      </c>
      <c r="AA13" s="44">
        <f>+Y13+Z13</f>
        <v>10255</v>
      </c>
      <c r="AB13" s="45">
        <v>5295</v>
      </c>
      <c r="AC13" s="86">
        <v>5510</v>
      </c>
      <c r="AD13" s="86">
        <f>AB13+AC13</f>
        <v>10805</v>
      </c>
      <c r="AE13" s="87">
        <f>AB13+870</f>
        <v>6165</v>
      </c>
      <c r="AF13" s="87">
        <f>AC13+906</f>
        <v>6416</v>
      </c>
      <c r="AG13" s="87">
        <f>AE13+AF13</f>
        <v>12581</v>
      </c>
      <c r="AH13" s="86">
        <f>AE13+870</f>
        <v>7035</v>
      </c>
      <c r="AI13" s="86">
        <f>AF13+906</f>
        <v>7322</v>
      </c>
      <c r="AJ13" s="86">
        <f>AH13+AI13</f>
        <v>14357</v>
      </c>
      <c r="AK13" s="87">
        <f>AH13+870</f>
        <v>7905</v>
      </c>
      <c r="AL13" s="87">
        <f>AI13+906</f>
        <v>8228</v>
      </c>
      <c r="AM13" s="88">
        <f>AK13+AL13</f>
        <v>16133</v>
      </c>
      <c r="AN13" s="94">
        <v>1584</v>
      </c>
      <c r="AO13" s="95">
        <v>1800</v>
      </c>
      <c r="AP13" s="95">
        <v>3384</v>
      </c>
      <c r="AQ13" s="96">
        <v>2684</v>
      </c>
      <c r="AR13" s="96">
        <v>3000</v>
      </c>
      <c r="AS13" s="96">
        <v>5684</v>
      </c>
      <c r="AT13" s="95">
        <v>3884</v>
      </c>
      <c r="AU13" s="95">
        <v>4300</v>
      </c>
      <c r="AV13" s="95">
        <v>8184</v>
      </c>
      <c r="AW13" s="96">
        <v>6700</v>
      </c>
      <c r="AX13" s="96">
        <v>7200</v>
      </c>
      <c r="AY13" s="97">
        <v>13900</v>
      </c>
      <c r="AZ13" s="45">
        <v>517</v>
      </c>
      <c r="BA13" s="86">
        <v>1818</v>
      </c>
      <c r="BB13" s="86">
        <v>2335</v>
      </c>
      <c r="BC13" s="87">
        <f>AZ13+220</f>
        <v>737</v>
      </c>
      <c r="BD13" s="87">
        <f>BA13+440</f>
        <v>2258</v>
      </c>
      <c r="BE13" s="87">
        <f>BC13+BD13</f>
        <v>2995</v>
      </c>
      <c r="BF13" s="86">
        <f>BC13+220</f>
        <v>957</v>
      </c>
      <c r="BG13" s="86">
        <f>BD13+440</f>
        <v>2698</v>
      </c>
      <c r="BH13" s="86">
        <f>BF13+BG13</f>
        <v>3655</v>
      </c>
      <c r="BI13" s="87">
        <f>BF13+220</f>
        <v>1177</v>
      </c>
      <c r="BJ13" s="87">
        <f>BG13+440</f>
        <v>3138</v>
      </c>
      <c r="BK13" s="88">
        <f>BI13+BJ13</f>
        <v>4315</v>
      </c>
      <c r="BL13" s="41">
        <v>2609</v>
      </c>
      <c r="BM13" s="71">
        <v>3493</v>
      </c>
      <c r="BN13" s="71">
        <f>+BL13+BM13</f>
        <v>6102</v>
      </c>
      <c r="BO13" s="72">
        <v>4050</v>
      </c>
      <c r="BP13" s="72">
        <v>5328</v>
      </c>
      <c r="BQ13" s="72">
        <f>+BO13+BP13</f>
        <v>9378</v>
      </c>
      <c r="BR13" s="71">
        <v>5557</v>
      </c>
      <c r="BS13" s="71">
        <v>7097</v>
      </c>
      <c r="BT13" s="71">
        <f>+BR13+BS13</f>
        <v>12654</v>
      </c>
      <c r="BU13" s="72">
        <v>7130</v>
      </c>
      <c r="BV13" s="72">
        <v>8800</v>
      </c>
      <c r="BW13" s="76">
        <f>+BU13+BV13</f>
        <v>15930</v>
      </c>
      <c r="BX13" s="169">
        <v>5097</v>
      </c>
      <c r="BY13" s="170">
        <v>4827</v>
      </c>
      <c r="BZ13" s="170">
        <v>9924</v>
      </c>
      <c r="CA13" s="171">
        <v>8430</v>
      </c>
      <c r="CB13" s="171">
        <v>8626</v>
      </c>
      <c r="CC13" s="171">
        <v>17056</v>
      </c>
      <c r="CD13" s="170">
        <v>10517</v>
      </c>
      <c r="CE13" s="170">
        <v>10891</v>
      </c>
      <c r="CF13" s="170">
        <v>21408</v>
      </c>
      <c r="CG13" s="171">
        <v>12684</v>
      </c>
      <c r="CH13" s="171">
        <v>13091</v>
      </c>
      <c r="CI13" s="172">
        <v>25775</v>
      </c>
      <c r="CJ13" s="41">
        <v>4812</v>
      </c>
      <c r="CK13" s="120">
        <v>4739</v>
      </c>
      <c r="CL13" s="120">
        <f>+CJ13+CK13</f>
        <v>9551</v>
      </c>
      <c r="CM13" s="121">
        <v>9804</v>
      </c>
      <c r="CN13" s="121">
        <v>9804</v>
      </c>
      <c r="CO13" s="121">
        <f>+CM13+CN13</f>
        <v>19608</v>
      </c>
      <c r="CP13" s="120">
        <v>13836</v>
      </c>
      <c r="CQ13" s="120">
        <v>13836</v>
      </c>
      <c r="CR13" s="120">
        <f>CP13+CQ13</f>
        <v>27672</v>
      </c>
      <c r="CS13" s="121">
        <f>CP13+(566*16/2)</f>
        <v>18364</v>
      </c>
      <c r="CT13" s="121">
        <f>CQ13+(566*16/2)</f>
        <v>18364</v>
      </c>
      <c r="CU13" s="122">
        <f>+CS13+CT13</f>
        <v>36728</v>
      </c>
    </row>
    <row r="14" spans="1:99" s="13" customFormat="1">
      <c r="A14" s="733"/>
      <c r="B14" s="735" t="s">
        <v>15</v>
      </c>
      <c r="C14" s="14" t="s">
        <v>16</v>
      </c>
      <c r="D14" s="640">
        <f t="shared" si="0"/>
        <v>3148</v>
      </c>
      <c r="E14" s="641"/>
      <c r="F14" s="642"/>
      <c r="G14" s="622">
        <f t="shared" si="1"/>
        <v>3548</v>
      </c>
      <c r="H14" s="623"/>
      <c r="I14" s="643"/>
      <c r="J14" s="640">
        <f t="shared" si="2"/>
        <v>3888</v>
      </c>
      <c r="K14" s="641"/>
      <c r="L14" s="642"/>
      <c r="M14" s="622">
        <f t="shared" si="3"/>
        <v>4363</v>
      </c>
      <c r="N14" s="623"/>
      <c r="O14" s="623"/>
      <c r="P14" s="591">
        <v>162</v>
      </c>
      <c r="Q14" s="592"/>
      <c r="R14" s="593"/>
      <c r="S14" s="594">
        <v>165</v>
      </c>
      <c r="T14" s="595"/>
      <c r="U14" s="596"/>
      <c r="V14" s="597">
        <v>180</v>
      </c>
      <c r="W14" s="592"/>
      <c r="X14" s="593"/>
      <c r="Y14" s="594">
        <v>190</v>
      </c>
      <c r="Z14" s="595"/>
      <c r="AA14" s="598"/>
      <c r="AB14" s="607">
        <v>567</v>
      </c>
      <c r="AC14" s="615"/>
      <c r="AD14" s="616"/>
      <c r="AE14" s="588">
        <f>AB14+74</f>
        <v>641</v>
      </c>
      <c r="AF14" s="589"/>
      <c r="AG14" s="610"/>
      <c r="AH14" s="611">
        <f>AE14+74</f>
        <v>715</v>
      </c>
      <c r="AI14" s="615"/>
      <c r="AJ14" s="616"/>
      <c r="AK14" s="588">
        <f>AH14+74</f>
        <v>789</v>
      </c>
      <c r="AL14" s="589"/>
      <c r="AM14" s="590"/>
      <c r="AN14" s="617">
        <v>459</v>
      </c>
      <c r="AO14" s="618"/>
      <c r="AP14" s="619"/>
      <c r="AQ14" s="612">
        <v>559</v>
      </c>
      <c r="AR14" s="613"/>
      <c r="AS14" s="620"/>
      <c r="AT14" s="621">
        <v>653</v>
      </c>
      <c r="AU14" s="618"/>
      <c r="AV14" s="619"/>
      <c r="AW14" s="612">
        <v>740</v>
      </c>
      <c r="AX14" s="613"/>
      <c r="AY14" s="614"/>
      <c r="AZ14" s="607">
        <v>118</v>
      </c>
      <c r="BA14" s="615"/>
      <c r="BB14" s="616"/>
      <c r="BC14" s="588">
        <f>AZ14+33</f>
        <v>151</v>
      </c>
      <c r="BD14" s="589"/>
      <c r="BE14" s="610"/>
      <c r="BF14" s="611">
        <f>BC14+33</f>
        <v>184</v>
      </c>
      <c r="BG14" s="615"/>
      <c r="BH14" s="616"/>
      <c r="BI14" s="588">
        <f>BF14+33</f>
        <v>217</v>
      </c>
      <c r="BJ14" s="589"/>
      <c r="BK14" s="590"/>
      <c r="BL14" s="591">
        <v>189</v>
      </c>
      <c r="BM14" s="592"/>
      <c r="BN14" s="593"/>
      <c r="BO14" s="594">
        <v>214</v>
      </c>
      <c r="BP14" s="595"/>
      <c r="BQ14" s="596"/>
      <c r="BR14" s="597">
        <v>239</v>
      </c>
      <c r="BS14" s="592"/>
      <c r="BT14" s="593"/>
      <c r="BU14" s="594">
        <v>264</v>
      </c>
      <c r="BV14" s="595"/>
      <c r="BW14" s="598"/>
      <c r="BX14" s="607">
        <v>1003</v>
      </c>
      <c r="BY14" s="608"/>
      <c r="BZ14" s="609"/>
      <c r="CA14" s="588">
        <v>1028</v>
      </c>
      <c r="CB14" s="589"/>
      <c r="CC14" s="610"/>
      <c r="CD14" s="611">
        <v>1043</v>
      </c>
      <c r="CE14" s="608"/>
      <c r="CF14" s="609"/>
      <c r="CG14" s="588">
        <v>1109</v>
      </c>
      <c r="CH14" s="589"/>
      <c r="CI14" s="590"/>
      <c r="CJ14" s="591">
        <v>650</v>
      </c>
      <c r="CK14" s="592"/>
      <c r="CL14" s="593"/>
      <c r="CM14" s="594">
        <v>790</v>
      </c>
      <c r="CN14" s="595"/>
      <c r="CO14" s="596"/>
      <c r="CP14" s="597">
        <v>874</v>
      </c>
      <c r="CQ14" s="592"/>
      <c r="CR14" s="593"/>
      <c r="CS14" s="594">
        <v>1054</v>
      </c>
      <c r="CT14" s="595"/>
      <c r="CU14" s="598"/>
    </row>
    <row r="15" spans="1:99" s="13" customFormat="1">
      <c r="A15" s="733"/>
      <c r="B15" s="702"/>
      <c r="C15" s="14" t="s">
        <v>17</v>
      </c>
      <c r="D15" s="17">
        <f t="shared" si="0"/>
        <v>77960</v>
      </c>
      <c r="E15" s="17">
        <f t="shared" ref="E15:F21" si="4">SUM(Q15,AC15,AO15,BA15,BM15,BY15,CK15)</f>
        <v>81895</v>
      </c>
      <c r="F15" s="17">
        <f t="shared" si="4"/>
        <v>159855</v>
      </c>
      <c r="G15" s="19">
        <f t="shared" si="1"/>
        <v>86976</v>
      </c>
      <c r="H15" s="19">
        <f t="shared" ref="H15:I21" si="5">SUM(T15,AF15,AR15,BD15,BP15,CB15,CN15)</f>
        <v>91582</v>
      </c>
      <c r="I15" s="19">
        <f t="shared" si="5"/>
        <v>178558</v>
      </c>
      <c r="J15" s="17">
        <f t="shared" si="2"/>
        <v>91165</v>
      </c>
      <c r="K15" s="17">
        <f t="shared" ref="K15:L21" si="6">SUM(W15,AI15,AU15,BG15,BS15,CE15,CQ15)</f>
        <v>97615</v>
      </c>
      <c r="L15" s="17">
        <f t="shared" si="6"/>
        <v>188780</v>
      </c>
      <c r="M15" s="19">
        <f t="shared" si="3"/>
        <v>103610</v>
      </c>
      <c r="N15" s="19">
        <f t="shared" ref="N15:O21" si="7">SUM(Z15,AL15,AX15,BJ15,BV15,CH15,CT15)</f>
        <v>106693</v>
      </c>
      <c r="O15" s="18">
        <f t="shared" si="7"/>
        <v>210333</v>
      </c>
      <c r="P15" s="47">
        <v>4911</v>
      </c>
      <c r="Q15" s="20">
        <v>5806</v>
      </c>
      <c r="R15" s="20">
        <f>P15+Q15</f>
        <v>10717</v>
      </c>
      <c r="S15" s="21">
        <v>5100</v>
      </c>
      <c r="T15" s="21">
        <v>5900</v>
      </c>
      <c r="U15" s="21">
        <f>+S15+T15</f>
        <v>11000</v>
      </c>
      <c r="V15" s="20">
        <f>+S15+290</f>
        <v>5390</v>
      </c>
      <c r="W15" s="20">
        <f>+T15+370</f>
        <v>6270</v>
      </c>
      <c r="X15" s="20">
        <f>+V15+W15</f>
        <v>11660</v>
      </c>
      <c r="Y15" s="21">
        <f>+V15+194</f>
        <v>5584</v>
      </c>
      <c r="Z15" s="21">
        <f>+W15+246</f>
        <v>6516</v>
      </c>
      <c r="AA15" s="22">
        <f>+Y15+Z15</f>
        <v>12100</v>
      </c>
      <c r="AB15" s="48">
        <v>13518</v>
      </c>
      <c r="AC15" s="80">
        <v>14260</v>
      </c>
      <c r="AD15" s="80">
        <f>AC15+AB15</f>
        <v>27778</v>
      </c>
      <c r="AE15" s="81">
        <f>AB15+1160</f>
        <v>14678</v>
      </c>
      <c r="AF15" s="81">
        <f>AC15+1208</f>
        <v>15468</v>
      </c>
      <c r="AG15" s="81">
        <f>AF15+AE15</f>
        <v>30146</v>
      </c>
      <c r="AH15" s="80">
        <f>AE15+1160</f>
        <v>15838</v>
      </c>
      <c r="AI15" s="80">
        <f>AF15+1208</f>
        <v>16676</v>
      </c>
      <c r="AJ15" s="80">
        <f>AI15+AH15</f>
        <v>32514</v>
      </c>
      <c r="AK15" s="81">
        <f>AH15+1160</f>
        <v>16998</v>
      </c>
      <c r="AL15" s="81">
        <f>AI15+1208</f>
        <v>17884</v>
      </c>
      <c r="AM15" s="82">
        <f>AL15+AK15</f>
        <v>34882</v>
      </c>
      <c r="AN15" s="98">
        <v>12910</v>
      </c>
      <c r="AO15" s="99">
        <v>13715</v>
      </c>
      <c r="AP15" s="99">
        <v>26625</v>
      </c>
      <c r="AQ15" s="100">
        <v>14895</v>
      </c>
      <c r="AR15" s="100">
        <v>15908</v>
      </c>
      <c r="AS15" s="100">
        <v>30803</v>
      </c>
      <c r="AT15" s="99">
        <v>16795</v>
      </c>
      <c r="AU15" s="99">
        <v>17908</v>
      </c>
      <c r="AV15" s="101">
        <v>34703</v>
      </c>
      <c r="AW15" s="100">
        <v>19500</v>
      </c>
      <c r="AX15" s="100">
        <v>20600</v>
      </c>
      <c r="AY15" s="102">
        <v>40100</v>
      </c>
      <c r="AZ15" s="48">
        <v>2787</v>
      </c>
      <c r="BA15" s="80">
        <v>3462</v>
      </c>
      <c r="BB15" s="80">
        <v>6249</v>
      </c>
      <c r="BC15" s="81">
        <f>AZ15+165</f>
        <v>2952</v>
      </c>
      <c r="BD15" s="81">
        <f>BA15+330</f>
        <v>3792</v>
      </c>
      <c r="BE15" s="81">
        <f>BC15+BD15</f>
        <v>6744</v>
      </c>
      <c r="BF15" s="80">
        <f>BC15+165</f>
        <v>3117</v>
      </c>
      <c r="BG15" s="80">
        <f>BD15+330</f>
        <v>4122</v>
      </c>
      <c r="BH15" s="80">
        <f>BF15+BG15</f>
        <v>7239</v>
      </c>
      <c r="BI15" s="81">
        <f>BF15+165</f>
        <v>3282</v>
      </c>
      <c r="BJ15" s="81">
        <f>BG15+330</f>
        <v>4452</v>
      </c>
      <c r="BK15" s="82">
        <f>BI15+BJ15</f>
        <v>7734</v>
      </c>
      <c r="BL15" s="47">
        <v>4367</v>
      </c>
      <c r="BM15" s="73">
        <v>6019</v>
      </c>
      <c r="BN15" s="73">
        <f>+BL15+BM15</f>
        <v>10386</v>
      </c>
      <c r="BO15" s="74">
        <v>4978</v>
      </c>
      <c r="BP15" s="74">
        <v>6922</v>
      </c>
      <c r="BQ15" s="74">
        <f>+BO15+BP15</f>
        <v>11900</v>
      </c>
      <c r="BR15" s="73">
        <v>5675</v>
      </c>
      <c r="BS15" s="73">
        <v>7960</v>
      </c>
      <c r="BT15" s="73">
        <f>+BR15+BS15</f>
        <v>13635</v>
      </c>
      <c r="BU15" s="74">
        <v>6470</v>
      </c>
      <c r="BV15" s="74">
        <v>9154</v>
      </c>
      <c r="BW15" s="75">
        <f>+BU15+BV15</f>
        <v>15624</v>
      </c>
      <c r="BX15" s="173">
        <v>25828</v>
      </c>
      <c r="BY15" s="174">
        <v>24719</v>
      </c>
      <c r="BZ15" s="174">
        <v>50547</v>
      </c>
      <c r="CA15" s="175">
        <v>25413</v>
      </c>
      <c r="CB15" s="175">
        <v>24632</v>
      </c>
      <c r="CC15" s="175">
        <v>50045</v>
      </c>
      <c r="CD15" s="174">
        <v>24718</v>
      </c>
      <c r="CE15" s="174">
        <v>25047</v>
      </c>
      <c r="CF15" s="174">
        <v>49765</v>
      </c>
      <c r="CG15" s="175">
        <v>30719</v>
      </c>
      <c r="CH15" s="175">
        <v>27030</v>
      </c>
      <c r="CI15" s="176">
        <v>57749</v>
      </c>
      <c r="CJ15" s="47">
        <v>13639</v>
      </c>
      <c r="CK15" s="114">
        <v>13914</v>
      </c>
      <c r="CL15" s="114">
        <f>+CK15+CJ15</f>
        <v>27553</v>
      </c>
      <c r="CM15" s="115">
        <v>18960</v>
      </c>
      <c r="CN15" s="115">
        <v>18960</v>
      </c>
      <c r="CO15" s="115">
        <f t="shared" ref="CO15:CO21" si="8">+CM15+CN15</f>
        <v>37920</v>
      </c>
      <c r="CP15" s="114">
        <f>CR15/2</f>
        <v>19632</v>
      </c>
      <c r="CQ15" s="114">
        <v>19632</v>
      </c>
      <c r="CR15" s="114">
        <v>39264</v>
      </c>
      <c r="CS15" s="115">
        <v>21057</v>
      </c>
      <c r="CT15" s="115">
        <v>21057</v>
      </c>
      <c r="CU15" s="116">
        <f>CR15+(CS14-CP14)*16</f>
        <v>42144</v>
      </c>
    </row>
    <row r="16" spans="1:99" s="13" customFormat="1" ht="24.75" thickBot="1">
      <c r="A16" s="734"/>
      <c r="B16" s="703"/>
      <c r="C16" s="25" t="s">
        <v>18</v>
      </c>
      <c r="D16" s="49">
        <f t="shared" si="0"/>
        <v>36717</v>
      </c>
      <c r="E16" s="50">
        <f t="shared" si="4"/>
        <v>40516</v>
      </c>
      <c r="F16" s="50">
        <f t="shared" si="4"/>
        <v>77233</v>
      </c>
      <c r="G16" s="51">
        <f t="shared" si="1"/>
        <v>42918.32</v>
      </c>
      <c r="H16" s="51">
        <f t="shared" si="5"/>
        <v>47204.04</v>
      </c>
      <c r="I16" s="51">
        <f t="shared" si="5"/>
        <v>90122.36</v>
      </c>
      <c r="J16" s="50">
        <f t="shared" si="2"/>
        <v>46194.45</v>
      </c>
      <c r="K16" s="50">
        <f t="shared" si="6"/>
        <v>50168.369999999995</v>
      </c>
      <c r="L16" s="50">
        <f t="shared" si="6"/>
        <v>96362.82</v>
      </c>
      <c r="M16" s="51">
        <f t="shared" si="3"/>
        <v>54508.4</v>
      </c>
      <c r="N16" s="51">
        <f t="shared" si="7"/>
        <v>59633.4</v>
      </c>
      <c r="O16" s="52">
        <f t="shared" si="7"/>
        <v>114141.8</v>
      </c>
      <c r="P16" s="53">
        <v>3936</v>
      </c>
      <c r="Q16" s="54">
        <v>5096</v>
      </c>
      <c r="R16" s="54">
        <f>P16+Q16</f>
        <v>9032</v>
      </c>
      <c r="S16" s="55">
        <v>2805</v>
      </c>
      <c r="T16" s="55">
        <v>3597</v>
      </c>
      <c r="U16" s="55">
        <f>+S16+T16</f>
        <v>6402</v>
      </c>
      <c r="V16" s="54">
        <v>2900</v>
      </c>
      <c r="W16" s="54">
        <v>3780</v>
      </c>
      <c r="X16" s="54">
        <f>+V16+W16</f>
        <v>6680</v>
      </c>
      <c r="Y16" s="55">
        <v>3700</v>
      </c>
      <c r="Z16" s="55">
        <v>4600</v>
      </c>
      <c r="AA16" s="56">
        <f>+Y16+Z16</f>
        <v>8300</v>
      </c>
      <c r="AB16" s="57">
        <v>5274</v>
      </c>
      <c r="AC16" s="58">
        <v>5773</v>
      </c>
      <c r="AD16" s="58">
        <f>AC16+AB16</f>
        <v>11047</v>
      </c>
      <c r="AE16" s="59">
        <f>AB16+943</f>
        <v>6217</v>
      </c>
      <c r="AF16" s="59">
        <f>AC16+981</f>
        <v>6754</v>
      </c>
      <c r="AG16" s="59">
        <f>AF16+AE16</f>
        <v>12971</v>
      </c>
      <c r="AH16" s="58">
        <f>AE16+943</f>
        <v>7160</v>
      </c>
      <c r="AI16" s="58">
        <f>AF16+981</f>
        <v>7735</v>
      </c>
      <c r="AJ16" s="58">
        <f>AI16+AH16</f>
        <v>14895</v>
      </c>
      <c r="AK16" s="59">
        <f>AH16+943</f>
        <v>8103</v>
      </c>
      <c r="AL16" s="59">
        <f>AI16+981</f>
        <v>8716</v>
      </c>
      <c r="AM16" s="60">
        <f>AL16+AK16</f>
        <v>16819</v>
      </c>
      <c r="AN16" s="103">
        <v>3282</v>
      </c>
      <c r="AO16" s="104">
        <v>3741</v>
      </c>
      <c r="AP16" s="104">
        <v>7023</v>
      </c>
      <c r="AQ16" s="105">
        <v>5000</v>
      </c>
      <c r="AR16" s="105">
        <v>6400</v>
      </c>
      <c r="AS16" s="105">
        <v>11400</v>
      </c>
      <c r="AT16" s="104">
        <v>5800</v>
      </c>
      <c r="AU16" s="104">
        <v>7000</v>
      </c>
      <c r="AV16" s="106">
        <v>12800</v>
      </c>
      <c r="AW16" s="105">
        <v>5900</v>
      </c>
      <c r="AX16" s="105">
        <v>7900</v>
      </c>
      <c r="AY16" s="107">
        <v>13800</v>
      </c>
      <c r="AZ16" s="57">
        <v>1994</v>
      </c>
      <c r="BA16" s="58">
        <v>2623</v>
      </c>
      <c r="BB16" s="58">
        <v>4617</v>
      </c>
      <c r="BC16" s="59">
        <v>3383</v>
      </c>
      <c r="BD16" s="59">
        <v>4022</v>
      </c>
      <c r="BE16" s="59">
        <f>BC16+BD16</f>
        <v>7405</v>
      </c>
      <c r="BF16" s="58">
        <f>3273+264</f>
        <v>3537</v>
      </c>
      <c r="BG16" s="58">
        <f>3925+396</f>
        <v>4321</v>
      </c>
      <c r="BH16" s="58">
        <f>BF16+BG16</f>
        <v>7858</v>
      </c>
      <c r="BI16" s="59">
        <f>BF16+330</f>
        <v>3867</v>
      </c>
      <c r="BJ16" s="59">
        <f>BG16+330</f>
        <v>4651</v>
      </c>
      <c r="BK16" s="60">
        <f>BI16+BJ16</f>
        <v>8518</v>
      </c>
      <c r="BL16" s="53">
        <v>3304</v>
      </c>
      <c r="BM16" s="54">
        <v>4268</v>
      </c>
      <c r="BN16" s="73">
        <f>+BL16+BM16</f>
        <v>7572</v>
      </c>
      <c r="BO16" s="55">
        <v>3354</v>
      </c>
      <c r="BP16" s="55">
        <v>4141</v>
      </c>
      <c r="BQ16" s="55">
        <f>+BO16+BP16</f>
        <v>7495</v>
      </c>
      <c r="BR16" s="54">
        <v>3377</v>
      </c>
      <c r="BS16" s="54">
        <v>4045</v>
      </c>
      <c r="BT16" s="54">
        <f>+BR16+BS16</f>
        <v>7422</v>
      </c>
      <c r="BU16" s="55">
        <v>3349</v>
      </c>
      <c r="BV16" s="55">
        <v>3979</v>
      </c>
      <c r="BW16" s="56">
        <f>+BU16+BV16</f>
        <v>7328</v>
      </c>
      <c r="BX16" s="177">
        <v>11225</v>
      </c>
      <c r="BY16" s="178">
        <v>11172</v>
      </c>
      <c r="BZ16" s="178">
        <v>22397</v>
      </c>
      <c r="CA16" s="179">
        <v>12459.32</v>
      </c>
      <c r="CB16" s="179">
        <v>12590.04</v>
      </c>
      <c r="CC16" s="179">
        <v>25049.360000000001</v>
      </c>
      <c r="CD16" s="178">
        <v>12313.25</v>
      </c>
      <c r="CE16" s="178">
        <v>12180.17</v>
      </c>
      <c r="CF16" s="178">
        <v>24493.42</v>
      </c>
      <c r="CG16" s="179">
        <v>14287</v>
      </c>
      <c r="CH16" s="179">
        <v>14485</v>
      </c>
      <c r="CI16" s="180">
        <v>28772</v>
      </c>
      <c r="CJ16" s="53">
        <v>7702</v>
      </c>
      <c r="CK16" s="54">
        <v>7843</v>
      </c>
      <c r="CL16" s="114">
        <f t="shared" ref="CL16:CL21" si="9">+CJ16+CK16</f>
        <v>15545</v>
      </c>
      <c r="CM16" s="55">
        <v>9700</v>
      </c>
      <c r="CN16" s="55">
        <v>9700</v>
      </c>
      <c r="CO16" s="55">
        <f t="shared" si="8"/>
        <v>19400</v>
      </c>
      <c r="CP16" s="54">
        <f>CP11*0.8</f>
        <v>11107.2</v>
      </c>
      <c r="CQ16" s="54">
        <f>CQ11*0.8</f>
        <v>11107.2</v>
      </c>
      <c r="CR16" s="54">
        <f>+CP16+CQ16</f>
        <v>22214.400000000001</v>
      </c>
      <c r="CS16" s="55">
        <f>CS5*0.8</f>
        <v>15302.400000000001</v>
      </c>
      <c r="CT16" s="55">
        <f>CT5*0.8</f>
        <v>15302.400000000001</v>
      </c>
      <c r="CU16" s="56">
        <f t="shared" ref="CU16:CU21" si="10">+CS16+CT16</f>
        <v>30604.800000000003</v>
      </c>
    </row>
    <row r="17" spans="1:99" s="13" customFormat="1">
      <c r="A17" s="732" t="s">
        <v>19</v>
      </c>
      <c r="B17" s="735" t="s">
        <v>20</v>
      </c>
      <c r="C17" s="27" t="s">
        <v>21</v>
      </c>
      <c r="D17" s="61">
        <f t="shared" si="0"/>
        <v>131</v>
      </c>
      <c r="E17" s="61">
        <f t="shared" si="4"/>
        <v>122</v>
      </c>
      <c r="F17" s="61">
        <f t="shared" si="4"/>
        <v>253</v>
      </c>
      <c r="G17" s="62">
        <f t="shared" si="1"/>
        <v>246</v>
      </c>
      <c r="H17" s="62">
        <f t="shared" si="5"/>
        <v>262</v>
      </c>
      <c r="I17" s="62">
        <f t="shared" si="5"/>
        <v>508</v>
      </c>
      <c r="J17" s="61">
        <f t="shared" si="2"/>
        <v>386</v>
      </c>
      <c r="K17" s="61">
        <f t="shared" si="6"/>
        <v>400</v>
      </c>
      <c r="L17" s="61">
        <f t="shared" si="6"/>
        <v>786</v>
      </c>
      <c r="M17" s="62">
        <f t="shared" si="3"/>
        <v>508</v>
      </c>
      <c r="N17" s="62">
        <f t="shared" si="7"/>
        <v>545</v>
      </c>
      <c r="O17" s="63">
        <f t="shared" si="7"/>
        <v>1053</v>
      </c>
      <c r="P17" s="64">
        <v>4</v>
      </c>
      <c r="Q17" s="65">
        <v>2</v>
      </c>
      <c r="R17" s="65">
        <v>6</v>
      </c>
      <c r="S17" s="66">
        <v>6</v>
      </c>
      <c r="T17" s="66">
        <v>9</v>
      </c>
      <c r="U17" s="66">
        <v>15</v>
      </c>
      <c r="V17" s="65">
        <v>15</v>
      </c>
      <c r="W17" s="65">
        <v>20</v>
      </c>
      <c r="X17" s="65">
        <v>35</v>
      </c>
      <c r="Y17" s="66">
        <v>25</v>
      </c>
      <c r="Z17" s="66">
        <v>35</v>
      </c>
      <c r="AA17" s="67">
        <v>60</v>
      </c>
      <c r="AB17" s="68">
        <v>31</v>
      </c>
      <c r="AC17" s="155">
        <v>36</v>
      </c>
      <c r="AD17" s="155">
        <v>67</v>
      </c>
      <c r="AE17" s="156">
        <v>61</v>
      </c>
      <c r="AF17" s="156">
        <v>66</v>
      </c>
      <c r="AG17" s="156">
        <v>127</v>
      </c>
      <c r="AH17" s="155">
        <v>70</v>
      </c>
      <c r="AI17" s="155">
        <v>73</v>
      </c>
      <c r="AJ17" s="155">
        <f>AH17+AI17</f>
        <v>143</v>
      </c>
      <c r="AK17" s="156">
        <v>73</v>
      </c>
      <c r="AL17" s="156">
        <v>77</v>
      </c>
      <c r="AM17" s="157">
        <f>AK17+AL17</f>
        <v>150</v>
      </c>
      <c r="AN17" s="128">
        <v>0</v>
      </c>
      <c r="AO17" s="127">
        <v>0</v>
      </c>
      <c r="AP17" s="109">
        <v>0</v>
      </c>
      <c r="AQ17" s="108">
        <v>10</v>
      </c>
      <c r="AR17" s="108">
        <v>26</v>
      </c>
      <c r="AS17" s="108">
        <v>36</v>
      </c>
      <c r="AT17" s="189">
        <v>41</v>
      </c>
      <c r="AU17" s="190">
        <v>51</v>
      </c>
      <c r="AV17" s="191">
        <v>92</v>
      </c>
      <c r="AW17" s="108">
        <v>65</v>
      </c>
      <c r="AX17" s="108">
        <v>88</v>
      </c>
      <c r="AY17" s="110">
        <v>153</v>
      </c>
      <c r="AZ17" s="68">
        <v>0</v>
      </c>
      <c r="BA17" s="84">
        <v>0</v>
      </c>
      <c r="BB17" s="84">
        <v>0</v>
      </c>
      <c r="BC17" s="85">
        <v>0</v>
      </c>
      <c r="BD17" s="85">
        <v>0</v>
      </c>
      <c r="BE17" s="85">
        <v>0</v>
      </c>
      <c r="BF17" s="84">
        <v>0</v>
      </c>
      <c r="BG17" s="84">
        <v>0</v>
      </c>
      <c r="BH17" s="84">
        <v>0</v>
      </c>
      <c r="BI17" s="85">
        <v>0</v>
      </c>
      <c r="BJ17" s="85">
        <v>0</v>
      </c>
      <c r="BK17" s="85">
        <v>0</v>
      </c>
      <c r="BL17" s="64">
        <v>7</v>
      </c>
      <c r="BM17" s="77">
        <v>4</v>
      </c>
      <c r="BN17" s="77">
        <f>+BL17+BM17</f>
        <v>11</v>
      </c>
      <c r="BO17" s="78">
        <v>37</v>
      </c>
      <c r="BP17" s="78">
        <v>34</v>
      </c>
      <c r="BQ17" s="78">
        <f t="shared" ref="BQ17:BQ21" si="11">+BO17+BP17</f>
        <v>71</v>
      </c>
      <c r="BR17" s="77">
        <v>67</v>
      </c>
      <c r="BS17" s="77">
        <v>64</v>
      </c>
      <c r="BT17" s="77">
        <f t="shared" ref="BT17:BT21" si="12">+BR17+BS17</f>
        <v>131</v>
      </c>
      <c r="BU17" s="78">
        <v>98</v>
      </c>
      <c r="BV17" s="78">
        <v>97</v>
      </c>
      <c r="BW17" s="79">
        <f t="shared" ref="BW17:BW21" si="13">+BU17+BV17</f>
        <v>195</v>
      </c>
      <c r="BX17" s="181">
        <v>41</v>
      </c>
      <c r="BY17" s="182">
        <v>35</v>
      </c>
      <c r="BZ17" s="182">
        <v>76</v>
      </c>
      <c r="CA17" s="183">
        <v>72</v>
      </c>
      <c r="CB17" s="183">
        <v>67</v>
      </c>
      <c r="CC17" s="183">
        <v>139</v>
      </c>
      <c r="CD17" s="182">
        <v>113</v>
      </c>
      <c r="CE17" s="182">
        <v>112</v>
      </c>
      <c r="CF17" s="182">
        <v>225</v>
      </c>
      <c r="CG17" s="183">
        <v>154</v>
      </c>
      <c r="CH17" s="183">
        <v>151</v>
      </c>
      <c r="CI17" s="184">
        <v>305</v>
      </c>
      <c r="CJ17" s="64">
        <v>48</v>
      </c>
      <c r="CK17" s="117">
        <v>45</v>
      </c>
      <c r="CL17" s="117">
        <f t="shared" si="9"/>
        <v>93</v>
      </c>
      <c r="CM17" s="118">
        <v>60</v>
      </c>
      <c r="CN17" s="118">
        <v>60</v>
      </c>
      <c r="CO17" s="118">
        <f t="shared" si="8"/>
        <v>120</v>
      </c>
      <c r="CP17" s="117">
        <v>80</v>
      </c>
      <c r="CQ17" s="117">
        <v>80</v>
      </c>
      <c r="CR17" s="117">
        <f>+CP17+CQ17</f>
        <v>160</v>
      </c>
      <c r="CS17" s="118">
        <v>93</v>
      </c>
      <c r="CT17" s="118">
        <v>97</v>
      </c>
      <c r="CU17" s="119">
        <f t="shared" si="10"/>
        <v>190</v>
      </c>
    </row>
    <row r="18" spans="1:99" s="13" customFormat="1">
      <c r="A18" s="733"/>
      <c r="B18" s="702"/>
      <c r="C18" s="28" t="s">
        <v>22</v>
      </c>
      <c r="D18" s="17">
        <f t="shared" si="0"/>
        <v>309</v>
      </c>
      <c r="E18" s="17">
        <f t="shared" si="4"/>
        <v>332</v>
      </c>
      <c r="F18" s="17">
        <f t="shared" si="4"/>
        <v>641</v>
      </c>
      <c r="G18" s="19">
        <f t="shared" si="1"/>
        <v>471</v>
      </c>
      <c r="H18" s="19">
        <f t="shared" si="5"/>
        <v>522</v>
      </c>
      <c r="I18" s="19">
        <f t="shared" si="5"/>
        <v>993</v>
      </c>
      <c r="J18" s="17">
        <f t="shared" si="2"/>
        <v>477</v>
      </c>
      <c r="K18" s="17">
        <f t="shared" si="6"/>
        <v>557</v>
      </c>
      <c r="L18" s="17">
        <f t="shared" si="6"/>
        <v>1014</v>
      </c>
      <c r="M18" s="19">
        <f t="shared" si="3"/>
        <v>578</v>
      </c>
      <c r="N18" s="19">
        <f t="shared" si="7"/>
        <v>653</v>
      </c>
      <c r="O18" s="18">
        <f t="shared" si="7"/>
        <v>1231</v>
      </c>
      <c r="P18" s="47">
        <v>6</v>
      </c>
      <c r="Q18" s="20">
        <v>12</v>
      </c>
      <c r="R18" s="20">
        <v>18</v>
      </c>
      <c r="S18" s="21">
        <v>17</v>
      </c>
      <c r="T18" s="21">
        <v>23</v>
      </c>
      <c r="U18" s="21">
        <v>40</v>
      </c>
      <c r="V18" s="20">
        <v>19</v>
      </c>
      <c r="W18" s="20">
        <v>21</v>
      </c>
      <c r="X18" s="20">
        <v>40</v>
      </c>
      <c r="Y18" s="21">
        <v>17</v>
      </c>
      <c r="Z18" s="21">
        <v>18</v>
      </c>
      <c r="AA18" s="22">
        <v>35</v>
      </c>
      <c r="AB18" s="48">
        <v>18</v>
      </c>
      <c r="AC18" s="136">
        <v>18</v>
      </c>
      <c r="AD18" s="136">
        <v>36</v>
      </c>
      <c r="AE18" s="137">
        <v>38</v>
      </c>
      <c r="AF18" s="137">
        <v>46</v>
      </c>
      <c r="AG18" s="137">
        <v>84</v>
      </c>
      <c r="AH18" s="136">
        <v>42</v>
      </c>
      <c r="AI18" s="136">
        <v>53</v>
      </c>
      <c r="AJ18" s="136">
        <f t="shared" ref="AJ18:AJ21" si="14">AH18+AI18</f>
        <v>95</v>
      </c>
      <c r="AK18" s="137">
        <v>45</v>
      </c>
      <c r="AL18" s="137">
        <v>70</v>
      </c>
      <c r="AM18" s="138">
        <f t="shared" ref="AM18:AM21" si="15">AK18+AL18</f>
        <v>115</v>
      </c>
      <c r="AN18" s="126">
        <v>42</v>
      </c>
      <c r="AO18" s="125">
        <v>50</v>
      </c>
      <c r="AP18" s="112">
        <v>92</v>
      </c>
      <c r="AQ18" s="100">
        <v>109</v>
      </c>
      <c r="AR18" s="100">
        <v>142</v>
      </c>
      <c r="AS18" s="100">
        <v>251</v>
      </c>
      <c r="AT18" s="187">
        <f>88+20</f>
        <v>108</v>
      </c>
      <c r="AU18" s="188">
        <v>172</v>
      </c>
      <c r="AV18" s="192">
        <v>260</v>
      </c>
      <c r="AW18" s="100">
        <f>190+40</f>
        <v>230</v>
      </c>
      <c r="AX18" s="100">
        <f>300-40</f>
        <v>260</v>
      </c>
      <c r="AY18" s="102">
        <v>490</v>
      </c>
      <c r="AZ18" s="48">
        <v>36</v>
      </c>
      <c r="BA18" s="80">
        <v>38</v>
      </c>
      <c r="BB18" s="80">
        <v>74</v>
      </c>
      <c r="BC18" s="81">
        <v>34</v>
      </c>
      <c r="BD18" s="81">
        <v>36</v>
      </c>
      <c r="BE18" s="81">
        <f>BC18+BD18</f>
        <v>70</v>
      </c>
      <c r="BF18" s="80">
        <v>34</v>
      </c>
      <c r="BG18" s="80">
        <v>34</v>
      </c>
      <c r="BH18" s="80">
        <f t="shared" ref="BH18:BH22" si="16">BF18+BG18</f>
        <v>68</v>
      </c>
      <c r="BI18" s="81">
        <v>37</v>
      </c>
      <c r="BJ18" s="81">
        <v>35</v>
      </c>
      <c r="BK18" s="81">
        <f>BI18+BJ18</f>
        <v>72</v>
      </c>
      <c r="BL18" s="47">
        <v>36</v>
      </c>
      <c r="BM18" s="73">
        <v>34</v>
      </c>
      <c r="BN18" s="73">
        <f>+BL18+BM18</f>
        <v>70</v>
      </c>
      <c r="BO18" s="74">
        <v>29</v>
      </c>
      <c r="BP18" s="74">
        <v>29</v>
      </c>
      <c r="BQ18" s="74">
        <f t="shared" si="11"/>
        <v>58</v>
      </c>
      <c r="BR18" s="73">
        <v>21</v>
      </c>
      <c r="BS18" s="73">
        <v>23</v>
      </c>
      <c r="BT18" s="73">
        <f t="shared" si="12"/>
        <v>44</v>
      </c>
      <c r="BU18" s="74">
        <v>14</v>
      </c>
      <c r="BV18" s="74">
        <v>16</v>
      </c>
      <c r="BW18" s="75">
        <f t="shared" si="13"/>
        <v>30</v>
      </c>
      <c r="BX18" s="173">
        <v>28</v>
      </c>
      <c r="BY18" s="174">
        <v>31</v>
      </c>
      <c r="BZ18" s="174">
        <v>59</v>
      </c>
      <c r="CA18" s="175">
        <v>83</v>
      </c>
      <c r="CB18" s="175">
        <v>85</v>
      </c>
      <c r="CC18" s="175">
        <v>168</v>
      </c>
      <c r="CD18" s="174">
        <v>73</v>
      </c>
      <c r="CE18" s="174">
        <v>74</v>
      </c>
      <c r="CF18" s="174">
        <v>147</v>
      </c>
      <c r="CG18" s="175">
        <v>68</v>
      </c>
      <c r="CH18" s="175">
        <v>79</v>
      </c>
      <c r="CI18" s="176">
        <v>147</v>
      </c>
      <c r="CJ18" s="47">
        <v>143</v>
      </c>
      <c r="CK18" s="114">
        <v>149</v>
      </c>
      <c r="CL18" s="114">
        <f t="shared" si="9"/>
        <v>292</v>
      </c>
      <c r="CM18" s="115">
        <v>161</v>
      </c>
      <c r="CN18" s="115">
        <v>161</v>
      </c>
      <c r="CO18" s="115">
        <f t="shared" si="8"/>
        <v>322</v>
      </c>
      <c r="CP18" s="114">
        <v>180</v>
      </c>
      <c r="CQ18" s="114">
        <v>180</v>
      </c>
      <c r="CR18" s="114">
        <f t="shared" ref="CR18:CR22" si="17">+CP18+CQ18</f>
        <v>360</v>
      </c>
      <c r="CS18" s="115">
        <v>167</v>
      </c>
      <c r="CT18" s="115">
        <v>175</v>
      </c>
      <c r="CU18" s="116">
        <f t="shared" si="10"/>
        <v>342</v>
      </c>
    </row>
    <row r="19" spans="1:99" s="13" customFormat="1">
      <c r="A19" s="733"/>
      <c r="B19" s="702"/>
      <c r="C19" s="28" t="s">
        <v>23</v>
      </c>
      <c r="D19" s="17">
        <f t="shared" si="0"/>
        <v>411</v>
      </c>
      <c r="E19" s="17">
        <f t="shared" si="4"/>
        <v>509</v>
      </c>
      <c r="F19" s="17">
        <f t="shared" si="4"/>
        <v>920</v>
      </c>
      <c r="G19" s="19">
        <f t="shared" si="1"/>
        <v>499</v>
      </c>
      <c r="H19" s="19">
        <f t="shared" si="5"/>
        <v>506</v>
      </c>
      <c r="I19" s="19">
        <f t="shared" si="5"/>
        <v>1005</v>
      </c>
      <c r="J19" s="17">
        <f t="shared" si="2"/>
        <v>465</v>
      </c>
      <c r="K19" s="17">
        <f t="shared" si="6"/>
        <v>494</v>
      </c>
      <c r="L19" s="17">
        <f t="shared" si="6"/>
        <v>979</v>
      </c>
      <c r="M19" s="19">
        <f t="shared" si="3"/>
        <v>410</v>
      </c>
      <c r="N19" s="19">
        <f t="shared" si="7"/>
        <v>421</v>
      </c>
      <c r="O19" s="18">
        <f t="shared" si="7"/>
        <v>819</v>
      </c>
      <c r="P19" s="47">
        <v>1</v>
      </c>
      <c r="Q19" s="20">
        <v>3</v>
      </c>
      <c r="R19" s="20">
        <v>4</v>
      </c>
      <c r="S19" s="21">
        <v>15</v>
      </c>
      <c r="T19" s="21">
        <v>18</v>
      </c>
      <c r="U19" s="21">
        <v>33</v>
      </c>
      <c r="V19" s="20">
        <v>20</v>
      </c>
      <c r="W19" s="20">
        <v>20</v>
      </c>
      <c r="X19" s="20">
        <v>40</v>
      </c>
      <c r="Y19" s="21">
        <v>22</v>
      </c>
      <c r="Z19" s="21">
        <v>23</v>
      </c>
      <c r="AA19" s="22">
        <v>45</v>
      </c>
      <c r="AB19" s="48">
        <v>20</v>
      </c>
      <c r="AC19" s="136">
        <v>28</v>
      </c>
      <c r="AD19" s="136">
        <v>48</v>
      </c>
      <c r="AE19" s="137">
        <v>43</v>
      </c>
      <c r="AF19" s="137">
        <v>44</v>
      </c>
      <c r="AG19" s="137">
        <v>87</v>
      </c>
      <c r="AH19" s="136">
        <v>50</v>
      </c>
      <c r="AI19" s="136">
        <v>68</v>
      </c>
      <c r="AJ19" s="136">
        <f t="shared" si="14"/>
        <v>118</v>
      </c>
      <c r="AK19" s="137">
        <v>55</v>
      </c>
      <c r="AL19" s="137">
        <v>62</v>
      </c>
      <c r="AM19" s="138">
        <f t="shared" si="15"/>
        <v>117</v>
      </c>
      <c r="AN19" s="126">
        <v>102</v>
      </c>
      <c r="AO19" s="125">
        <v>166</v>
      </c>
      <c r="AP19" s="112">
        <v>268</v>
      </c>
      <c r="AQ19" s="100">
        <v>178</v>
      </c>
      <c r="AR19" s="100">
        <v>171</v>
      </c>
      <c r="AS19" s="100">
        <v>349</v>
      </c>
      <c r="AT19" s="187">
        <f>143+20</f>
        <v>163</v>
      </c>
      <c r="AU19" s="188">
        <f>201-40</f>
        <v>161</v>
      </c>
      <c r="AV19" s="192">
        <v>344</v>
      </c>
      <c r="AW19" s="100">
        <f>100+12</f>
        <v>112</v>
      </c>
      <c r="AX19" s="100">
        <v>111</v>
      </c>
      <c r="AY19" s="102">
        <v>211</v>
      </c>
      <c r="AZ19" s="48">
        <v>22</v>
      </c>
      <c r="BA19" s="80">
        <v>23</v>
      </c>
      <c r="BB19" s="80">
        <v>45</v>
      </c>
      <c r="BC19" s="81">
        <v>23</v>
      </c>
      <c r="BD19" s="81">
        <v>26</v>
      </c>
      <c r="BE19" s="81">
        <f>BC19+BD19</f>
        <v>49</v>
      </c>
      <c r="BF19" s="80">
        <v>21</v>
      </c>
      <c r="BG19" s="80">
        <v>28</v>
      </c>
      <c r="BH19" s="80">
        <f t="shared" si="16"/>
        <v>49</v>
      </c>
      <c r="BI19" s="81">
        <v>25</v>
      </c>
      <c r="BJ19" s="81">
        <v>22</v>
      </c>
      <c r="BK19" s="81">
        <f>BI19+BJ19</f>
        <v>47</v>
      </c>
      <c r="BL19" s="47">
        <v>50</v>
      </c>
      <c r="BM19" s="73">
        <v>64</v>
      </c>
      <c r="BN19" s="73">
        <f t="shared" ref="BN19:BN21" si="18">+BL19+BM19</f>
        <v>114</v>
      </c>
      <c r="BO19" s="74">
        <v>42</v>
      </c>
      <c r="BP19" s="74">
        <v>53</v>
      </c>
      <c r="BQ19" s="74">
        <f t="shared" si="11"/>
        <v>95</v>
      </c>
      <c r="BR19" s="73">
        <v>35</v>
      </c>
      <c r="BS19" s="73">
        <v>42</v>
      </c>
      <c r="BT19" s="73">
        <f t="shared" si="12"/>
        <v>77</v>
      </c>
      <c r="BU19" s="74">
        <v>28</v>
      </c>
      <c r="BV19" s="74">
        <v>30</v>
      </c>
      <c r="BW19" s="75">
        <f t="shared" si="13"/>
        <v>58</v>
      </c>
      <c r="BX19" s="173">
        <v>71</v>
      </c>
      <c r="BY19" s="174">
        <v>68</v>
      </c>
      <c r="BZ19" s="174">
        <v>139</v>
      </c>
      <c r="CA19" s="175">
        <v>60</v>
      </c>
      <c r="CB19" s="175">
        <v>56</v>
      </c>
      <c r="CC19" s="175">
        <v>116</v>
      </c>
      <c r="CD19" s="174">
        <v>53</v>
      </c>
      <c r="CE19" s="174">
        <v>52</v>
      </c>
      <c r="CF19" s="174">
        <v>105</v>
      </c>
      <c r="CG19" s="175">
        <v>33</v>
      </c>
      <c r="CH19" s="175">
        <v>39</v>
      </c>
      <c r="CI19" s="176">
        <v>72</v>
      </c>
      <c r="CJ19" s="47">
        <v>145</v>
      </c>
      <c r="CK19" s="114">
        <v>157</v>
      </c>
      <c r="CL19" s="114">
        <f t="shared" si="9"/>
        <v>302</v>
      </c>
      <c r="CM19" s="115">
        <v>138</v>
      </c>
      <c r="CN19" s="115">
        <v>138</v>
      </c>
      <c r="CO19" s="115">
        <f t="shared" si="8"/>
        <v>276</v>
      </c>
      <c r="CP19" s="114">
        <v>123</v>
      </c>
      <c r="CQ19" s="114">
        <v>123</v>
      </c>
      <c r="CR19" s="114">
        <f t="shared" si="17"/>
        <v>246</v>
      </c>
      <c r="CS19" s="115">
        <v>135</v>
      </c>
      <c r="CT19" s="115">
        <v>134</v>
      </c>
      <c r="CU19" s="116">
        <f t="shared" si="10"/>
        <v>269</v>
      </c>
    </row>
    <row r="20" spans="1:99" s="13" customFormat="1">
      <c r="A20" s="733"/>
      <c r="B20" s="702"/>
      <c r="C20" s="28" t="s">
        <v>24</v>
      </c>
      <c r="D20" s="17">
        <f t="shared" si="0"/>
        <v>708</v>
      </c>
      <c r="E20" s="17">
        <f t="shared" si="4"/>
        <v>803</v>
      </c>
      <c r="F20" s="17">
        <f t="shared" si="4"/>
        <v>1511</v>
      </c>
      <c r="G20" s="19">
        <f t="shared" si="1"/>
        <v>420</v>
      </c>
      <c r="H20" s="19">
        <f t="shared" si="5"/>
        <v>485</v>
      </c>
      <c r="I20" s="19">
        <f t="shared" si="5"/>
        <v>905</v>
      </c>
      <c r="J20" s="17">
        <f t="shared" si="2"/>
        <v>345</v>
      </c>
      <c r="K20" s="17">
        <f t="shared" si="6"/>
        <v>368</v>
      </c>
      <c r="L20" s="17">
        <f t="shared" si="6"/>
        <v>713</v>
      </c>
      <c r="M20" s="19">
        <f t="shared" si="3"/>
        <v>197</v>
      </c>
      <c r="N20" s="19">
        <f t="shared" si="7"/>
        <v>231</v>
      </c>
      <c r="O20" s="18">
        <f t="shared" si="7"/>
        <v>440</v>
      </c>
      <c r="P20" s="47">
        <v>52</v>
      </c>
      <c r="Q20" s="20">
        <v>59</v>
      </c>
      <c r="R20" s="20">
        <v>111</v>
      </c>
      <c r="S20" s="21">
        <v>25</v>
      </c>
      <c r="T20" s="21">
        <v>22</v>
      </c>
      <c r="U20" s="21">
        <v>47</v>
      </c>
      <c r="V20" s="20">
        <v>23</v>
      </c>
      <c r="W20" s="20">
        <v>17</v>
      </c>
      <c r="X20" s="20">
        <v>40</v>
      </c>
      <c r="Y20" s="21">
        <v>12</v>
      </c>
      <c r="Z20" s="21">
        <v>10</v>
      </c>
      <c r="AA20" s="22">
        <v>22</v>
      </c>
      <c r="AB20" s="48">
        <v>143</v>
      </c>
      <c r="AC20" s="136">
        <v>184</v>
      </c>
      <c r="AD20" s="136">
        <v>327</v>
      </c>
      <c r="AE20" s="137">
        <v>78</v>
      </c>
      <c r="AF20" s="137">
        <v>116</v>
      </c>
      <c r="AG20" s="137">
        <v>194</v>
      </c>
      <c r="AH20" s="136">
        <v>60</v>
      </c>
      <c r="AI20" s="136">
        <v>78</v>
      </c>
      <c r="AJ20" s="136">
        <f t="shared" si="14"/>
        <v>138</v>
      </c>
      <c r="AK20" s="137">
        <v>51</v>
      </c>
      <c r="AL20" s="137">
        <v>64</v>
      </c>
      <c r="AM20" s="138">
        <f t="shared" si="15"/>
        <v>115</v>
      </c>
      <c r="AN20" s="126">
        <v>286</v>
      </c>
      <c r="AO20" s="125">
        <v>290</v>
      </c>
      <c r="AP20" s="112">
        <v>576</v>
      </c>
      <c r="AQ20" s="100">
        <v>152</v>
      </c>
      <c r="AR20" s="100">
        <v>173</v>
      </c>
      <c r="AS20" s="100">
        <v>325</v>
      </c>
      <c r="AT20" s="187">
        <f>136+12</f>
        <v>148</v>
      </c>
      <c r="AU20" s="188">
        <f>160-12</f>
        <v>148</v>
      </c>
      <c r="AV20" s="192">
        <v>296</v>
      </c>
      <c r="AW20" s="100">
        <v>63</v>
      </c>
      <c r="AX20" s="100">
        <f>95-12</f>
        <v>83</v>
      </c>
      <c r="AY20" s="102">
        <v>158</v>
      </c>
      <c r="AZ20" s="48">
        <v>1</v>
      </c>
      <c r="BA20" s="80">
        <v>2</v>
      </c>
      <c r="BB20" s="80">
        <v>3</v>
      </c>
      <c r="BC20" s="81">
        <v>2</v>
      </c>
      <c r="BD20" s="81">
        <v>2</v>
      </c>
      <c r="BE20" s="81">
        <f>BC20+BD20</f>
        <v>4</v>
      </c>
      <c r="BF20" s="80">
        <v>1</v>
      </c>
      <c r="BG20" s="80">
        <v>3</v>
      </c>
      <c r="BH20" s="80">
        <f t="shared" si="16"/>
        <v>4</v>
      </c>
      <c r="BI20" s="81">
        <v>3</v>
      </c>
      <c r="BJ20" s="81">
        <v>2</v>
      </c>
      <c r="BK20" s="81">
        <f>BI20+BJ20</f>
        <v>5</v>
      </c>
      <c r="BL20" s="47">
        <v>42</v>
      </c>
      <c r="BM20" s="73">
        <v>37</v>
      </c>
      <c r="BN20" s="73">
        <f t="shared" si="18"/>
        <v>79</v>
      </c>
      <c r="BO20" s="74">
        <v>28</v>
      </c>
      <c r="BP20" s="74">
        <v>24</v>
      </c>
      <c r="BQ20" s="74">
        <f t="shared" si="11"/>
        <v>52</v>
      </c>
      <c r="BR20" s="73">
        <v>14</v>
      </c>
      <c r="BS20" s="73">
        <v>13</v>
      </c>
      <c r="BT20" s="73">
        <f t="shared" si="12"/>
        <v>27</v>
      </c>
      <c r="BU20" s="74">
        <v>0</v>
      </c>
      <c r="BV20" s="74">
        <v>0</v>
      </c>
      <c r="BW20" s="75">
        <f t="shared" si="13"/>
        <v>0</v>
      </c>
      <c r="BX20" s="173">
        <v>94</v>
      </c>
      <c r="BY20" s="174">
        <v>103</v>
      </c>
      <c r="BZ20" s="174">
        <v>197</v>
      </c>
      <c r="CA20" s="175">
        <v>43</v>
      </c>
      <c r="CB20" s="175">
        <v>56</v>
      </c>
      <c r="CC20" s="175">
        <v>99</v>
      </c>
      <c r="CD20" s="174">
        <v>27</v>
      </c>
      <c r="CE20" s="174">
        <v>37</v>
      </c>
      <c r="CF20" s="174">
        <v>64</v>
      </c>
      <c r="CG20" s="175">
        <v>13</v>
      </c>
      <c r="CH20" s="175">
        <v>8</v>
      </c>
      <c r="CI20" s="176">
        <v>21</v>
      </c>
      <c r="CJ20" s="47">
        <v>90</v>
      </c>
      <c r="CK20" s="114">
        <v>128</v>
      </c>
      <c r="CL20" s="114">
        <f t="shared" si="9"/>
        <v>218</v>
      </c>
      <c r="CM20" s="115">
        <v>92</v>
      </c>
      <c r="CN20" s="115">
        <v>92</v>
      </c>
      <c r="CO20" s="115">
        <f t="shared" si="8"/>
        <v>184</v>
      </c>
      <c r="CP20" s="114">
        <v>72</v>
      </c>
      <c r="CQ20" s="114">
        <v>72</v>
      </c>
      <c r="CR20" s="114">
        <f t="shared" si="17"/>
        <v>144</v>
      </c>
      <c r="CS20" s="115">
        <v>55</v>
      </c>
      <c r="CT20" s="115">
        <v>64</v>
      </c>
      <c r="CU20" s="116">
        <f t="shared" si="10"/>
        <v>119</v>
      </c>
    </row>
    <row r="21" spans="1:99" s="13" customFormat="1">
      <c r="A21" s="733"/>
      <c r="B21" s="702"/>
      <c r="C21" s="28" t="s">
        <v>61</v>
      </c>
      <c r="D21" s="17">
        <f t="shared" si="0"/>
        <v>166</v>
      </c>
      <c r="E21" s="17">
        <f t="shared" si="4"/>
        <v>157</v>
      </c>
      <c r="F21" s="17">
        <f t="shared" si="4"/>
        <v>323</v>
      </c>
      <c r="G21" s="19">
        <f t="shared" si="1"/>
        <v>74</v>
      </c>
      <c r="H21" s="19">
        <f t="shared" si="5"/>
        <v>71</v>
      </c>
      <c r="I21" s="19">
        <f t="shared" si="5"/>
        <v>145</v>
      </c>
      <c r="J21" s="17">
        <f t="shared" si="2"/>
        <v>37</v>
      </c>
      <c r="K21" s="17">
        <f t="shared" si="6"/>
        <v>27</v>
      </c>
      <c r="L21" s="17">
        <f t="shared" si="6"/>
        <v>64</v>
      </c>
      <c r="M21" s="19">
        <f t="shared" si="3"/>
        <v>10</v>
      </c>
      <c r="N21" s="19">
        <f t="shared" si="7"/>
        <v>3</v>
      </c>
      <c r="O21" s="18">
        <f t="shared" si="7"/>
        <v>13</v>
      </c>
      <c r="P21" s="47">
        <v>53</v>
      </c>
      <c r="Q21" s="20">
        <v>44</v>
      </c>
      <c r="R21" s="20">
        <v>97</v>
      </c>
      <c r="S21" s="21">
        <v>15</v>
      </c>
      <c r="T21" s="21">
        <v>12</v>
      </c>
      <c r="U21" s="21">
        <v>27</v>
      </c>
      <c r="V21" s="20">
        <v>4</v>
      </c>
      <c r="W21" s="20">
        <v>3</v>
      </c>
      <c r="X21" s="20">
        <v>7</v>
      </c>
      <c r="Y21" s="21">
        <v>0</v>
      </c>
      <c r="Z21" s="21">
        <v>0</v>
      </c>
      <c r="AA21" s="22">
        <v>0</v>
      </c>
      <c r="AB21" s="48">
        <v>16</v>
      </c>
      <c r="AC21" s="136">
        <v>7</v>
      </c>
      <c r="AD21" s="136">
        <v>23</v>
      </c>
      <c r="AE21" s="137">
        <v>8</v>
      </c>
      <c r="AF21" s="137">
        <v>1</v>
      </c>
      <c r="AG21" s="137">
        <v>9</v>
      </c>
      <c r="AH21" s="136">
        <v>6</v>
      </c>
      <c r="AI21" s="136">
        <v>1</v>
      </c>
      <c r="AJ21" s="136">
        <f t="shared" si="14"/>
        <v>7</v>
      </c>
      <c r="AK21" s="137">
        <v>4</v>
      </c>
      <c r="AL21" s="137">
        <v>0</v>
      </c>
      <c r="AM21" s="138">
        <f t="shared" si="15"/>
        <v>4</v>
      </c>
      <c r="AN21" s="126">
        <v>44</v>
      </c>
      <c r="AO21" s="125">
        <v>38</v>
      </c>
      <c r="AP21" s="112">
        <v>82</v>
      </c>
      <c r="AQ21" s="100">
        <v>25</v>
      </c>
      <c r="AR21" s="100">
        <v>32</v>
      </c>
      <c r="AS21" s="100">
        <v>57</v>
      </c>
      <c r="AT21" s="99">
        <v>14</v>
      </c>
      <c r="AU21" s="111">
        <v>12</v>
      </c>
      <c r="AV21" s="112">
        <v>26</v>
      </c>
      <c r="AW21" s="100">
        <v>4</v>
      </c>
      <c r="AX21" s="100">
        <v>2</v>
      </c>
      <c r="AY21" s="102">
        <v>6</v>
      </c>
      <c r="AZ21" s="48">
        <v>0</v>
      </c>
      <c r="BA21" s="80">
        <v>2</v>
      </c>
      <c r="BB21" s="80">
        <v>2</v>
      </c>
      <c r="BC21" s="81">
        <v>1</v>
      </c>
      <c r="BD21" s="81">
        <v>0</v>
      </c>
      <c r="BE21" s="81">
        <f>BC21+BD21</f>
        <v>1</v>
      </c>
      <c r="BF21" s="80">
        <v>1</v>
      </c>
      <c r="BG21" s="80">
        <v>2</v>
      </c>
      <c r="BH21" s="80">
        <f t="shared" si="16"/>
        <v>3</v>
      </c>
      <c r="BI21" s="81">
        <v>0</v>
      </c>
      <c r="BJ21" s="81">
        <v>0</v>
      </c>
      <c r="BK21" s="81">
        <v>0</v>
      </c>
      <c r="BL21" s="47">
        <v>5</v>
      </c>
      <c r="BM21" s="73">
        <v>4</v>
      </c>
      <c r="BN21" s="73">
        <f t="shared" si="18"/>
        <v>9</v>
      </c>
      <c r="BO21" s="74">
        <v>4</v>
      </c>
      <c r="BP21" s="74">
        <v>3</v>
      </c>
      <c r="BQ21" s="74">
        <f t="shared" si="11"/>
        <v>7</v>
      </c>
      <c r="BR21" s="73">
        <v>3</v>
      </c>
      <c r="BS21" s="73">
        <v>1</v>
      </c>
      <c r="BT21" s="73">
        <f t="shared" si="12"/>
        <v>4</v>
      </c>
      <c r="BU21" s="74">
        <v>0</v>
      </c>
      <c r="BV21" s="74">
        <v>0</v>
      </c>
      <c r="BW21" s="75">
        <f t="shared" si="13"/>
        <v>0</v>
      </c>
      <c r="BX21" s="173">
        <v>36</v>
      </c>
      <c r="BY21" s="174">
        <v>41</v>
      </c>
      <c r="BZ21" s="174">
        <v>77</v>
      </c>
      <c r="CA21" s="175">
        <v>12</v>
      </c>
      <c r="CB21" s="175">
        <v>14</v>
      </c>
      <c r="CC21" s="175">
        <v>26</v>
      </c>
      <c r="CD21" s="174">
        <v>4</v>
      </c>
      <c r="CE21" s="174">
        <v>3</v>
      </c>
      <c r="CF21" s="174">
        <v>7</v>
      </c>
      <c r="CG21" s="175">
        <v>2</v>
      </c>
      <c r="CH21" s="175">
        <v>1</v>
      </c>
      <c r="CI21" s="176">
        <v>3</v>
      </c>
      <c r="CJ21" s="47">
        <v>12</v>
      </c>
      <c r="CK21" s="114">
        <v>21</v>
      </c>
      <c r="CL21" s="114">
        <f t="shared" si="9"/>
        <v>33</v>
      </c>
      <c r="CM21" s="115">
        <v>9</v>
      </c>
      <c r="CN21" s="115">
        <v>9</v>
      </c>
      <c r="CO21" s="115">
        <f t="shared" si="8"/>
        <v>18</v>
      </c>
      <c r="CP21" s="114">
        <v>5</v>
      </c>
      <c r="CQ21" s="114">
        <v>5</v>
      </c>
      <c r="CR21" s="114">
        <f t="shared" si="17"/>
        <v>10</v>
      </c>
      <c r="CS21" s="115">
        <v>0</v>
      </c>
      <c r="CT21" s="115">
        <v>0</v>
      </c>
      <c r="CU21" s="116">
        <f t="shared" si="10"/>
        <v>0</v>
      </c>
    </row>
    <row r="22" spans="1:99" s="13" customFormat="1" ht="16.5" thickBot="1">
      <c r="A22" s="733"/>
      <c r="B22" s="703"/>
      <c r="C22" s="29" t="s">
        <v>62</v>
      </c>
      <c r="D22" s="37">
        <f>SUM(D17:D21)</f>
        <v>1725</v>
      </c>
      <c r="E22" s="37">
        <f t="shared" ref="E22:O22" si="19">SUM(E17:E21)</f>
        <v>1923</v>
      </c>
      <c r="F22" s="37">
        <f t="shared" si="19"/>
        <v>3648</v>
      </c>
      <c r="G22" s="39">
        <f t="shared" si="19"/>
        <v>1710</v>
      </c>
      <c r="H22" s="39">
        <f t="shared" si="19"/>
        <v>1846</v>
      </c>
      <c r="I22" s="39">
        <f t="shared" si="19"/>
        <v>3556</v>
      </c>
      <c r="J22" s="38">
        <f t="shared" si="19"/>
        <v>1710</v>
      </c>
      <c r="K22" s="38">
        <f t="shared" si="19"/>
        <v>1846</v>
      </c>
      <c r="L22" s="38">
        <f t="shared" si="19"/>
        <v>3556</v>
      </c>
      <c r="M22" s="39">
        <f t="shared" si="19"/>
        <v>1703</v>
      </c>
      <c r="N22" s="39">
        <f t="shared" si="19"/>
        <v>1853</v>
      </c>
      <c r="O22" s="46">
        <f t="shared" si="19"/>
        <v>3556</v>
      </c>
      <c r="P22" s="53">
        <f>SUM(P17:P21)</f>
        <v>116</v>
      </c>
      <c r="Q22" s="54">
        <f>SUM(Q17:Q21)</f>
        <v>120</v>
      </c>
      <c r="R22" s="54">
        <f>P22+Q22</f>
        <v>236</v>
      </c>
      <c r="S22" s="43">
        <f t="shared" ref="S22:AM22" si="20">SUM(S17:S21)</f>
        <v>78</v>
      </c>
      <c r="T22" s="43">
        <f t="shared" si="20"/>
        <v>84</v>
      </c>
      <c r="U22" s="43">
        <f t="shared" si="20"/>
        <v>162</v>
      </c>
      <c r="V22" s="42">
        <f t="shared" si="20"/>
        <v>81</v>
      </c>
      <c r="W22" s="42">
        <f t="shared" si="20"/>
        <v>81</v>
      </c>
      <c r="X22" s="42">
        <f t="shared" si="20"/>
        <v>162</v>
      </c>
      <c r="Y22" s="43">
        <f t="shared" si="20"/>
        <v>76</v>
      </c>
      <c r="Z22" s="43">
        <f t="shared" si="20"/>
        <v>86</v>
      </c>
      <c r="AA22" s="44">
        <f t="shared" si="20"/>
        <v>162</v>
      </c>
      <c r="AB22" s="57">
        <f t="shared" si="20"/>
        <v>228</v>
      </c>
      <c r="AC22" s="58">
        <f t="shared" si="20"/>
        <v>273</v>
      </c>
      <c r="AD22" s="58">
        <f t="shared" si="20"/>
        <v>501</v>
      </c>
      <c r="AE22" s="59">
        <f t="shared" si="20"/>
        <v>228</v>
      </c>
      <c r="AF22" s="59">
        <f t="shared" si="20"/>
        <v>273</v>
      </c>
      <c r="AG22" s="59">
        <f t="shared" si="20"/>
        <v>501</v>
      </c>
      <c r="AH22" s="58">
        <f t="shared" si="20"/>
        <v>228</v>
      </c>
      <c r="AI22" s="58">
        <f t="shared" si="20"/>
        <v>273</v>
      </c>
      <c r="AJ22" s="58">
        <f t="shared" si="20"/>
        <v>501</v>
      </c>
      <c r="AK22" s="59">
        <f>SUM(AK17:AK21)</f>
        <v>228</v>
      </c>
      <c r="AL22" s="59">
        <f t="shared" si="20"/>
        <v>273</v>
      </c>
      <c r="AM22" s="60">
        <f t="shared" si="20"/>
        <v>501</v>
      </c>
      <c r="AN22" s="124">
        <f t="shared" ref="AN22:AU22" si="21">SUM(AN17:AN21)</f>
        <v>474</v>
      </c>
      <c r="AO22" s="123">
        <f t="shared" si="21"/>
        <v>544</v>
      </c>
      <c r="AP22" s="123">
        <f t="shared" si="21"/>
        <v>1018</v>
      </c>
      <c r="AQ22" s="96">
        <f t="shared" si="21"/>
        <v>474</v>
      </c>
      <c r="AR22" s="96">
        <f t="shared" si="21"/>
        <v>544</v>
      </c>
      <c r="AS22" s="96">
        <f t="shared" si="21"/>
        <v>1018</v>
      </c>
      <c r="AT22" s="95">
        <f t="shared" si="21"/>
        <v>474</v>
      </c>
      <c r="AU22" s="113">
        <f t="shared" si="21"/>
        <v>544</v>
      </c>
      <c r="AV22" s="113">
        <f>SUM(AT22:AU22)</f>
        <v>1018</v>
      </c>
      <c r="AW22" s="96">
        <f t="shared" ref="AW22:AY22" si="22">SUM(AW17:AW21)</f>
        <v>474</v>
      </c>
      <c r="AX22" s="96">
        <f t="shared" si="22"/>
        <v>544</v>
      </c>
      <c r="AY22" s="97">
        <f t="shared" si="22"/>
        <v>1018</v>
      </c>
      <c r="AZ22" s="45">
        <v>59</v>
      </c>
      <c r="BA22" s="86">
        <v>65</v>
      </c>
      <c r="BB22" s="86">
        <v>124</v>
      </c>
      <c r="BC22" s="87">
        <f t="shared" ref="BC22:BK22" si="23">SUM(BC17:BC21)</f>
        <v>60</v>
      </c>
      <c r="BD22" s="87">
        <f t="shared" si="23"/>
        <v>64</v>
      </c>
      <c r="BE22" s="87">
        <f t="shared" si="23"/>
        <v>124</v>
      </c>
      <c r="BF22" s="86">
        <f t="shared" si="23"/>
        <v>57</v>
      </c>
      <c r="BG22" s="86">
        <f t="shared" si="23"/>
        <v>67</v>
      </c>
      <c r="BH22" s="86">
        <f t="shared" si="16"/>
        <v>124</v>
      </c>
      <c r="BI22" s="87">
        <f t="shared" si="23"/>
        <v>65</v>
      </c>
      <c r="BJ22" s="87">
        <f t="shared" si="23"/>
        <v>59</v>
      </c>
      <c r="BK22" s="88">
        <f t="shared" si="23"/>
        <v>124</v>
      </c>
      <c r="BL22" s="41">
        <f t="shared" ref="BL22:BW22" si="24">SUM(BL17:BL21)</f>
        <v>140</v>
      </c>
      <c r="BM22" s="71">
        <f t="shared" si="24"/>
        <v>143</v>
      </c>
      <c r="BN22" s="71">
        <f>SUM(BN17:BN21)</f>
        <v>283</v>
      </c>
      <c r="BO22" s="72">
        <f t="shared" si="24"/>
        <v>140</v>
      </c>
      <c r="BP22" s="72">
        <f t="shared" si="24"/>
        <v>143</v>
      </c>
      <c r="BQ22" s="72">
        <f t="shared" si="24"/>
        <v>283</v>
      </c>
      <c r="BR22" s="71">
        <f t="shared" si="24"/>
        <v>140</v>
      </c>
      <c r="BS22" s="71">
        <f t="shared" si="24"/>
        <v>143</v>
      </c>
      <c r="BT22" s="71">
        <f>SUM(BT17:BT21)</f>
        <v>283</v>
      </c>
      <c r="BU22" s="72">
        <f t="shared" si="24"/>
        <v>140</v>
      </c>
      <c r="BV22" s="72">
        <f t="shared" si="24"/>
        <v>143</v>
      </c>
      <c r="BW22" s="76">
        <f t="shared" si="24"/>
        <v>283</v>
      </c>
      <c r="BX22" s="169">
        <v>270</v>
      </c>
      <c r="BY22" s="170">
        <v>278</v>
      </c>
      <c r="BZ22" s="170">
        <v>548</v>
      </c>
      <c r="CA22" s="171">
        <v>270</v>
      </c>
      <c r="CB22" s="171">
        <v>278</v>
      </c>
      <c r="CC22" s="171">
        <v>548</v>
      </c>
      <c r="CD22" s="170">
        <v>270</v>
      </c>
      <c r="CE22" s="170">
        <v>278</v>
      </c>
      <c r="CF22" s="170">
        <v>548</v>
      </c>
      <c r="CG22" s="171">
        <v>270</v>
      </c>
      <c r="CH22" s="171">
        <v>278</v>
      </c>
      <c r="CI22" s="172">
        <v>548</v>
      </c>
      <c r="CJ22" s="41">
        <f t="shared" ref="CJ22:CU22" si="25">SUM(CJ17:CJ21)</f>
        <v>438</v>
      </c>
      <c r="CK22" s="120">
        <f t="shared" si="25"/>
        <v>500</v>
      </c>
      <c r="CL22" s="120">
        <f t="shared" si="25"/>
        <v>938</v>
      </c>
      <c r="CM22" s="121">
        <f t="shared" si="25"/>
        <v>460</v>
      </c>
      <c r="CN22" s="121">
        <f t="shared" si="25"/>
        <v>460</v>
      </c>
      <c r="CO22" s="121">
        <f t="shared" si="25"/>
        <v>920</v>
      </c>
      <c r="CP22" s="120">
        <f t="shared" si="25"/>
        <v>460</v>
      </c>
      <c r="CQ22" s="120">
        <f t="shared" si="25"/>
        <v>460</v>
      </c>
      <c r="CR22" s="120">
        <f t="shared" si="17"/>
        <v>920</v>
      </c>
      <c r="CS22" s="121">
        <f t="shared" si="25"/>
        <v>450</v>
      </c>
      <c r="CT22" s="121">
        <f t="shared" si="25"/>
        <v>470</v>
      </c>
      <c r="CU22" s="122">
        <f t="shared" si="25"/>
        <v>920</v>
      </c>
    </row>
    <row r="23" spans="1:99" s="13" customFormat="1" ht="36">
      <c r="A23" s="733"/>
      <c r="B23" s="735" t="s">
        <v>25</v>
      </c>
      <c r="C23" s="28" t="s">
        <v>26</v>
      </c>
      <c r="D23" s="17">
        <f t="shared" ref="D23:O24" si="26">SUM(P23,AB23,AN23,AZ23,BL23,BX23,CJ23)</f>
        <v>2412</v>
      </c>
      <c r="E23" s="17">
        <f t="shared" si="26"/>
        <v>3133</v>
      </c>
      <c r="F23" s="17">
        <f t="shared" si="26"/>
        <v>5545</v>
      </c>
      <c r="G23" s="19">
        <f t="shared" si="26"/>
        <v>18991.8</v>
      </c>
      <c r="H23" s="19">
        <f t="shared" si="26"/>
        <v>20551.8</v>
      </c>
      <c r="I23" s="19">
        <f t="shared" si="26"/>
        <v>39543.599999999999</v>
      </c>
      <c r="J23" s="17">
        <f t="shared" si="26"/>
        <v>19124.2</v>
      </c>
      <c r="K23" s="17">
        <f t="shared" si="26"/>
        <v>20895.2</v>
      </c>
      <c r="L23" s="17">
        <f t="shared" si="26"/>
        <v>40019.4</v>
      </c>
      <c r="M23" s="19">
        <f t="shared" si="26"/>
        <v>19783.8</v>
      </c>
      <c r="N23" s="19">
        <f t="shared" si="26"/>
        <v>20422.8</v>
      </c>
      <c r="O23" s="18">
        <f t="shared" si="26"/>
        <v>40206.6</v>
      </c>
      <c r="P23" s="47">
        <v>2412</v>
      </c>
      <c r="Q23" s="20">
        <v>3133</v>
      </c>
      <c r="R23" s="20">
        <f>P23+Q23</f>
        <v>5545</v>
      </c>
      <c r="S23" s="21">
        <v>1260</v>
      </c>
      <c r="T23" s="21">
        <v>1800</v>
      </c>
      <c r="U23" s="21">
        <f>+S23+T23</f>
        <v>3060</v>
      </c>
      <c r="V23" s="20">
        <v>1000</v>
      </c>
      <c r="W23" s="20">
        <v>1300</v>
      </c>
      <c r="X23" s="20">
        <f>+V23+W23</f>
        <v>2300</v>
      </c>
      <c r="Y23" s="21">
        <v>1000</v>
      </c>
      <c r="Z23" s="21">
        <v>1200</v>
      </c>
      <c r="AA23" s="22">
        <f>+Y23+Z23</f>
        <v>2200</v>
      </c>
      <c r="AB23" s="89" t="s">
        <v>65</v>
      </c>
      <c r="AC23" s="90" t="s">
        <v>65</v>
      </c>
      <c r="AD23" s="90" t="s">
        <v>65</v>
      </c>
      <c r="AE23" s="81">
        <v>980</v>
      </c>
      <c r="AF23" s="81">
        <v>1020</v>
      </c>
      <c r="AG23" s="81">
        <v>2000</v>
      </c>
      <c r="AH23" s="80">
        <v>980</v>
      </c>
      <c r="AI23" s="80">
        <v>1020</v>
      </c>
      <c r="AJ23" s="80">
        <v>2000</v>
      </c>
      <c r="AK23" s="81">
        <v>980</v>
      </c>
      <c r="AL23" s="81">
        <v>1020</v>
      </c>
      <c r="AM23" s="82">
        <v>2000</v>
      </c>
      <c r="AN23" s="126">
        <v>0</v>
      </c>
      <c r="AO23" s="126">
        <v>0</v>
      </c>
      <c r="AP23" s="126">
        <v>0</v>
      </c>
      <c r="AQ23" s="100">
        <v>1480</v>
      </c>
      <c r="AR23" s="100">
        <v>1550</v>
      </c>
      <c r="AS23" s="100">
        <v>3030</v>
      </c>
      <c r="AT23" s="99">
        <v>1500</v>
      </c>
      <c r="AU23" s="99">
        <v>1680</v>
      </c>
      <c r="AV23" s="99">
        <v>3180</v>
      </c>
      <c r="AW23" s="100">
        <v>1570</v>
      </c>
      <c r="AX23" s="100">
        <v>1620</v>
      </c>
      <c r="AY23" s="102">
        <v>3190</v>
      </c>
      <c r="AZ23" s="89">
        <v>0</v>
      </c>
      <c r="BA23" s="90">
        <v>0</v>
      </c>
      <c r="BB23" s="90">
        <v>0</v>
      </c>
      <c r="BC23" s="81">
        <f>440</f>
        <v>440</v>
      </c>
      <c r="BD23" s="81">
        <f>880</f>
        <v>880</v>
      </c>
      <c r="BE23" s="81">
        <f>BC23+BD23</f>
        <v>1320</v>
      </c>
      <c r="BF23" s="80">
        <f>1650*5/15</f>
        <v>550</v>
      </c>
      <c r="BG23" s="80">
        <f>1650*10/15</f>
        <v>1100</v>
      </c>
      <c r="BH23" s="80">
        <f>330+1320</f>
        <v>1650</v>
      </c>
      <c r="BI23" s="81">
        <v>550</v>
      </c>
      <c r="BJ23" s="81">
        <v>1100</v>
      </c>
      <c r="BK23" s="82">
        <v>1650</v>
      </c>
      <c r="BL23" s="47">
        <v>0</v>
      </c>
      <c r="BM23" s="73">
        <v>0</v>
      </c>
      <c r="BN23" s="73">
        <v>0</v>
      </c>
      <c r="BO23" s="74">
        <v>631</v>
      </c>
      <c r="BP23" s="74">
        <v>1436</v>
      </c>
      <c r="BQ23" s="74">
        <f>+BO23+BP23</f>
        <v>2067</v>
      </c>
      <c r="BR23" s="73">
        <v>714</v>
      </c>
      <c r="BS23" s="73">
        <v>1490</v>
      </c>
      <c r="BT23" s="73">
        <f>+BR23+BS23</f>
        <v>2204</v>
      </c>
      <c r="BU23" s="74">
        <v>708</v>
      </c>
      <c r="BV23" s="74">
        <v>1552</v>
      </c>
      <c r="BW23" s="75">
        <f>+BU23+BV23</f>
        <v>2260</v>
      </c>
      <c r="BX23" s="173">
        <v>0</v>
      </c>
      <c r="BY23" s="174">
        <v>0</v>
      </c>
      <c r="BZ23" s="174">
        <v>0</v>
      </c>
      <c r="CA23" s="175">
        <v>9834</v>
      </c>
      <c r="CB23" s="175">
        <v>9499</v>
      </c>
      <c r="CC23" s="175">
        <v>19333</v>
      </c>
      <c r="CD23" s="174">
        <v>10215</v>
      </c>
      <c r="CE23" s="174">
        <v>10140</v>
      </c>
      <c r="CF23" s="174">
        <v>20355</v>
      </c>
      <c r="CG23" s="175">
        <v>11161</v>
      </c>
      <c r="CH23" s="175">
        <v>10116</v>
      </c>
      <c r="CI23" s="176">
        <v>21277</v>
      </c>
      <c r="CJ23" s="47">
        <v>0</v>
      </c>
      <c r="CK23" s="114">
        <v>0</v>
      </c>
      <c r="CL23" s="114">
        <f>+CJ23+CK23</f>
        <v>0</v>
      </c>
      <c r="CM23" s="115">
        <f>CM11*0.3</f>
        <v>4366.8</v>
      </c>
      <c r="CN23" s="115">
        <f>CN11*0.3</f>
        <v>4366.8</v>
      </c>
      <c r="CO23" s="115">
        <f>+CM23+CN23</f>
        <v>8733.6</v>
      </c>
      <c r="CP23" s="114">
        <f>CP11*0.3</f>
        <v>4165.2</v>
      </c>
      <c r="CQ23" s="114">
        <f>CQ11*0.3</f>
        <v>4165.2</v>
      </c>
      <c r="CR23" s="114">
        <f>+CP23+CQ23</f>
        <v>8330.4</v>
      </c>
      <c r="CS23" s="115">
        <f>CS11*0.3</f>
        <v>3814.7999999999997</v>
      </c>
      <c r="CT23" s="115">
        <f>CT11*0.3</f>
        <v>3814.7999999999997</v>
      </c>
      <c r="CU23" s="116">
        <f>+CS23+CT23</f>
        <v>7629.5999999999995</v>
      </c>
    </row>
    <row r="24" spans="1:99" s="13" customFormat="1" ht="48.75" thickBot="1">
      <c r="A24" s="733"/>
      <c r="B24" s="703"/>
      <c r="C24" s="30" t="s">
        <v>41</v>
      </c>
      <c r="D24" s="37">
        <f t="shared" si="26"/>
        <v>2412</v>
      </c>
      <c r="E24" s="38">
        <f t="shared" si="26"/>
        <v>3133</v>
      </c>
      <c r="F24" s="38">
        <f t="shared" si="26"/>
        <v>5545</v>
      </c>
      <c r="G24" s="39">
        <f t="shared" si="26"/>
        <v>26315.8</v>
      </c>
      <c r="H24" s="39">
        <f t="shared" si="26"/>
        <v>31876.799999999999</v>
      </c>
      <c r="I24" s="39">
        <f t="shared" si="26"/>
        <v>58192.6</v>
      </c>
      <c r="J24" s="38">
        <f t="shared" si="26"/>
        <v>38945</v>
      </c>
      <c r="K24" s="38">
        <f t="shared" si="26"/>
        <v>46612</v>
      </c>
      <c r="L24" s="38">
        <f t="shared" si="26"/>
        <v>85557</v>
      </c>
      <c r="M24" s="39">
        <f t="shared" si="26"/>
        <v>45177.8</v>
      </c>
      <c r="N24" s="39">
        <f t="shared" si="26"/>
        <v>56505.8</v>
      </c>
      <c r="O24" s="46">
        <f t="shared" si="26"/>
        <v>101683.6</v>
      </c>
      <c r="P24" s="41">
        <v>2412</v>
      </c>
      <c r="Q24" s="42">
        <v>3133</v>
      </c>
      <c r="R24" s="42">
        <f>+P24+Q24</f>
        <v>5545</v>
      </c>
      <c r="S24" s="43">
        <f>+P24+S23</f>
        <v>3672</v>
      </c>
      <c r="T24" s="43">
        <f>+Q24+T23</f>
        <v>4933</v>
      </c>
      <c r="U24" s="43">
        <f>+S24+T24</f>
        <v>8605</v>
      </c>
      <c r="V24" s="42">
        <f>+S24+V23</f>
        <v>4672</v>
      </c>
      <c r="W24" s="42">
        <f>+T24+W23</f>
        <v>6233</v>
      </c>
      <c r="X24" s="42">
        <f>+V24+W24</f>
        <v>10905</v>
      </c>
      <c r="Y24" s="43">
        <f>+V24+Y23</f>
        <v>5672</v>
      </c>
      <c r="Z24" s="43">
        <f>+W24+Z23</f>
        <v>7433</v>
      </c>
      <c r="AA24" s="44">
        <f>+Y24+Z24</f>
        <v>13105</v>
      </c>
      <c r="AB24" s="45">
        <v>0</v>
      </c>
      <c r="AC24" s="86">
        <v>0</v>
      </c>
      <c r="AD24" s="86">
        <v>0</v>
      </c>
      <c r="AE24" s="87">
        <v>980</v>
      </c>
      <c r="AF24" s="87">
        <v>1020</v>
      </c>
      <c r="AG24" s="87">
        <v>2000</v>
      </c>
      <c r="AH24" s="86">
        <v>980</v>
      </c>
      <c r="AI24" s="86">
        <v>1020</v>
      </c>
      <c r="AJ24" s="86">
        <v>2000</v>
      </c>
      <c r="AK24" s="87">
        <v>980</v>
      </c>
      <c r="AL24" s="87">
        <v>1020</v>
      </c>
      <c r="AM24" s="88">
        <v>2000</v>
      </c>
      <c r="AN24" s="124">
        <v>0</v>
      </c>
      <c r="AO24" s="124">
        <v>0</v>
      </c>
      <c r="AP24" s="124">
        <v>0</v>
      </c>
      <c r="AQ24" s="96">
        <v>10940</v>
      </c>
      <c r="AR24" s="96">
        <v>12493</v>
      </c>
      <c r="AS24" s="96">
        <v>23433</v>
      </c>
      <c r="AT24" s="95">
        <v>12440</v>
      </c>
      <c r="AU24" s="95">
        <v>14173</v>
      </c>
      <c r="AV24" s="95">
        <v>26613</v>
      </c>
      <c r="AW24" s="96">
        <v>7300</v>
      </c>
      <c r="AX24" s="96">
        <v>10500</v>
      </c>
      <c r="AY24" s="97">
        <v>17800</v>
      </c>
      <c r="AZ24" s="45">
        <v>0</v>
      </c>
      <c r="BA24" s="86">
        <v>0</v>
      </c>
      <c r="BB24" s="86">
        <v>0</v>
      </c>
      <c r="BC24" s="87">
        <v>440</v>
      </c>
      <c r="BD24" s="87">
        <v>880</v>
      </c>
      <c r="BE24" s="87">
        <v>1320</v>
      </c>
      <c r="BF24" s="86">
        <f>BC23+BF23</f>
        <v>990</v>
      </c>
      <c r="BG24" s="86">
        <f>BG23+BD23</f>
        <v>1980</v>
      </c>
      <c r="BH24" s="86">
        <f>BF24+BG24</f>
        <v>2970</v>
      </c>
      <c r="BI24" s="87">
        <f>BI23+BF24</f>
        <v>1540</v>
      </c>
      <c r="BJ24" s="87">
        <f>BJ23+BG24</f>
        <v>3080</v>
      </c>
      <c r="BK24" s="88">
        <f>BI24+BJ24</f>
        <v>4620</v>
      </c>
      <c r="BL24" s="41">
        <v>0</v>
      </c>
      <c r="BM24" s="71">
        <v>0</v>
      </c>
      <c r="BN24" s="71">
        <v>0</v>
      </c>
      <c r="BO24" s="72">
        <f>+BO23</f>
        <v>631</v>
      </c>
      <c r="BP24" s="72">
        <f>+BP23</f>
        <v>1436</v>
      </c>
      <c r="BQ24" s="74">
        <f>+BO24+BP24</f>
        <v>2067</v>
      </c>
      <c r="BR24" s="71">
        <f>+BO23+BR23</f>
        <v>1345</v>
      </c>
      <c r="BS24" s="71">
        <f>+BP23+BS23</f>
        <v>2926</v>
      </c>
      <c r="BT24" s="73">
        <f>+BR24+BS24</f>
        <v>4271</v>
      </c>
      <c r="BU24" s="72">
        <f>+BR24+BU23</f>
        <v>2053</v>
      </c>
      <c r="BV24" s="72">
        <f>+BS24+BV23</f>
        <v>4478</v>
      </c>
      <c r="BW24" s="76">
        <f>+BU24+BV24</f>
        <v>6531</v>
      </c>
      <c r="BX24" s="169">
        <v>0</v>
      </c>
      <c r="BY24" s="170">
        <v>0</v>
      </c>
      <c r="BZ24" s="170">
        <v>0</v>
      </c>
      <c r="CA24" s="171">
        <v>5286</v>
      </c>
      <c r="CB24" s="171">
        <v>6748</v>
      </c>
      <c r="CC24" s="171">
        <v>12034</v>
      </c>
      <c r="CD24" s="170">
        <v>9986</v>
      </c>
      <c r="CE24" s="170">
        <v>11748</v>
      </c>
      <c r="CF24" s="170">
        <v>21734</v>
      </c>
      <c r="CG24" s="171">
        <v>15286</v>
      </c>
      <c r="CH24" s="171">
        <v>17648</v>
      </c>
      <c r="CI24" s="172">
        <v>32934</v>
      </c>
      <c r="CJ24" s="41">
        <v>0</v>
      </c>
      <c r="CK24" s="120">
        <v>0</v>
      </c>
      <c r="CL24" s="120">
        <f>+CJ24+CK24</f>
        <v>0</v>
      </c>
      <c r="CM24" s="121">
        <f>CJ24+CM23</f>
        <v>4366.8</v>
      </c>
      <c r="CN24" s="121">
        <f>CK24+CN23</f>
        <v>4366.8</v>
      </c>
      <c r="CO24" s="115">
        <f>+CM24+CN24</f>
        <v>8733.6</v>
      </c>
      <c r="CP24" s="120">
        <f>CM24+CP23</f>
        <v>8532</v>
      </c>
      <c r="CQ24" s="120">
        <f>CN24+CQ23</f>
        <v>8532</v>
      </c>
      <c r="CR24" s="114">
        <f>+CP24+CQ24</f>
        <v>17064</v>
      </c>
      <c r="CS24" s="121">
        <f>CP24+CS23</f>
        <v>12346.8</v>
      </c>
      <c r="CT24" s="121">
        <f>CQ24+CT23</f>
        <v>12346.8</v>
      </c>
      <c r="CU24" s="122">
        <f>+CS24+CT24</f>
        <v>24693.599999999999</v>
      </c>
    </row>
    <row r="25" spans="1:99" s="13" customFormat="1" ht="48.75" thickBot="1">
      <c r="A25" s="734"/>
      <c r="B25" s="31" t="s">
        <v>27</v>
      </c>
      <c r="C25" s="30" t="s">
        <v>42</v>
      </c>
      <c r="D25" s="740">
        <f t="shared" ref="D25:D32" si="27">SUM(P25,AB25,AN25,AZ25,BL25,BX25,CJ25)</f>
        <v>1089</v>
      </c>
      <c r="E25" s="741"/>
      <c r="F25" s="742"/>
      <c r="G25" s="743">
        <f t="shared" ref="G25:G32" si="28">SUM(S25,AE25,AQ25,BC25,BO25,CA25,CM25)</f>
        <v>1272</v>
      </c>
      <c r="H25" s="744"/>
      <c r="I25" s="745"/>
      <c r="J25" s="740">
        <f t="shared" ref="J25:J32" si="29">SUM(V25,AH25,AT25,BF25,BR25,CD25,CP25)</f>
        <v>1434</v>
      </c>
      <c r="K25" s="741"/>
      <c r="L25" s="742"/>
      <c r="M25" s="743">
        <f t="shared" ref="M25:M32" si="30">SUM(Y25,AK25,AW25,BI25,BU25,CG25,CS25)</f>
        <v>1505</v>
      </c>
      <c r="N25" s="744"/>
      <c r="O25" s="744"/>
      <c r="P25" s="722">
        <v>4</v>
      </c>
      <c r="Q25" s="723"/>
      <c r="R25" s="724"/>
      <c r="S25" s="725">
        <v>20</v>
      </c>
      <c r="T25" s="726"/>
      <c r="U25" s="727"/>
      <c r="V25" s="728">
        <v>10</v>
      </c>
      <c r="W25" s="723"/>
      <c r="X25" s="724"/>
      <c r="Y25" s="725">
        <v>12</v>
      </c>
      <c r="Z25" s="726"/>
      <c r="AA25" s="729"/>
      <c r="AB25" s="730">
        <v>185</v>
      </c>
      <c r="AC25" s="747"/>
      <c r="AD25" s="748"/>
      <c r="AE25" s="707">
        <v>285</v>
      </c>
      <c r="AF25" s="708"/>
      <c r="AG25" s="749"/>
      <c r="AH25" s="716">
        <v>385</v>
      </c>
      <c r="AI25" s="747"/>
      <c r="AJ25" s="748"/>
      <c r="AK25" s="707">
        <v>485</v>
      </c>
      <c r="AL25" s="708"/>
      <c r="AM25" s="709"/>
      <c r="AN25" s="710">
        <v>302</v>
      </c>
      <c r="AO25" s="711"/>
      <c r="AP25" s="712"/>
      <c r="AQ25" s="713">
        <v>200</v>
      </c>
      <c r="AR25" s="714"/>
      <c r="AS25" s="715"/>
      <c r="AT25" s="710">
        <v>150</v>
      </c>
      <c r="AU25" s="711"/>
      <c r="AV25" s="712"/>
      <c r="AW25" s="713">
        <v>88</v>
      </c>
      <c r="AX25" s="714"/>
      <c r="AY25" s="746"/>
      <c r="AZ25" s="730">
        <v>23</v>
      </c>
      <c r="BA25" s="747"/>
      <c r="BB25" s="748"/>
      <c r="BC25" s="707">
        <v>64</v>
      </c>
      <c r="BD25" s="708"/>
      <c r="BE25" s="749"/>
      <c r="BF25" s="716">
        <v>76</v>
      </c>
      <c r="BG25" s="747"/>
      <c r="BH25" s="748"/>
      <c r="BI25" s="707">
        <v>90</v>
      </c>
      <c r="BJ25" s="708"/>
      <c r="BK25" s="709"/>
      <c r="BL25" s="722">
        <v>0</v>
      </c>
      <c r="BM25" s="723"/>
      <c r="BN25" s="724"/>
      <c r="BO25" s="725">
        <v>50</v>
      </c>
      <c r="BP25" s="726"/>
      <c r="BQ25" s="727"/>
      <c r="BR25" s="728">
        <v>60</v>
      </c>
      <c r="BS25" s="723"/>
      <c r="BT25" s="724"/>
      <c r="BU25" s="725">
        <v>60</v>
      </c>
      <c r="BV25" s="726"/>
      <c r="BW25" s="729"/>
      <c r="BX25" s="730">
        <v>443</v>
      </c>
      <c r="BY25" s="717"/>
      <c r="BZ25" s="718"/>
      <c r="CA25" s="719">
        <v>473</v>
      </c>
      <c r="CB25" s="720"/>
      <c r="CC25" s="731"/>
      <c r="CD25" s="716">
        <v>573</v>
      </c>
      <c r="CE25" s="717"/>
      <c r="CF25" s="718"/>
      <c r="CG25" s="719">
        <v>589</v>
      </c>
      <c r="CH25" s="720"/>
      <c r="CI25" s="721"/>
      <c r="CJ25" s="722">
        <v>132</v>
      </c>
      <c r="CK25" s="723"/>
      <c r="CL25" s="724"/>
      <c r="CM25" s="725">
        <v>180</v>
      </c>
      <c r="CN25" s="726"/>
      <c r="CO25" s="727"/>
      <c r="CP25" s="728">
        <v>180</v>
      </c>
      <c r="CQ25" s="723"/>
      <c r="CR25" s="724"/>
      <c r="CS25" s="725">
        <v>181</v>
      </c>
      <c r="CT25" s="726"/>
      <c r="CU25" s="729"/>
    </row>
    <row r="26" spans="1:99" s="13" customFormat="1" ht="24">
      <c r="A26" s="700" t="s">
        <v>28</v>
      </c>
      <c r="B26" s="702" t="s">
        <v>29</v>
      </c>
      <c r="C26" s="32" t="s">
        <v>67</v>
      </c>
      <c r="D26" s="17">
        <f t="shared" si="27"/>
        <v>28156</v>
      </c>
      <c r="E26" s="17">
        <f>SUM(Q26,AC26,AO26,BA26,BM26,BY26,CK26)</f>
        <v>29726</v>
      </c>
      <c r="F26" s="17">
        <f>SUM(R26,AD26,AP26,BB26,BN26,BZ26,CL26)</f>
        <v>57882</v>
      </c>
      <c r="G26" s="19">
        <f t="shared" si="28"/>
        <v>25826.84</v>
      </c>
      <c r="H26" s="19">
        <f>SUM(T26,AF26,AR26,BD26,BP26,CB26,CN26)</f>
        <v>27525.81</v>
      </c>
      <c r="I26" s="19">
        <f>SUM(U26,AG26,AS26,BE26,BQ26,CC26,CO26)</f>
        <v>50103</v>
      </c>
      <c r="J26" s="17">
        <f t="shared" si="29"/>
        <v>24857.4336</v>
      </c>
      <c r="K26" s="17">
        <f>SUM(W26,AI26,AU26,BG26,BS26,CE26,CQ26)</f>
        <v>26896.202400000002</v>
      </c>
      <c r="L26" s="17">
        <f>SUM(X26,AJ26,AV26,BH26,BT26,CF26,CR26)</f>
        <v>51753.635999999999</v>
      </c>
      <c r="M26" s="19">
        <f t="shared" si="30"/>
        <v>26309.205280000002</v>
      </c>
      <c r="N26" s="19">
        <f>SUM(Z26,AL26,AX26,BJ26,BV26,CH26,CT26)</f>
        <v>29836.412520000002</v>
      </c>
      <c r="O26" s="18">
        <f>SUM(AA26,AM26,AY26,BK26,BW26,CI26,CU26)</f>
        <v>57129.6178</v>
      </c>
      <c r="P26" s="47">
        <v>2219</v>
      </c>
      <c r="Q26" s="20">
        <v>2785</v>
      </c>
      <c r="R26" s="20">
        <f>P26+Q26</f>
        <v>5004</v>
      </c>
      <c r="S26" s="21">
        <v>2300</v>
      </c>
      <c r="T26" s="21">
        <v>2860</v>
      </c>
      <c r="U26" s="21">
        <f>+S26+T26</f>
        <v>5160</v>
      </c>
      <c r="V26" s="20">
        <v>2320</v>
      </c>
      <c r="W26" s="20">
        <v>2880</v>
      </c>
      <c r="X26" s="20">
        <f>+V26+W26</f>
        <v>5200</v>
      </c>
      <c r="Y26" s="21">
        <v>2350</v>
      </c>
      <c r="Z26" s="21">
        <v>2950</v>
      </c>
      <c r="AA26" s="22">
        <f>+Y26+Z26</f>
        <v>5300</v>
      </c>
      <c r="AB26" s="48">
        <v>3574</v>
      </c>
      <c r="AC26" s="80">
        <v>3898</v>
      </c>
      <c r="AD26" s="80">
        <v>7472</v>
      </c>
      <c r="AE26" s="81">
        <v>4309</v>
      </c>
      <c r="AF26" s="81">
        <v>4663</v>
      </c>
      <c r="AG26" s="81">
        <v>8972</v>
      </c>
      <c r="AH26" s="80">
        <v>5044</v>
      </c>
      <c r="AI26" s="80">
        <v>5428</v>
      </c>
      <c r="AJ26" s="80">
        <v>10472</v>
      </c>
      <c r="AK26" s="81">
        <v>5779</v>
      </c>
      <c r="AL26" s="81">
        <v>6193</v>
      </c>
      <c r="AM26" s="82">
        <v>11972</v>
      </c>
      <c r="AN26" s="98">
        <v>4103</v>
      </c>
      <c r="AO26" s="99">
        <v>4800</v>
      </c>
      <c r="AP26" s="99">
        <v>8903</v>
      </c>
      <c r="AQ26" s="100">
        <v>6000</v>
      </c>
      <c r="AR26" s="100">
        <v>6500</v>
      </c>
      <c r="AS26" s="100">
        <v>12500</v>
      </c>
      <c r="AT26" s="99">
        <v>6500</v>
      </c>
      <c r="AU26" s="99">
        <v>7300</v>
      </c>
      <c r="AV26" s="99">
        <v>13800</v>
      </c>
      <c r="AW26" s="100">
        <v>7900</v>
      </c>
      <c r="AX26" s="100">
        <v>8600</v>
      </c>
      <c r="AY26" s="102">
        <v>16500</v>
      </c>
      <c r="AZ26" s="48">
        <v>984</v>
      </c>
      <c r="BA26" s="80">
        <v>1211</v>
      </c>
      <c r="BB26" s="80">
        <v>2195</v>
      </c>
      <c r="BC26" s="81">
        <f>65+AZ26</f>
        <v>1049</v>
      </c>
      <c r="BD26" s="81">
        <f>130+BA26</f>
        <v>1341</v>
      </c>
      <c r="BE26" s="81">
        <f>BC26+BD26</f>
        <v>2390</v>
      </c>
      <c r="BF26" s="80">
        <f>65+BC26</f>
        <v>1114</v>
      </c>
      <c r="BG26" s="80">
        <f>130+BD26</f>
        <v>1471</v>
      </c>
      <c r="BH26" s="80">
        <f>BF26+BG26</f>
        <v>2585</v>
      </c>
      <c r="BI26" s="81">
        <f>65+BF26</f>
        <v>1179</v>
      </c>
      <c r="BJ26" s="81">
        <f>130+BG26</f>
        <v>1601</v>
      </c>
      <c r="BK26" s="82">
        <f>BH26+BI26</f>
        <v>3764</v>
      </c>
      <c r="BL26" s="47">
        <v>1228</v>
      </c>
      <c r="BM26" s="73">
        <v>1927</v>
      </c>
      <c r="BN26" s="73">
        <f>+BL26+BM26</f>
        <v>3155</v>
      </c>
      <c r="BO26" s="74">
        <v>1264.8400000000001</v>
      </c>
      <c r="BP26" s="74">
        <v>1984.81</v>
      </c>
      <c r="BQ26" s="74"/>
      <c r="BR26" s="73">
        <v>1315.4336000000003</v>
      </c>
      <c r="BS26" s="73">
        <v>2064.2024000000001</v>
      </c>
      <c r="BT26" s="73">
        <f>+BR26+BS26</f>
        <v>3379.6360000000004</v>
      </c>
      <c r="BU26" s="74">
        <v>1381.2052800000004</v>
      </c>
      <c r="BV26" s="74">
        <v>2167.4125200000003</v>
      </c>
      <c r="BW26" s="75">
        <f>+BU26+BV26</f>
        <v>3548.6178000000009</v>
      </c>
      <c r="BX26" s="173">
        <v>12666</v>
      </c>
      <c r="BY26" s="174">
        <v>11110</v>
      </c>
      <c r="BZ26" s="174">
        <v>23776</v>
      </c>
      <c r="CA26" s="175">
        <v>5595</v>
      </c>
      <c r="CB26" s="175">
        <v>4868</v>
      </c>
      <c r="CC26" s="175">
        <v>10463</v>
      </c>
      <c r="CD26" s="174">
        <v>2194</v>
      </c>
      <c r="CE26" s="174">
        <v>1383</v>
      </c>
      <c r="CF26" s="174">
        <v>3577</v>
      </c>
      <c r="CG26" s="175">
        <v>2199</v>
      </c>
      <c r="CH26" s="175">
        <v>2344</v>
      </c>
      <c r="CI26" s="176">
        <v>4543</v>
      </c>
      <c r="CJ26" s="47">
        <v>3382</v>
      </c>
      <c r="CK26" s="114">
        <v>3995</v>
      </c>
      <c r="CL26" s="114">
        <f>+CJ26+CK26</f>
        <v>7377</v>
      </c>
      <c r="CM26" s="115">
        <v>5309</v>
      </c>
      <c r="CN26" s="115">
        <v>5309</v>
      </c>
      <c r="CO26" s="115">
        <f>+CM26+CN26</f>
        <v>10618</v>
      </c>
      <c r="CP26" s="114">
        <v>6370</v>
      </c>
      <c r="CQ26" s="114">
        <v>6370</v>
      </c>
      <c r="CR26" s="114">
        <f>+CP26+CQ26</f>
        <v>12740</v>
      </c>
      <c r="CS26" s="115">
        <v>5521</v>
      </c>
      <c r="CT26" s="115">
        <v>5981</v>
      </c>
      <c r="CU26" s="116">
        <f>+CS26+CT26</f>
        <v>11502</v>
      </c>
    </row>
    <row r="27" spans="1:99" s="13" customFormat="1" ht="60.75" thickBot="1">
      <c r="A27" s="700"/>
      <c r="B27" s="703"/>
      <c r="C27" s="33" t="s">
        <v>43</v>
      </c>
      <c r="D27" s="37">
        <f t="shared" si="27"/>
        <v>37384</v>
      </c>
      <c r="E27" s="38">
        <f>SUM(Q27,AC27,AO27,BA27,BM27,BY27,CK27)</f>
        <v>42030</v>
      </c>
      <c r="F27" s="38">
        <f>SUM(R27,AD27,AP27,BB27,BN27,BZ27,CL27)</f>
        <v>79414</v>
      </c>
      <c r="G27" s="39">
        <f t="shared" si="28"/>
        <v>40613.745999999999</v>
      </c>
      <c r="H27" s="39">
        <f>SUM(T27,AF27,AR27,BD27,BP27,CB27,CN27)</f>
        <v>42998.396500000003</v>
      </c>
      <c r="I27" s="39">
        <f>SUM(U27,AG27,AS27,BE27,BQ27,CC27,CO27)</f>
        <v>83612.142500000002</v>
      </c>
      <c r="J27" s="38">
        <f t="shared" si="29"/>
        <v>47434.091520000002</v>
      </c>
      <c r="K27" s="38">
        <f>SUM(W27,AI27,AU27,BG27,BS27,CE27,CQ27)</f>
        <v>50597.758679999999</v>
      </c>
      <c r="L27" s="38">
        <f>SUM(X27,AJ27,AV27,BH27,BT27,CF27,CR27)</f>
        <v>98031.850200000001</v>
      </c>
      <c r="M27" s="39">
        <f t="shared" si="30"/>
        <v>43078.881095999997</v>
      </c>
      <c r="N27" s="39">
        <f>SUM(Z27,AL27,AX27,BJ27,BV27,CH27,CT27)</f>
        <v>46340.057113999996</v>
      </c>
      <c r="O27" s="46">
        <f>SUM(AA27,AM27,AY27,BK27,BW27,CI27,CU27)</f>
        <v>89418.938209999993</v>
      </c>
      <c r="P27" s="41">
        <v>1857</v>
      </c>
      <c r="Q27" s="42">
        <v>2014</v>
      </c>
      <c r="R27" s="42">
        <f>P27+Q27</f>
        <v>3871</v>
      </c>
      <c r="S27" s="43">
        <v>2400</v>
      </c>
      <c r="T27" s="43">
        <v>3150</v>
      </c>
      <c r="U27" s="43">
        <f>+S27+T27</f>
        <v>5550</v>
      </c>
      <c r="V27" s="42">
        <v>2650</v>
      </c>
      <c r="W27" s="42">
        <v>3200</v>
      </c>
      <c r="X27" s="42">
        <f>+V27+W27</f>
        <v>5850</v>
      </c>
      <c r="Y27" s="43">
        <v>2700</v>
      </c>
      <c r="Z27" s="43">
        <v>3300</v>
      </c>
      <c r="AA27" s="44">
        <f>+Y27+Z27</f>
        <v>6000</v>
      </c>
      <c r="AB27" s="45">
        <v>7812</v>
      </c>
      <c r="AC27" s="86">
        <v>8344</v>
      </c>
      <c r="AD27" s="86">
        <v>16156</v>
      </c>
      <c r="AE27" s="87">
        <v>8281</v>
      </c>
      <c r="AF27" s="87">
        <v>9490</v>
      </c>
      <c r="AG27" s="87">
        <v>17771</v>
      </c>
      <c r="AH27" s="86">
        <v>8750</v>
      </c>
      <c r="AI27" s="86">
        <v>10636</v>
      </c>
      <c r="AJ27" s="86">
        <v>19386</v>
      </c>
      <c r="AK27" s="87">
        <v>9219</v>
      </c>
      <c r="AL27" s="87">
        <v>11782</v>
      </c>
      <c r="AM27" s="88">
        <v>21001</v>
      </c>
      <c r="AN27" s="94">
        <v>5809</v>
      </c>
      <c r="AO27" s="95">
        <v>7001</v>
      </c>
      <c r="AP27" s="95">
        <v>12810</v>
      </c>
      <c r="AQ27" s="96">
        <v>7200</v>
      </c>
      <c r="AR27" s="96">
        <v>7800</v>
      </c>
      <c r="AS27" s="96">
        <v>15000</v>
      </c>
      <c r="AT27" s="95">
        <v>10000</v>
      </c>
      <c r="AU27" s="95">
        <v>10700</v>
      </c>
      <c r="AV27" s="95">
        <v>20700</v>
      </c>
      <c r="AW27" s="96">
        <v>11500</v>
      </c>
      <c r="AX27" s="96">
        <v>12000</v>
      </c>
      <c r="AY27" s="97">
        <v>23500</v>
      </c>
      <c r="AZ27" s="45">
        <v>816</v>
      </c>
      <c r="BA27" s="86">
        <v>1091</v>
      </c>
      <c r="BB27" s="86">
        <v>1907</v>
      </c>
      <c r="BC27" s="87">
        <f>100+AZ27</f>
        <v>916</v>
      </c>
      <c r="BD27" s="87">
        <f>200+BA27</f>
        <v>1291</v>
      </c>
      <c r="BE27" s="87">
        <f>BC27+BD27</f>
        <v>2207</v>
      </c>
      <c r="BF27" s="86">
        <f>100+BC27</f>
        <v>1016</v>
      </c>
      <c r="BG27" s="86">
        <f>200+BD27</f>
        <v>1491</v>
      </c>
      <c r="BH27" s="86">
        <f>BF27+BG27</f>
        <v>2507</v>
      </c>
      <c r="BI27" s="87">
        <f>100+BF27</f>
        <v>1116</v>
      </c>
      <c r="BJ27" s="87">
        <f>200+BG27</f>
        <v>1691</v>
      </c>
      <c r="BK27" s="88">
        <f>BI27+BJ27</f>
        <v>2807</v>
      </c>
      <c r="BL27" s="41">
        <v>3548</v>
      </c>
      <c r="BM27" s="71">
        <v>4828</v>
      </c>
      <c r="BN27" s="71">
        <f>+BL27+BM27</f>
        <v>8376</v>
      </c>
      <c r="BO27" s="72">
        <v>3639.7460000000001</v>
      </c>
      <c r="BP27" s="72">
        <v>3845.3965000000007</v>
      </c>
      <c r="BQ27" s="72">
        <f>+BO27+BP27</f>
        <v>7485.1425000000008</v>
      </c>
      <c r="BR27" s="71">
        <v>3641.0915199999999</v>
      </c>
      <c r="BS27" s="71">
        <v>3686.7586799999999</v>
      </c>
      <c r="BT27" s="71">
        <f>+BR27+BS27</f>
        <v>7327.8501999999999</v>
      </c>
      <c r="BU27" s="72">
        <v>3568.8810960000001</v>
      </c>
      <c r="BV27" s="72">
        <v>3551.0571139999997</v>
      </c>
      <c r="BW27" s="76">
        <f>+BU27+BV27</f>
        <v>7119.9382100000003</v>
      </c>
      <c r="BX27" s="169">
        <v>8502</v>
      </c>
      <c r="BY27" s="170">
        <v>8529</v>
      </c>
      <c r="BZ27" s="170">
        <v>17031</v>
      </c>
      <c r="CA27" s="171">
        <v>9443</v>
      </c>
      <c r="CB27" s="171">
        <v>8688</v>
      </c>
      <c r="CC27" s="171">
        <v>18131</v>
      </c>
      <c r="CD27" s="170">
        <v>10897</v>
      </c>
      <c r="CE27" s="170">
        <v>10404</v>
      </c>
      <c r="CF27" s="170">
        <v>21301</v>
      </c>
      <c r="CG27" s="171">
        <v>12049</v>
      </c>
      <c r="CH27" s="171">
        <v>10847</v>
      </c>
      <c r="CI27" s="172">
        <v>22896</v>
      </c>
      <c r="CJ27" s="41">
        <v>9040</v>
      </c>
      <c r="CK27" s="120">
        <v>10223</v>
      </c>
      <c r="CL27" s="120">
        <f>+CJ27+CK27</f>
        <v>19263</v>
      </c>
      <c r="CM27" s="121">
        <v>8734</v>
      </c>
      <c r="CN27" s="121">
        <v>8734</v>
      </c>
      <c r="CO27" s="121">
        <f>+CM27+CN27</f>
        <v>17468</v>
      </c>
      <c r="CP27" s="120">
        <v>10480</v>
      </c>
      <c r="CQ27" s="120">
        <v>10480</v>
      </c>
      <c r="CR27" s="120">
        <f>+CP27+CQ27</f>
        <v>20960</v>
      </c>
      <c r="CS27" s="121">
        <v>2926</v>
      </c>
      <c r="CT27" s="121">
        <v>3169</v>
      </c>
      <c r="CU27" s="122">
        <f>+CS27+CT27</f>
        <v>6095</v>
      </c>
    </row>
    <row r="28" spans="1:99" s="13" customFormat="1" ht="72">
      <c r="A28" s="700"/>
      <c r="B28" s="34" t="s">
        <v>30</v>
      </c>
      <c r="C28" s="32" t="s">
        <v>44</v>
      </c>
      <c r="D28" s="640">
        <f t="shared" si="27"/>
        <v>1739</v>
      </c>
      <c r="E28" s="641"/>
      <c r="F28" s="642"/>
      <c r="G28" s="622">
        <f t="shared" si="28"/>
        <v>1750</v>
      </c>
      <c r="H28" s="623"/>
      <c r="I28" s="643"/>
      <c r="J28" s="640">
        <f t="shared" si="29"/>
        <v>2094</v>
      </c>
      <c r="K28" s="641"/>
      <c r="L28" s="642"/>
      <c r="M28" s="622">
        <f t="shared" si="30"/>
        <v>2731</v>
      </c>
      <c r="N28" s="623"/>
      <c r="O28" s="623"/>
      <c r="P28" s="591">
        <v>59</v>
      </c>
      <c r="Q28" s="592"/>
      <c r="R28" s="593"/>
      <c r="S28" s="594">
        <v>80</v>
      </c>
      <c r="T28" s="595"/>
      <c r="U28" s="596"/>
      <c r="V28" s="597">
        <v>90</v>
      </c>
      <c r="W28" s="592"/>
      <c r="X28" s="593"/>
      <c r="Y28" s="594">
        <v>100</v>
      </c>
      <c r="Z28" s="595"/>
      <c r="AA28" s="598"/>
      <c r="AB28" s="607">
        <v>222</v>
      </c>
      <c r="AC28" s="615"/>
      <c r="AD28" s="616"/>
      <c r="AE28" s="588">
        <v>272</v>
      </c>
      <c r="AF28" s="589"/>
      <c r="AG28" s="610"/>
      <c r="AH28" s="611">
        <v>322</v>
      </c>
      <c r="AI28" s="615"/>
      <c r="AJ28" s="616"/>
      <c r="AK28" s="588">
        <v>372</v>
      </c>
      <c r="AL28" s="589"/>
      <c r="AM28" s="590"/>
      <c r="AN28" s="841">
        <v>351</v>
      </c>
      <c r="AO28" s="842"/>
      <c r="AP28" s="843"/>
      <c r="AQ28" s="612">
        <v>85</v>
      </c>
      <c r="AR28" s="613"/>
      <c r="AS28" s="620"/>
      <c r="AT28" s="621">
        <v>115</v>
      </c>
      <c r="AU28" s="618"/>
      <c r="AV28" s="619"/>
      <c r="AW28" s="612">
        <v>200</v>
      </c>
      <c r="AX28" s="613"/>
      <c r="AY28" s="614"/>
      <c r="AZ28" s="607">
        <v>67</v>
      </c>
      <c r="BA28" s="615"/>
      <c r="BB28" s="616"/>
      <c r="BC28" s="588">
        <f>85+11</f>
        <v>96</v>
      </c>
      <c r="BD28" s="589"/>
      <c r="BE28" s="610"/>
      <c r="BF28" s="611">
        <v>105</v>
      </c>
      <c r="BG28" s="615"/>
      <c r="BH28" s="616"/>
      <c r="BI28" s="588">
        <f>144</f>
        <v>144</v>
      </c>
      <c r="BJ28" s="589"/>
      <c r="BK28" s="590"/>
      <c r="BL28" s="591">
        <v>52</v>
      </c>
      <c r="BM28" s="592"/>
      <c r="BN28" s="593"/>
      <c r="BO28" s="594">
        <v>54</v>
      </c>
      <c r="BP28" s="595"/>
      <c r="BQ28" s="596"/>
      <c r="BR28" s="597">
        <v>60</v>
      </c>
      <c r="BS28" s="592"/>
      <c r="BT28" s="593"/>
      <c r="BU28" s="594">
        <v>66</v>
      </c>
      <c r="BV28" s="595"/>
      <c r="BW28" s="598"/>
      <c r="BX28" s="607">
        <v>591</v>
      </c>
      <c r="BY28" s="608"/>
      <c r="BZ28" s="609"/>
      <c r="CA28" s="847">
        <v>663</v>
      </c>
      <c r="CB28" s="784"/>
      <c r="CC28" s="785"/>
      <c r="CD28" s="611">
        <v>732</v>
      </c>
      <c r="CE28" s="608"/>
      <c r="CF28" s="609"/>
      <c r="CG28" s="847">
        <v>900</v>
      </c>
      <c r="CH28" s="784"/>
      <c r="CI28" s="786"/>
      <c r="CJ28" s="591">
        <v>397</v>
      </c>
      <c r="CK28" s="592"/>
      <c r="CL28" s="593"/>
      <c r="CM28" s="594">
        <v>500</v>
      </c>
      <c r="CN28" s="595"/>
      <c r="CO28" s="596"/>
      <c r="CP28" s="597">
        <v>670</v>
      </c>
      <c r="CQ28" s="592"/>
      <c r="CR28" s="593"/>
      <c r="CS28" s="594">
        <v>949</v>
      </c>
      <c r="CT28" s="595"/>
      <c r="CU28" s="598"/>
    </row>
    <row r="29" spans="1:99" s="13" customFormat="1" ht="60.75" thickBot="1">
      <c r="A29" s="700"/>
      <c r="B29" s="35"/>
      <c r="C29" s="36" t="s">
        <v>45</v>
      </c>
      <c r="D29" s="658">
        <f t="shared" si="27"/>
        <v>1446</v>
      </c>
      <c r="E29" s="659"/>
      <c r="F29" s="660"/>
      <c r="G29" s="677">
        <f t="shared" si="28"/>
        <v>1923</v>
      </c>
      <c r="H29" s="678"/>
      <c r="I29" s="706"/>
      <c r="J29" s="658">
        <f t="shared" si="29"/>
        <v>1950</v>
      </c>
      <c r="K29" s="659"/>
      <c r="L29" s="660"/>
      <c r="M29" s="677">
        <f t="shared" si="30"/>
        <v>2203</v>
      </c>
      <c r="N29" s="678"/>
      <c r="O29" s="678"/>
      <c r="P29" s="627">
        <v>10</v>
      </c>
      <c r="Q29" s="628"/>
      <c r="R29" s="629"/>
      <c r="S29" s="630">
        <v>50</v>
      </c>
      <c r="T29" s="631"/>
      <c r="U29" s="632"/>
      <c r="V29" s="633">
        <v>50</v>
      </c>
      <c r="W29" s="628"/>
      <c r="X29" s="629"/>
      <c r="Y29" s="630">
        <v>55</v>
      </c>
      <c r="Z29" s="631"/>
      <c r="AA29" s="634"/>
      <c r="AB29" s="644">
        <v>522</v>
      </c>
      <c r="AC29" s="653"/>
      <c r="AD29" s="654"/>
      <c r="AE29" s="624">
        <v>567</v>
      </c>
      <c r="AF29" s="655"/>
      <c r="AG29" s="656"/>
      <c r="AH29" s="649">
        <v>612</v>
      </c>
      <c r="AI29" s="653"/>
      <c r="AJ29" s="654"/>
      <c r="AK29" s="624">
        <v>650</v>
      </c>
      <c r="AL29" s="655"/>
      <c r="AM29" s="657"/>
      <c r="AN29" s="844"/>
      <c r="AO29" s="845"/>
      <c r="AP29" s="846"/>
      <c r="AQ29" s="650">
        <v>350</v>
      </c>
      <c r="AR29" s="651"/>
      <c r="AS29" s="675"/>
      <c r="AT29" s="676">
        <v>402</v>
      </c>
      <c r="AU29" s="673"/>
      <c r="AV29" s="674"/>
      <c r="AW29" s="650">
        <v>500</v>
      </c>
      <c r="AX29" s="651"/>
      <c r="AY29" s="652"/>
      <c r="AZ29" s="644">
        <v>70</v>
      </c>
      <c r="BA29" s="653"/>
      <c r="BB29" s="654"/>
      <c r="BC29" s="624">
        <f>96</f>
        <v>96</v>
      </c>
      <c r="BD29" s="655"/>
      <c r="BE29" s="656"/>
      <c r="BF29" s="649">
        <f>108</f>
        <v>108</v>
      </c>
      <c r="BG29" s="653"/>
      <c r="BH29" s="654"/>
      <c r="BI29" s="624">
        <f>145</f>
        <v>145</v>
      </c>
      <c r="BJ29" s="655"/>
      <c r="BK29" s="657"/>
      <c r="BL29" s="627"/>
      <c r="BM29" s="628"/>
      <c r="BN29" s="629"/>
      <c r="BO29" s="630">
        <v>25</v>
      </c>
      <c r="BP29" s="631"/>
      <c r="BQ29" s="632"/>
      <c r="BR29" s="633">
        <v>25</v>
      </c>
      <c r="BS29" s="628"/>
      <c r="BT29" s="629"/>
      <c r="BU29" s="630">
        <v>25</v>
      </c>
      <c r="BV29" s="631"/>
      <c r="BW29" s="634"/>
      <c r="BX29" s="644">
        <v>591</v>
      </c>
      <c r="BY29" s="645"/>
      <c r="BZ29" s="646"/>
      <c r="CA29" s="647">
        <v>535</v>
      </c>
      <c r="CB29" s="625"/>
      <c r="CC29" s="648"/>
      <c r="CD29" s="649">
        <v>549</v>
      </c>
      <c r="CE29" s="645"/>
      <c r="CF29" s="646"/>
      <c r="CG29" s="647">
        <v>723</v>
      </c>
      <c r="CH29" s="625"/>
      <c r="CI29" s="626"/>
      <c r="CJ29" s="627">
        <v>253</v>
      </c>
      <c r="CK29" s="628"/>
      <c r="CL29" s="629"/>
      <c r="CM29" s="630">
        <v>300</v>
      </c>
      <c r="CN29" s="631"/>
      <c r="CO29" s="632"/>
      <c r="CP29" s="633">
        <v>204</v>
      </c>
      <c r="CQ29" s="628"/>
      <c r="CR29" s="629"/>
      <c r="CS29" s="630">
        <v>105</v>
      </c>
      <c r="CT29" s="631"/>
      <c r="CU29" s="634"/>
    </row>
    <row r="30" spans="1:99" s="13" customFormat="1" ht="60">
      <c r="A30" s="700"/>
      <c r="B30" s="702" t="s">
        <v>31</v>
      </c>
      <c r="C30" s="32" t="s">
        <v>46</v>
      </c>
      <c r="D30" s="17">
        <f t="shared" si="27"/>
        <v>35953</v>
      </c>
      <c r="E30" s="17">
        <f>SUM(Q30,AC30,AO30,BA30,BM30,BY30,CK30)</f>
        <v>39452</v>
      </c>
      <c r="F30" s="17">
        <f>SUM(R30,AD30,AP30,BB30,BN30,BZ30,CL30)</f>
        <v>75405</v>
      </c>
      <c r="G30" s="19">
        <f t="shared" si="28"/>
        <v>60347.896000000001</v>
      </c>
      <c r="H30" s="19">
        <f>SUM(T30,AF30,AR30,BD30,BP30,CB30,CN30)</f>
        <v>68143.754000000001</v>
      </c>
      <c r="I30" s="19">
        <f>SUM(U30,AG30,AS30,BE30,BQ30,CC30,CO30)</f>
        <v>128491.65</v>
      </c>
      <c r="J30" s="17">
        <f t="shared" si="29"/>
        <v>56516.46</v>
      </c>
      <c r="K30" s="17">
        <f>SUM(W30,AI30,AU30,BG30,BS30,CE30,CQ30)</f>
        <v>63596.59</v>
      </c>
      <c r="L30" s="17">
        <f>SUM(X30,AJ30,AV30,BH30,BT30,CF30,CR30)</f>
        <v>120113.05</v>
      </c>
      <c r="M30" s="19">
        <f t="shared" si="30"/>
        <v>68914.527999999991</v>
      </c>
      <c r="N30" s="19">
        <f>SUM(Z30,AL30,AX30,BJ30,BV30,CH30,CT30)</f>
        <v>76223.358000000007</v>
      </c>
      <c r="O30" s="18">
        <f>SUM(AA30,AM30,AY30,BK30,BW30,CI30,CU30)</f>
        <v>145137.886</v>
      </c>
      <c r="P30" s="47"/>
      <c r="Q30" s="20"/>
      <c r="R30" s="20"/>
      <c r="S30" s="21">
        <v>440</v>
      </c>
      <c r="T30" s="21">
        <v>560</v>
      </c>
      <c r="U30" s="21">
        <f>+S30+T30</f>
        <v>1000</v>
      </c>
      <c r="V30" s="20">
        <v>528</v>
      </c>
      <c r="W30" s="20">
        <v>672</v>
      </c>
      <c r="X30" s="20">
        <f>+V30+W30</f>
        <v>1200</v>
      </c>
      <c r="Y30" s="21">
        <v>572</v>
      </c>
      <c r="Z30" s="21">
        <v>728</v>
      </c>
      <c r="AA30" s="22">
        <f>+Y30+Z30</f>
        <v>1300</v>
      </c>
      <c r="AB30" s="48">
        <v>10625</v>
      </c>
      <c r="AC30" s="80">
        <v>11628</v>
      </c>
      <c r="AD30" s="80">
        <v>22253</v>
      </c>
      <c r="AE30" s="81">
        <v>10933</v>
      </c>
      <c r="AF30" s="81">
        <v>11949</v>
      </c>
      <c r="AG30" s="81">
        <v>22882</v>
      </c>
      <c r="AH30" s="80">
        <v>11241</v>
      </c>
      <c r="AI30" s="80">
        <v>12270</v>
      </c>
      <c r="AJ30" s="80">
        <v>23511</v>
      </c>
      <c r="AK30" s="81">
        <v>11549</v>
      </c>
      <c r="AL30" s="81">
        <v>12591</v>
      </c>
      <c r="AM30" s="82">
        <v>24140</v>
      </c>
      <c r="AN30" s="98"/>
      <c r="AO30" s="99"/>
      <c r="AP30" s="99"/>
      <c r="AQ30" s="100">
        <v>12200</v>
      </c>
      <c r="AR30" s="100">
        <v>14000</v>
      </c>
      <c r="AS30" s="100">
        <v>26200</v>
      </c>
      <c r="AT30" s="99">
        <v>13800</v>
      </c>
      <c r="AU30" s="99">
        <v>15200</v>
      </c>
      <c r="AV30" s="99">
        <v>29000</v>
      </c>
      <c r="AW30" s="100">
        <v>19000</v>
      </c>
      <c r="AX30" s="100">
        <v>20000</v>
      </c>
      <c r="AY30" s="102">
        <v>39000</v>
      </c>
      <c r="AZ30" s="48"/>
      <c r="BA30" s="80"/>
      <c r="BB30" s="80"/>
      <c r="BC30" s="81">
        <f>4324</f>
        <v>4324</v>
      </c>
      <c r="BD30" s="81">
        <f>BD11</f>
        <v>5378</v>
      </c>
      <c r="BE30" s="81">
        <f>BC30+BD30</f>
        <v>9702</v>
      </c>
      <c r="BF30" s="80">
        <f>3878+264</f>
        <v>4142</v>
      </c>
      <c r="BG30" s="80">
        <f>4669+396</f>
        <v>5065</v>
      </c>
      <c r="BH30" s="80">
        <f>BF30+BG30</f>
        <v>9207</v>
      </c>
      <c r="BI30" s="81">
        <f>BI11</f>
        <v>4968</v>
      </c>
      <c r="BJ30" s="81">
        <f xml:space="preserve"> BJ11</f>
        <v>7578</v>
      </c>
      <c r="BK30" s="82">
        <f>BI30+BJ30</f>
        <v>12546</v>
      </c>
      <c r="BL30" s="47"/>
      <c r="BM30" s="73"/>
      <c r="BN30" s="73"/>
      <c r="BO30" s="74">
        <v>2758.8959999999997</v>
      </c>
      <c r="BP30" s="74">
        <v>3141.7539999999999</v>
      </c>
      <c r="BQ30" s="74">
        <f>+BO30+BP30</f>
        <v>5900.65</v>
      </c>
      <c r="BR30" s="73">
        <v>2777.4599999999996</v>
      </c>
      <c r="BS30" s="73">
        <v>3068.5899999999997</v>
      </c>
      <c r="BT30" s="73">
        <f>+BR30+BS30</f>
        <v>5846.0499999999993</v>
      </c>
      <c r="BU30" s="74">
        <v>2754.5279999999998</v>
      </c>
      <c r="BV30" s="74">
        <v>3018.3579999999997</v>
      </c>
      <c r="BW30" s="75">
        <f>+BU30+BV30</f>
        <v>5772.8859999999995</v>
      </c>
      <c r="BX30" s="173">
        <v>9391</v>
      </c>
      <c r="BY30" s="174">
        <v>10464</v>
      </c>
      <c r="BZ30" s="174">
        <v>19855</v>
      </c>
      <c r="CA30" s="175">
        <v>14392</v>
      </c>
      <c r="CB30" s="175">
        <v>17815</v>
      </c>
      <c r="CC30" s="175">
        <v>32207</v>
      </c>
      <c r="CD30" s="174">
        <v>13430</v>
      </c>
      <c r="CE30" s="174">
        <v>16723</v>
      </c>
      <c r="CF30" s="174">
        <v>30153</v>
      </c>
      <c r="CG30" s="175">
        <v>14771</v>
      </c>
      <c r="CH30" s="175">
        <v>17008</v>
      </c>
      <c r="CI30" s="176">
        <v>31779</v>
      </c>
      <c r="CJ30" s="47">
        <v>15937</v>
      </c>
      <c r="CK30" s="114">
        <v>17360</v>
      </c>
      <c r="CL30" s="114">
        <f>+CJ30+CK30</f>
        <v>33297</v>
      </c>
      <c r="CM30" s="115">
        <v>15300</v>
      </c>
      <c r="CN30" s="115">
        <v>15300</v>
      </c>
      <c r="CO30" s="115">
        <f>+CM30+CN30</f>
        <v>30600</v>
      </c>
      <c r="CP30" s="114">
        <v>10598</v>
      </c>
      <c r="CQ30" s="114">
        <v>10598</v>
      </c>
      <c r="CR30" s="114">
        <f>+CP30+CQ30</f>
        <v>21196</v>
      </c>
      <c r="CS30" s="115">
        <v>15300</v>
      </c>
      <c r="CT30" s="115">
        <v>15300</v>
      </c>
      <c r="CU30" s="116">
        <f>+CS30+CT30</f>
        <v>30600</v>
      </c>
    </row>
    <row r="31" spans="1:99" s="13" customFormat="1" ht="36.75" thickBot="1">
      <c r="A31" s="700"/>
      <c r="B31" s="703"/>
      <c r="C31" s="33" t="s">
        <v>32</v>
      </c>
      <c r="D31" s="658">
        <f t="shared" si="27"/>
        <v>909</v>
      </c>
      <c r="E31" s="659"/>
      <c r="F31" s="660"/>
      <c r="G31" s="677">
        <f t="shared" si="28"/>
        <v>940</v>
      </c>
      <c r="H31" s="678"/>
      <c r="I31" s="706"/>
      <c r="J31" s="658">
        <f t="shared" si="29"/>
        <v>995</v>
      </c>
      <c r="K31" s="659"/>
      <c r="L31" s="660"/>
      <c r="M31" s="677">
        <f t="shared" si="30"/>
        <v>1201</v>
      </c>
      <c r="N31" s="678"/>
      <c r="O31" s="678"/>
      <c r="P31" s="627">
        <v>104</v>
      </c>
      <c r="Q31" s="628"/>
      <c r="R31" s="629"/>
      <c r="S31" s="630">
        <v>42</v>
      </c>
      <c r="T31" s="631"/>
      <c r="U31" s="632"/>
      <c r="V31" s="633">
        <v>47</v>
      </c>
      <c r="W31" s="628"/>
      <c r="X31" s="629"/>
      <c r="Y31" s="630">
        <v>52</v>
      </c>
      <c r="Z31" s="631"/>
      <c r="AA31" s="634"/>
      <c r="AB31" s="644">
        <v>162</v>
      </c>
      <c r="AC31" s="653"/>
      <c r="AD31" s="654"/>
      <c r="AE31" s="624">
        <v>182</v>
      </c>
      <c r="AF31" s="655"/>
      <c r="AG31" s="656"/>
      <c r="AH31" s="649">
        <v>191</v>
      </c>
      <c r="AI31" s="653"/>
      <c r="AJ31" s="654"/>
      <c r="AK31" s="624">
        <v>200</v>
      </c>
      <c r="AL31" s="655"/>
      <c r="AM31" s="657"/>
      <c r="AN31" s="672">
        <v>33</v>
      </c>
      <c r="AO31" s="673"/>
      <c r="AP31" s="674"/>
      <c r="AQ31" s="650">
        <v>71</v>
      </c>
      <c r="AR31" s="651"/>
      <c r="AS31" s="675"/>
      <c r="AT31" s="676">
        <v>80</v>
      </c>
      <c r="AU31" s="673"/>
      <c r="AV31" s="674"/>
      <c r="AW31" s="650">
        <v>175</v>
      </c>
      <c r="AX31" s="651"/>
      <c r="AY31" s="652"/>
      <c r="AZ31" s="644"/>
      <c r="BA31" s="653"/>
      <c r="BB31" s="654"/>
      <c r="BC31" s="624">
        <f>70</f>
        <v>70</v>
      </c>
      <c r="BD31" s="655"/>
      <c r="BE31" s="656"/>
      <c r="BF31" s="649">
        <v>73</v>
      </c>
      <c r="BG31" s="653"/>
      <c r="BH31" s="654"/>
      <c r="BI31" s="624">
        <f>140</f>
        <v>140</v>
      </c>
      <c r="BJ31" s="655"/>
      <c r="BK31" s="657"/>
      <c r="BL31" s="627">
        <v>0</v>
      </c>
      <c r="BM31" s="628"/>
      <c r="BN31" s="629"/>
      <c r="BO31" s="630">
        <v>20</v>
      </c>
      <c r="BP31" s="631"/>
      <c r="BQ31" s="632"/>
      <c r="BR31" s="633">
        <v>25</v>
      </c>
      <c r="BS31" s="628"/>
      <c r="BT31" s="629"/>
      <c r="BU31" s="630">
        <v>30</v>
      </c>
      <c r="BV31" s="631"/>
      <c r="BW31" s="634"/>
      <c r="BX31" s="644">
        <v>320</v>
      </c>
      <c r="BY31" s="645"/>
      <c r="BZ31" s="646"/>
      <c r="CA31" s="647">
        <v>255</v>
      </c>
      <c r="CB31" s="625"/>
      <c r="CC31" s="648"/>
      <c r="CD31" s="649">
        <v>254</v>
      </c>
      <c r="CE31" s="645"/>
      <c r="CF31" s="646"/>
      <c r="CG31" s="624">
        <v>304</v>
      </c>
      <c r="CH31" s="625"/>
      <c r="CI31" s="626"/>
      <c r="CJ31" s="627">
        <v>290</v>
      </c>
      <c r="CK31" s="628"/>
      <c r="CL31" s="629"/>
      <c r="CM31" s="630">
        <v>300</v>
      </c>
      <c r="CN31" s="631"/>
      <c r="CO31" s="632"/>
      <c r="CP31" s="633">
        <v>325</v>
      </c>
      <c r="CQ31" s="628"/>
      <c r="CR31" s="629"/>
      <c r="CS31" s="630">
        <v>300</v>
      </c>
      <c r="CT31" s="631"/>
      <c r="CU31" s="634"/>
    </row>
    <row r="32" spans="1:99" s="13" customFormat="1" ht="36">
      <c r="A32" s="700"/>
      <c r="B32" s="635" t="s">
        <v>33</v>
      </c>
      <c r="C32" s="32" t="s">
        <v>34</v>
      </c>
      <c r="D32" s="640">
        <f t="shared" si="27"/>
        <v>7090</v>
      </c>
      <c r="E32" s="641"/>
      <c r="F32" s="642"/>
      <c r="G32" s="622">
        <f t="shared" si="28"/>
        <v>7322</v>
      </c>
      <c r="H32" s="623"/>
      <c r="I32" s="643"/>
      <c r="J32" s="640">
        <f t="shared" si="29"/>
        <v>7629.1</v>
      </c>
      <c r="K32" s="641"/>
      <c r="L32" s="642"/>
      <c r="M32" s="622">
        <f t="shared" si="30"/>
        <v>8636</v>
      </c>
      <c r="N32" s="623"/>
      <c r="O32" s="623"/>
      <c r="P32" s="591">
        <v>736</v>
      </c>
      <c r="Q32" s="592"/>
      <c r="R32" s="593"/>
      <c r="S32" s="594">
        <v>800</v>
      </c>
      <c r="T32" s="595"/>
      <c r="U32" s="596"/>
      <c r="V32" s="597">
        <v>880</v>
      </c>
      <c r="W32" s="592"/>
      <c r="X32" s="593"/>
      <c r="Y32" s="594">
        <v>930</v>
      </c>
      <c r="Z32" s="595"/>
      <c r="AA32" s="598"/>
      <c r="AB32" s="607">
        <v>1559</v>
      </c>
      <c r="AC32" s="615"/>
      <c r="AD32" s="616"/>
      <c r="AE32" s="588">
        <v>1628</v>
      </c>
      <c r="AF32" s="589"/>
      <c r="AG32" s="610"/>
      <c r="AH32" s="611">
        <v>1662</v>
      </c>
      <c r="AI32" s="615"/>
      <c r="AJ32" s="616"/>
      <c r="AK32" s="588">
        <v>1992</v>
      </c>
      <c r="AL32" s="589"/>
      <c r="AM32" s="590"/>
      <c r="AN32" s="617">
        <v>861</v>
      </c>
      <c r="AO32" s="618"/>
      <c r="AP32" s="619"/>
      <c r="AQ32" s="612">
        <v>934</v>
      </c>
      <c r="AR32" s="613"/>
      <c r="AS32" s="620"/>
      <c r="AT32" s="621">
        <v>1000</v>
      </c>
      <c r="AU32" s="618"/>
      <c r="AV32" s="619"/>
      <c r="AW32" s="612">
        <v>1100</v>
      </c>
      <c r="AX32" s="613"/>
      <c r="AY32" s="614"/>
      <c r="AZ32" s="607">
        <v>289</v>
      </c>
      <c r="BA32" s="615"/>
      <c r="BB32" s="616"/>
      <c r="BC32" s="588">
        <f>381</f>
        <v>381</v>
      </c>
      <c r="BD32" s="589"/>
      <c r="BE32" s="610"/>
      <c r="BF32" s="611">
        <f>376+60</f>
        <v>436</v>
      </c>
      <c r="BG32" s="615"/>
      <c r="BH32" s="616"/>
      <c r="BI32" s="588">
        <f>BF32+110</f>
        <v>546</v>
      </c>
      <c r="BJ32" s="589"/>
      <c r="BK32" s="590"/>
      <c r="BL32" s="591">
        <v>664</v>
      </c>
      <c r="BM32" s="592"/>
      <c r="BN32" s="593"/>
      <c r="BO32" s="594">
        <v>665</v>
      </c>
      <c r="BP32" s="595"/>
      <c r="BQ32" s="596"/>
      <c r="BR32" s="597">
        <v>704</v>
      </c>
      <c r="BS32" s="592"/>
      <c r="BT32" s="593"/>
      <c r="BU32" s="594">
        <v>740</v>
      </c>
      <c r="BV32" s="595"/>
      <c r="BW32" s="598"/>
      <c r="BX32" s="607">
        <v>1906</v>
      </c>
      <c r="BY32" s="608"/>
      <c r="BZ32" s="609"/>
      <c r="CA32" s="588">
        <v>1886</v>
      </c>
      <c r="CB32" s="589"/>
      <c r="CC32" s="610"/>
      <c r="CD32" s="611">
        <v>1917.1</v>
      </c>
      <c r="CE32" s="608"/>
      <c r="CF32" s="609"/>
      <c r="CG32" s="588">
        <v>2468</v>
      </c>
      <c r="CH32" s="589"/>
      <c r="CI32" s="590"/>
      <c r="CJ32" s="591">
        <v>1075</v>
      </c>
      <c r="CK32" s="592"/>
      <c r="CL32" s="593"/>
      <c r="CM32" s="594">
        <v>1028</v>
      </c>
      <c r="CN32" s="595"/>
      <c r="CO32" s="596"/>
      <c r="CP32" s="597">
        <v>1030</v>
      </c>
      <c r="CQ32" s="592"/>
      <c r="CR32" s="593"/>
      <c r="CS32" s="594">
        <v>860</v>
      </c>
      <c r="CT32" s="595"/>
      <c r="CU32" s="598"/>
    </row>
    <row r="33" spans="1:99" s="7" customFormat="1" ht="36">
      <c r="A33" s="700"/>
      <c r="B33" s="636"/>
      <c r="C33" s="6" t="s">
        <v>35</v>
      </c>
      <c r="D33" s="601">
        <f>D32/D8</f>
        <v>0.58619264158743278</v>
      </c>
      <c r="E33" s="602"/>
      <c r="F33" s="603"/>
      <c r="G33" s="604">
        <f t="shared" ref="G33" si="31">G32/G8</f>
        <v>0.61862115579587695</v>
      </c>
      <c r="H33" s="605"/>
      <c r="I33" s="606"/>
      <c r="J33" s="601">
        <f t="shared" ref="J33" si="32">J32/J8</f>
        <v>0.63650091773736028</v>
      </c>
      <c r="K33" s="602"/>
      <c r="L33" s="603"/>
      <c r="M33" s="604">
        <f t="shared" ref="M33" si="33">M32/M8</f>
        <v>0.70397965339028645</v>
      </c>
      <c r="N33" s="605"/>
      <c r="O33" s="605"/>
      <c r="P33" s="580">
        <f>+P32/P8</f>
        <v>0.77719112988384376</v>
      </c>
      <c r="Q33" s="581"/>
      <c r="R33" s="582"/>
      <c r="S33" s="583">
        <f>+S32/S8</f>
        <v>0.90497737556561086</v>
      </c>
      <c r="T33" s="584"/>
      <c r="U33" s="585"/>
      <c r="V33" s="586">
        <f>+V32/V8</f>
        <v>0.93220338983050843</v>
      </c>
      <c r="W33" s="581"/>
      <c r="X33" s="582"/>
      <c r="Y33" s="583">
        <f>+Y32/Y8</f>
        <v>0.92629482071713143</v>
      </c>
      <c r="Z33" s="584"/>
      <c r="AA33" s="587"/>
      <c r="AB33" s="564">
        <v>0.97</v>
      </c>
      <c r="AC33" s="565"/>
      <c r="AD33" s="566"/>
      <c r="AE33" s="567">
        <v>0.97</v>
      </c>
      <c r="AF33" s="568"/>
      <c r="AG33" s="569"/>
      <c r="AH33" s="570">
        <v>0.97</v>
      </c>
      <c r="AI33" s="565"/>
      <c r="AJ33" s="566"/>
      <c r="AK33" s="567">
        <v>0.97</v>
      </c>
      <c r="AL33" s="568"/>
      <c r="AM33" s="571"/>
      <c r="AN33" s="572">
        <v>0.5</v>
      </c>
      <c r="AO33" s="573"/>
      <c r="AP33" s="574"/>
      <c r="AQ33" s="575">
        <v>0.51</v>
      </c>
      <c r="AR33" s="576"/>
      <c r="AS33" s="577"/>
      <c r="AT33" s="578">
        <v>0.54</v>
      </c>
      <c r="AU33" s="573"/>
      <c r="AV33" s="574"/>
      <c r="AW33" s="575">
        <v>0.56999999999999995</v>
      </c>
      <c r="AX33" s="576"/>
      <c r="AY33" s="579"/>
      <c r="AZ33" s="564">
        <f>AZ32/491</f>
        <v>0.58859470468431774</v>
      </c>
      <c r="BA33" s="565"/>
      <c r="BB33" s="566"/>
      <c r="BC33" s="567">
        <v>0.6</v>
      </c>
      <c r="BD33" s="568"/>
      <c r="BE33" s="569"/>
      <c r="BF33" s="570">
        <v>0.63</v>
      </c>
      <c r="BG33" s="565"/>
      <c r="BH33" s="566"/>
      <c r="BI33" s="567">
        <v>0.68</v>
      </c>
      <c r="BJ33" s="568"/>
      <c r="BK33" s="571"/>
      <c r="BL33" s="548">
        <v>0.59</v>
      </c>
      <c r="BM33" s="549"/>
      <c r="BN33" s="550"/>
      <c r="BO33" s="551">
        <v>0.6</v>
      </c>
      <c r="BP33" s="552"/>
      <c r="BQ33" s="553"/>
      <c r="BR33" s="554">
        <v>0.65</v>
      </c>
      <c r="BS33" s="549"/>
      <c r="BT33" s="550"/>
      <c r="BU33" s="551">
        <v>0.7</v>
      </c>
      <c r="BV33" s="552"/>
      <c r="BW33" s="555"/>
      <c r="BX33" s="564">
        <v>0.55927230046948362</v>
      </c>
      <c r="BY33" s="565"/>
      <c r="BZ33" s="566"/>
      <c r="CA33" s="567">
        <v>0.71009036144578308</v>
      </c>
      <c r="CB33" s="568"/>
      <c r="CC33" s="569"/>
      <c r="CD33" s="570">
        <v>0.71640508221225707</v>
      </c>
      <c r="CE33" s="565"/>
      <c r="CF33" s="566"/>
      <c r="CG33" s="567">
        <v>0.91543026706231456</v>
      </c>
      <c r="CH33" s="568"/>
      <c r="CI33" s="571"/>
      <c r="CJ33" s="548">
        <v>0.55000000000000004</v>
      </c>
      <c r="CK33" s="549"/>
      <c r="CL33" s="550"/>
      <c r="CM33" s="551">
        <v>0.6</v>
      </c>
      <c r="CN33" s="552"/>
      <c r="CO33" s="553"/>
      <c r="CP33" s="554">
        <v>0.7</v>
      </c>
      <c r="CQ33" s="549"/>
      <c r="CR33" s="550"/>
      <c r="CS33" s="551">
        <v>0.9</v>
      </c>
      <c r="CT33" s="552"/>
      <c r="CU33" s="555"/>
    </row>
    <row r="34" spans="1:99" ht="36">
      <c r="A34" s="700"/>
      <c r="B34" s="636"/>
      <c r="C34" s="5" t="s">
        <v>36</v>
      </c>
      <c r="D34" s="558">
        <f>SUM(P34,AB34,AN34,AZ34,BL34,BX34,CJ34)</f>
        <v>1938</v>
      </c>
      <c r="E34" s="559"/>
      <c r="F34" s="560"/>
      <c r="G34" s="561">
        <f>SUM(S34,AE34,AQ34,BC34,BO34,CA34,CM34)</f>
        <v>2753</v>
      </c>
      <c r="H34" s="562"/>
      <c r="I34" s="563"/>
      <c r="J34" s="558">
        <f>SUM(V34,AH34,AT34,BF34,BR34,CD34,CP34)</f>
        <v>3337</v>
      </c>
      <c r="K34" s="559"/>
      <c r="L34" s="560"/>
      <c r="M34" s="561">
        <f>SUM(Y34,AK34,AW34,BI34,BU34,CG34,CS34)</f>
        <v>3508</v>
      </c>
      <c r="N34" s="562"/>
      <c r="O34" s="562"/>
      <c r="P34" s="533">
        <v>123</v>
      </c>
      <c r="Q34" s="514"/>
      <c r="R34" s="515"/>
      <c r="S34" s="510">
        <v>150</v>
      </c>
      <c r="T34" s="511"/>
      <c r="U34" s="512"/>
      <c r="V34" s="513">
        <v>180</v>
      </c>
      <c r="W34" s="514"/>
      <c r="X34" s="515"/>
      <c r="Y34" s="510">
        <v>190</v>
      </c>
      <c r="Z34" s="511"/>
      <c r="AA34" s="516"/>
      <c r="AB34" s="547">
        <v>453</v>
      </c>
      <c r="AC34" s="526"/>
      <c r="AD34" s="527"/>
      <c r="AE34" s="534">
        <v>504</v>
      </c>
      <c r="AF34" s="535"/>
      <c r="AG34" s="536"/>
      <c r="AH34" s="537">
        <v>551</v>
      </c>
      <c r="AI34" s="526"/>
      <c r="AJ34" s="527"/>
      <c r="AK34" s="534">
        <v>701</v>
      </c>
      <c r="AL34" s="535"/>
      <c r="AM34" s="538"/>
      <c r="AN34" s="539">
        <v>102</v>
      </c>
      <c r="AO34" s="540"/>
      <c r="AP34" s="541"/>
      <c r="AQ34" s="542">
        <v>300</v>
      </c>
      <c r="AR34" s="543"/>
      <c r="AS34" s="544"/>
      <c r="AT34" s="545">
        <v>410</v>
      </c>
      <c r="AU34" s="540"/>
      <c r="AV34" s="541"/>
      <c r="AW34" s="542">
        <v>590</v>
      </c>
      <c r="AX34" s="543"/>
      <c r="AY34" s="546"/>
      <c r="AZ34" s="547">
        <v>106</v>
      </c>
      <c r="BA34" s="526"/>
      <c r="BB34" s="527"/>
      <c r="BC34" s="534">
        <f>254</f>
        <v>254</v>
      </c>
      <c r="BD34" s="535"/>
      <c r="BE34" s="536"/>
      <c r="BF34" s="537">
        <f>194+50+12</f>
        <v>256</v>
      </c>
      <c r="BG34" s="526"/>
      <c r="BH34" s="527"/>
      <c r="BI34" s="534">
        <f>BF34</f>
        <v>256</v>
      </c>
      <c r="BJ34" s="535"/>
      <c r="BK34" s="538"/>
      <c r="BL34" s="533">
        <v>129</v>
      </c>
      <c r="BM34" s="514"/>
      <c r="BN34" s="515"/>
      <c r="BO34" s="510">
        <v>144</v>
      </c>
      <c r="BP34" s="511"/>
      <c r="BQ34" s="512"/>
      <c r="BR34" s="513">
        <v>152</v>
      </c>
      <c r="BS34" s="514"/>
      <c r="BT34" s="515"/>
      <c r="BU34" s="510">
        <v>159</v>
      </c>
      <c r="BV34" s="511"/>
      <c r="BW34" s="516"/>
      <c r="BX34" s="525">
        <v>635</v>
      </c>
      <c r="BY34" s="526"/>
      <c r="BZ34" s="527"/>
      <c r="CA34" s="528">
        <v>973</v>
      </c>
      <c r="CB34" s="529"/>
      <c r="CC34" s="530"/>
      <c r="CD34" s="531">
        <v>1188</v>
      </c>
      <c r="CE34" s="526"/>
      <c r="CF34" s="527"/>
      <c r="CG34" s="528">
        <v>1277</v>
      </c>
      <c r="CH34" s="529"/>
      <c r="CI34" s="532"/>
      <c r="CJ34" s="533">
        <v>390</v>
      </c>
      <c r="CK34" s="514"/>
      <c r="CL34" s="515"/>
      <c r="CM34" s="510">
        <v>428</v>
      </c>
      <c r="CN34" s="511"/>
      <c r="CO34" s="512"/>
      <c r="CP34" s="513">
        <v>600</v>
      </c>
      <c r="CQ34" s="514"/>
      <c r="CR34" s="515"/>
      <c r="CS34" s="510">
        <v>335</v>
      </c>
      <c r="CT34" s="511"/>
      <c r="CU34" s="516"/>
    </row>
    <row r="35" spans="1:99" s="7" customFormat="1" ht="36.75" thickBot="1">
      <c r="A35" s="701"/>
      <c r="B35" s="637"/>
      <c r="C35" s="8" t="s">
        <v>37</v>
      </c>
      <c r="D35" s="519">
        <f>D34/D8</f>
        <v>0.16023150062009095</v>
      </c>
      <c r="E35" s="520"/>
      <c r="F35" s="521"/>
      <c r="G35" s="522">
        <f t="shared" ref="G35" si="34">G34/G8</f>
        <v>0.23259547144305509</v>
      </c>
      <c r="H35" s="523"/>
      <c r="I35" s="524"/>
      <c r="J35" s="519">
        <f t="shared" ref="J35" si="35">J34/J8</f>
        <v>0.27840814283330551</v>
      </c>
      <c r="K35" s="520"/>
      <c r="L35" s="521"/>
      <c r="M35" s="522">
        <f t="shared" ref="M35" si="36">M34/M8</f>
        <v>0.28596116536511407</v>
      </c>
      <c r="N35" s="523"/>
      <c r="O35" s="523"/>
      <c r="P35" s="500">
        <f>+P34/P8</f>
        <v>0.12988384371700107</v>
      </c>
      <c r="Q35" s="477"/>
      <c r="R35" s="478"/>
      <c r="S35" s="479">
        <f>+S34/S8</f>
        <v>0.16968325791855204</v>
      </c>
      <c r="T35" s="480"/>
      <c r="U35" s="501"/>
      <c r="V35" s="476">
        <f>+V34/V8</f>
        <v>0.19067796610169491</v>
      </c>
      <c r="W35" s="477"/>
      <c r="X35" s="478"/>
      <c r="Y35" s="479">
        <f>+Y34/Y8</f>
        <v>0.18924302788844621</v>
      </c>
      <c r="Z35" s="480"/>
      <c r="AA35" s="481"/>
      <c r="AB35" s="492">
        <v>0.28000000000000003</v>
      </c>
      <c r="AC35" s="493"/>
      <c r="AD35" s="494"/>
      <c r="AE35" s="495">
        <v>0.3</v>
      </c>
      <c r="AF35" s="496"/>
      <c r="AG35" s="497"/>
      <c r="AH35" s="498">
        <v>0.33</v>
      </c>
      <c r="AI35" s="493"/>
      <c r="AJ35" s="494"/>
      <c r="AK35" s="495">
        <v>0.35</v>
      </c>
      <c r="AL35" s="496"/>
      <c r="AM35" s="499"/>
      <c r="AN35" s="502">
        <v>0.17</v>
      </c>
      <c r="AO35" s="503"/>
      <c r="AP35" s="504"/>
      <c r="AQ35" s="505">
        <v>0.17</v>
      </c>
      <c r="AR35" s="506"/>
      <c r="AS35" s="507"/>
      <c r="AT35" s="508">
        <v>0.22</v>
      </c>
      <c r="AU35" s="503"/>
      <c r="AV35" s="504"/>
      <c r="AW35" s="505">
        <v>0.3</v>
      </c>
      <c r="AX35" s="506"/>
      <c r="AY35" s="509"/>
      <c r="AZ35" s="492">
        <f>AZ34/491</f>
        <v>0.21588594704684319</v>
      </c>
      <c r="BA35" s="493"/>
      <c r="BB35" s="494"/>
      <c r="BC35" s="495">
        <f>40%</f>
        <v>0.4</v>
      </c>
      <c r="BD35" s="496"/>
      <c r="BE35" s="497"/>
      <c r="BF35" s="498">
        <v>0.17</v>
      </c>
      <c r="BG35" s="493"/>
      <c r="BH35" s="494"/>
      <c r="BI35" s="495">
        <v>0.32</v>
      </c>
      <c r="BJ35" s="496"/>
      <c r="BK35" s="499"/>
      <c r="BL35" s="500">
        <v>0.11</v>
      </c>
      <c r="BM35" s="477"/>
      <c r="BN35" s="478"/>
      <c r="BO35" s="479">
        <v>0.13</v>
      </c>
      <c r="BP35" s="480"/>
      <c r="BQ35" s="501"/>
      <c r="BR35" s="476">
        <v>0.14000000000000001</v>
      </c>
      <c r="BS35" s="477"/>
      <c r="BT35" s="478"/>
      <c r="BU35" s="479">
        <v>0.15</v>
      </c>
      <c r="BV35" s="480"/>
      <c r="BW35" s="481"/>
      <c r="BX35" s="492">
        <v>0.18632629107981222</v>
      </c>
      <c r="BY35" s="493"/>
      <c r="BZ35" s="494"/>
      <c r="CA35" s="495">
        <v>0.36634036144578314</v>
      </c>
      <c r="CB35" s="496"/>
      <c r="CC35" s="497"/>
      <c r="CD35" s="498">
        <v>0.44394618834080718</v>
      </c>
      <c r="CE35" s="493"/>
      <c r="CF35" s="494"/>
      <c r="CG35" s="495">
        <v>0.4736646884272997</v>
      </c>
      <c r="CH35" s="496"/>
      <c r="CI35" s="499"/>
      <c r="CJ35" s="500">
        <v>0.2</v>
      </c>
      <c r="CK35" s="477"/>
      <c r="CL35" s="478"/>
      <c r="CM35" s="479">
        <v>0.25</v>
      </c>
      <c r="CN35" s="480"/>
      <c r="CO35" s="501"/>
      <c r="CP35" s="476">
        <v>0.3</v>
      </c>
      <c r="CQ35" s="477"/>
      <c r="CR35" s="478"/>
      <c r="CS35" s="479">
        <v>0.35</v>
      </c>
      <c r="CT35" s="480"/>
      <c r="CU35" s="481"/>
    </row>
    <row r="36" spans="1:99" ht="96.75" thickBot="1">
      <c r="A36" s="2" t="s">
        <v>38</v>
      </c>
      <c r="B36" s="3"/>
      <c r="C36" s="4" t="s">
        <v>39</v>
      </c>
      <c r="D36" s="484"/>
      <c r="E36" s="485"/>
      <c r="F36" s="486"/>
      <c r="G36" s="487"/>
      <c r="H36" s="488"/>
      <c r="I36" s="489"/>
      <c r="J36" s="484"/>
      <c r="K36" s="485"/>
      <c r="L36" s="486"/>
      <c r="M36" s="487"/>
      <c r="N36" s="488"/>
      <c r="O36" s="488"/>
      <c r="P36" s="457"/>
      <c r="Q36" s="458"/>
      <c r="R36" s="459"/>
      <c r="S36" s="472"/>
      <c r="T36" s="473"/>
      <c r="U36" s="490"/>
      <c r="V36" s="491"/>
      <c r="W36" s="458"/>
      <c r="X36" s="459"/>
      <c r="Y36" s="472"/>
      <c r="Z36" s="473"/>
      <c r="AA36" s="474"/>
      <c r="AB36" s="464"/>
      <c r="AC36" s="454"/>
      <c r="AD36" s="455"/>
      <c r="AE36" s="450"/>
      <c r="AF36" s="451"/>
      <c r="AG36" s="452"/>
      <c r="AH36" s="453"/>
      <c r="AI36" s="454"/>
      <c r="AJ36" s="455"/>
      <c r="AK36" s="450"/>
      <c r="AL36" s="451"/>
      <c r="AM36" s="456"/>
      <c r="AN36" s="475"/>
      <c r="AO36" s="469"/>
      <c r="AP36" s="470"/>
      <c r="AQ36" s="465"/>
      <c r="AR36" s="466"/>
      <c r="AS36" s="467"/>
      <c r="AT36" s="468"/>
      <c r="AU36" s="469"/>
      <c r="AV36" s="470"/>
      <c r="AW36" s="465"/>
      <c r="AX36" s="466"/>
      <c r="AY36" s="471"/>
      <c r="AZ36" s="464"/>
      <c r="BA36" s="454"/>
      <c r="BB36" s="455"/>
      <c r="BC36" s="450"/>
      <c r="BD36" s="451"/>
      <c r="BE36" s="452"/>
      <c r="BF36" s="453" t="s">
        <v>66</v>
      </c>
      <c r="BG36" s="454"/>
      <c r="BH36" s="455"/>
      <c r="BI36" s="450"/>
      <c r="BJ36" s="451"/>
      <c r="BK36" s="456"/>
      <c r="BL36" s="457"/>
      <c r="BM36" s="458"/>
      <c r="BN36" s="459"/>
      <c r="BO36" s="447">
        <v>1</v>
      </c>
      <c r="BP36" s="448"/>
      <c r="BQ36" s="460"/>
      <c r="BR36" s="461">
        <v>1</v>
      </c>
      <c r="BS36" s="462"/>
      <c r="BT36" s="463"/>
      <c r="BU36" s="447">
        <v>1</v>
      </c>
      <c r="BV36" s="448"/>
      <c r="BW36" s="449"/>
      <c r="BX36" s="464"/>
      <c r="BY36" s="454"/>
      <c r="BZ36" s="455"/>
      <c r="CA36" s="450"/>
      <c r="CB36" s="451"/>
      <c r="CC36" s="452"/>
      <c r="CD36" s="453"/>
      <c r="CE36" s="454"/>
      <c r="CF36" s="455"/>
      <c r="CG36" s="450"/>
      <c r="CH36" s="451"/>
      <c r="CI36" s="456"/>
      <c r="CJ36" s="457"/>
      <c r="CK36" s="458"/>
      <c r="CL36" s="459"/>
      <c r="CM36" s="447"/>
      <c r="CN36" s="448"/>
      <c r="CO36" s="460"/>
      <c r="CP36" s="461"/>
      <c r="CQ36" s="462"/>
      <c r="CR36" s="463"/>
      <c r="CS36" s="447"/>
      <c r="CT36" s="448"/>
      <c r="CU36" s="449"/>
    </row>
  </sheetData>
  <mergeCells count="533">
    <mergeCell ref="CJ35:CL35"/>
    <mergeCell ref="CM35:CO35"/>
    <mergeCell ref="CP35:CR35"/>
    <mergeCell ref="CS35:CU35"/>
    <mergeCell ref="CJ36:CL36"/>
    <mergeCell ref="CM36:CO36"/>
    <mergeCell ref="CP36:CR36"/>
    <mergeCell ref="CS36:CU36"/>
    <mergeCell ref="CJ33:CL33"/>
    <mergeCell ref="CM33:CO33"/>
    <mergeCell ref="CP33:CR33"/>
    <mergeCell ref="CS33:CU33"/>
    <mergeCell ref="CJ34:CL34"/>
    <mergeCell ref="CM34:CO34"/>
    <mergeCell ref="CP34:CR34"/>
    <mergeCell ref="CS34:CU34"/>
    <mergeCell ref="CP32:CR32"/>
    <mergeCell ref="CS32:CU32"/>
    <mergeCell ref="CJ28:CL28"/>
    <mergeCell ref="CM28:CO28"/>
    <mergeCell ref="CP28:CR28"/>
    <mergeCell ref="CS28:CU28"/>
    <mergeCell ref="CJ29:CL29"/>
    <mergeCell ref="CM29:CO29"/>
    <mergeCell ref="CP29:CR29"/>
    <mergeCell ref="CS29:CU29"/>
    <mergeCell ref="CJ31:CL31"/>
    <mergeCell ref="CM31:CO31"/>
    <mergeCell ref="CP31:CR31"/>
    <mergeCell ref="CS31:CU31"/>
    <mergeCell ref="CJ32:CL32"/>
    <mergeCell ref="CM32:CO32"/>
    <mergeCell ref="CJ14:CL14"/>
    <mergeCell ref="CM14:CO14"/>
    <mergeCell ref="CP14:CR14"/>
    <mergeCell ref="CS14:CU14"/>
    <mergeCell ref="CJ25:CL25"/>
    <mergeCell ref="CM25:CO25"/>
    <mergeCell ref="CP25:CR25"/>
    <mergeCell ref="CS25:CU25"/>
    <mergeCell ref="CJ10:CL10"/>
    <mergeCell ref="CM10:CO10"/>
    <mergeCell ref="CP10:CR10"/>
    <mergeCell ref="CS10:CU10"/>
    <mergeCell ref="CJ12:CL12"/>
    <mergeCell ref="CM12:CO12"/>
    <mergeCell ref="CP12:CR12"/>
    <mergeCell ref="CS12:CU12"/>
    <mergeCell ref="CJ2:CL2"/>
    <mergeCell ref="CM2:CO2"/>
    <mergeCell ref="CP2:CR2"/>
    <mergeCell ref="CS2:CU2"/>
    <mergeCell ref="CJ4:CL4"/>
    <mergeCell ref="CM4:CO4"/>
    <mergeCell ref="CP4:CR4"/>
    <mergeCell ref="CS4:CU4"/>
    <mergeCell ref="BX35:BZ35"/>
    <mergeCell ref="CA35:CC35"/>
    <mergeCell ref="CD35:CF35"/>
    <mergeCell ref="CG35:CI35"/>
    <mergeCell ref="BX31:BZ31"/>
    <mergeCell ref="CA31:CC31"/>
    <mergeCell ref="CD31:CF31"/>
    <mergeCell ref="CG31:CI31"/>
    <mergeCell ref="BX32:BZ32"/>
    <mergeCell ref="CA32:CC32"/>
    <mergeCell ref="CD32:CF32"/>
    <mergeCell ref="CG32:CI32"/>
    <mergeCell ref="BX28:BZ28"/>
    <mergeCell ref="CA28:CC28"/>
    <mergeCell ref="CD28:CF28"/>
    <mergeCell ref="CG28:CI28"/>
    <mergeCell ref="BX36:BZ36"/>
    <mergeCell ref="CA36:CC36"/>
    <mergeCell ref="CD36:CF36"/>
    <mergeCell ref="CG36:CI36"/>
    <mergeCell ref="BX33:BZ33"/>
    <mergeCell ref="CA33:CC33"/>
    <mergeCell ref="CD33:CF33"/>
    <mergeCell ref="CG33:CI33"/>
    <mergeCell ref="BX34:BZ34"/>
    <mergeCell ref="CA34:CC34"/>
    <mergeCell ref="CD34:CF34"/>
    <mergeCell ref="CG34:CI34"/>
    <mergeCell ref="BX29:BZ29"/>
    <mergeCell ref="CA29:CC29"/>
    <mergeCell ref="CD29:CF29"/>
    <mergeCell ref="CG29:CI29"/>
    <mergeCell ref="BX14:BZ14"/>
    <mergeCell ref="CA14:CC14"/>
    <mergeCell ref="CD14:CF14"/>
    <mergeCell ref="CG14:CI14"/>
    <mergeCell ref="BX25:BZ25"/>
    <mergeCell ref="CA25:CC25"/>
    <mergeCell ref="CD25:CF25"/>
    <mergeCell ref="CG25:CI25"/>
    <mergeCell ref="BX10:BZ10"/>
    <mergeCell ref="CA10:CC10"/>
    <mergeCell ref="CD10:CF10"/>
    <mergeCell ref="CG10:CI10"/>
    <mergeCell ref="BX12:BZ12"/>
    <mergeCell ref="CA12:CC12"/>
    <mergeCell ref="CD12:CF12"/>
    <mergeCell ref="CG12:CI12"/>
    <mergeCell ref="BX2:BZ2"/>
    <mergeCell ref="CA2:CC2"/>
    <mergeCell ref="CD2:CF2"/>
    <mergeCell ref="CG2:CI2"/>
    <mergeCell ref="BX4:BZ4"/>
    <mergeCell ref="CA4:CC4"/>
    <mergeCell ref="CD4:CF4"/>
    <mergeCell ref="CG4:CI4"/>
    <mergeCell ref="BL35:BN35"/>
    <mergeCell ref="BO35:BQ35"/>
    <mergeCell ref="BR35:BT35"/>
    <mergeCell ref="BU35:BW35"/>
    <mergeCell ref="BL36:BN36"/>
    <mergeCell ref="BO36:BQ36"/>
    <mergeCell ref="BR36:BT36"/>
    <mergeCell ref="BU36:BW36"/>
    <mergeCell ref="BL33:BN33"/>
    <mergeCell ref="BO33:BQ33"/>
    <mergeCell ref="BR33:BT33"/>
    <mergeCell ref="BU33:BW33"/>
    <mergeCell ref="BL34:BN34"/>
    <mergeCell ref="BO34:BQ34"/>
    <mergeCell ref="BR34:BT34"/>
    <mergeCell ref="BU34:BW34"/>
    <mergeCell ref="BL31:BN31"/>
    <mergeCell ref="BO31:BQ31"/>
    <mergeCell ref="BR31:BT31"/>
    <mergeCell ref="BU31:BW31"/>
    <mergeCell ref="BL32:BN32"/>
    <mergeCell ref="BO32:BQ32"/>
    <mergeCell ref="BR32:BT32"/>
    <mergeCell ref="BU32:BW32"/>
    <mergeCell ref="BL28:BN28"/>
    <mergeCell ref="BO28:BQ28"/>
    <mergeCell ref="BR28:BT28"/>
    <mergeCell ref="BU28:BW28"/>
    <mergeCell ref="BL29:BN29"/>
    <mergeCell ref="BO29:BQ29"/>
    <mergeCell ref="BR29:BT29"/>
    <mergeCell ref="BU29:BW29"/>
    <mergeCell ref="BL14:BN14"/>
    <mergeCell ref="BO14:BQ14"/>
    <mergeCell ref="BR14:BT14"/>
    <mergeCell ref="BU14:BW14"/>
    <mergeCell ref="BL25:BN25"/>
    <mergeCell ref="BO25:BQ25"/>
    <mergeCell ref="BR25:BT25"/>
    <mergeCell ref="BU25:BW25"/>
    <mergeCell ref="BL10:BN10"/>
    <mergeCell ref="BO10:BQ10"/>
    <mergeCell ref="BR10:BT10"/>
    <mergeCell ref="BU10:BW10"/>
    <mergeCell ref="BL12:BN12"/>
    <mergeCell ref="BO12:BQ12"/>
    <mergeCell ref="BR12:BT12"/>
    <mergeCell ref="BU12:BW12"/>
    <mergeCell ref="BL2:BN2"/>
    <mergeCell ref="BO2:BQ2"/>
    <mergeCell ref="BR2:BT2"/>
    <mergeCell ref="BU2:BW2"/>
    <mergeCell ref="BL4:BN4"/>
    <mergeCell ref="BO4:BQ4"/>
    <mergeCell ref="BR4:BT4"/>
    <mergeCell ref="BU4:BW4"/>
    <mergeCell ref="AZ35:BB35"/>
    <mergeCell ref="BC35:BE35"/>
    <mergeCell ref="BF35:BH35"/>
    <mergeCell ref="BI35:BK35"/>
    <mergeCell ref="AZ31:BB31"/>
    <mergeCell ref="BC31:BE31"/>
    <mergeCell ref="BF31:BH31"/>
    <mergeCell ref="BI31:BK31"/>
    <mergeCell ref="AZ32:BB32"/>
    <mergeCell ref="BC32:BE32"/>
    <mergeCell ref="BF32:BH32"/>
    <mergeCell ref="BI32:BK32"/>
    <mergeCell ref="AZ28:BB28"/>
    <mergeCell ref="BC28:BE28"/>
    <mergeCell ref="BF28:BH28"/>
    <mergeCell ref="BI28:BK28"/>
    <mergeCell ref="AZ36:BB36"/>
    <mergeCell ref="BC36:BE36"/>
    <mergeCell ref="BF36:BH36"/>
    <mergeCell ref="BI36:BK36"/>
    <mergeCell ref="AZ33:BB33"/>
    <mergeCell ref="BC33:BE33"/>
    <mergeCell ref="BF33:BH33"/>
    <mergeCell ref="BI33:BK33"/>
    <mergeCell ref="AZ34:BB34"/>
    <mergeCell ref="BC34:BE34"/>
    <mergeCell ref="BF34:BH34"/>
    <mergeCell ref="BI34:BK34"/>
    <mergeCell ref="AZ29:BB29"/>
    <mergeCell ref="BC29:BE29"/>
    <mergeCell ref="BF29:BH29"/>
    <mergeCell ref="BI29:BK29"/>
    <mergeCell ref="AZ14:BB14"/>
    <mergeCell ref="BC14:BE14"/>
    <mergeCell ref="BF14:BH14"/>
    <mergeCell ref="BI14:BK14"/>
    <mergeCell ref="AZ25:BB25"/>
    <mergeCell ref="BC25:BE25"/>
    <mergeCell ref="BF25:BH25"/>
    <mergeCell ref="BI25:BK25"/>
    <mergeCell ref="AZ10:BB10"/>
    <mergeCell ref="BC10:BE10"/>
    <mergeCell ref="BF10:BH10"/>
    <mergeCell ref="BI10:BK10"/>
    <mergeCell ref="BC12:BE12"/>
    <mergeCell ref="BF12:BH12"/>
    <mergeCell ref="BI12:BK12"/>
    <mergeCell ref="AZ2:BB2"/>
    <mergeCell ref="BC2:BE2"/>
    <mergeCell ref="BF2:BH2"/>
    <mergeCell ref="BI2:BK2"/>
    <mergeCell ref="AZ4:BB4"/>
    <mergeCell ref="BC4:BE4"/>
    <mergeCell ref="BF4:BH4"/>
    <mergeCell ref="BI4:BK4"/>
    <mergeCell ref="AZ12:BB12"/>
    <mergeCell ref="AN35:AP35"/>
    <mergeCell ref="AQ35:AS35"/>
    <mergeCell ref="AT35:AV35"/>
    <mergeCell ref="AW35:AY35"/>
    <mergeCell ref="AN36:AP36"/>
    <mergeCell ref="AQ36:AS36"/>
    <mergeCell ref="AT36:AV36"/>
    <mergeCell ref="AW36:AY36"/>
    <mergeCell ref="AN33:AP33"/>
    <mergeCell ref="AQ33:AS33"/>
    <mergeCell ref="AT33:AV33"/>
    <mergeCell ref="AW33:AY33"/>
    <mergeCell ref="AN34:AP34"/>
    <mergeCell ref="AQ34:AS34"/>
    <mergeCell ref="AT34:AV34"/>
    <mergeCell ref="AW34:AY34"/>
    <mergeCell ref="AN31:AP31"/>
    <mergeCell ref="AQ31:AS31"/>
    <mergeCell ref="AT31:AV31"/>
    <mergeCell ref="AW31:AY31"/>
    <mergeCell ref="AN32:AP32"/>
    <mergeCell ref="AQ32:AS32"/>
    <mergeCell ref="AT32:AV32"/>
    <mergeCell ref="AW32:AY32"/>
    <mergeCell ref="AQ28:AS28"/>
    <mergeCell ref="AT28:AV28"/>
    <mergeCell ref="AW28:AY28"/>
    <mergeCell ref="AQ29:AS29"/>
    <mergeCell ref="AT29:AV29"/>
    <mergeCell ref="AW29:AY29"/>
    <mergeCell ref="AN28:AP29"/>
    <mergeCell ref="AN14:AP14"/>
    <mergeCell ref="AQ14:AS14"/>
    <mergeCell ref="AT14:AV14"/>
    <mergeCell ref="AW14:AY14"/>
    <mergeCell ref="AN25:AP25"/>
    <mergeCell ref="AQ25:AS25"/>
    <mergeCell ref="AT25:AV25"/>
    <mergeCell ref="AW25:AY25"/>
    <mergeCell ref="AN10:AP10"/>
    <mergeCell ref="AQ10:AS10"/>
    <mergeCell ref="AT10:AV10"/>
    <mergeCell ref="AW10:AY10"/>
    <mergeCell ref="AN12:AP12"/>
    <mergeCell ref="AQ12:AS12"/>
    <mergeCell ref="AT12:AV12"/>
    <mergeCell ref="AW12:AY12"/>
    <mergeCell ref="AN2:AP2"/>
    <mergeCell ref="AQ2:AS2"/>
    <mergeCell ref="AT2:AV2"/>
    <mergeCell ref="AW2:AY2"/>
    <mergeCell ref="AN4:AP4"/>
    <mergeCell ref="AQ4:AS4"/>
    <mergeCell ref="AT4:AV4"/>
    <mergeCell ref="AW4:AY4"/>
    <mergeCell ref="AB35:AD35"/>
    <mergeCell ref="AE35:AG35"/>
    <mergeCell ref="AH35:AJ35"/>
    <mergeCell ref="AK35:AM35"/>
    <mergeCell ref="AB31:AD31"/>
    <mergeCell ref="AE31:AG31"/>
    <mergeCell ref="AH31:AJ31"/>
    <mergeCell ref="AK31:AM31"/>
    <mergeCell ref="AB32:AD32"/>
    <mergeCell ref="AE32:AG32"/>
    <mergeCell ref="AH32:AJ32"/>
    <mergeCell ref="AK32:AM32"/>
    <mergeCell ref="AB28:AD28"/>
    <mergeCell ref="AE28:AG28"/>
    <mergeCell ref="AH28:AJ28"/>
    <mergeCell ref="AK28:AM28"/>
    <mergeCell ref="AB36:AD36"/>
    <mergeCell ref="AE36:AG36"/>
    <mergeCell ref="AH36:AJ36"/>
    <mergeCell ref="AK36:AM36"/>
    <mergeCell ref="AB33:AD33"/>
    <mergeCell ref="AE33:AG33"/>
    <mergeCell ref="AH33:AJ33"/>
    <mergeCell ref="AK33:AM33"/>
    <mergeCell ref="AB34:AD34"/>
    <mergeCell ref="AE34:AG34"/>
    <mergeCell ref="AH34:AJ34"/>
    <mergeCell ref="AK34:AM34"/>
    <mergeCell ref="AB29:AD29"/>
    <mergeCell ref="AE29:AG29"/>
    <mergeCell ref="AH29:AJ29"/>
    <mergeCell ref="AK29:AM29"/>
    <mergeCell ref="AB14:AD14"/>
    <mergeCell ref="AE14:AG14"/>
    <mergeCell ref="AH14:AJ14"/>
    <mergeCell ref="AK14:AM14"/>
    <mergeCell ref="AB25:AD25"/>
    <mergeCell ref="AE25:AG25"/>
    <mergeCell ref="AH25:AJ25"/>
    <mergeCell ref="AK25:AM25"/>
    <mergeCell ref="AB10:AD10"/>
    <mergeCell ref="AE10:AG10"/>
    <mergeCell ref="AH10:AJ10"/>
    <mergeCell ref="AK10:AM10"/>
    <mergeCell ref="AB12:AD12"/>
    <mergeCell ref="AE12:AG12"/>
    <mergeCell ref="AH12:AJ12"/>
    <mergeCell ref="AK12:AM12"/>
    <mergeCell ref="AB2:AD2"/>
    <mergeCell ref="AE2:AG2"/>
    <mergeCell ref="AH2:AJ2"/>
    <mergeCell ref="AK2:AM2"/>
    <mergeCell ref="AB4:AD4"/>
    <mergeCell ref="AE4:AG4"/>
    <mergeCell ref="AH4:AJ4"/>
    <mergeCell ref="AK4:AM4"/>
    <mergeCell ref="AE6:AG6"/>
    <mergeCell ref="AH6:AJ6"/>
    <mergeCell ref="AK6:AM6"/>
    <mergeCell ref="P35:R35"/>
    <mergeCell ref="S35:U35"/>
    <mergeCell ref="V35:X35"/>
    <mergeCell ref="Y35:AA35"/>
    <mergeCell ref="P36:R36"/>
    <mergeCell ref="S36:U36"/>
    <mergeCell ref="V36:X36"/>
    <mergeCell ref="Y36:AA36"/>
    <mergeCell ref="P33:R33"/>
    <mergeCell ref="S33:U33"/>
    <mergeCell ref="V33:X33"/>
    <mergeCell ref="Y33:AA33"/>
    <mergeCell ref="P34:R34"/>
    <mergeCell ref="S34:U34"/>
    <mergeCell ref="V34:X34"/>
    <mergeCell ref="Y34:AA34"/>
    <mergeCell ref="P31:R31"/>
    <mergeCell ref="S31:U31"/>
    <mergeCell ref="V31:X31"/>
    <mergeCell ref="Y31:AA31"/>
    <mergeCell ref="P32:R32"/>
    <mergeCell ref="S32:U32"/>
    <mergeCell ref="V32:X32"/>
    <mergeCell ref="Y32:AA32"/>
    <mergeCell ref="P28:R28"/>
    <mergeCell ref="S28:U28"/>
    <mergeCell ref="V28:X28"/>
    <mergeCell ref="Y28:AA28"/>
    <mergeCell ref="P29:R29"/>
    <mergeCell ref="S29:U29"/>
    <mergeCell ref="V29:X29"/>
    <mergeCell ref="Y29:AA29"/>
    <mergeCell ref="P14:R14"/>
    <mergeCell ref="S14:U14"/>
    <mergeCell ref="V14:X14"/>
    <mergeCell ref="Y14:AA14"/>
    <mergeCell ref="P25:R25"/>
    <mergeCell ref="S25:U25"/>
    <mergeCell ref="V25:X25"/>
    <mergeCell ref="Y25:AA25"/>
    <mergeCell ref="P10:R10"/>
    <mergeCell ref="S10:U10"/>
    <mergeCell ref="V10:X10"/>
    <mergeCell ref="Y10:AA10"/>
    <mergeCell ref="P12:R12"/>
    <mergeCell ref="S12:U12"/>
    <mergeCell ref="V12:X12"/>
    <mergeCell ref="Y12:AA12"/>
    <mergeCell ref="G12:I12"/>
    <mergeCell ref="J12:L12"/>
    <mergeCell ref="M12:O12"/>
    <mergeCell ref="S2:U2"/>
    <mergeCell ref="V2:X2"/>
    <mergeCell ref="Y2:AA2"/>
    <mergeCell ref="P4:R4"/>
    <mergeCell ref="S4:U4"/>
    <mergeCell ref="V4:X4"/>
    <mergeCell ref="Y4:AA4"/>
    <mergeCell ref="G2:I2"/>
    <mergeCell ref="J2:L2"/>
    <mergeCell ref="M2:O2"/>
    <mergeCell ref="A26:A35"/>
    <mergeCell ref="B26:B27"/>
    <mergeCell ref="D28:F28"/>
    <mergeCell ref="G28:I28"/>
    <mergeCell ref="J28:L28"/>
    <mergeCell ref="M28:O28"/>
    <mergeCell ref="A17:A25"/>
    <mergeCell ref="B17:B22"/>
    <mergeCell ref="B23:B24"/>
    <mergeCell ref="D25:F25"/>
    <mergeCell ref="G25:I25"/>
    <mergeCell ref="G29:I29"/>
    <mergeCell ref="J29:L29"/>
    <mergeCell ref="M29:O29"/>
    <mergeCell ref="B30:B31"/>
    <mergeCell ref="D31:F31"/>
    <mergeCell ref="G31:I31"/>
    <mergeCell ref="J31:L31"/>
    <mergeCell ref="B32:B35"/>
    <mergeCell ref="D29:F29"/>
    <mergeCell ref="D36:F36"/>
    <mergeCell ref="G36:I36"/>
    <mergeCell ref="J36:L36"/>
    <mergeCell ref="M36:O36"/>
    <mergeCell ref="D35:F35"/>
    <mergeCell ref="M31:O31"/>
    <mergeCell ref="G32:I32"/>
    <mergeCell ref="J32:L32"/>
    <mergeCell ref="M32:O32"/>
    <mergeCell ref="D33:F33"/>
    <mergeCell ref="G33:I33"/>
    <mergeCell ref="J33:L33"/>
    <mergeCell ref="M33:O33"/>
    <mergeCell ref="D32:F32"/>
    <mergeCell ref="B14:B16"/>
    <mergeCell ref="D14:F14"/>
    <mergeCell ref="D34:F34"/>
    <mergeCell ref="G34:I34"/>
    <mergeCell ref="J34:L34"/>
    <mergeCell ref="M34:O34"/>
    <mergeCell ref="G35:I35"/>
    <mergeCell ref="J35:L35"/>
    <mergeCell ref="M35:O35"/>
    <mergeCell ref="J25:L25"/>
    <mergeCell ref="M25:O25"/>
    <mergeCell ref="G14:I14"/>
    <mergeCell ref="J14:L14"/>
    <mergeCell ref="M14:O14"/>
    <mergeCell ref="D8:F8"/>
    <mergeCell ref="G8:I8"/>
    <mergeCell ref="J8:L8"/>
    <mergeCell ref="M8:O8"/>
    <mergeCell ref="AE8:AG8"/>
    <mergeCell ref="AH8:AJ8"/>
    <mergeCell ref="AK8:AM8"/>
    <mergeCell ref="A2:A3"/>
    <mergeCell ref="B2:B3"/>
    <mergeCell ref="C2:C3"/>
    <mergeCell ref="D2:F2"/>
    <mergeCell ref="D6:F6"/>
    <mergeCell ref="A4:A16"/>
    <mergeCell ref="B4:B11"/>
    <mergeCell ref="D4:F4"/>
    <mergeCell ref="G4:I4"/>
    <mergeCell ref="J4:L4"/>
    <mergeCell ref="M4:O4"/>
    <mergeCell ref="D10:F10"/>
    <mergeCell ref="G10:I10"/>
    <mergeCell ref="J10:L10"/>
    <mergeCell ref="M10:O10"/>
    <mergeCell ref="B12:B13"/>
    <mergeCell ref="D12:F12"/>
    <mergeCell ref="AN8:AP8"/>
    <mergeCell ref="AQ8:AS8"/>
    <mergeCell ref="AT8:AV8"/>
    <mergeCell ref="AW8:AY8"/>
    <mergeCell ref="AZ8:BB8"/>
    <mergeCell ref="BC8:BE8"/>
    <mergeCell ref="BF8:BH8"/>
    <mergeCell ref="BI8:BK8"/>
    <mergeCell ref="P6:R6"/>
    <mergeCell ref="S6:U6"/>
    <mergeCell ref="V6:X6"/>
    <mergeCell ref="Y6:AA6"/>
    <mergeCell ref="P8:R8"/>
    <mergeCell ref="S8:U8"/>
    <mergeCell ref="V8:X8"/>
    <mergeCell ref="Y8:AA8"/>
    <mergeCell ref="AB6:AD6"/>
    <mergeCell ref="AB8:AD8"/>
    <mergeCell ref="CJ8:CL8"/>
    <mergeCell ref="CM8:CO8"/>
    <mergeCell ref="CP8:CR8"/>
    <mergeCell ref="CS8:CU8"/>
    <mergeCell ref="BL6:BN6"/>
    <mergeCell ref="BO6:BQ6"/>
    <mergeCell ref="BR6:BT6"/>
    <mergeCell ref="BU6:BW6"/>
    <mergeCell ref="BX6:BZ6"/>
    <mergeCell ref="CA6:CC6"/>
    <mergeCell ref="CD6:CF6"/>
    <mergeCell ref="CG6:CI6"/>
    <mergeCell ref="BL8:BN8"/>
    <mergeCell ref="BO8:BQ8"/>
    <mergeCell ref="BR8:BT8"/>
    <mergeCell ref="BU8:BW8"/>
    <mergeCell ref="BX8:BZ8"/>
    <mergeCell ref="CA8:CC8"/>
    <mergeCell ref="CD8:CF8"/>
    <mergeCell ref="CG8:CI8"/>
    <mergeCell ref="D1:O1"/>
    <mergeCell ref="P1:AA1"/>
    <mergeCell ref="AB1:AM1"/>
    <mergeCell ref="AN1:AY1"/>
    <mergeCell ref="AZ1:BK1"/>
    <mergeCell ref="BL1:BW1"/>
    <mergeCell ref="BX1:CI1"/>
    <mergeCell ref="CJ1:CU1"/>
    <mergeCell ref="CJ6:CL6"/>
    <mergeCell ref="CM6:CO6"/>
    <mergeCell ref="CP6:CR6"/>
    <mergeCell ref="CS6:CU6"/>
    <mergeCell ref="AN6:AP6"/>
    <mergeCell ref="AQ6:AS6"/>
    <mergeCell ref="AT6:AV6"/>
    <mergeCell ref="AW6:AY6"/>
    <mergeCell ref="AZ6:BB6"/>
    <mergeCell ref="BC6:BE6"/>
    <mergeCell ref="BF6:BH6"/>
    <mergeCell ref="BI6:BK6"/>
    <mergeCell ref="G6:I6"/>
    <mergeCell ref="J6:L6"/>
    <mergeCell ref="M6:O6"/>
    <mergeCell ref="P2:R2"/>
  </mergeCells>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F49"/>
  <sheetViews>
    <sheetView topLeftCell="A40" zoomScale="70" zoomScaleNormal="70" workbookViewId="0">
      <selection activeCell="E54" sqref="E54"/>
    </sheetView>
  </sheetViews>
  <sheetFormatPr baseColWidth="10" defaultRowHeight="15.75"/>
  <cols>
    <col min="2" max="2" width="26" customWidth="1"/>
    <col min="3" max="3" width="24.375" customWidth="1"/>
    <col min="4" max="4" width="50.875" style="193" customWidth="1"/>
    <col min="5" max="5" width="24.375" customWidth="1"/>
    <col min="6" max="6" width="255.625" bestFit="1" customWidth="1"/>
  </cols>
  <sheetData>
    <row r="2" spans="1:6">
      <c r="C2" t="s">
        <v>78</v>
      </c>
      <c r="D2" s="193" t="s">
        <v>81</v>
      </c>
      <c r="E2" t="s">
        <v>79</v>
      </c>
    </row>
    <row r="4" spans="1:6">
      <c r="A4" s="194" t="s">
        <v>300</v>
      </c>
      <c r="B4" s="194" t="s">
        <v>76</v>
      </c>
      <c r="C4" s="194" t="s">
        <v>77</v>
      </c>
      <c r="D4" s="195" t="s">
        <v>70</v>
      </c>
      <c r="E4" s="194" t="s">
        <v>80</v>
      </c>
      <c r="F4" s="194" t="str">
        <f>B4&amp;A4&amp;C4&amp;D4&amp;E4</f>
        <v>Tableur_stats["C5"]  = "111.a Nombre de groupements créés depuis 2017"</v>
      </c>
    </row>
    <row r="5" spans="1:6" ht="31.5">
      <c r="A5" s="194" t="s">
        <v>301</v>
      </c>
      <c r="B5" s="194" t="s">
        <v>76</v>
      </c>
      <c r="C5" s="194" t="s">
        <v>77</v>
      </c>
      <c r="D5" s="195" t="s">
        <v>71</v>
      </c>
      <c r="E5" s="194" t="s">
        <v>80</v>
      </c>
      <c r="F5" s="194" t="str">
        <f t="shared" ref="F5:F36" si="0">B5&amp;A5&amp;C5&amp;D5&amp;E5</f>
        <v>Tableur_stats["C6"]  = "111.b Membres des nouveaux groupements créés depuis 2017"</v>
      </c>
    </row>
    <row r="6" spans="1:6" ht="31.5">
      <c r="A6" s="194" t="s">
        <v>302</v>
      </c>
      <c r="B6" s="194" t="s">
        <v>76</v>
      </c>
      <c r="C6" s="194" t="s">
        <v>77</v>
      </c>
      <c r="D6" s="195" t="s">
        <v>275</v>
      </c>
      <c r="E6" s="194" t="s">
        <v>80</v>
      </c>
      <c r="F6" s="194" t="str">
        <f t="shared" si="0"/>
        <v>Tableur_stats["C7"]  = "111.c Nombre de groupement créer pendant l'année en cours"</v>
      </c>
    </row>
    <row r="7" spans="1:6" ht="31.5">
      <c r="A7" s="194" t="s">
        <v>303</v>
      </c>
      <c r="B7" s="194" t="s">
        <v>76</v>
      </c>
      <c r="C7" s="194" t="s">
        <v>77</v>
      </c>
      <c r="D7" s="195" t="s">
        <v>276</v>
      </c>
      <c r="E7" s="194" t="s">
        <v>80</v>
      </c>
      <c r="F7" s="194" t="str">
        <f t="shared" si="0"/>
        <v>Tableur_stats["C8"]  = "111.d Membres des nouveaux groupements créer pendant l'année en cours"</v>
      </c>
    </row>
    <row r="8" spans="1:6" ht="31.5">
      <c r="A8" s="194" t="s">
        <v>304</v>
      </c>
      <c r="B8" s="194" t="s">
        <v>76</v>
      </c>
      <c r="C8" s="194" t="s">
        <v>77</v>
      </c>
      <c r="D8" s="195" t="s">
        <v>51</v>
      </c>
      <c r="E8" s="194" t="s">
        <v>80</v>
      </c>
      <c r="F8" s="194" t="str">
        <f t="shared" si="0"/>
        <v>Tableur_stats["C9"]  = "112.a Nombre de groupements dissous pendant la période du rapport"</v>
      </c>
    </row>
    <row r="9" spans="1:6" ht="31.5">
      <c r="A9" s="194" t="s">
        <v>305</v>
      </c>
      <c r="B9" s="194" t="s">
        <v>76</v>
      </c>
      <c r="C9" s="194" t="s">
        <v>77</v>
      </c>
      <c r="D9" s="195" t="s">
        <v>52</v>
      </c>
      <c r="E9" s="194" t="s">
        <v>80</v>
      </c>
      <c r="F9" s="194" t="str">
        <f t="shared" si="0"/>
        <v>Tableur_stats["C10"]  = "112.b Membres des groupements dissous pendant la période du rapport"</v>
      </c>
    </row>
    <row r="10" spans="1:6" ht="31.5">
      <c r="A10" s="194" t="s">
        <v>306</v>
      </c>
      <c r="B10" s="194" t="s">
        <v>76</v>
      </c>
      <c r="C10" s="194" t="s">
        <v>77</v>
      </c>
      <c r="D10" s="195" t="s">
        <v>47</v>
      </c>
      <c r="E10" s="194" t="s">
        <v>80</v>
      </c>
      <c r="F10" s="194" t="str">
        <f t="shared" si="0"/>
        <v>Tableur_stats["C11"]  = "113.a Nombre de groupements réellement accompagnés pendant l’année catégorie 1 à 4"</v>
      </c>
    </row>
    <row r="11" spans="1:6" ht="31.5">
      <c r="A11" s="194" t="s">
        <v>307</v>
      </c>
      <c r="B11" s="194" t="s">
        <v>76</v>
      </c>
      <c r="C11" s="194" t="s">
        <v>77</v>
      </c>
      <c r="D11" s="195" t="s">
        <v>48</v>
      </c>
      <c r="E11" s="194" t="s">
        <v>80</v>
      </c>
      <c r="F11" s="194" t="str">
        <f t="shared" si="0"/>
        <v>Tableur_stats["C12"]  = "113.b Nombre de membres de groupements réellement accompagnés pendant l’année (catégorie 1 à 4)"</v>
      </c>
    </row>
    <row r="12" spans="1:6" ht="31.5">
      <c r="A12" s="194" t="s">
        <v>308</v>
      </c>
      <c r="B12" s="194" t="s">
        <v>76</v>
      </c>
      <c r="C12" s="194" t="s">
        <v>77</v>
      </c>
      <c r="D12" s="195" t="s">
        <v>49</v>
      </c>
      <c r="E12" s="194" t="s">
        <v>80</v>
      </c>
      <c r="F12" s="194" t="str">
        <f t="shared" si="0"/>
        <v>Tableur_stats["C13"]  = "114.a Nombre des groupements catégories 1 à 3 – fin de l’année"</v>
      </c>
    </row>
    <row r="13" spans="1:6" ht="31.5">
      <c r="A13" s="194" t="s">
        <v>309</v>
      </c>
      <c r="B13" s="194" t="s">
        <v>76</v>
      </c>
      <c r="C13" s="194" t="s">
        <v>77</v>
      </c>
      <c r="D13" s="195" t="s">
        <v>50</v>
      </c>
      <c r="E13" s="194" t="s">
        <v>80</v>
      </c>
      <c r="F13" s="194" t="str">
        <f t="shared" si="0"/>
        <v>Tableur_stats["C14"]  = "114.b Membres des groupements catégorie 1 à 3 accompagnés – fin de l’année"</v>
      </c>
    </row>
    <row r="14" spans="1:6" ht="31.5">
      <c r="A14" s="194" t="s">
        <v>310</v>
      </c>
      <c r="B14" s="194" t="s">
        <v>76</v>
      </c>
      <c r="C14" s="194" t="s">
        <v>77</v>
      </c>
      <c r="D14" s="195" t="s">
        <v>72</v>
      </c>
      <c r="E14" s="194" t="s">
        <v>80</v>
      </c>
      <c r="F14" s="194" t="str">
        <f t="shared" si="0"/>
        <v>Tableur_stats["C15"]  = "121.a Nombre de groupements devenus autonomes de 2017-2022 (cumulé)"</v>
      </c>
    </row>
    <row r="15" spans="1:6" ht="31.5">
      <c r="A15" s="194" t="s">
        <v>311</v>
      </c>
      <c r="B15" s="194" t="s">
        <v>76</v>
      </c>
      <c r="C15" s="194" t="s">
        <v>77</v>
      </c>
      <c r="D15" s="195" t="s">
        <v>277</v>
      </c>
      <c r="E15" s="194" t="s">
        <v>80</v>
      </c>
      <c r="F15" s="194" t="str">
        <f t="shared" si="0"/>
        <v>Tableur_stats["C16"]  = "121.b Membres des groupements devenus autonomes depuis 2017 (cumulés)"</v>
      </c>
    </row>
    <row r="16" spans="1:6" ht="31.5">
      <c r="A16" s="194" t="s">
        <v>312</v>
      </c>
      <c r="B16" s="194" t="s">
        <v>76</v>
      </c>
      <c r="C16" s="194" t="s">
        <v>77</v>
      </c>
      <c r="D16" s="195" t="s">
        <v>288</v>
      </c>
      <c r="E16" s="194" t="s">
        <v>80</v>
      </c>
      <c r="F16" s="194" t="str">
        <f t="shared" si="0"/>
        <v>Tableur_stats["C17"]  = "121.c Nombre de groupements devenus automes pendant l'année en cours"</v>
      </c>
    </row>
    <row r="17" spans="1:6" ht="31.5">
      <c r="A17" s="194" t="s">
        <v>313</v>
      </c>
      <c r="B17" s="194" t="s">
        <v>76</v>
      </c>
      <c r="C17" s="194" t="s">
        <v>77</v>
      </c>
      <c r="D17" s="195" t="s">
        <v>289</v>
      </c>
      <c r="E17" s="194" t="s">
        <v>80</v>
      </c>
      <c r="F17" s="194" t="str">
        <f t="shared" si="0"/>
        <v>Tableur_stats["C18"]  = "121.d Membre de groupements  devenus automes pendant l'année en cours"</v>
      </c>
    </row>
    <row r="18" spans="1:6">
      <c r="A18" s="194" t="s">
        <v>314</v>
      </c>
      <c r="B18" s="194" t="s">
        <v>76</v>
      </c>
      <c r="C18" s="194" t="s">
        <v>77</v>
      </c>
      <c r="D18" s="195" t="s">
        <v>16</v>
      </c>
      <c r="E18" s="194" t="s">
        <v>80</v>
      </c>
      <c r="F18" s="194" t="str">
        <f t="shared" si="0"/>
        <v>Tableur_stats["C19"]  = "131.a Nombre de réseaux de groupements"</v>
      </c>
    </row>
    <row r="19" spans="1:6">
      <c r="A19" s="194" t="s">
        <v>315</v>
      </c>
      <c r="B19" s="194" t="s">
        <v>76</v>
      </c>
      <c r="C19" s="194" t="s">
        <v>77</v>
      </c>
      <c r="D19" s="195" t="s">
        <v>74</v>
      </c>
      <c r="E19" s="194" t="s">
        <v>80</v>
      </c>
      <c r="F19" s="194" t="str">
        <f t="shared" si="0"/>
        <v>Tableur_stats["C20"]  = "131.b Membres des réseaux de groupements "</v>
      </c>
    </row>
    <row r="20" spans="1:6" ht="31.5">
      <c r="A20" s="194" t="s">
        <v>316</v>
      </c>
      <c r="B20" s="194" t="s">
        <v>76</v>
      </c>
      <c r="C20" s="194" t="s">
        <v>77</v>
      </c>
      <c r="D20" s="195" t="s">
        <v>75</v>
      </c>
      <c r="E20" s="194" t="s">
        <v>80</v>
      </c>
      <c r="F20" s="194" t="str">
        <f t="shared" si="0"/>
        <v>Tableur_stats["C21"]  = "132.Nombre de membres désendettés (dans les catégories 1-3) à la fin de l’année"</v>
      </c>
    </row>
    <row r="21" spans="1:6">
      <c r="A21" s="194" t="s">
        <v>317</v>
      </c>
      <c r="B21" s="194" t="s">
        <v>76</v>
      </c>
      <c r="C21" s="194" t="s">
        <v>77</v>
      </c>
      <c r="D21" s="195" t="s">
        <v>21</v>
      </c>
      <c r="E21" s="194" t="s">
        <v>80</v>
      </c>
      <c r="F21" s="194" t="str">
        <f t="shared" si="0"/>
        <v>Tableur_stats["C22"]  = "211.a Nombre de membres dans le degré 0"</v>
      </c>
    </row>
    <row r="22" spans="1:6">
      <c r="A22" s="194" t="s">
        <v>318</v>
      </c>
      <c r="B22" s="194" t="s">
        <v>76</v>
      </c>
      <c r="C22" s="194" t="s">
        <v>77</v>
      </c>
      <c r="D22" s="195" t="s">
        <v>22</v>
      </c>
      <c r="E22" s="194" t="s">
        <v>80</v>
      </c>
      <c r="F22" s="194" t="str">
        <f t="shared" si="0"/>
        <v>Tableur_stats["C23"]  = "211.b Nombre de membres dans le degré 1"</v>
      </c>
    </row>
    <row r="23" spans="1:6">
      <c r="A23" s="194" t="s">
        <v>319</v>
      </c>
      <c r="B23" s="194" t="s">
        <v>76</v>
      </c>
      <c r="C23" s="194" t="s">
        <v>77</v>
      </c>
      <c r="D23" s="195" t="s">
        <v>23</v>
      </c>
      <c r="E23" s="194" t="s">
        <v>80</v>
      </c>
      <c r="F23" s="194" t="str">
        <f t="shared" si="0"/>
        <v>Tableur_stats["C24"]  = "211.c Nombre de membres dans le degré 2"</v>
      </c>
    </row>
    <row r="24" spans="1:6">
      <c r="A24" s="194" t="s">
        <v>320</v>
      </c>
      <c r="B24" s="194" t="s">
        <v>76</v>
      </c>
      <c r="C24" s="194" t="s">
        <v>77</v>
      </c>
      <c r="D24" s="195" t="s">
        <v>24</v>
      </c>
      <c r="E24" s="194" t="s">
        <v>80</v>
      </c>
      <c r="F24" s="194" t="str">
        <f t="shared" si="0"/>
        <v>Tableur_stats["C25"]  = "211.d Nombre de membres dans le degré 3"</v>
      </c>
    </row>
    <row r="25" spans="1:6">
      <c r="A25" s="194" t="s">
        <v>321</v>
      </c>
      <c r="B25" s="194" t="s">
        <v>76</v>
      </c>
      <c r="C25" s="194" t="s">
        <v>77</v>
      </c>
      <c r="D25" s="195" t="s">
        <v>61</v>
      </c>
      <c r="E25" s="194" t="s">
        <v>80</v>
      </c>
      <c r="F25" s="194" t="str">
        <f t="shared" si="0"/>
        <v>Tableur_stats["C26"]  = "211.e Nombre de membres dans le degré 4"</v>
      </c>
    </row>
    <row r="26" spans="1:6">
      <c r="A26" s="194" t="s">
        <v>322</v>
      </c>
      <c r="B26" s="194" t="s">
        <v>76</v>
      </c>
      <c r="C26" s="194" t="s">
        <v>77</v>
      </c>
      <c r="D26" s="195" t="s">
        <v>62</v>
      </c>
      <c r="E26" s="194" t="s">
        <v>80</v>
      </c>
      <c r="F26" s="194" t="str">
        <f t="shared" si="0"/>
        <v>Tableur_stats["C27"]  = "Nombre de membres enquêtés"</v>
      </c>
    </row>
    <row r="27" spans="1:6" ht="31.5">
      <c r="A27" s="194" t="s">
        <v>323</v>
      </c>
      <c r="B27" s="194" t="s">
        <v>76</v>
      </c>
      <c r="C27" s="194" t="s">
        <v>77</v>
      </c>
      <c r="D27" s="195" t="s">
        <v>26</v>
      </c>
      <c r="E27" s="194" t="s">
        <v>80</v>
      </c>
      <c r="F27" s="194" t="str">
        <f t="shared" si="0"/>
        <v>Tableur_stats["C28"]  = "221 Nombre de membres (cat 1 à 3) nouvellement informés sur les bases d’une nutrition complète et variée (qualité)"</v>
      </c>
    </row>
    <row r="28" spans="1:6" ht="47.25">
      <c r="A28" s="194" t="s">
        <v>324</v>
      </c>
      <c r="B28" s="194" t="s">
        <v>76</v>
      </c>
      <c r="C28" s="194" t="s">
        <v>77</v>
      </c>
      <c r="D28" s="195" t="s">
        <v>82</v>
      </c>
      <c r="E28" s="194" t="s">
        <v>80</v>
      </c>
      <c r="F28" s="194" t="str">
        <f t="shared" si="0"/>
        <v>Tableur_stats["C29"]  = "222 Nombre cumulé de membres (cat 1 à 3) informés sur les bases d’une nutrition complète et variée et/ou sur la conservation de la nourriture (qualité)"</v>
      </c>
    </row>
    <row r="29" spans="1:6" ht="47.25">
      <c r="A29" s="194" t="s">
        <v>325</v>
      </c>
      <c r="B29" s="194" t="s">
        <v>76</v>
      </c>
      <c r="C29" s="194" t="s">
        <v>77</v>
      </c>
      <c r="D29" s="195" t="s">
        <v>83</v>
      </c>
      <c r="E29" s="194" t="s">
        <v>80</v>
      </c>
      <c r="F29" s="194" t="str">
        <f t="shared" si="0"/>
        <v>Tableur_stats["C30"]  = "231 Nombre de réseaux qui ont nouvellement profité d’une intervention (diagnostic, formation, suivi) des accompagnateurs/trices agricoles."</v>
      </c>
    </row>
    <row r="30" spans="1:6">
      <c r="A30" s="194" t="s">
        <v>326</v>
      </c>
      <c r="B30" s="194" t="s">
        <v>76</v>
      </c>
      <c r="C30" s="194" t="s">
        <v>77</v>
      </c>
      <c r="D30" s="195" t="s">
        <v>293</v>
      </c>
      <c r="E30" s="194" t="s">
        <v>80</v>
      </c>
      <c r="F30" s="194" t="str">
        <f t="shared" si="0"/>
        <v>Tableur_stats["C31"]  = "232. Nombre de membre informé sur l'agroécologie"</v>
      </c>
    </row>
    <row r="31" spans="1:6" ht="31.5">
      <c r="A31" s="194" t="s">
        <v>327</v>
      </c>
      <c r="B31" s="194" t="s">
        <v>76</v>
      </c>
      <c r="C31" s="194" t="s">
        <v>77</v>
      </c>
      <c r="D31" s="195" t="s">
        <v>67</v>
      </c>
      <c r="E31" s="194" t="s">
        <v>80</v>
      </c>
      <c r="F31" s="194" t="str">
        <f t="shared" si="0"/>
        <v>Tableur_stats["C32"]  = "311 : Nombre de membres de réseaux ayant accès à l’eau provenant d’une pompe"</v>
      </c>
    </row>
    <row r="32" spans="1:6" ht="63">
      <c r="A32" s="194" t="s">
        <v>328</v>
      </c>
      <c r="B32" s="194" t="s">
        <v>76</v>
      </c>
      <c r="C32" s="194" t="s">
        <v>77</v>
      </c>
      <c r="D32" s="195" t="s">
        <v>84</v>
      </c>
      <c r="E32" s="194" t="s">
        <v>80</v>
      </c>
      <c r="F32" s="194" t="str">
        <f t="shared" si="0"/>
        <v>Tableur_stats["C33"]  = "312 : Nombre de membres qui n’ont pas accès à une source d’eau potable mais qui boivent toujours de l’eau purifiée (Sûr’eau, SODIS, bouillir l’eau, moringa, filtrage…) en plus pendant l'année"</v>
      </c>
    </row>
    <row r="33" spans="1:6" ht="63">
      <c r="A33" s="194" t="s">
        <v>329</v>
      </c>
      <c r="B33" s="194" t="s">
        <v>76</v>
      </c>
      <c r="C33" s="194" t="s">
        <v>77</v>
      </c>
      <c r="D33" s="195" t="s">
        <v>85</v>
      </c>
      <c r="E33" s="194" t="s">
        <v>80</v>
      </c>
      <c r="F33" s="194" t="str">
        <f t="shared" si="0"/>
        <v>Tableur_stats["C34"]  = "321 :Nombre de réseaux qui ont réalisé pendant l'année au moins une activité de développement (foncier, eau, agriculture, protection de l’environnement) en collaboration avec les autorités du Fokontany ou de la Commune"</v>
      </c>
    </row>
    <row r="34" spans="1:6" ht="63">
      <c r="A34" s="194" t="s">
        <v>330</v>
      </c>
      <c r="B34" s="194" t="s">
        <v>76</v>
      </c>
      <c r="C34" s="194" t="s">
        <v>77</v>
      </c>
      <c r="D34" s="195" t="s">
        <v>86</v>
      </c>
      <c r="E34" s="194" t="s">
        <v>80</v>
      </c>
      <c r="F34" s="194" t="str">
        <f t="shared" si="0"/>
        <v>Tableur_stats["C35"]  = "322 : Nombre de réseaux qui ont réalisé pendant l'année au moins une activité de développement (foncier, eau, agriculture, protection de l’environnement) sans les autorités"</v>
      </c>
    </row>
    <row r="35" spans="1:6" ht="63">
      <c r="A35" s="194" t="s">
        <v>331</v>
      </c>
      <c r="B35" s="194" t="s">
        <v>76</v>
      </c>
      <c r="C35" s="194" t="s">
        <v>77</v>
      </c>
      <c r="D35" s="195" t="s">
        <v>87</v>
      </c>
      <c r="E35" s="194" t="s">
        <v>80</v>
      </c>
      <c r="F35" s="194" t="str">
        <f t="shared" si="0"/>
        <v>Tableur_stats["C36"]  = "331 Nombre des membres de groupement informés sur les dispositions à prendre avant-pendant et après le cataclysme (rappel avec la checklist en début de saison de pluie : septembre - novembre)"</v>
      </c>
    </row>
    <row r="36" spans="1:6" ht="31.5">
      <c r="A36" s="194" t="s">
        <v>332</v>
      </c>
      <c r="B36" s="194" t="s">
        <v>76</v>
      </c>
      <c r="C36" s="194" t="s">
        <v>77</v>
      </c>
      <c r="D36" s="195" t="s">
        <v>32</v>
      </c>
      <c r="E36" s="194" t="s">
        <v>80</v>
      </c>
      <c r="F36" s="194" t="str">
        <f t="shared" si="0"/>
        <v>Tableur_stats["C37"]  = "332 Nombre de Fokontany où le projet travaille qui ont fait une action pour la gestion de risques et catastrophes"</v>
      </c>
    </row>
    <row r="37" spans="1:6" ht="47.25">
      <c r="A37" s="194" t="s">
        <v>333</v>
      </c>
      <c r="B37" s="194" t="s">
        <v>76</v>
      </c>
      <c r="C37" s="194" t="s">
        <v>77</v>
      </c>
      <c r="D37" s="195" t="s">
        <v>34</v>
      </c>
      <c r="E37" s="194" t="s">
        <v>80</v>
      </c>
      <c r="F37" s="194" t="str">
        <f t="shared" ref="F37:F49" si="1">B37&amp;A37&amp;C37&amp;D37&amp;E37</f>
        <v>Tableur_stats["C38"]  = "341.a Nombre des groupes (cat. 1-3) ayant une femme occupant un poste de responsabilité (présidente, secrétaire, trésorière...)"</v>
      </c>
    </row>
    <row r="38" spans="1:6" ht="47.25">
      <c r="A38" s="194" t="s">
        <v>334</v>
      </c>
      <c r="B38" s="194" t="s">
        <v>76</v>
      </c>
      <c r="C38" s="194" t="s">
        <v>77</v>
      </c>
      <c r="D38" s="195" t="s">
        <v>35</v>
      </c>
      <c r="E38" s="194" t="s">
        <v>80</v>
      </c>
      <c r="F38" s="194" t="str">
        <f t="shared" si="1"/>
        <v>Tableur_stats["C39"]  = "341.b : Pourcentage des groupes (cat. 1-3) ayant une femme occupant un poste de responsabilité (présidente, secrétaire, trésorière...)"</v>
      </c>
    </row>
    <row r="39" spans="1:6" ht="31.5">
      <c r="A39" s="194" t="s">
        <v>335</v>
      </c>
      <c r="B39" s="194" t="s">
        <v>76</v>
      </c>
      <c r="C39" s="194" t="s">
        <v>77</v>
      </c>
      <c r="D39" s="195" t="s">
        <v>36</v>
      </c>
      <c r="E39" s="194" t="s">
        <v>80</v>
      </c>
      <c r="F39" s="194" t="str">
        <f t="shared" si="1"/>
        <v>Tableur_stats["C40"]  = "342.a : Nombre de groupement (cat.1-3) ayant un jeune de moins de 26 ans occupant un poste de responsabilité  "</v>
      </c>
    </row>
    <row r="40" spans="1:6" ht="31.5">
      <c r="A40" s="194" t="s">
        <v>336</v>
      </c>
      <c r="B40" s="194" t="s">
        <v>76</v>
      </c>
      <c r="C40" s="194" t="s">
        <v>77</v>
      </c>
      <c r="D40" s="195" t="s">
        <v>37</v>
      </c>
      <c r="E40" s="194" t="s">
        <v>80</v>
      </c>
      <c r="F40" s="194" t="str">
        <f t="shared" si="1"/>
        <v>Tableur_stats["C41"]  = "342.b : Pourcentage de groupement (cat.1-3) ayant un jeune de moins de 26 ans occupant un poste de responsabilité  "</v>
      </c>
    </row>
    <row r="41" spans="1:6" ht="94.5">
      <c r="A41" s="194" t="s">
        <v>337</v>
      </c>
      <c r="B41" s="194" t="s">
        <v>76</v>
      </c>
      <c r="C41" s="194" t="s">
        <v>77</v>
      </c>
      <c r="D41" s="195" t="s">
        <v>88</v>
      </c>
      <c r="E41" s="194" t="s">
        <v>80</v>
      </c>
      <c r="F41" s="194" t="str">
        <f t="shared" si="1"/>
        <v>Tableur_stats["C42"]  = "411 : Description des activités de la société civile (publication, conférence, interpellation, manifestation ou autres) auxquelles le Programme Madagasikara – avec une ou des organisations partenaires – a participé. Thématiques qui intéressent le programme et touchés par l’activité : Sécurité alimentaire, le foncier, l’eau (EAH), genre."</v>
      </c>
    </row>
    <row r="42" spans="1:6">
      <c r="A42" s="194" t="s">
        <v>338</v>
      </c>
      <c r="B42" s="194" t="s">
        <v>76</v>
      </c>
      <c r="C42" s="194" t="s">
        <v>77</v>
      </c>
      <c r="D42" s="195"/>
      <c r="E42" s="194" t="s">
        <v>80</v>
      </c>
      <c r="F42" s="194" t="str">
        <f t="shared" si="1"/>
        <v>Tableur_stats["C43"]  = ""</v>
      </c>
    </row>
    <row r="43" spans="1:6">
      <c r="A43" s="194" t="s">
        <v>339</v>
      </c>
      <c r="B43" s="194" t="s">
        <v>76</v>
      </c>
      <c r="C43" s="194" t="s">
        <v>77</v>
      </c>
      <c r="D43" s="195"/>
      <c r="E43" s="194" t="s">
        <v>80</v>
      </c>
      <c r="F43" s="194" t="str">
        <f t="shared" si="1"/>
        <v>Tableur_stats["C44"]  = ""</v>
      </c>
    </row>
    <row r="44" spans="1:6">
      <c r="A44" s="194" t="s">
        <v>340</v>
      </c>
      <c r="B44" s="194" t="s">
        <v>76</v>
      </c>
      <c r="C44" s="194" t="s">
        <v>77</v>
      </c>
      <c r="D44" s="195"/>
      <c r="E44" s="194" t="s">
        <v>80</v>
      </c>
      <c r="F44" s="194" t="str">
        <f t="shared" si="1"/>
        <v>Tableur_stats["C45"]  = ""</v>
      </c>
    </row>
    <row r="45" spans="1:6">
      <c r="A45" s="194" t="s">
        <v>341</v>
      </c>
      <c r="B45" s="194" t="s">
        <v>76</v>
      </c>
      <c r="C45" s="194" t="s">
        <v>77</v>
      </c>
      <c r="D45" s="195"/>
      <c r="E45" s="194" t="s">
        <v>80</v>
      </c>
      <c r="F45" s="194" t="str">
        <f t="shared" si="1"/>
        <v>Tableur_stats["C46"]  = ""</v>
      </c>
    </row>
    <row r="46" spans="1:6">
      <c r="A46" s="194" t="s">
        <v>342</v>
      </c>
      <c r="B46" s="194" t="s">
        <v>76</v>
      </c>
      <c r="C46" s="194" t="s">
        <v>77</v>
      </c>
      <c r="D46" s="195"/>
      <c r="E46" s="194" t="s">
        <v>80</v>
      </c>
      <c r="F46" s="194" t="str">
        <f t="shared" si="1"/>
        <v>Tableur_stats["C47"]  = ""</v>
      </c>
    </row>
    <row r="47" spans="1:6">
      <c r="A47" s="194" t="s">
        <v>343</v>
      </c>
      <c r="B47" s="194" t="s">
        <v>76</v>
      </c>
      <c r="C47" s="194" t="s">
        <v>77</v>
      </c>
      <c r="D47" s="195"/>
      <c r="E47" s="194" t="s">
        <v>80</v>
      </c>
      <c r="F47" s="194" t="str">
        <f t="shared" si="1"/>
        <v>Tableur_stats["C48"]  = ""</v>
      </c>
    </row>
    <row r="48" spans="1:6">
      <c r="A48" s="194" t="s">
        <v>344</v>
      </c>
      <c r="B48" s="194" t="s">
        <v>76</v>
      </c>
      <c r="C48" s="194" t="s">
        <v>77</v>
      </c>
      <c r="D48" s="195"/>
      <c r="E48" s="194" t="s">
        <v>80</v>
      </c>
      <c r="F48" s="194" t="str">
        <f t="shared" si="1"/>
        <v>Tableur_stats["C49"]  = ""</v>
      </c>
    </row>
    <row r="49" spans="1:6">
      <c r="A49" s="194" t="s">
        <v>345</v>
      </c>
      <c r="B49" s="194" t="s">
        <v>76</v>
      </c>
      <c r="C49" s="194" t="s">
        <v>77</v>
      </c>
      <c r="D49" s="195"/>
      <c r="E49" s="194" t="s">
        <v>80</v>
      </c>
      <c r="F49" s="194" t="str">
        <f t="shared" si="1"/>
        <v>Tableur_stats["C50"]  =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61"/>
  <sheetViews>
    <sheetView workbookViewId="0">
      <selection activeCell="H47" sqref="H47"/>
    </sheetView>
  </sheetViews>
  <sheetFormatPr baseColWidth="10" defaultRowHeight="15.75"/>
  <cols>
    <col min="3" max="3" width="42.625" bestFit="1" customWidth="1"/>
  </cols>
  <sheetData>
    <row r="3" spans="2:3">
      <c r="B3">
        <v>1</v>
      </c>
      <c r="C3" t="s">
        <v>143</v>
      </c>
    </row>
    <row r="4" spans="2:3">
      <c r="B4">
        <v>2</v>
      </c>
      <c r="C4" t="s">
        <v>144</v>
      </c>
    </row>
    <row r="5" spans="2:3">
      <c r="B5">
        <v>3</v>
      </c>
      <c r="C5" t="s">
        <v>145</v>
      </c>
    </row>
    <row r="6" spans="2:3">
      <c r="B6">
        <v>4</v>
      </c>
      <c r="C6" t="s">
        <v>146</v>
      </c>
    </row>
    <row r="7" spans="2:3">
      <c r="B7">
        <v>5</v>
      </c>
      <c r="C7" t="s">
        <v>147</v>
      </c>
    </row>
    <row r="8" spans="2:3">
      <c r="B8">
        <v>6</v>
      </c>
      <c r="C8" t="s">
        <v>148</v>
      </c>
    </row>
    <row r="9" spans="2:3">
      <c r="B9">
        <v>7</v>
      </c>
      <c r="C9" t="s">
        <v>149</v>
      </c>
    </row>
    <row r="10" spans="2:3">
      <c r="B10">
        <v>8</v>
      </c>
      <c r="C10" t="s">
        <v>150</v>
      </c>
    </row>
    <row r="11" spans="2:3">
      <c r="B11">
        <v>9</v>
      </c>
      <c r="C11" t="s">
        <v>151</v>
      </c>
    </row>
    <row r="12" spans="2:3">
      <c r="B12">
        <v>10</v>
      </c>
      <c r="C12" t="s">
        <v>152</v>
      </c>
    </row>
    <row r="13" spans="2:3">
      <c r="B13">
        <v>11</v>
      </c>
      <c r="C13" t="s">
        <v>153</v>
      </c>
    </row>
    <row r="14" spans="2:3">
      <c r="B14">
        <v>12</v>
      </c>
      <c r="C14" t="s">
        <v>154</v>
      </c>
    </row>
    <row r="15" spans="2:3">
      <c r="B15">
        <v>13</v>
      </c>
      <c r="C15" t="s">
        <v>155</v>
      </c>
    </row>
    <row r="16" spans="2:3">
      <c r="B16">
        <v>14</v>
      </c>
      <c r="C16" t="s">
        <v>156</v>
      </c>
    </row>
    <row r="17" spans="2:3">
      <c r="B17">
        <v>15</v>
      </c>
      <c r="C17" t="s">
        <v>157</v>
      </c>
    </row>
    <row r="18" spans="2:3">
      <c r="B18">
        <v>16</v>
      </c>
      <c r="C18" t="s">
        <v>158</v>
      </c>
    </row>
    <row r="19" spans="2:3">
      <c r="B19">
        <v>17</v>
      </c>
      <c r="C19" t="s">
        <v>159</v>
      </c>
    </row>
    <row r="20" spans="2:3">
      <c r="B20">
        <v>18</v>
      </c>
      <c r="C20" t="s">
        <v>160</v>
      </c>
    </row>
    <row r="21" spans="2:3">
      <c r="B21">
        <v>19</v>
      </c>
      <c r="C21" t="s">
        <v>161</v>
      </c>
    </row>
    <row r="22" spans="2:3">
      <c r="B22">
        <v>20</v>
      </c>
      <c r="C22" t="s">
        <v>162</v>
      </c>
    </row>
    <row r="23" spans="2:3">
      <c r="B23">
        <v>21</v>
      </c>
      <c r="C23" t="s">
        <v>163</v>
      </c>
    </row>
    <row r="24" spans="2:3">
      <c r="B24">
        <v>22</v>
      </c>
      <c r="C24" t="s">
        <v>164</v>
      </c>
    </row>
    <row r="25" spans="2:3">
      <c r="B25">
        <v>23</v>
      </c>
      <c r="C25" t="s">
        <v>165</v>
      </c>
    </row>
    <row r="26" spans="2:3">
      <c r="B26">
        <v>24</v>
      </c>
      <c r="C26" t="s">
        <v>166</v>
      </c>
    </row>
    <row r="27" spans="2:3">
      <c r="B27">
        <v>25</v>
      </c>
      <c r="C27" t="s">
        <v>167</v>
      </c>
    </row>
    <row r="28" spans="2:3">
      <c r="B28">
        <v>26</v>
      </c>
      <c r="C28" t="s">
        <v>168</v>
      </c>
    </row>
    <row r="29" spans="2:3">
      <c r="B29">
        <v>27</v>
      </c>
      <c r="C29" t="s">
        <v>169</v>
      </c>
    </row>
    <row r="30" spans="2:3">
      <c r="B30">
        <v>28</v>
      </c>
      <c r="C30" t="s">
        <v>170</v>
      </c>
    </row>
    <row r="31" spans="2:3">
      <c r="B31">
        <v>29</v>
      </c>
      <c r="C31" t="s">
        <v>171</v>
      </c>
    </row>
    <row r="32" spans="2:3">
      <c r="B32">
        <v>30</v>
      </c>
      <c r="C32" t="s">
        <v>172</v>
      </c>
    </row>
    <row r="33" spans="2:3">
      <c r="B33">
        <v>31</v>
      </c>
      <c r="C33" t="s">
        <v>173</v>
      </c>
    </row>
    <row r="34" spans="2:3">
      <c r="B34">
        <v>32</v>
      </c>
      <c r="C34" t="s">
        <v>174</v>
      </c>
    </row>
    <row r="35" spans="2:3">
      <c r="B35">
        <v>33</v>
      </c>
      <c r="C35" t="s">
        <v>175</v>
      </c>
    </row>
    <row r="36" spans="2:3">
      <c r="B36">
        <v>34</v>
      </c>
      <c r="C36" t="s">
        <v>176</v>
      </c>
    </row>
    <row r="37" spans="2:3">
      <c r="B37">
        <v>35</v>
      </c>
      <c r="C37" t="s">
        <v>177</v>
      </c>
    </row>
    <row r="38" spans="2:3">
      <c r="B38">
        <v>36</v>
      </c>
      <c r="C38" t="s">
        <v>178</v>
      </c>
    </row>
    <row r="39" spans="2:3">
      <c r="B39">
        <v>37</v>
      </c>
      <c r="C39" t="s">
        <v>179</v>
      </c>
    </row>
    <row r="40" spans="2:3">
      <c r="B40">
        <v>38</v>
      </c>
      <c r="C40" t="s">
        <v>180</v>
      </c>
    </row>
    <row r="41" spans="2:3">
      <c r="B41">
        <v>39</v>
      </c>
      <c r="C41" t="s">
        <v>181</v>
      </c>
    </row>
    <row r="42" spans="2:3">
      <c r="B42">
        <v>40</v>
      </c>
      <c r="C42" t="s">
        <v>182</v>
      </c>
    </row>
    <row r="43" spans="2:3">
      <c r="B43">
        <v>41</v>
      </c>
      <c r="C43" t="s">
        <v>183</v>
      </c>
    </row>
    <row r="44" spans="2:3">
      <c r="B44">
        <v>42</v>
      </c>
      <c r="C44" t="s">
        <v>184</v>
      </c>
    </row>
    <row r="45" spans="2:3">
      <c r="B45">
        <v>43</v>
      </c>
      <c r="C45" t="s">
        <v>185</v>
      </c>
    </row>
    <row r="46" spans="2:3">
      <c r="B46">
        <v>44</v>
      </c>
      <c r="C46" t="s">
        <v>186</v>
      </c>
    </row>
    <row r="47" spans="2:3">
      <c r="B47">
        <v>45</v>
      </c>
      <c r="C47" t="s">
        <v>187</v>
      </c>
    </row>
    <row r="48" spans="2:3">
      <c r="B48">
        <v>46</v>
      </c>
      <c r="C48" t="s">
        <v>188</v>
      </c>
    </row>
    <row r="49" spans="2:3">
      <c r="B49">
        <v>47</v>
      </c>
      <c r="C49" t="s">
        <v>189</v>
      </c>
    </row>
    <row r="50" spans="2:3">
      <c r="B50">
        <v>48</v>
      </c>
      <c r="C50" t="s">
        <v>190</v>
      </c>
    </row>
    <row r="51" spans="2:3">
      <c r="B51">
        <v>49</v>
      </c>
      <c r="C51" t="s">
        <v>191</v>
      </c>
    </row>
    <row r="52" spans="2:3">
      <c r="B52">
        <v>50</v>
      </c>
      <c r="C52" t="s">
        <v>192</v>
      </c>
    </row>
    <row r="53" spans="2:3">
      <c r="B53">
        <v>51</v>
      </c>
      <c r="C53" t="s">
        <v>193</v>
      </c>
    </row>
    <row r="54" spans="2:3">
      <c r="B54">
        <v>52</v>
      </c>
      <c r="C54" t="s">
        <v>194</v>
      </c>
    </row>
    <row r="55" spans="2:3">
      <c r="B55">
        <v>53</v>
      </c>
      <c r="C55" t="s">
        <v>195</v>
      </c>
    </row>
    <row r="56" spans="2:3">
      <c r="B56">
        <v>54</v>
      </c>
      <c r="C56" t="s">
        <v>196</v>
      </c>
    </row>
    <row r="57" spans="2:3">
      <c r="B57">
        <v>55</v>
      </c>
      <c r="C57" t="s">
        <v>197</v>
      </c>
    </row>
    <row r="58" spans="2:3">
      <c r="B58">
        <v>56</v>
      </c>
      <c r="C58" t="s">
        <v>198</v>
      </c>
    </row>
    <row r="59" spans="2:3">
      <c r="B59">
        <v>57</v>
      </c>
      <c r="C59" t="s">
        <v>200</v>
      </c>
    </row>
    <row r="60" spans="2:3">
      <c r="B60">
        <v>58</v>
      </c>
      <c r="C60" t="s">
        <v>199</v>
      </c>
    </row>
    <row r="61" spans="2:3">
      <c r="B61">
        <v>59</v>
      </c>
      <c r="C61" t="s">
        <v>201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68"/>
  <sheetViews>
    <sheetView topLeftCell="A31" workbookViewId="0">
      <selection activeCell="G74" sqref="G74"/>
    </sheetView>
  </sheetViews>
  <sheetFormatPr baseColWidth="10" defaultRowHeight="15.75"/>
  <cols>
    <col min="1" max="2" width="11" customWidth="1"/>
    <col min="3" max="3" width="23.5" customWidth="1"/>
    <col min="4" max="4" width="11" customWidth="1"/>
    <col min="5" max="5" width="24.375" customWidth="1"/>
    <col min="6" max="7" width="11" customWidth="1"/>
    <col min="8" max="8" width="24.375" customWidth="1"/>
    <col min="9" max="9" width="6" customWidth="1"/>
    <col min="10" max="11" width="11" customWidth="1"/>
    <col min="12" max="12" width="56.25" bestFit="1" customWidth="1"/>
  </cols>
  <sheetData>
    <row r="3" spans="2:12">
      <c r="C3" t="s">
        <v>202</v>
      </c>
    </row>
    <row r="4" spans="2:12">
      <c r="C4" t="s">
        <v>203</v>
      </c>
    </row>
    <row r="5" spans="2:12">
      <c r="C5" t="s">
        <v>204</v>
      </c>
    </row>
    <row r="6" spans="2:12">
      <c r="C6" t="s">
        <v>205</v>
      </c>
    </row>
    <row r="12" spans="2:12">
      <c r="E12" t="s">
        <v>208</v>
      </c>
      <c r="H12" t="s">
        <v>209</v>
      </c>
    </row>
    <row r="13" spans="2:12">
      <c r="B13" t="s">
        <v>206</v>
      </c>
      <c r="C13" t="s">
        <v>207</v>
      </c>
      <c r="D13" t="s">
        <v>80</v>
      </c>
      <c r="E13" t="s">
        <v>89</v>
      </c>
      <c r="F13" t="s">
        <v>268</v>
      </c>
      <c r="G13" t="s">
        <v>271</v>
      </c>
      <c r="H13" t="s">
        <v>212</v>
      </c>
      <c r="I13" t="s">
        <v>270</v>
      </c>
      <c r="J13" t="s">
        <v>269</v>
      </c>
      <c r="L13" s="284" t="str">
        <f>CONCATENATE(B13,C13,D13,E13,F13,G13,H13,I13,J13)</f>
        <v>NewContent+="act_autre""  :   """  +  data1   +""","</v>
      </c>
    </row>
    <row r="14" spans="2:12">
      <c r="B14" t="s">
        <v>206</v>
      </c>
      <c r="C14" t="s">
        <v>207</v>
      </c>
      <c r="D14" t="s">
        <v>80</v>
      </c>
      <c r="E14" t="s">
        <v>90</v>
      </c>
      <c r="F14" t="s">
        <v>268</v>
      </c>
      <c r="G14" t="s">
        <v>271</v>
      </c>
      <c r="H14" t="s">
        <v>213</v>
      </c>
      <c r="I14" t="s">
        <v>270</v>
      </c>
      <c r="J14" t="s">
        <v>269</v>
      </c>
      <c r="L14" s="284" t="str">
        <f t="shared" ref="L14:L68" si="0">CONCATENATE(B14,C14,D14,E14,F14,G14,H14,I14,J14)</f>
        <v>NewContent+="act_autre_details""  :   """  +  data2   +""","</v>
      </c>
    </row>
    <row r="15" spans="2:12">
      <c r="B15" t="s">
        <v>206</v>
      </c>
      <c r="C15" t="s">
        <v>207</v>
      </c>
      <c r="D15" t="s">
        <v>80</v>
      </c>
      <c r="E15" t="s">
        <v>91</v>
      </c>
      <c r="F15" t="s">
        <v>268</v>
      </c>
      <c r="G15" t="s">
        <v>271</v>
      </c>
      <c r="H15" t="s">
        <v>214</v>
      </c>
      <c r="I15" t="s">
        <v>270</v>
      </c>
      <c r="J15" t="s">
        <v>269</v>
      </c>
      <c r="L15" s="284" t="str">
        <f t="shared" si="0"/>
        <v>NewContent+="act_champ_commun""  :   """  +  data3   +""","</v>
      </c>
    </row>
    <row r="16" spans="2:12">
      <c r="B16" t="s">
        <v>206</v>
      </c>
      <c r="C16" t="s">
        <v>207</v>
      </c>
      <c r="D16" t="s">
        <v>80</v>
      </c>
      <c r="E16" t="s">
        <v>92</v>
      </c>
      <c r="F16" t="s">
        <v>268</v>
      </c>
      <c r="G16" t="s">
        <v>271</v>
      </c>
      <c r="H16" t="s">
        <v>215</v>
      </c>
      <c r="I16" t="s">
        <v>270</v>
      </c>
      <c r="J16" t="s">
        <v>269</v>
      </c>
      <c r="L16" s="284" t="str">
        <f t="shared" si="0"/>
        <v>NewContent+="act_entraide_rotative""  :   """  +  data4   +""","</v>
      </c>
    </row>
    <row r="17" spans="2:12">
      <c r="B17" t="s">
        <v>206</v>
      </c>
      <c r="C17" t="s">
        <v>207</v>
      </c>
      <c r="D17" t="s">
        <v>80</v>
      </c>
      <c r="E17" t="s">
        <v>93</v>
      </c>
      <c r="F17" t="s">
        <v>268</v>
      </c>
      <c r="G17" t="s">
        <v>271</v>
      </c>
      <c r="H17" t="s">
        <v>216</v>
      </c>
      <c r="I17" t="s">
        <v>270</v>
      </c>
      <c r="J17" t="s">
        <v>269</v>
      </c>
      <c r="L17" s="284" t="str">
        <f t="shared" si="0"/>
        <v>NewContent+="act_epargne_en_monnaie ""  :   """  +  data5   +""","</v>
      </c>
    </row>
    <row r="18" spans="2:12">
      <c r="B18" t="s">
        <v>206</v>
      </c>
      <c r="C18" t="s">
        <v>207</v>
      </c>
      <c r="D18" t="s">
        <v>80</v>
      </c>
      <c r="E18" t="s">
        <v>94</v>
      </c>
      <c r="F18" t="s">
        <v>268</v>
      </c>
      <c r="G18" t="s">
        <v>271</v>
      </c>
      <c r="H18" t="s">
        <v>217</v>
      </c>
      <c r="I18" t="s">
        <v>270</v>
      </c>
      <c r="J18" t="s">
        <v>269</v>
      </c>
      <c r="L18" s="284" t="str">
        <f t="shared" si="0"/>
        <v>NewContent+="act_epargne_en_production ""  :   """  +  data6   +""","</v>
      </c>
    </row>
    <row r="19" spans="2:12">
      <c r="B19" t="s">
        <v>206</v>
      </c>
      <c r="C19" t="s">
        <v>207</v>
      </c>
      <c r="D19" t="s">
        <v>80</v>
      </c>
      <c r="E19" t="s">
        <v>95</v>
      </c>
      <c r="F19" t="s">
        <v>268</v>
      </c>
      <c r="G19" t="s">
        <v>271</v>
      </c>
      <c r="H19" t="s">
        <v>218</v>
      </c>
      <c r="I19" t="s">
        <v>270</v>
      </c>
      <c r="J19" t="s">
        <v>269</v>
      </c>
      <c r="L19" s="284" t="str">
        <f t="shared" si="0"/>
        <v>NewContent+="cate_grpm""  :   """  +  data7   +""","</v>
      </c>
    </row>
    <row r="20" spans="2:12">
      <c r="B20" t="s">
        <v>206</v>
      </c>
      <c r="C20" t="s">
        <v>207</v>
      </c>
      <c r="D20" t="s">
        <v>80</v>
      </c>
      <c r="E20" t="s">
        <v>96</v>
      </c>
      <c r="F20" t="s">
        <v>268</v>
      </c>
      <c r="G20" t="s">
        <v>271</v>
      </c>
      <c r="H20" t="s">
        <v>219</v>
      </c>
      <c r="I20" t="s">
        <v>270</v>
      </c>
      <c r="J20" t="s">
        <v>269</v>
      </c>
      <c r="L20" s="284" t="str">
        <f t="shared" si="0"/>
        <v>NewContent+="commune""  :   """  +  data8   +""","</v>
      </c>
    </row>
    <row r="21" spans="2:12">
      <c r="B21" t="s">
        <v>206</v>
      </c>
      <c r="C21" t="s">
        <v>207</v>
      </c>
      <c r="D21" t="s">
        <v>80</v>
      </c>
      <c r="E21" t="s">
        <v>97</v>
      </c>
      <c r="F21" t="s">
        <v>268</v>
      </c>
      <c r="G21" t="s">
        <v>271</v>
      </c>
      <c r="H21" t="s">
        <v>220</v>
      </c>
      <c r="I21" t="s">
        <v>270</v>
      </c>
      <c r="J21" t="s">
        <v>269</v>
      </c>
      <c r="L21" s="284" t="str">
        <f t="shared" si="0"/>
        <v>NewContent+="date_de_cre""  :   """  +  data9   +""","</v>
      </c>
    </row>
    <row r="22" spans="2:12">
      <c r="B22" t="s">
        <v>206</v>
      </c>
      <c r="C22" t="s">
        <v>207</v>
      </c>
      <c r="D22" t="s">
        <v>80</v>
      </c>
      <c r="E22" t="s">
        <v>98</v>
      </c>
      <c r="F22" t="s">
        <v>268</v>
      </c>
      <c r="G22" t="s">
        <v>271</v>
      </c>
      <c r="H22" t="s">
        <v>221</v>
      </c>
      <c r="I22" t="s">
        <v>270</v>
      </c>
      <c r="J22" t="s">
        <v>269</v>
      </c>
      <c r="L22" s="284" t="str">
        <f t="shared" si="0"/>
        <v>NewContent+="dateautonomisation ""  :   """  +  data10   +""","</v>
      </c>
    </row>
    <row r="23" spans="2:12">
      <c r="B23" t="s">
        <v>206</v>
      </c>
      <c r="C23" t="s">
        <v>207</v>
      </c>
      <c r="D23" t="s">
        <v>80</v>
      </c>
      <c r="E23" t="s">
        <v>99</v>
      </c>
      <c r="F23" t="s">
        <v>268</v>
      </c>
      <c r="G23" t="s">
        <v>271</v>
      </c>
      <c r="H23" t="s">
        <v>222</v>
      </c>
      <c r="I23" t="s">
        <v>270</v>
      </c>
      <c r="J23" t="s">
        <v>269</v>
      </c>
      <c r="L23" s="284" t="str">
        <f t="shared" si="0"/>
        <v>NewContent+="district""  :   """  +  data11   +""","</v>
      </c>
    </row>
    <row r="24" spans="2:12">
      <c r="B24" t="s">
        <v>206</v>
      </c>
      <c r="C24" t="s">
        <v>207</v>
      </c>
      <c r="D24" t="s">
        <v>80</v>
      </c>
      <c r="E24" t="s">
        <v>100</v>
      </c>
      <c r="F24" t="s">
        <v>268</v>
      </c>
      <c r="G24" t="s">
        <v>271</v>
      </c>
      <c r="H24" t="s">
        <v>223</v>
      </c>
      <c r="I24" t="s">
        <v>270</v>
      </c>
      <c r="J24" t="s">
        <v>269</v>
      </c>
      <c r="L24" s="285" t="str">
        <f t="shared" si="0"/>
        <v>NewContent+="femme_desend""  :   """  +  data12   +""","</v>
      </c>
    </row>
    <row r="25" spans="2:12">
      <c r="B25" t="s">
        <v>206</v>
      </c>
      <c r="C25" t="s">
        <v>207</v>
      </c>
      <c r="D25" t="s">
        <v>80</v>
      </c>
      <c r="E25" t="s">
        <v>101</v>
      </c>
      <c r="F25" t="s">
        <v>268</v>
      </c>
      <c r="G25" t="s">
        <v>271</v>
      </c>
      <c r="H25" t="s">
        <v>224</v>
      </c>
      <c r="I25" t="s">
        <v>270</v>
      </c>
      <c r="J25" t="s">
        <v>269</v>
      </c>
      <c r="L25" s="285" t="str">
        <f t="shared" si="0"/>
        <v>NewContent+="femme_resp""  :   """  +  data13   +""","</v>
      </c>
    </row>
    <row r="26" spans="2:12">
      <c r="B26" t="s">
        <v>206</v>
      </c>
      <c r="C26" t="s">
        <v>207</v>
      </c>
      <c r="D26" t="s">
        <v>80</v>
      </c>
      <c r="E26" t="s">
        <v>102</v>
      </c>
      <c r="F26" t="s">
        <v>268</v>
      </c>
      <c r="G26" t="s">
        <v>271</v>
      </c>
      <c r="H26" t="s">
        <v>225</v>
      </c>
      <c r="I26" t="s">
        <v>270</v>
      </c>
      <c r="J26" t="s">
        <v>269</v>
      </c>
      <c r="L26" s="284" t="str">
        <f t="shared" si="0"/>
        <v>NewContent+="fokontany""  :   """  +  data14   +""","</v>
      </c>
    </row>
    <row r="27" spans="2:12">
      <c r="B27" t="s">
        <v>206</v>
      </c>
      <c r="C27" t="s">
        <v>207</v>
      </c>
      <c r="D27" t="s">
        <v>80</v>
      </c>
      <c r="E27" t="s">
        <v>103</v>
      </c>
      <c r="F27" t="s">
        <v>268</v>
      </c>
      <c r="G27" t="s">
        <v>271</v>
      </c>
      <c r="H27" t="s">
        <v>226</v>
      </c>
      <c r="I27" t="s">
        <v>270</v>
      </c>
      <c r="J27" t="s">
        <v>269</v>
      </c>
      <c r="L27" s="285" t="str">
        <f t="shared" si="0"/>
        <v>NewContent+="homme_desend""  :   """  +  data15   +""","</v>
      </c>
    </row>
    <row r="28" spans="2:12">
      <c r="B28" t="s">
        <v>206</v>
      </c>
      <c r="C28" t="s">
        <v>207</v>
      </c>
      <c r="D28" t="s">
        <v>80</v>
      </c>
      <c r="E28" t="s">
        <v>104</v>
      </c>
      <c r="F28" t="s">
        <v>268</v>
      </c>
      <c r="G28" t="s">
        <v>271</v>
      </c>
      <c r="H28" t="s">
        <v>227</v>
      </c>
      <c r="I28" t="s">
        <v>270</v>
      </c>
      <c r="J28" t="s">
        <v>269</v>
      </c>
      <c r="L28" s="285" t="str">
        <f t="shared" si="0"/>
        <v>NewContent+="id""  :   """  +  data16   +""","</v>
      </c>
    </row>
    <row r="29" spans="2:12">
      <c r="B29" t="s">
        <v>206</v>
      </c>
      <c r="C29" t="s">
        <v>207</v>
      </c>
      <c r="D29" t="s">
        <v>80</v>
      </c>
      <c r="E29" t="s">
        <v>105</v>
      </c>
      <c r="F29" t="s">
        <v>268</v>
      </c>
      <c r="G29" t="s">
        <v>271</v>
      </c>
      <c r="H29" t="s">
        <v>228</v>
      </c>
      <c r="I29" t="s">
        <v>270</v>
      </c>
      <c r="J29" t="s">
        <v>269</v>
      </c>
      <c r="L29" s="284" t="str">
        <f t="shared" si="0"/>
        <v>NewContent+="id_reseau""  :   """  +  data17   +""","</v>
      </c>
    </row>
    <row r="30" spans="2:12">
      <c r="B30" t="s">
        <v>206</v>
      </c>
      <c r="C30" t="s">
        <v>207</v>
      </c>
      <c r="D30" t="s">
        <v>80</v>
      </c>
      <c r="E30" t="s">
        <v>106</v>
      </c>
      <c r="F30" t="s">
        <v>268</v>
      </c>
      <c r="G30" t="s">
        <v>271</v>
      </c>
      <c r="H30" t="s">
        <v>229</v>
      </c>
      <c r="I30" t="s">
        <v>270</v>
      </c>
      <c r="J30" t="s">
        <v>269</v>
      </c>
      <c r="L30" t="str">
        <f t="shared" si="0"/>
        <v>NewContent+="insec_enq_1""  :   """  +  data18   +""","</v>
      </c>
    </row>
    <row r="31" spans="2:12">
      <c r="B31" t="s">
        <v>206</v>
      </c>
      <c r="C31" t="s">
        <v>207</v>
      </c>
      <c r="D31" t="s">
        <v>80</v>
      </c>
      <c r="E31" t="s">
        <v>107</v>
      </c>
      <c r="F31" t="s">
        <v>268</v>
      </c>
      <c r="G31" t="s">
        <v>271</v>
      </c>
      <c r="H31" t="s">
        <v>230</v>
      </c>
      <c r="I31" t="s">
        <v>270</v>
      </c>
      <c r="J31" t="s">
        <v>269</v>
      </c>
      <c r="L31" t="str">
        <f t="shared" si="0"/>
        <v>NewContent+="insec_enq_2""  :   """  +  data19   +""","</v>
      </c>
    </row>
    <row r="32" spans="2:12">
      <c r="B32" t="s">
        <v>206</v>
      </c>
      <c r="C32" t="s">
        <v>207</v>
      </c>
      <c r="D32" t="s">
        <v>80</v>
      </c>
      <c r="E32" t="s">
        <v>108</v>
      </c>
      <c r="F32" t="s">
        <v>268</v>
      </c>
      <c r="G32" t="s">
        <v>271</v>
      </c>
      <c r="H32" t="s">
        <v>231</v>
      </c>
      <c r="I32" t="s">
        <v>270</v>
      </c>
      <c r="J32" t="s">
        <v>269</v>
      </c>
      <c r="L32" t="str">
        <f t="shared" si="0"/>
        <v>NewContent+="insec_enq_3""  :   """  +  data20   +""","</v>
      </c>
    </row>
    <row r="33" spans="2:12">
      <c r="B33" t="s">
        <v>206</v>
      </c>
      <c r="C33" t="s">
        <v>207</v>
      </c>
      <c r="D33" t="s">
        <v>80</v>
      </c>
      <c r="E33" t="s">
        <v>109</v>
      </c>
      <c r="F33" t="s">
        <v>268</v>
      </c>
      <c r="G33" t="s">
        <v>271</v>
      </c>
      <c r="H33" t="s">
        <v>232</v>
      </c>
      <c r="I33" t="s">
        <v>270</v>
      </c>
      <c r="J33" t="s">
        <v>269</v>
      </c>
      <c r="L33" t="str">
        <f t="shared" si="0"/>
        <v>NewContent+="insec_enq_4""  :   """  +  data21   +""","</v>
      </c>
    </row>
    <row r="34" spans="2:12">
      <c r="B34" t="s">
        <v>206</v>
      </c>
      <c r="C34" t="s">
        <v>207</v>
      </c>
      <c r="D34" t="s">
        <v>80</v>
      </c>
      <c r="E34" t="s">
        <v>110</v>
      </c>
      <c r="F34" t="s">
        <v>268</v>
      </c>
      <c r="G34" t="s">
        <v>271</v>
      </c>
      <c r="H34" t="s">
        <v>233</v>
      </c>
      <c r="I34" t="s">
        <v>270</v>
      </c>
      <c r="J34" t="s">
        <v>269</v>
      </c>
      <c r="L34" s="285" t="str">
        <f t="shared" si="0"/>
        <v>NewContent+="jeune_resp""  :   """  +  data22   +""","</v>
      </c>
    </row>
    <row r="35" spans="2:12">
      <c r="B35" t="s">
        <v>206</v>
      </c>
      <c r="C35" t="s">
        <v>207</v>
      </c>
      <c r="D35" t="s">
        <v>80</v>
      </c>
      <c r="E35" t="s">
        <v>111</v>
      </c>
      <c r="F35" t="s">
        <v>268</v>
      </c>
      <c r="G35" t="s">
        <v>271</v>
      </c>
      <c r="H35" t="s">
        <v>234</v>
      </c>
      <c r="I35" t="s">
        <v>270</v>
      </c>
      <c r="J35" t="s">
        <v>269</v>
      </c>
      <c r="L35" s="285" t="str">
        <f t="shared" si="0"/>
        <v>NewContent+="lat""  :   """  +  data23   +""","</v>
      </c>
    </row>
    <row r="36" spans="2:12">
      <c r="B36" t="s">
        <v>206</v>
      </c>
      <c r="C36" t="s">
        <v>207</v>
      </c>
      <c r="D36" t="s">
        <v>80</v>
      </c>
      <c r="E36" t="s">
        <v>112</v>
      </c>
      <c r="F36" t="s">
        <v>268</v>
      </c>
      <c r="G36" t="s">
        <v>271</v>
      </c>
      <c r="H36" t="s">
        <v>235</v>
      </c>
      <c r="I36" t="s">
        <v>270</v>
      </c>
      <c r="J36" t="s">
        <v>269</v>
      </c>
      <c r="L36" s="285" t="str">
        <f t="shared" si="0"/>
        <v>NewContent+="lng""  :   """  +  data24   +""","</v>
      </c>
    </row>
    <row r="37" spans="2:12">
      <c r="B37" t="s">
        <v>206</v>
      </c>
      <c r="C37" t="s">
        <v>207</v>
      </c>
      <c r="D37" t="s">
        <v>80</v>
      </c>
      <c r="E37" t="s">
        <v>113</v>
      </c>
      <c r="F37" t="s">
        <v>268</v>
      </c>
      <c r="G37" t="s">
        <v>271</v>
      </c>
      <c r="H37" t="s">
        <v>236</v>
      </c>
      <c r="I37" t="s">
        <v>270</v>
      </c>
      <c r="J37" t="s">
        <v>269</v>
      </c>
      <c r="L37" s="285" t="str">
        <f t="shared" si="0"/>
        <v>NewContent+="modifierid""  :   """  +  data25   +""","</v>
      </c>
    </row>
    <row r="38" spans="2:12">
      <c r="B38" t="s">
        <v>206</v>
      </c>
      <c r="C38" t="s">
        <v>207</v>
      </c>
      <c r="D38" t="s">
        <v>80</v>
      </c>
      <c r="E38" t="s">
        <v>114</v>
      </c>
      <c r="F38" t="s">
        <v>268</v>
      </c>
      <c r="G38" t="s">
        <v>271</v>
      </c>
      <c r="H38" t="s">
        <v>237</v>
      </c>
      <c r="I38" t="s">
        <v>270</v>
      </c>
      <c r="J38" t="s">
        <v>269</v>
      </c>
      <c r="L38" s="285" t="str">
        <f t="shared" si="0"/>
        <v>NewContent+="nb_26""  :   """  +  data26   +""","</v>
      </c>
    </row>
    <row r="39" spans="2:12">
      <c r="B39" t="s">
        <v>206</v>
      </c>
      <c r="C39" t="s">
        <v>207</v>
      </c>
      <c r="D39" t="s">
        <v>80</v>
      </c>
      <c r="E39" t="s">
        <v>115</v>
      </c>
      <c r="F39" t="s">
        <v>268</v>
      </c>
      <c r="G39" t="s">
        <v>271</v>
      </c>
      <c r="H39" t="s">
        <v>238</v>
      </c>
      <c r="I39" t="s">
        <v>270</v>
      </c>
      <c r="J39" t="s">
        <v>269</v>
      </c>
      <c r="L39" s="285" t="str">
        <f t="shared" si="0"/>
        <v>NewContent+="nb_femme""  :   """  +  data27   +""","</v>
      </c>
    </row>
    <row r="40" spans="2:12">
      <c r="B40" t="s">
        <v>206</v>
      </c>
      <c r="C40" t="s">
        <v>207</v>
      </c>
      <c r="D40" t="s">
        <v>80</v>
      </c>
      <c r="E40" t="s">
        <v>116</v>
      </c>
      <c r="F40" t="s">
        <v>268</v>
      </c>
      <c r="G40" t="s">
        <v>271</v>
      </c>
      <c r="H40" t="s">
        <v>239</v>
      </c>
      <c r="I40" t="s">
        <v>270</v>
      </c>
      <c r="J40" t="s">
        <v>269</v>
      </c>
      <c r="L40" s="285" t="str">
        <f t="shared" si="0"/>
        <v>NewContent+="nb_homme""  :   """  +  data28   +""","</v>
      </c>
    </row>
    <row r="41" spans="2:12">
      <c r="B41" t="s">
        <v>206</v>
      </c>
      <c r="C41" t="s">
        <v>207</v>
      </c>
      <c r="D41" t="s">
        <v>80</v>
      </c>
      <c r="E41" t="s">
        <v>117</v>
      </c>
      <c r="F41" t="s">
        <v>268</v>
      </c>
      <c r="G41" t="s">
        <v>271</v>
      </c>
      <c r="H41" t="s">
        <v>240</v>
      </c>
      <c r="I41" t="s">
        <v>270</v>
      </c>
      <c r="J41" t="s">
        <v>269</v>
      </c>
      <c r="L41" s="284" t="str">
        <f t="shared" si="0"/>
        <v>NewContent+="nom_al""  :   """  +  data29   +""","</v>
      </c>
    </row>
    <row r="42" spans="2:12">
      <c r="B42" t="s">
        <v>206</v>
      </c>
      <c r="C42" t="s">
        <v>207</v>
      </c>
      <c r="D42" t="s">
        <v>80</v>
      </c>
      <c r="E42" t="s">
        <v>118</v>
      </c>
      <c r="F42" t="s">
        <v>268</v>
      </c>
      <c r="G42" t="s">
        <v>271</v>
      </c>
      <c r="H42" t="s">
        <v>241</v>
      </c>
      <c r="I42" t="s">
        <v>270</v>
      </c>
      <c r="J42" t="s">
        <v>269</v>
      </c>
      <c r="L42" s="284" t="str">
        <f t="shared" si="0"/>
        <v>NewContent+="nom_enq_1""  :   """  +  data30   +""","</v>
      </c>
    </row>
    <row r="43" spans="2:12">
      <c r="B43" t="s">
        <v>206</v>
      </c>
      <c r="C43" t="s">
        <v>207</v>
      </c>
      <c r="D43" t="s">
        <v>80</v>
      </c>
      <c r="E43" t="s">
        <v>119</v>
      </c>
      <c r="F43" t="s">
        <v>268</v>
      </c>
      <c r="G43" t="s">
        <v>271</v>
      </c>
      <c r="H43" t="s">
        <v>242</v>
      </c>
      <c r="I43" t="s">
        <v>270</v>
      </c>
      <c r="J43" t="s">
        <v>269</v>
      </c>
      <c r="L43" s="284" t="str">
        <f t="shared" si="0"/>
        <v>NewContent+="nom_enq_2""  :   """  +  data31   +""","</v>
      </c>
    </row>
    <row r="44" spans="2:12">
      <c r="B44" t="s">
        <v>206</v>
      </c>
      <c r="C44" t="s">
        <v>207</v>
      </c>
      <c r="D44" t="s">
        <v>80</v>
      </c>
      <c r="E44" t="s">
        <v>120</v>
      </c>
      <c r="F44" t="s">
        <v>268</v>
      </c>
      <c r="G44" t="s">
        <v>271</v>
      </c>
      <c r="H44" t="s">
        <v>243</v>
      </c>
      <c r="I44" t="s">
        <v>270</v>
      </c>
      <c r="J44" t="s">
        <v>269</v>
      </c>
      <c r="L44" s="284" t="str">
        <f t="shared" si="0"/>
        <v>NewContent+="nom_enq_3""  :   """  +  data32   +""","</v>
      </c>
    </row>
    <row r="45" spans="2:12">
      <c r="B45" t="s">
        <v>206</v>
      </c>
      <c r="C45" t="s">
        <v>207</v>
      </c>
      <c r="D45" t="s">
        <v>80</v>
      </c>
      <c r="E45" t="s">
        <v>121</v>
      </c>
      <c r="F45" t="s">
        <v>268</v>
      </c>
      <c r="G45" t="s">
        <v>271</v>
      </c>
      <c r="H45" t="s">
        <v>244</v>
      </c>
      <c r="I45" t="s">
        <v>270</v>
      </c>
      <c r="J45" t="s">
        <v>269</v>
      </c>
      <c r="L45" s="284" t="str">
        <f t="shared" si="0"/>
        <v>NewContent+="nom_enq_4""  :   """  +  data33   +""","</v>
      </c>
    </row>
    <row r="46" spans="2:12">
      <c r="B46" t="s">
        <v>206</v>
      </c>
      <c r="C46" t="s">
        <v>207</v>
      </c>
      <c r="D46" t="s">
        <v>80</v>
      </c>
      <c r="E46" t="s">
        <v>122</v>
      </c>
      <c r="F46" t="s">
        <v>268</v>
      </c>
      <c r="G46" t="s">
        <v>271</v>
      </c>
      <c r="H46" t="s">
        <v>245</v>
      </c>
      <c r="I46" t="s">
        <v>270</v>
      </c>
      <c r="J46" t="s">
        <v>269</v>
      </c>
      <c r="L46" s="284" t="str">
        <f t="shared" si="0"/>
        <v>NewContent+="nom_grpm""  :   """  +  data34   +""","</v>
      </c>
    </row>
    <row r="47" spans="2:12">
      <c r="B47" t="s">
        <v>206</v>
      </c>
      <c r="C47" t="s">
        <v>207</v>
      </c>
      <c r="D47" t="s">
        <v>80</v>
      </c>
      <c r="E47" t="s">
        <v>123</v>
      </c>
      <c r="F47" t="s">
        <v>268</v>
      </c>
      <c r="G47" t="s">
        <v>271</v>
      </c>
      <c r="H47" t="s">
        <v>246</v>
      </c>
      <c r="I47" t="s">
        <v>270</v>
      </c>
      <c r="J47" t="s">
        <v>269</v>
      </c>
      <c r="L47" s="284" t="str">
        <f t="shared" si="0"/>
        <v>NewContent+="phone_al""  :   """  +  data35   +""","</v>
      </c>
    </row>
    <row r="48" spans="2:12">
      <c r="B48" t="s">
        <v>206</v>
      </c>
      <c r="C48" t="s">
        <v>207</v>
      </c>
      <c r="D48" t="s">
        <v>80</v>
      </c>
      <c r="E48" t="s">
        <v>124</v>
      </c>
      <c r="F48" t="s">
        <v>268</v>
      </c>
      <c r="G48" t="s">
        <v>271</v>
      </c>
      <c r="H48" t="s">
        <v>247</v>
      </c>
      <c r="I48" t="s">
        <v>270</v>
      </c>
      <c r="J48" t="s">
        <v>269</v>
      </c>
      <c r="L48" s="284" t="str">
        <f t="shared" si="0"/>
        <v>NewContent+="pres_grpm""  :   """  +  data36   +""","</v>
      </c>
    </row>
    <row r="49" spans="2:12">
      <c r="B49" t="s">
        <v>206</v>
      </c>
      <c r="C49" t="s">
        <v>207</v>
      </c>
      <c r="D49" t="s">
        <v>80</v>
      </c>
      <c r="E49" t="s">
        <v>125</v>
      </c>
      <c r="F49" t="s">
        <v>268</v>
      </c>
      <c r="G49" t="s">
        <v>271</v>
      </c>
      <c r="H49" t="s">
        <v>248</v>
      </c>
      <c r="I49" t="s">
        <v>270</v>
      </c>
      <c r="J49" t="s">
        <v>269</v>
      </c>
      <c r="L49" s="285" t="str">
        <f t="shared" si="0"/>
        <v>NewContent+="secr_grpm""  :   """  +  data37   +""","</v>
      </c>
    </row>
    <row r="50" spans="2:12">
      <c r="B50" t="s">
        <v>206</v>
      </c>
      <c r="C50" t="s">
        <v>207</v>
      </c>
      <c r="D50" t="s">
        <v>80</v>
      </c>
      <c r="E50" t="s">
        <v>126</v>
      </c>
      <c r="F50" t="s">
        <v>268</v>
      </c>
      <c r="G50" t="s">
        <v>271</v>
      </c>
      <c r="H50" t="s">
        <v>249</v>
      </c>
      <c r="I50" t="s">
        <v>270</v>
      </c>
      <c r="J50" t="s">
        <v>269</v>
      </c>
      <c r="L50" s="284" t="str">
        <f t="shared" si="0"/>
        <v>NewContent+="sexe_enq_1""  :   """  +  data38   +""","</v>
      </c>
    </row>
    <row r="51" spans="2:12">
      <c r="B51" t="s">
        <v>206</v>
      </c>
      <c r="C51" t="s">
        <v>207</v>
      </c>
      <c r="D51" t="s">
        <v>80</v>
      </c>
      <c r="E51" t="s">
        <v>127</v>
      </c>
      <c r="F51" t="s">
        <v>268</v>
      </c>
      <c r="G51" t="s">
        <v>271</v>
      </c>
      <c r="H51" t="s">
        <v>250</v>
      </c>
      <c r="I51" t="s">
        <v>270</v>
      </c>
      <c r="J51" t="s">
        <v>269</v>
      </c>
      <c r="L51" s="284" t="str">
        <f t="shared" si="0"/>
        <v>NewContent+="sexe_enq_2""  :   """  +  data39   +""","</v>
      </c>
    </row>
    <row r="52" spans="2:12">
      <c r="B52" t="s">
        <v>206</v>
      </c>
      <c r="C52" t="s">
        <v>207</v>
      </c>
      <c r="D52" t="s">
        <v>80</v>
      </c>
      <c r="E52" t="s">
        <v>128</v>
      </c>
      <c r="F52" t="s">
        <v>268</v>
      </c>
      <c r="G52" t="s">
        <v>271</v>
      </c>
      <c r="H52" t="s">
        <v>251</v>
      </c>
      <c r="I52" t="s">
        <v>270</v>
      </c>
      <c r="J52" t="s">
        <v>269</v>
      </c>
      <c r="L52" s="284" t="str">
        <f t="shared" si="0"/>
        <v>NewContent+="sexe_enq_3""  :   """  +  data40   +""","</v>
      </c>
    </row>
    <row r="53" spans="2:12">
      <c r="B53" t="s">
        <v>206</v>
      </c>
      <c r="C53" t="s">
        <v>207</v>
      </c>
      <c r="D53" t="s">
        <v>80</v>
      </c>
      <c r="E53" t="s">
        <v>129</v>
      </c>
      <c r="F53" t="s">
        <v>268</v>
      </c>
      <c r="G53" t="s">
        <v>271</v>
      </c>
      <c r="H53" t="s">
        <v>252</v>
      </c>
      <c r="I53" t="s">
        <v>270</v>
      </c>
      <c r="J53" t="s">
        <v>269</v>
      </c>
      <c r="L53" s="284" t="str">
        <f t="shared" si="0"/>
        <v>NewContent+="sexe_enq_4""  :   """  +  data41   +""","</v>
      </c>
    </row>
    <row r="54" spans="2:12">
      <c r="B54" t="s">
        <v>206</v>
      </c>
      <c r="C54" t="s">
        <v>207</v>
      </c>
      <c r="D54" t="s">
        <v>80</v>
      </c>
      <c r="E54" t="s">
        <v>130</v>
      </c>
      <c r="F54" t="s">
        <v>268</v>
      </c>
      <c r="G54" t="s">
        <v>271</v>
      </c>
      <c r="H54" t="s">
        <v>253</v>
      </c>
      <c r="I54" t="s">
        <v>270</v>
      </c>
      <c r="J54" t="s">
        <v>269</v>
      </c>
      <c r="L54" s="284" t="str">
        <f t="shared" si="0"/>
        <v>NewContent+=" tres_grpm""  :   """  +  data42   +""","</v>
      </c>
    </row>
    <row r="55" spans="2:12">
      <c r="B55" t="s">
        <v>206</v>
      </c>
      <c r="C55" t="s">
        <v>207</v>
      </c>
      <c r="D55" t="s">
        <v>80</v>
      </c>
      <c r="E55" t="s">
        <v>131</v>
      </c>
      <c r="F55" t="s">
        <v>268</v>
      </c>
      <c r="G55" t="s">
        <v>271</v>
      </c>
      <c r="H55" t="s">
        <v>254</v>
      </c>
      <c r="I55" t="s">
        <v>270</v>
      </c>
      <c r="J55" t="s">
        <v>269</v>
      </c>
      <c r="L55" s="284" t="str">
        <f t="shared" si="0"/>
        <v>NewContent+="zone_int""  :   """  +  data43   +""","</v>
      </c>
    </row>
    <row r="56" spans="2:12">
      <c r="B56" t="s">
        <v>206</v>
      </c>
      <c r="C56" t="s">
        <v>207</v>
      </c>
      <c r="D56" t="s">
        <v>80</v>
      </c>
      <c r="E56" t="s">
        <v>132</v>
      </c>
      <c r="F56" t="s">
        <v>268</v>
      </c>
      <c r="G56" t="s">
        <v>271</v>
      </c>
      <c r="H56" t="s">
        <v>255</v>
      </c>
      <c r="I56" t="s">
        <v>270</v>
      </c>
      <c r="J56" t="s">
        <v>269</v>
      </c>
      <c r="L56" s="285" t="str">
        <f t="shared" si="0"/>
        <v>NewContent+="zz""  :   """  +  data44   +""","</v>
      </c>
    </row>
    <row r="57" spans="2:12">
      <c r="B57" t="s">
        <v>206</v>
      </c>
      <c r="C57" t="s">
        <v>207</v>
      </c>
      <c r="D57" t="s">
        <v>80</v>
      </c>
      <c r="E57" t="s">
        <v>133</v>
      </c>
      <c r="F57" t="s">
        <v>268</v>
      </c>
      <c r="G57" t="s">
        <v>271</v>
      </c>
      <c r="H57" t="s">
        <v>256</v>
      </c>
      <c r="I57" t="s">
        <v>270</v>
      </c>
      <c r="J57" t="s">
        <v>269</v>
      </c>
      <c r="L57" s="285" t="str">
        <f t="shared" si="0"/>
        <v>NewContent+="zzzeaupurfem""  :   """  +  data45   +""","</v>
      </c>
    </row>
    <row r="58" spans="2:12">
      <c r="B58" t="s">
        <v>206</v>
      </c>
      <c r="C58" t="s">
        <v>207</v>
      </c>
      <c r="D58" t="s">
        <v>80</v>
      </c>
      <c r="E58" t="s">
        <v>134</v>
      </c>
      <c r="F58" t="s">
        <v>268</v>
      </c>
      <c r="G58" t="s">
        <v>271</v>
      </c>
      <c r="H58" t="s">
        <v>257</v>
      </c>
      <c r="I58" t="s">
        <v>270</v>
      </c>
      <c r="J58" t="s">
        <v>269</v>
      </c>
      <c r="L58" s="285" t="str">
        <f t="shared" si="0"/>
        <v>NewContent+="zzzeaupurhom""  :   """  +  data46   +""","</v>
      </c>
    </row>
    <row r="59" spans="2:12">
      <c r="B59" t="s">
        <v>206</v>
      </c>
      <c r="C59" t="s">
        <v>207</v>
      </c>
      <c r="D59" t="s">
        <v>80</v>
      </c>
      <c r="E59" t="s">
        <v>135</v>
      </c>
      <c r="F59" t="s">
        <v>268</v>
      </c>
      <c r="G59" t="s">
        <v>271</v>
      </c>
      <c r="H59" t="s">
        <v>258</v>
      </c>
      <c r="I59" t="s">
        <v>270</v>
      </c>
      <c r="J59" t="s">
        <v>269</v>
      </c>
      <c r="L59" s="285" t="str">
        <f t="shared" si="0"/>
        <v>NewContent+="zzzeaupurifie""  :   """  +  data47   +""","</v>
      </c>
    </row>
    <row r="60" spans="2:12">
      <c r="B60" t="s">
        <v>206</v>
      </c>
      <c r="C60" t="s">
        <v>207</v>
      </c>
      <c r="D60" t="s">
        <v>80</v>
      </c>
      <c r="E60" t="s">
        <v>136</v>
      </c>
      <c r="F60" t="s">
        <v>268</v>
      </c>
      <c r="G60" t="s">
        <v>271</v>
      </c>
      <c r="H60" t="s">
        <v>259</v>
      </c>
      <c r="I60" t="s">
        <v>270</v>
      </c>
      <c r="J60" t="s">
        <v>269</v>
      </c>
      <c r="L60" s="285" t="str">
        <f t="shared" si="0"/>
        <v>NewContent+="zzzgrc""  :   """  +  data48   +""","</v>
      </c>
    </row>
    <row r="61" spans="2:12">
      <c r="B61" t="s">
        <v>206</v>
      </c>
      <c r="C61" t="s">
        <v>207</v>
      </c>
      <c r="D61" t="s">
        <v>80</v>
      </c>
      <c r="E61" t="s">
        <v>137</v>
      </c>
      <c r="F61" t="s">
        <v>268</v>
      </c>
      <c r="G61" t="s">
        <v>271</v>
      </c>
      <c r="H61" t="s">
        <v>260</v>
      </c>
      <c r="I61" t="s">
        <v>270</v>
      </c>
      <c r="J61" t="s">
        <v>269</v>
      </c>
      <c r="L61" s="285" t="str">
        <f t="shared" si="0"/>
        <v>NewContent+="zzzgrcfem""  :   """  +  data49   +""","</v>
      </c>
    </row>
    <row r="62" spans="2:12">
      <c r="B62" t="s">
        <v>206</v>
      </c>
      <c r="C62" t="s">
        <v>207</v>
      </c>
      <c r="D62" t="s">
        <v>80</v>
      </c>
      <c r="E62" t="s">
        <v>138</v>
      </c>
      <c r="F62" t="s">
        <v>268</v>
      </c>
      <c r="G62" t="s">
        <v>271</v>
      </c>
      <c r="H62" t="s">
        <v>261</v>
      </c>
      <c r="I62" t="s">
        <v>270</v>
      </c>
      <c r="J62" t="s">
        <v>269</v>
      </c>
      <c r="L62" s="285" t="str">
        <f t="shared" si="0"/>
        <v>NewContent+="zzzgrchom""  :   """  +  data50   +""","</v>
      </c>
    </row>
    <row r="63" spans="2:12">
      <c r="B63" t="s">
        <v>206</v>
      </c>
      <c r="C63" t="s">
        <v>207</v>
      </c>
      <c r="D63" t="s">
        <v>80</v>
      </c>
      <c r="E63" t="s">
        <v>139</v>
      </c>
      <c r="F63" t="s">
        <v>268</v>
      </c>
      <c r="G63" t="s">
        <v>271</v>
      </c>
      <c r="H63" t="s">
        <v>262</v>
      </c>
      <c r="I63" t="s">
        <v>270</v>
      </c>
      <c r="J63" t="s">
        <v>269</v>
      </c>
      <c r="L63" s="285" t="str">
        <f t="shared" si="0"/>
        <v>NewContent+="zzzhameau""  :   """  +  data51   +""","</v>
      </c>
    </row>
    <row r="64" spans="2:12">
      <c r="B64" t="s">
        <v>206</v>
      </c>
      <c r="C64" t="s">
        <v>207</v>
      </c>
      <c r="D64" t="s">
        <v>80</v>
      </c>
      <c r="E64" t="s">
        <v>140</v>
      </c>
      <c r="F64" t="s">
        <v>268</v>
      </c>
      <c r="G64" t="s">
        <v>271</v>
      </c>
      <c r="H64" t="s">
        <v>263</v>
      </c>
      <c r="I64" t="s">
        <v>270</v>
      </c>
      <c r="J64" t="s">
        <v>269</v>
      </c>
      <c r="L64" s="285" t="str">
        <f t="shared" si="0"/>
        <v>NewContent+="zzzinfonutr""  :   """  +  data52   +""","</v>
      </c>
    </row>
    <row r="65" spans="2:12">
      <c r="B65" t="s">
        <v>206</v>
      </c>
      <c r="C65" t="s">
        <v>207</v>
      </c>
      <c r="D65" t="s">
        <v>80</v>
      </c>
      <c r="E65" t="s">
        <v>141</v>
      </c>
      <c r="F65" t="s">
        <v>268</v>
      </c>
      <c r="G65" t="s">
        <v>271</v>
      </c>
      <c r="H65" t="s">
        <v>264</v>
      </c>
      <c r="I65" t="s">
        <v>270</v>
      </c>
      <c r="J65" t="s">
        <v>269</v>
      </c>
      <c r="L65" s="285" t="str">
        <f t="shared" si="0"/>
        <v>NewContent+="zzzinfonutrannee""  :   """  +  data53   +""","</v>
      </c>
    </row>
    <row r="66" spans="2:12">
      <c r="B66" t="s">
        <v>206</v>
      </c>
      <c r="C66" t="s">
        <v>207</v>
      </c>
      <c r="D66" t="s">
        <v>80</v>
      </c>
      <c r="E66" t="s">
        <v>142</v>
      </c>
      <c r="F66" t="s">
        <v>268</v>
      </c>
      <c r="G66" t="s">
        <v>271</v>
      </c>
      <c r="H66" t="s">
        <v>265</v>
      </c>
      <c r="I66" t="s">
        <v>270</v>
      </c>
      <c r="J66" t="s">
        <v>269</v>
      </c>
      <c r="L66" s="285" t="str">
        <f t="shared" si="0"/>
        <v>NewContent+="zzztype""  :   """  +  data54   +""","</v>
      </c>
    </row>
    <row r="67" spans="2:12">
      <c r="B67" t="s">
        <v>206</v>
      </c>
      <c r="C67" t="s">
        <v>207</v>
      </c>
      <c r="D67" t="s">
        <v>80</v>
      </c>
      <c r="E67" t="s">
        <v>210</v>
      </c>
      <c r="F67" t="s">
        <v>268</v>
      </c>
      <c r="G67" t="s">
        <v>271</v>
      </c>
      <c r="H67" t="s">
        <v>266</v>
      </c>
      <c r="I67" t="s">
        <v>270</v>
      </c>
      <c r="J67" t="s">
        <v>269</v>
      </c>
      <c r="L67" s="285" t="str">
        <f t="shared" si="0"/>
        <v>NewContent+="zzzzong""  :   """  +  data55   +""","</v>
      </c>
    </row>
    <row r="68" spans="2:12">
      <c r="B68" t="s">
        <v>206</v>
      </c>
      <c r="C68" t="s">
        <v>207</v>
      </c>
      <c r="D68" t="s">
        <v>80</v>
      </c>
      <c r="E68" t="s">
        <v>211</v>
      </c>
      <c r="F68" t="s">
        <v>268</v>
      </c>
      <c r="G68" t="s">
        <v>271</v>
      </c>
      <c r="H68" t="s">
        <v>267</v>
      </c>
      <c r="I68" t="s">
        <v>270</v>
      </c>
      <c r="J68" t="s">
        <v>269</v>
      </c>
      <c r="L68" s="285" t="str">
        <f t="shared" si="0"/>
        <v>NewContent+="zzzzzid_ap""  :   """  +  data56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W36"/>
  <sheetViews>
    <sheetView zoomScale="130" zoomScaleNormal="130" workbookViewId="0">
      <pane xSplit="5" topLeftCell="F1" activePane="topRight" state="frozen"/>
      <selection pane="topRight" activeCell="C5" sqref="C5"/>
    </sheetView>
  </sheetViews>
  <sheetFormatPr baseColWidth="10" defaultRowHeight="15.75"/>
  <cols>
    <col min="1" max="1" width="3.625" bestFit="1" customWidth="1"/>
    <col min="2" max="2" width="4.125" bestFit="1" customWidth="1"/>
    <col min="3" max="3" width="50.125" customWidth="1"/>
    <col min="4" max="4" width="6.625" hidden="1" customWidth="1"/>
    <col min="5" max="5" width="6.375" hidden="1" customWidth="1"/>
    <col min="6" max="6" width="6.625" bestFit="1" customWidth="1"/>
    <col min="7" max="7" width="6.375" bestFit="1" customWidth="1"/>
    <col min="8" max="8" width="6.875" bestFit="1" customWidth="1"/>
    <col min="9" max="9" width="6.625" bestFit="1" customWidth="1"/>
    <col min="10" max="10" width="6.375" bestFit="1" customWidth="1"/>
    <col min="11" max="11" width="6.875" bestFit="1" customWidth="1"/>
    <col min="12" max="12" width="6.625" bestFit="1" customWidth="1"/>
    <col min="13" max="13" width="6.375" bestFit="1" customWidth="1"/>
    <col min="14" max="17" width="6.875" bestFit="1" customWidth="1"/>
    <col min="18" max="18" width="6.625" bestFit="1" customWidth="1"/>
    <col min="19" max="19" width="6.375" bestFit="1" customWidth="1"/>
    <col min="20" max="20" width="6" bestFit="1" customWidth="1"/>
    <col min="21" max="21" width="6.625" bestFit="1" customWidth="1"/>
    <col min="22" max="22" width="6.375" bestFit="1" customWidth="1"/>
    <col min="23" max="23" width="6" bestFit="1" customWidth="1"/>
    <col min="24" max="24" width="6.625" bestFit="1" customWidth="1"/>
    <col min="25" max="25" width="6.375" bestFit="1" customWidth="1"/>
    <col min="26" max="26" width="6" bestFit="1" customWidth="1"/>
    <col min="27" max="27" width="6.625" bestFit="1" customWidth="1"/>
    <col min="28" max="28" width="6.375" bestFit="1" customWidth="1"/>
    <col min="29" max="29" width="6" bestFit="1" customWidth="1"/>
    <col min="30" max="30" width="6.625" bestFit="1" customWidth="1"/>
    <col min="31" max="31" width="6.375" bestFit="1" customWidth="1"/>
    <col min="32" max="32" width="6" bestFit="1" customWidth="1"/>
    <col min="33" max="33" width="6.625" bestFit="1" customWidth="1"/>
    <col min="34" max="34" width="6.375" bestFit="1" customWidth="1"/>
    <col min="35" max="35" width="6" bestFit="1" customWidth="1"/>
    <col min="36" max="36" width="6.625" bestFit="1" customWidth="1"/>
    <col min="37" max="37" width="6.375" bestFit="1" customWidth="1"/>
    <col min="38" max="38" width="6" bestFit="1" customWidth="1"/>
    <col min="39" max="39" width="6.625" bestFit="1" customWidth="1"/>
    <col min="40" max="40" width="6.375" bestFit="1" customWidth="1"/>
    <col min="41" max="41" width="6" bestFit="1" customWidth="1"/>
    <col min="42" max="42" width="6.625" bestFit="1" customWidth="1"/>
    <col min="43" max="43" width="6.375" bestFit="1" customWidth="1"/>
    <col min="44" max="44" width="6" bestFit="1" customWidth="1"/>
    <col min="45" max="45" width="6.625" bestFit="1" customWidth="1"/>
    <col min="46" max="46" width="6.375" bestFit="1" customWidth="1"/>
    <col min="47" max="47" width="6" bestFit="1" customWidth="1"/>
    <col min="48" max="48" width="6.625" bestFit="1" customWidth="1"/>
    <col min="49" max="49" width="6.375" bestFit="1" customWidth="1"/>
    <col min="50" max="50" width="6" bestFit="1" customWidth="1"/>
    <col min="51" max="51" width="6.625" bestFit="1" customWidth="1"/>
    <col min="52" max="52" width="6.375" bestFit="1" customWidth="1"/>
    <col min="53" max="53" width="6" bestFit="1" customWidth="1"/>
    <col min="54" max="54" width="6.625" bestFit="1" customWidth="1"/>
    <col min="55" max="55" width="6.375" bestFit="1" customWidth="1"/>
    <col min="56" max="56" width="5.125" bestFit="1" customWidth="1"/>
    <col min="57" max="57" width="6.625" bestFit="1" customWidth="1"/>
    <col min="58" max="58" width="6.375" bestFit="1" customWidth="1"/>
    <col min="59" max="59" width="6" bestFit="1" customWidth="1"/>
    <col min="60" max="60" width="6.625" bestFit="1" customWidth="1"/>
    <col min="61" max="61" width="6.375" bestFit="1" customWidth="1"/>
    <col min="62" max="62" width="6" bestFit="1" customWidth="1"/>
    <col min="63" max="63" width="6.625" bestFit="1" customWidth="1"/>
    <col min="64" max="64" width="6.375" bestFit="1" customWidth="1"/>
    <col min="65" max="65" width="6" bestFit="1" customWidth="1"/>
    <col min="66" max="66" width="6.625" bestFit="1" customWidth="1"/>
    <col min="67" max="67" width="6.375" bestFit="1" customWidth="1"/>
    <col min="68" max="68" width="6" bestFit="1" customWidth="1"/>
    <col min="69" max="69" width="6.625" bestFit="1" customWidth="1"/>
    <col min="70" max="70" width="6.375" bestFit="1" customWidth="1"/>
    <col min="71" max="71" width="6" bestFit="1" customWidth="1"/>
    <col min="72" max="72" width="6.625" bestFit="1" customWidth="1"/>
    <col min="73" max="73" width="6.375" bestFit="1" customWidth="1"/>
    <col min="74" max="74" width="6" bestFit="1" customWidth="1"/>
    <col min="75" max="75" width="6.625" bestFit="1" customWidth="1"/>
    <col min="76" max="76" width="6.375" bestFit="1" customWidth="1"/>
    <col min="77" max="77" width="6" bestFit="1" customWidth="1"/>
    <col min="78" max="78" width="6.625" bestFit="1" customWidth="1"/>
    <col min="79" max="79" width="6.375" bestFit="1" customWidth="1"/>
    <col min="80" max="80" width="5.625" bestFit="1" customWidth="1"/>
    <col min="81" max="81" width="6.625" bestFit="1" customWidth="1"/>
    <col min="82" max="82" width="6.375" bestFit="1" customWidth="1"/>
    <col min="83" max="83" width="5.625" bestFit="1" customWidth="1"/>
    <col min="84" max="84" width="6.625" bestFit="1" customWidth="1"/>
    <col min="85" max="85" width="6.375" bestFit="1" customWidth="1"/>
    <col min="86" max="86" width="5.625" bestFit="1" customWidth="1"/>
    <col min="87" max="87" width="6.625" bestFit="1" customWidth="1"/>
    <col min="88" max="88" width="6.375" bestFit="1" customWidth="1"/>
    <col min="89" max="89" width="5.625" bestFit="1" customWidth="1"/>
    <col min="90" max="90" width="6.625" bestFit="1" customWidth="1"/>
    <col min="91" max="91" width="6.375" bestFit="1" customWidth="1"/>
    <col min="92" max="92" width="6" bestFit="1" customWidth="1"/>
    <col min="93" max="93" width="6.625" bestFit="1" customWidth="1"/>
    <col min="94" max="94" width="6.375" bestFit="1" customWidth="1"/>
    <col min="95" max="95" width="6" bestFit="1" customWidth="1"/>
    <col min="96" max="96" width="6.625" bestFit="1" customWidth="1"/>
    <col min="97" max="97" width="6.375" bestFit="1" customWidth="1"/>
    <col min="98" max="98" width="6" bestFit="1" customWidth="1"/>
    <col min="99" max="99" width="6.625" bestFit="1" customWidth="1"/>
    <col min="100" max="100" width="6.375" bestFit="1" customWidth="1"/>
    <col min="101" max="101" width="6" bestFit="1" customWidth="1"/>
  </cols>
  <sheetData>
    <row r="1" spans="1:101" s="11" customFormat="1" ht="16.5" thickBot="1">
      <c r="F1" s="829" t="s">
        <v>60</v>
      </c>
      <c r="G1" s="830"/>
      <c r="H1" s="830"/>
      <c r="I1" s="830"/>
      <c r="J1" s="830"/>
      <c r="K1" s="830"/>
      <c r="L1" s="830"/>
      <c r="M1" s="830"/>
      <c r="N1" s="830"/>
      <c r="O1" s="830"/>
      <c r="P1" s="830"/>
      <c r="Q1" s="831"/>
      <c r="R1" s="829" t="s">
        <v>53</v>
      </c>
      <c r="S1" s="830"/>
      <c r="T1" s="830"/>
      <c r="U1" s="830"/>
      <c r="V1" s="830"/>
      <c r="W1" s="830"/>
      <c r="X1" s="830"/>
      <c r="Y1" s="830"/>
      <c r="Z1" s="830"/>
      <c r="AA1" s="830"/>
      <c r="AB1" s="830"/>
      <c r="AC1" s="831"/>
      <c r="AD1" s="829" t="s">
        <v>54</v>
      </c>
      <c r="AE1" s="830"/>
      <c r="AF1" s="830"/>
      <c r="AG1" s="830"/>
      <c r="AH1" s="830"/>
      <c r="AI1" s="830"/>
      <c r="AJ1" s="830"/>
      <c r="AK1" s="830"/>
      <c r="AL1" s="830"/>
      <c r="AM1" s="830"/>
      <c r="AN1" s="830"/>
      <c r="AO1" s="831"/>
      <c r="AP1" s="838" t="s">
        <v>55</v>
      </c>
      <c r="AQ1" s="839"/>
      <c r="AR1" s="839"/>
      <c r="AS1" s="839"/>
      <c r="AT1" s="839"/>
      <c r="AU1" s="839"/>
      <c r="AV1" s="839"/>
      <c r="AW1" s="839"/>
      <c r="AX1" s="839"/>
      <c r="AY1" s="839"/>
      <c r="AZ1" s="839"/>
      <c r="BA1" s="840"/>
      <c r="BB1" s="829" t="s">
        <v>56</v>
      </c>
      <c r="BC1" s="830"/>
      <c r="BD1" s="830"/>
      <c r="BE1" s="830"/>
      <c r="BF1" s="830"/>
      <c r="BG1" s="830"/>
      <c r="BH1" s="830"/>
      <c r="BI1" s="830"/>
      <c r="BJ1" s="830"/>
      <c r="BK1" s="830"/>
      <c r="BL1" s="830"/>
      <c r="BM1" s="831"/>
      <c r="BN1" s="829" t="s">
        <v>57</v>
      </c>
      <c r="BO1" s="830"/>
      <c r="BP1" s="830"/>
      <c r="BQ1" s="830"/>
      <c r="BR1" s="830"/>
      <c r="BS1" s="830"/>
      <c r="BT1" s="830"/>
      <c r="BU1" s="830"/>
      <c r="BV1" s="830"/>
      <c r="BW1" s="830"/>
      <c r="BX1" s="830"/>
      <c r="BY1" s="831"/>
      <c r="BZ1" s="829" t="s">
        <v>58</v>
      </c>
      <c r="CA1" s="830"/>
      <c r="CB1" s="830"/>
      <c r="CC1" s="830"/>
      <c r="CD1" s="830"/>
      <c r="CE1" s="830"/>
      <c r="CF1" s="830"/>
      <c r="CG1" s="830"/>
      <c r="CH1" s="830"/>
      <c r="CI1" s="830"/>
      <c r="CJ1" s="830"/>
      <c r="CK1" s="831"/>
      <c r="CL1" s="829" t="s">
        <v>59</v>
      </c>
      <c r="CM1" s="830"/>
      <c r="CN1" s="830"/>
      <c r="CO1" s="830"/>
      <c r="CP1" s="830"/>
      <c r="CQ1" s="830"/>
      <c r="CR1" s="830"/>
      <c r="CS1" s="830"/>
      <c r="CT1" s="830"/>
      <c r="CU1" s="830"/>
      <c r="CV1" s="830"/>
      <c r="CW1" s="831"/>
    </row>
    <row r="2" spans="1:101" ht="16.5" thickBot="1">
      <c r="A2" s="832" t="s">
        <v>68</v>
      </c>
      <c r="B2" s="834" t="s">
        <v>69</v>
      </c>
      <c r="C2" s="836" t="s">
        <v>5</v>
      </c>
      <c r="D2" s="790" t="s">
        <v>0</v>
      </c>
      <c r="E2" s="789"/>
      <c r="F2" s="787" t="s">
        <v>1</v>
      </c>
      <c r="G2" s="788"/>
      <c r="H2" s="789"/>
      <c r="I2" s="790" t="s">
        <v>63</v>
      </c>
      <c r="J2" s="788"/>
      <c r="K2" s="789"/>
      <c r="L2" s="790" t="s">
        <v>64</v>
      </c>
      <c r="M2" s="788"/>
      <c r="N2" s="789"/>
      <c r="O2" s="790" t="s">
        <v>2</v>
      </c>
      <c r="P2" s="788"/>
      <c r="Q2" s="822"/>
      <c r="R2" s="787" t="s">
        <v>1</v>
      </c>
      <c r="S2" s="788"/>
      <c r="T2" s="789"/>
      <c r="U2" s="790" t="s">
        <v>63</v>
      </c>
      <c r="V2" s="788"/>
      <c r="W2" s="789"/>
      <c r="X2" s="790" t="s">
        <v>64</v>
      </c>
      <c r="Y2" s="788"/>
      <c r="Z2" s="789"/>
      <c r="AA2" s="790" t="s">
        <v>2</v>
      </c>
      <c r="AB2" s="788"/>
      <c r="AC2" s="822"/>
      <c r="AD2" s="787" t="s">
        <v>1</v>
      </c>
      <c r="AE2" s="788"/>
      <c r="AF2" s="789"/>
      <c r="AG2" s="790" t="s">
        <v>63</v>
      </c>
      <c r="AH2" s="788"/>
      <c r="AI2" s="789"/>
      <c r="AJ2" s="790" t="s">
        <v>64</v>
      </c>
      <c r="AK2" s="788"/>
      <c r="AL2" s="789"/>
      <c r="AM2" s="790" t="s">
        <v>2</v>
      </c>
      <c r="AN2" s="788"/>
      <c r="AO2" s="822"/>
      <c r="AP2" s="787" t="s">
        <v>1</v>
      </c>
      <c r="AQ2" s="788"/>
      <c r="AR2" s="789"/>
      <c r="AS2" s="790" t="s">
        <v>63</v>
      </c>
      <c r="AT2" s="788"/>
      <c r="AU2" s="789"/>
      <c r="AV2" s="790" t="s">
        <v>64</v>
      </c>
      <c r="AW2" s="788"/>
      <c r="AX2" s="789"/>
      <c r="AY2" s="790" t="s">
        <v>2</v>
      </c>
      <c r="AZ2" s="788"/>
      <c r="BA2" s="822"/>
      <c r="BB2" s="787" t="s">
        <v>1</v>
      </c>
      <c r="BC2" s="788"/>
      <c r="BD2" s="789"/>
      <c r="BE2" s="790" t="s">
        <v>63</v>
      </c>
      <c r="BF2" s="788"/>
      <c r="BG2" s="789"/>
      <c r="BH2" s="790" t="s">
        <v>64</v>
      </c>
      <c r="BI2" s="788"/>
      <c r="BJ2" s="789"/>
      <c r="BK2" s="790" t="s">
        <v>2</v>
      </c>
      <c r="BL2" s="788"/>
      <c r="BM2" s="822"/>
      <c r="BN2" s="787" t="s">
        <v>1</v>
      </c>
      <c r="BO2" s="788"/>
      <c r="BP2" s="789"/>
      <c r="BQ2" s="790" t="s">
        <v>63</v>
      </c>
      <c r="BR2" s="788"/>
      <c r="BS2" s="789"/>
      <c r="BT2" s="790" t="s">
        <v>64</v>
      </c>
      <c r="BU2" s="788"/>
      <c r="BV2" s="789"/>
      <c r="BW2" s="790" t="s">
        <v>2</v>
      </c>
      <c r="BX2" s="788"/>
      <c r="BY2" s="822"/>
      <c r="BZ2" s="787" t="s">
        <v>1</v>
      </c>
      <c r="CA2" s="788"/>
      <c r="CB2" s="789"/>
      <c r="CC2" s="790" t="s">
        <v>63</v>
      </c>
      <c r="CD2" s="788"/>
      <c r="CE2" s="789"/>
      <c r="CF2" s="790" t="s">
        <v>64</v>
      </c>
      <c r="CG2" s="788"/>
      <c r="CH2" s="789"/>
      <c r="CI2" s="790" t="s">
        <v>2</v>
      </c>
      <c r="CJ2" s="788"/>
      <c r="CK2" s="822"/>
      <c r="CL2" s="787" t="s">
        <v>1</v>
      </c>
      <c r="CM2" s="788"/>
      <c r="CN2" s="789"/>
      <c r="CO2" s="790" t="s">
        <v>63</v>
      </c>
      <c r="CP2" s="788"/>
      <c r="CQ2" s="789"/>
      <c r="CR2" s="790" t="s">
        <v>64</v>
      </c>
      <c r="CS2" s="788"/>
      <c r="CT2" s="789"/>
      <c r="CU2" s="790" t="s">
        <v>2</v>
      </c>
      <c r="CV2" s="788"/>
      <c r="CW2" s="822"/>
    </row>
    <row r="3" spans="1:101" ht="16.5" thickBot="1">
      <c r="A3" s="833"/>
      <c r="B3" s="835"/>
      <c r="C3" s="837"/>
      <c r="D3" s="1" t="s">
        <v>6</v>
      </c>
      <c r="E3" s="1" t="s">
        <v>7</v>
      </c>
      <c r="F3" s="9" t="s">
        <v>6</v>
      </c>
      <c r="G3" s="1" t="s">
        <v>7</v>
      </c>
      <c r="H3" s="1" t="s">
        <v>40</v>
      </c>
      <c r="I3" s="1" t="s">
        <v>6</v>
      </c>
      <c r="J3" s="1" t="s">
        <v>7</v>
      </c>
      <c r="K3" s="1" t="s">
        <v>40</v>
      </c>
      <c r="L3" s="1" t="s">
        <v>6</v>
      </c>
      <c r="M3" s="1" t="s">
        <v>7</v>
      </c>
      <c r="N3" s="1" t="s">
        <v>40</v>
      </c>
      <c r="O3" s="1" t="s">
        <v>6</v>
      </c>
      <c r="P3" s="1" t="s">
        <v>7</v>
      </c>
      <c r="Q3" s="10" t="s">
        <v>40</v>
      </c>
      <c r="R3" s="9" t="s">
        <v>6</v>
      </c>
      <c r="S3" s="1" t="s">
        <v>7</v>
      </c>
      <c r="T3" s="1" t="s">
        <v>40</v>
      </c>
      <c r="U3" s="1" t="s">
        <v>6</v>
      </c>
      <c r="V3" s="1" t="s">
        <v>7</v>
      </c>
      <c r="W3" s="1" t="s">
        <v>40</v>
      </c>
      <c r="X3" s="1" t="s">
        <v>6</v>
      </c>
      <c r="Y3" s="1" t="s">
        <v>7</v>
      </c>
      <c r="Z3" s="1" t="s">
        <v>40</v>
      </c>
      <c r="AA3" s="1" t="s">
        <v>6</v>
      </c>
      <c r="AB3" s="1" t="s">
        <v>7</v>
      </c>
      <c r="AC3" s="10" t="s">
        <v>40</v>
      </c>
      <c r="AD3" s="9" t="s">
        <v>6</v>
      </c>
      <c r="AE3" s="1" t="s">
        <v>7</v>
      </c>
      <c r="AF3" s="1" t="s">
        <v>40</v>
      </c>
      <c r="AG3" s="1" t="s">
        <v>6</v>
      </c>
      <c r="AH3" s="1" t="s">
        <v>7</v>
      </c>
      <c r="AI3" s="1" t="s">
        <v>40</v>
      </c>
      <c r="AJ3" s="1" t="s">
        <v>6</v>
      </c>
      <c r="AK3" s="1" t="s">
        <v>7</v>
      </c>
      <c r="AL3" s="1" t="s">
        <v>40</v>
      </c>
      <c r="AM3" s="1" t="s">
        <v>6</v>
      </c>
      <c r="AN3" s="1" t="s">
        <v>7</v>
      </c>
      <c r="AO3" s="10" t="s">
        <v>40</v>
      </c>
      <c r="AP3" s="91" t="s">
        <v>6</v>
      </c>
      <c r="AQ3" s="92" t="s">
        <v>7</v>
      </c>
      <c r="AR3" s="92" t="s">
        <v>40</v>
      </c>
      <c r="AS3" s="92" t="s">
        <v>6</v>
      </c>
      <c r="AT3" s="92" t="s">
        <v>7</v>
      </c>
      <c r="AU3" s="92" t="s">
        <v>40</v>
      </c>
      <c r="AV3" s="92" t="s">
        <v>6</v>
      </c>
      <c r="AW3" s="92" t="s">
        <v>7</v>
      </c>
      <c r="AX3" s="92" t="s">
        <v>40</v>
      </c>
      <c r="AY3" s="92" t="s">
        <v>6</v>
      </c>
      <c r="AZ3" s="92" t="s">
        <v>7</v>
      </c>
      <c r="BA3" s="93" t="s">
        <v>40</v>
      </c>
      <c r="BB3" s="9" t="s">
        <v>6</v>
      </c>
      <c r="BC3" s="1" t="s">
        <v>7</v>
      </c>
      <c r="BD3" s="1" t="s">
        <v>40</v>
      </c>
      <c r="BE3" s="1" t="s">
        <v>6</v>
      </c>
      <c r="BF3" s="1" t="s">
        <v>7</v>
      </c>
      <c r="BG3" s="1" t="s">
        <v>40</v>
      </c>
      <c r="BH3" s="1" t="s">
        <v>6</v>
      </c>
      <c r="BI3" s="1" t="s">
        <v>7</v>
      </c>
      <c r="BJ3" s="1" t="s">
        <v>40</v>
      </c>
      <c r="BK3" s="1" t="s">
        <v>6</v>
      </c>
      <c r="BL3" s="1" t="s">
        <v>7</v>
      </c>
      <c r="BM3" s="10" t="s">
        <v>40</v>
      </c>
      <c r="BN3" s="9" t="s">
        <v>6</v>
      </c>
      <c r="BO3" s="1" t="s">
        <v>7</v>
      </c>
      <c r="BP3" s="1" t="s">
        <v>40</v>
      </c>
      <c r="BQ3" s="1" t="s">
        <v>6</v>
      </c>
      <c r="BR3" s="1" t="s">
        <v>7</v>
      </c>
      <c r="BS3" s="1" t="s">
        <v>40</v>
      </c>
      <c r="BT3" s="1" t="s">
        <v>6</v>
      </c>
      <c r="BU3" s="1" t="s">
        <v>7</v>
      </c>
      <c r="BV3" s="1" t="s">
        <v>40</v>
      </c>
      <c r="BW3" s="1" t="s">
        <v>6</v>
      </c>
      <c r="BX3" s="1" t="s">
        <v>7</v>
      </c>
      <c r="BY3" s="10" t="s">
        <v>40</v>
      </c>
      <c r="BZ3" s="9" t="s">
        <v>6</v>
      </c>
      <c r="CA3" s="1" t="s">
        <v>7</v>
      </c>
      <c r="CB3" s="1" t="s">
        <v>40</v>
      </c>
      <c r="CC3" s="1" t="s">
        <v>6</v>
      </c>
      <c r="CD3" s="1" t="s">
        <v>7</v>
      </c>
      <c r="CE3" s="1" t="s">
        <v>40</v>
      </c>
      <c r="CF3" s="1" t="s">
        <v>6</v>
      </c>
      <c r="CG3" s="1" t="s">
        <v>7</v>
      </c>
      <c r="CH3" s="1" t="s">
        <v>40</v>
      </c>
      <c r="CI3" s="1" t="s">
        <v>6</v>
      </c>
      <c r="CJ3" s="1" t="s">
        <v>7</v>
      </c>
      <c r="CK3" s="10" t="s">
        <v>40</v>
      </c>
      <c r="CL3" s="9" t="s">
        <v>6</v>
      </c>
      <c r="CM3" s="1" t="s">
        <v>7</v>
      </c>
      <c r="CN3" s="1" t="s">
        <v>40</v>
      </c>
      <c r="CO3" s="1" t="s">
        <v>6</v>
      </c>
      <c r="CP3" s="1" t="s">
        <v>7</v>
      </c>
      <c r="CQ3" s="1" t="s">
        <v>40</v>
      </c>
      <c r="CR3" s="1" t="s">
        <v>6</v>
      </c>
      <c r="CS3" s="1" t="s">
        <v>7</v>
      </c>
      <c r="CT3" s="1" t="s">
        <v>40</v>
      </c>
      <c r="CU3" s="1" t="s">
        <v>6</v>
      </c>
      <c r="CV3" s="1" t="s">
        <v>7</v>
      </c>
      <c r="CW3" s="10" t="s">
        <v>40</v>
      </c>
    </row>
    <row r="4" spans="1:101" s="13" customFormat="1">
      <c r="A4" s="732" t="s">
        <v>8</v>
      </c>
      <c r="B4" s="735" t="s">
        <v>9</v>
      </c>
      <c r="C4" s="196" t="s">
        <v>70</v>
      </c>
      <c r="D4" s="823"/>
      <c r="E4" s="824"/>
      <c r="F4" s="825">
        <f t="shared" ref="F4:H21" si="0">SUM(R4,AD4,AP4,BB4,BN4,BZ4,CL4)</f>
        <v>3979</v>
      </c>
      <c r="G4" s="826"/>
      <c r="H4" s="827"/>
      <c r="I4" s="820">
        <f t="shared" ref="I4:K21" si="1">SUM(U4,AG4,AS4,BE4,BQ4,CC4,CO4)</f>
        <v>5306</v>
      </c>
      <c r="J4" s="821"/>
      <c r="K4" s="828"/>
      <c r="L4" s="825">
        <f t="shared" ref="L4:N21" si="2">SUM(X4,AJ4,AV4,BH4,BT4,CF4,CR4)</f>
        <v>6697</v>
      </c>
      <c r="M4" s="826"/>
      <c r="N4" s="827"/>
      <c r="O4" s="820">
        <f t="shared" ref="O4:Q21" si="3">SUM(AA4,AM4,AY4,BK4,BW4,CI4,CU4)</f>
        <v>8194</v>
      </c>
      <c r="P4" s="821"/>
      <c r="Q4" s="821"/>
      <c r="R4" s="794">
        <v>745</v>
      </c>
      <c r="S4" s="795"/>
      <c r="T4" s="796"/>
      <c r="U4" s="797">
        <v>955</v>
      </c>
      <c r="V4" s="798"/>
      <c r="W4" s="799"/>
      <c r="X4" s="800">
        <v>1165</v>
      </c>
      <c r="Y4" s="795"/>
      <c r="Z4" s="796"/>
      <c r="AA4" s="797">
        <v>1375</v>
      </c>
      <c r="AB4" s="798"/>
      <c r="AC4" s="801"/>
      <c r="AD4" s="802">
        <v>502</v>
      </c>
      <c r="AE4" s="810"/>
      <c r="AF4" s="811"/>
      <c r="AG4" s="791">
        <v>687</v>
      </c>
      <c r="AH4" s="812"/>
      <c r="AI4" s="813"/>
      <c r="AJ4" s="806">
        <v>872</v>
      </c>
      <c r="AK4" s="810"/>
      <c r="AL4" s="811"/>
      <c r="AM4" s="791">
        <v>1057</v>
      </c>
      <c r="AN4" s="812"/>
      <c r="AO4" s="814"/>
      <c r="AP4" s="815">
        <v>626</v>
      </c>
      <c r="AQ4" s="816"/>
      <c r="AR4" s="817"/>
      <c r="AS4" s="807">
        <v>876</v>
      </c>
      <c r="AT4" s="808"/>
      <c r="AU4" s="818"/>
      <c r="AV4" s="819">
        <v>1128</v>
      </c>
      <c r="AW4" s="816"/>
      <c r="AX4" s="817"/>
      <c r="AY4" s="807">
        <v>1458</v>
      </c>
      <c r="AZ4" s="808"/>
      <c r="BA4" s="809"/>
      <c r="BB4" s="802">
        <v>369</v>
      </c>
      <c r="BC4" s="810"/>
      <c r="BD4" s="811"/>
      <c r="BE4" s="791">
        <v>479</v>
      </c>
      <c r="BF4" s="812"/>
      <c r="BG4" s="813"/>
      <c r="BH4" s="806">
        <v>589</v>
      </c>
      <c r="BI4" s="810"/>
      <c r="BJ4" s="811"/>
      <c r="BK4" s="791">
        <v>699</v>
      </c>
      <c r="BL4" s="812"/>
      <c r="BM4" s="814"/>
      <c r="BN4" s="794">
        <v>484</v>
      </c>
      <c r="BO4" s="795"/>
      <c r="BP4" s="796"/>
      <c r="BQ4" s="797">
        <v>692</v>
      </c>
      <c r="BR4" s="798"/>
      <c r="BS4" s="799"/>
      <c r="BT4" s="800">
        <v>900</v>
      </c>
      <c r="BU4" s="795"/>
      <c r="BV4" s="796"/>
      <c r="BW4" s="797">
        <v>1108</v>
      </c>
      <c r="BX4" s="798"/>
      <c r="BY4" s="801"/>
      <c r="BZ4" s="802">
        <v>117</v>
      </c>
      <c r="CA4" s="803"/>
      <c r="CB4" s="804"/>
      <c r="CC4" s="791">
        <v>137</v>
      </c>
      <c r="CD4" s="792"/>
      <c r="CE4" s="805"/>
      <c r="CF4" s="806">
        <v>143</v>
      </c>
      <c r="CG4" s="803"/>
      <c r="CH4" s="804"/>
      <c r="CI4" s="791">
        <v>177</v>
      </c>
      <c r="CJ4" s="792"/>
      <c r="CK4" s="793"/>
      <c r="CL4" s="794">
        <v>1136</v>
      </c>
      <c r="CM4" s="795"/>
      <c r="CN4" s="796"/>
      <c r="CO4" s="797">
        <v>1480</v>
      </c>
      <c r="CP4" s="798"/>
      <c r="CQ4" s="799"/>
      <c r="CR4" s="800">
        <v>1900</v>
      </c>
      <c r="CS4" s="795"/>
      <c r="CT4" s="796"/>
      <c r="CU4" s="797">
        <v>2320</v>
      </c>
      <c r="CV4" s="798"/>
      <c r="CW4" s="801"/>
    </row>
    <row r="5" spans="1:101" s="13" customFormat="1" ht="16.5" thickBot="1">
      <c r="A5" s="733"/>
      <c r="B5" s="702"/>
      <c r="C5" s="14" t="s">
        <v>71</v>
      </c>
      <c r="D5" s="14"/>
      <c r="E5" s="14"/>
      <c r="F5" s="37">
        <f t="shared" si="0"/>
        <v>26097</v>
      </c>
      <c r="G5" s="225">
        <f>SUM(S5,AE5,AQ5,BC5,BO5,CA5,CM5)</f>
        <v>28906</v>
      </c>
      <c r="H5" s="225">
        <f>SUM(T5,AF5,AR5,BD5,BP5,CB5,CN5)</f>
        <v>55003</v>
      </c>
      <c r="I5" s="227">
        <f t="shared" si="1"/>
        <v>38024</v>
      </c>
      <c r="J5" s="227">
        <f>SUM(V5,AH5,AT5,BF5,BR5,CD5,CP5)</f>
        <v>41242</v>
      </c>
      <c r="K5" s="227">
        <f>SUM(W5,AI5,AU5,BG5,BS5,CE5,CQ5)</f>
        <v>79266</v>
      </c>
      <c r="L5" s="225">
        <f t="shared" si="2"/>
        <v>47187</v>
      </c>
      <c r="M5" s="225">
        <f>SUM(Y5,AK5,AW5,BI5,BU5,CG5,CS5)</f>
        <v>51404</v>
      </c>
      <c r="N5" s="225">
        <f>SUM(Z5,AL5,AX5,BJ5,BV5,CH5,CT5)</f>
        <v>98591</v>
      </c>
      <c r="O5" s="227">
        <f t="shared" si="3"/>
        <v>56945</v>
      </c>
      <c r="P5" s="227">
        <f>SUM(AB5,AN5,AZ5,BL5,BX5,CJ5,CV5)</f>
        <v>62121</v>
      </c>
      <c r="Q5" s="40">
        <f>SUM(AC5,AO5,BA5,BM5,BY5,CK5,CW5)</f>
        <v>119066</v>
      </c>
      <c r="R5" s="41">
        <v>3455</v>
      </c>
      <c r="S5" s="228">
        <v>4447</v>
      </c>
      <c r="T5" s="228">
        <v>7902</v>
      </c>
      <c r="U5" s="236">
        <v>4431</v>
      </c>
      <c r="V5" s="236">
        <v>5688</v>
      </c>
      <c r="W5" s="236">
        <v>10119</v>
      </c>
      <c r="X5" s="228">
        <v>5407</v>
      </c>
      <c r="Y5" s="228">
        <v>6929</v>
      </c>
      <c r="Z5" s="228">
        <v>12336</v>
      </c>
      <c r="AA5" s="236">
        <v>6383</v>
      </c>
      <c r="AB5" s="236">
        <v>8170</v>
      </c>
      <c r="AC5" s="229">
        <v>14553</v>
      </c>
      <c r="AD5" s="45">
        <v>3198</v>
      </c>
      <c r="AE5" s="230">
        <v>3328</v>
      </c>
      <c r="AF5" s="230">
        <v>6526</v>
      </c>
      <c r="AG5" s="233">
        <v>4376</v>
      </c>
      <c r="AH5" s="233">
        <v>4555</v>
      </c>
      <c r="AI5" s="233">
        <v>8931</v>
      </c>
      <c r="AJ5" s="230">
        <v>5554</v>
      </c>
      <c r="AK5" s="230">
        <v>5782</v>
      </c>
      <c r="AL5" s="230">
        <v>11336</v>
      </c>
      <c r="AM5" s="233">
        <v>6732</v>
      </c>
      <c r="AN5" s="233">
        <v>7009</v>
      </c>
      <c r="AO5" s="231">
        <v>13741</v>
      </c>
      <c r="AP5" s="94">
        <v>3652</v>
      </c>
      <c r="AQ5" s="235">
        <v>4289</v>
      </c>
      <c r="AR5" s="235">
        <v>7941</v>
      </c>
      <c r="AS5" s="232">
        <v>5052</v>
      </c>
      <c r="AT5" s="232">
        <v>5789</v>
      </c>
      <c r="AU5" s="232">
        <v>10841</v>
      </c>
      <c r="AV5" s="235">
        <v>6452</v>
      </c>
      <c r="AW5" s="235">
        <v>7289</v>
      </c>
      <c r="AX5" s="235">
        <v>13741</v>
      </c>
      <c r="AY5" s="232">
        <v>8450</v>
      </c>
      <c r="AZ5" s="232">
        <v>9340</v>
      </c>
      <c r="BA5" s="237">
        <v>17790</v>
      </c>
      <c r="BB5" s="45">
        <v>2363</v>
      </c>
      <c r="BC5" s="230">
        <v>2846</v>
      </c>
      <c r="BD5" s="230">
        <v>5209</v>
      </c>
      <c r="BE5" s="233">
        <v>2913</v>
      </c>
      <c r="BF5" s="233">
        <v>3946</v>
      </c>
      <c r="BG5" s="233">
        <v>6859</v>
      </c>
      <c r="BH5" s="230">
        <v>3463</v>
      </c>
      <c r="BI5" s="230">
        <v>5046</v>
      </c>
      <c r="BJ5" s="230">
        <v>8509</v>
      </c>
      <c r="BK5" s="233">
        <v>4013</v>
      </c>
      <c r="BL5" s="233">
        <v>6146</v>
      </c>
      <c r="BM5" s="231">
        <v>10159</v>
      </c>
      <c r="BN5" s="41">
        <v>3234</v>
      </c>
      <c r="BO5" s="228">
        <v>2589</v>
      </c>
      <c r="BP5" s="228">
        <v>5823</v>
      </c>
      <c r="BQ5" s="236">
        <v>4794</v>
      </c>
      <c r="BR5" s="236">
        <v>4149</v>
      </c>
      <c r="BS5" s="236">
        <v>8943</v>
      </c>
      <c r="BT5" s="228">
        <v>6354</v>
      </c>
      <c r="BU5" s="228">
        <v>5709</v>
      </c>
      <c r="BV5" s="228">
        <v>12063</v>
      </c>
      <c r="BW5" s="236">
        <v>7914</v>
      </c>
      <c r="BX5" s="236">
        <v>7269</v>
      </c>
      <c r="BY5" s="229">
        <v>15183</v>
      </c>
      <c r="BZ5" s="169">
        <v>952</v>
      </c>
      <c r="CA5" s="170">
        <v>1338</v>
      </c>
      <c r="CB5" s="170">
        <v>2290</v>
      </c>
      <c r="CC5" s="171">
        <v>4050</v>
      </c>
      <c r="CD5" s="171">
        <v>4707</v>
      </c>
      <c r="CE5" s="171">
        <v>8757</v>
      </c>
      <c r="CF5" s="170">
        <v>4189</v>
      </c>
      <c r="CG5" s="170">
        <v>4881</v>
      </c>
      <c r="CH5" s="170">
        <v>9070</v>
      </c>
      <c r="CI5" s="171">
        <v>4325</v>
      </c>
      <c r="CJ5" s="171">
        <v>5059</v>
      </c>
      <c r="CK5" s="172">
        <v>9384</v>
      </c>
      <c r="CL5" s="41">
        <v>9243</v>
      </c>
      <c r="CM5" s="228">
        <v>10069</v>
      </c>
      <c r="CN5" s="228">
        <v>19312</v>
      </c>
      <c r="CO5" s="236">
        <v>12408</v>
      </c>
      <c r="CP5" s="236">
        <v>12408</v>
      </c>
      <c r="CQ5" s="236">
        <v>24816</v>
      </c>
      <c r="CR5" s="228">
        <v>15768</v>
      </c>
      <c r="CS5" s="228">
        <v>15768</v>
      </c>
      <c r="CT5" s="228">
        <v>31536</v>
      </c>
      <c r="CU5" s="236">
        <v>19128</v>
      </c>
      <c r="CV5" s="236">
        <v>19128</v>
      </c>
      <c r="CW5" s="229">
        <v>38256</v>
      </c>
    </row>
    <row r="6" spans="1:101" s="13" customFormat="1">
      <c r="A6" s="733"/>
      <c r="B6" s="702"/>
      <c r="C6" s="15" t="s">
        <v>51</v>
      </c>
      <c r="D6" s="16"/>
      <c r="E6" s="14"/>
      <c r="F6" s="640">
        <f t="shared" si="0"/>
        <v>83</v>
      </c>
      <c r="G6" s="641"/>
      <c r="H6" s="642"/>
      <c r="I6" s="622">
        <f t="shared" si="1"/>
        <v>126</v>
      </c>
      <c r="J6" s="623"/>
      <c r="K6" s="643"/>
      <c r="L6" s="640">
        <f t="shared" si="2"/>
        <v>0</v>
      </c>
      <c r="M6" s="641"/>
      <c r="N6" s="642"/>
      <c r="O6" s="622">
        <f t="shared" si="3"/>
        <v>0</v>
      </c>
      <c r="P6" s="623"/>
      <c r="Q6" s="623"/>
      <c r="R6" s="591"/>
      <c r="S6" s="592"/>
      <c r="T6" s="593"/>
      <c r="U6" s="594">
        <v>126</v>
      </c>
      <c r="V6" s="595"/>
      <c r="W6" s="596"/>
      <c r="X6" s="597">
        <v>0</v>
      </c>
      <c r="Y6" s="592"/>
      <c r="Z6" s="593"/>
      <c r="AA6" s="594">
        <v>0</v>
      </c>
      <c r="AB6" s="595"/>
      <c r="AC6" s="598"/>
      <c r="AD6" s="607">
        <v>13</v>
      </c>
      <c r="AE6" s="615"/>
      <c r="AF6" s="616"/>
      <c r="AG6" s="588">
        <v>0</v>
      </c>
      <c r="AH6" s="589"/>
      <c r="AI6" s="610"/>
      <c r="AJ6" s="611">
        <v>0</v>
      </c>
      <c r="AK6" s="615"/>
      <c r="AL6" s="616"/>
      <c r="AM6" s="588">
        <v>0</v>
      </c>
      <c r="AN6" s="589"/>
      <c r="AO6" s="590"/>
      <c r="AP6" s="617">
        <v>15</v>
      </c>
      <c r="AQ6" s="618"/>
      <c r="AR6" s="619"/>
      <c r="AS6" s="612">
        <v>0</v>
      </c>
      <c r="AT6" s="613"/>
      <c r="AU6" s="620"/>
      <c r="AV6" s="621">
        <v>0</v>
      </c>
      <c r="AW6" s="618"/>
      <c r="AX6" s="619"/>
      <c r="AY6" s="612">
        <v>0</v>
      </c>
      <c r="AZ6" s="613"/>
      <c r="BA6" s="614"/>
      <c r="BB6" s="607">
        <v>0</v>
      </c>
      <c r="BC6" s="615"/>
      <c r="BD6" s="616"/>
      <c r="BE6" s="588">
        <v>0</v>
      </c>
      <c r="BF6" s="589"/>
      <c r="BG6" s="610"/>
      <c r="BH6" s="611">
        <v>0</v>
      </c>
      <c r="BI6" s="615"/>
      <c r="BJ6" s="616"/>
      <c r="BK6" s="588">
        <v>0</v>
      </c>
      <c r="BL6" s="589"/>
      <c r="BM6" s="590"/>
      <c r="BN6" s="591">
        <v>8</v>
      </c>
      <c r="BO6" s="592"/>
      <c r="BP6" s="593"/>
      <c r="BQ6" s="594">
        <v>0</v>
      </c>
      <c r="BR6" s="595"/>
      <c r="BS6" s="596"/>
      <c r="BT6" s="597">
        <v>0</v>
      </c>
      <c r="BU6" s="592"/>
      <c r="BV6" s="593"/>
      <c r="BW6" s="594">
        <v>0</v>
      </c>
      <c r="BX6" s="595"/>
      <c r="BY6" s="598"/>
      <c r="BZ6" s="607">
        <v>47</v>
      </c>
      <c r="CA6" s="608"/>
      <c r="CB6" s="609"/>
      <c r="CC6" s="588">
        <v>0</v>
      </c>
      <c r="CD6" s="784"/>
      <c r="CE6" s="785"/>
      <c r="CF6" s="611">
        <v>0</v>
      </c>
      <c r="CG6" s="608"/>
      <c r="CH6" s="609"/>
      <c r="CI6" s="588">
        <v>0</v>
      </c>
      <c r="CJ6" s="784"/>
      <c r="CK6" s="786"/>
      <c r="CL6" s="591">
        <v>0</v>
      </c>
      <c r="CM6" s="592"/>
      <c r="CN6" s="593"/>
      <c r="CO6" s="594">
        <v>0</v>
      </c>
      <c r="CP6" s="595"/>
      <c r="CQ6" s="596"/>
      <c r="CR6" s="597">
        <v>0</v>
      </c>
      <c r="CS6" s="592"/>
      <c r="CT6" s="593"/>
      <c r="CU6" s="594">
        <v>0</v>
      </c>
      <c r="CV6" s="595"/>
      <c r="CW6" s="598"/>
    </row>
    <row r="7" spans="1:101" s="13" customFormat="1" ht="24.75" thickBot="1">
      <c r="A7" s="733"/>
      <c r="B7" s="702"/>
      <c r="C7" s="23" t="s">
        <v>52</v>
      </c>
      <c r="D7" s="14"/>
      <c r="E7" s="14"/>
      <c r="F7" s="37">
        <f t="shared" si="0"/>
        <v>550</v>
      </c>
      <c r="G7" s="225">
        <f>SUM(S7,AE7,AQ7,BC7,BO7,CA7,CM7)</f>
        <v>565</v>
      </c>
      <c r="H7" s="225">
        <f>SUM(T7,AF7,AR7,BD7,BP7,CB7,CN7)</f>
        <v>1115</v>
      </c>
      <c r="I7" s="227">
        <f t="shared" si="1"/>
        <v>611</v>
      </c>
      <c r="J7" s="227">
        <f>SUM(V7,AH7,AT7,BF7,BR7,CD7,CP7)</f>
        <v>664</v>
      </c>
      <c r="K7" s="227">
        <f>SUM(W7,AI7,AU7,BG7,BS7,CE7,CQ7)</f>
        <v>1275</v>
      </c>
      <c r="L7" s="225">
        <f t="shared" si="2"/>
        <v>0</v>
      </c>
      <c r="M7" s="225">
        <f>SUM(Y7,AK7,AW7,BI7,BU7,CG7,CS7)</f>
        <v>0</v>
      </c>
      <c r="N7" s="225">
        <f>SUM(Z7,AL7,AX7,BJ7,BV7,CH7,CT7)</f>
        <v>0</v>
      </c>
      <c r="O7" s="227">
        <f t="shared" si="3"/>
        <v>0</v>
      </c>
      <c r="P7" s="227">
        <f>SUM(AB7,AN7,AZ7,BL7,BX7,CJ7,CV7)</f>
        <v>0</v>
      </c>
      <c r="Q7" s="40">
        <f>SUM(AC7,AO7,BA7,BM7,BY7,CK7,CW7)</f>
        <v>0</v>
      </c>
      <c r="R7" s="41"/>
      <c r="S7" s="228"/>
      <c r="T7" s="228">
        <v>0</v>
      </c>
      <c r="U7" s="236">
        <v>611</v>
      </c>
      <c r="V7" s="236">
        <v>664</v>
      </c>
      <c r="W7" s="236">
        <v>1275</v>
      </c>
      <c r="X7" s="228">
        <v>0</v>
      </c>
      <c r="Y7" s="228">
        <v>0</v>
      </c>
      <c r="Z7" s="228">
        <v>0</v>
      </c>
      <c r="AA7" s="236">
        <v>0</v>
      </c>
      <c r="AB7" s="236">
        <v>0</v>
      </c>
      <c r="AC7" s="229">
        <v>0</v>
      </c>
      <c r="AD7" s="45">
        <v>105</v>
      </c>
      <c r="AE7" s="230">
        <v>66</v>
      </c>
      <c r="AF7" s="230">
        <v>171</v>
      </c>
      <c r="AG7" s="233">
        <v>0</v>
      </c>
      <c r="AH7" s="233">
        <v>0</v>
      </c>
      <c r="AI7" s="233">
        <v>0</v>
      </c>
      <c r="AJ7" s="230">
        <v>0</v>
      </c>
      <c r="AK7" s="230">
        <v>0</v>
      </c>
      <c r="AL7" s="230">
        <v>0</v>
      </c>
      <c r="AM7" s="233">
        <v>0</v>
      </c>
      <c r="AN7" s="233">
        <v>0</v>
      </c>
      <c r="AO7" s="231">
        <v>0</v>
      </c>
      <c r="AP7" s="94">
        <v>90</v>
      </c>
      <c r="AQ7" s="235">
        <v>99</v>
      </c>
      <c r="AR7" s="235">
        <v>189</v>
      </c>
      <c r="AS7" s="232">
        <v>0</v>
      </c>
      <c r="AT7" s="232">
        <v>0</v>
      </c>
      <c r="AU7" s="232">
        <v>0</v>
      </c>
      <c r="AV7" s="235">
        <v>0</v>
      </c>
      <c r="AW7" s="235">
        <v>0</v>
      </c>
      <c r="AX7" s="235">
        <v>0</v>
      </c>
      <c r="AY7" s="232">
        <v>0</v>
      </c>
      <c r="AZ7" s="232">
        <v>0</v>
      </c>
      <c r="BA7" s="237">
        <v>0</v>
      </c>
      <c r="BB7" s="45">
        <v>0</v>
      </c>
      <c r="BC7" s="230">
        <v>0</v>
      </c>
      <c r="BD7" s="230">
        <v>0</v>
      </c>
      <c r="BE7" s="233">
        <v>0</v>
      </c>
      <c r="BF7" s="233">
        <v>0</v>
      </c>
      <c r="BG7" s="233">
        <v>0</v>
      </c>
      <c r="BH7" s="230">
        <v>0</v>
      </c>
      <c r="BI7" s="230">
        <v>0</v>
      </c>
      <c r="BJ7" s="230">
        <v>0</v>
      </c>
      <c r="BK7" s="233">
        <v>0</v>
      </c>
      <c r="BL7" s="233">
        <v>0</v>
      </c>
      <c r="BM7" s="231">
        <v>0</v>
      </c>
      <c r="BN7" s="41">
        <v>38</v>
      </c>
      <c r="BO7" s="228">
        <v>59</v>
      </c>
      <c r="BP7" s="228">
        <v>97</v>
      </c>
      <c r="BQ7" s="236">
        <v>0</v>
      </c>
      <c r="BR7" s="236">
        <v>0</v>
      </c>
      <c r="BS7" s="236">
        <v>0</v>
      </c>
      <c r="BT7" s="228">
        <v>0</v>
      </c>
      <c r="BU7" s="228">
        <v>0</v>
      </c>
      <c r="BV7" s="228">
        <v>0</v>
      </c>
      <c r="BW7" s="236">
        <v>0</v>
      </c>
      <c r="BX7" s="236">
        <v>0</v>
      </c>
      <c r="BY7" s="229">
        <v>0</v>
      </c>
      <c r="BZ7" s="169">
        <v>317</v>
      </c>
      <c r="CA7" s="170">
        <v>341</v>
      </c>
      <c r="CB7" s="170">
        <v>658</v>
      </c>
      <c r="CC7" s="171">
        <v>0</v>
      </c>
      <c r="CD7" s="171">
        <v>0</v>
      </c>
      <c r="CE7" s="171">
        <v>0</v>
      </c>
      <c r="CF7" s="170">
        <v>0</v>
      </c>
      <c r="CG7" s="170">
        <v>0</v>
      </c>
      <c r="CH7" s="170">
        <v>0</v>
      </c>
      <c r="CI7" s="171">
        <v>0</v>
      </c>
      <c r="CJ7" s="171">
        <v>0</v>
      </c>
      <c r="CK7" s="172">
        <v>0</v>
      </c>
      <c r="CL7" s="41">
        <v>0</v>
      </c>
      <c r="CM7" s="228">
        <v>0</v>
      </c>
      <c r="CN7" s="228">
        <v>0</v>
      </c>
      <c r="CO7" s="236">
        <v>0</v>
      </c>
      <c r="CP7" s="236">
        <v>0</v>
      </c>
      <c r="CQ7" s="236">
        <v>0</v>
      </c>
      <c r="CR7" s="228">
        <v>0</v>
      </c>
      <c r="CS7" s="228">
        <v>0</v>
      </c>
      <c r="CT7" s="228">
        <v>0</v>
      </c>
      <c r="CU7" s="236">
        <v>0</v>
      </c>
      <c r="CV7" s="236">
        <v>0</v>
      </c>
      <c r="CW7" s="229">
        <v>0</v>
      </c>
    </row>
    <row r="8" spans="1:101" s="13" customFormat="1" ht="24">
      <c r="A8" s="733"/>
      <c r="B8" s="702"/>
      <c r="C8" s="15" t="s">
        <v>47</v>
      </c>
      <c r="D8" s="16"/>
      <c r="E8" s="14"/>
      <c r="F8" s="640">
        <f t="shared" si="0"/>
        <v>12095</v>
      </c>
      <c r="G8" s="641"/>
      <c r="H8" s="642"/>
      <c r="I8" s="622">
        <f t="shared" si="1"/>
        <v>11836</v>
      </c>
      <c r="J8" s="623"/>
      <c r="K8" s="643"/>
      <c r="L8" s="640">
        <f t="shared" si="2"/>
        <v>11986</v>
      </c>
      <c r="M8" s="641"/>
      <c r="N8" s="642"/>
      <c r="O8" s="622">
        <f t="shared" si="3"/>
        <v>12267</v>
      </c>
      <c r="P8" s="623"/>
      <c r="Q8" s="623"/>
      <c r="R8" s="591">
        <v>947</v>
      </c>
      <c r="S8" s="592"/>
      <c r="T8" s="593"/>
      <c r="U8" s="594">
        <v>884</v>
      </c>
      <c r="V8" s="595"/>
      <c r="W8" s="596"/>
      <c r="X8" s="597">
        <v>944</v>
      </c>
      <c r="Y8" s="592"/>
      <c r="Z8" s="593"/>
      <c r="AA8" s="594">
        <v>1004</v>
      </c>
      <c r="AB8" s="595"/>
      <c r="AC8" s="598"/>
      <c r="AD8" s="607">
        <v>1859</v>
      </c>
      <c r="AE8" s="615"/>
      <c r="AF8" s="616"/>
      <c r="AG8" s="588">
        <v>1790</v>
      </c>
      <c r="AH8" s="589"/>
      <c r="AI8" s="610"/>
      <c r="AJ8" s="611">
        <v>1827</v>
      </c>
      <c r="AK8" s="615"/>
      <c r="AL8" s="616"/>
      <c r="AM8" s="588">
        <v>1864</v>
      </c>
      <c r="AN8" s="589"/>
      <c r="AO8" s="590"/>
      <c r="AP8" s="617">
        <v>1843</v>
      </c>
      <c r="AQ8" s="618"/>
      <c r="AR8" s="619"/>
      <c r="AS8" s="612">
        <v>1973</v>
      </c>
      <c r="AT8" s="613"/>
      <c r="AU8" s="620"/>
      <c r="AV8" s="621">
        <v>2045</v>
      </c>
      <c r="AW8" s="618"/>
      <c r="AX8" s="619"/>
      <c r="AY8" s="612">
        <v>2175</v>
      </c>
      <c r="AZ8" s="613"/>
      <c r="BA8" s="614"/>
      <c r="BB8" s="607">
        <v>737</v>
      </c>
      <c r="BC8" s="615"/>
      <c r="BD8" s="616"/>
      <c r="BE8" s="588">
        <v>891</v>
      </c>
      <c r="BF8" s="589"/>
      <c r="BG8" s="610"/>
      <c r="BH8" s="611">
        <v>1045</v>
      </c>
      <c r="BI8" s="615"/>
      <c r="BJ8" s="616"/>
      <c r="BK8" s="588">
        <v>1199</v>
      </c>
      <c r="BL8" s="589"/>
      <c r="BM8" s="590"/>
      <c r="BN8" s="591">
        <v>1194</v>
      </c>
      <c r="BO8" s="592"/>
      <c r="BP8" s="593"/>
      <c r="BQ8" s="594">
        <v>1343</v>
      </c>
      <c r="BR8" s="595"/>
      <c r="BS8" s="596"/>
      <c r="BT8" s="597">
        <v>1317</v>
      </c>
      <c r="BU8" s="592"/>
      <c r="BV8" s="593"/>
      <c r="BW8" s="594">
        <v>1291</v>
      </c>
      <c r="BX8" s="595"/>
      <c r="BY8" s="598"/>
      <c r="BZ8" s="607">
        <v>3408</v>
      </c>
      <c r="CA8" s="608"/>
      <c r="CB8" s="609"/>
      <c r="CC8" s="588">
        <v>2656</v>
      </c>
      <c r="CD8" s="589"/>
      <c r="CE8" s="610"/>
      <c r="CF8" s="611">
        <v>2676</v>
      </c>
      <c r="CG8" s="608"/>
      <c r="CH8" s="609"/>
      <c r="CI8" s="588">
        <v>2696</v>
      </c>
      <c r="CJ8" s="589"/>
      <c r="CK8" s="590"/>
      <c r="CL8" s="591">
        <v>2107</v>
      </c>
      <c r="CM8" s="592"/>
      <c r="CN8" s="593"/>
      <c r="CO8" s="594">
        <v>2299</v>
      </c>
      <c r="CP8" s="595"/>
      <c r="CQ8" s="596"/>
      <c r="CR8" s="597">
        <v>2132</v>
      </c>
      <c r="CS8" s="592"/>
      <c r="CT8" s="593"/>
      <c r="CU8" s="594">
        <v>2038</v>
      </c>
      <c r="CV8" s="595"/>
      <c r="CW8" s="598"/>
    </row>
    <row r="9" spans="1:101" s="13" customFormat="1" ht="24.75" thickBot="1">
      <c r="A9" s="733"/>
      <c r="B9" s="702"/>
      <c r="C9" s="24" t="s">
        <v>48</v>
      </c>
      <c r="D9" s="14"/>
      <c r="E9" s="14"/>
      <c r="F9" s="37">
        <f t="shared" si="0"/>
        <v>86637</v>
      </c>
      <c r="G9" s="225">
        <f>SUM(S9,AE9,AQ9,BC9,BO9,CA9,CM9)</f>
        <v>96474</v>
      </c>
      <c r="H9" s="225">
        <f>SUM(T9,AF9,AR9,BD9,BP9,CB9,CN9)</f>
        <v>183111</v>
      </c>
      <c r="I9" s="227">
        <f t="shared" si="1"/>
        <v>80096</v>
      </c>
      <c r="J9" s="227">
        <f>SUM(V9,AH9,AT9,BF9,BR9,CD9,CP9)</f>
        <v>94637</v>
      </c>
      <c r="K9" s="227">
        <f>SUM(W9,AI9,AU9,BG9,BS9,CE9,CQ9)</f>
        <v>174733</v>
      </c>
      <c r="L9" s="225">
        <f t="shared" si="2"/>
        <v>82518</v>
      </c>
      <c r="M9" s="225">
        <f>SUM(Y9,AK9,AW9,BI9,BU9,CG9,CS9)</f>
        <v>96565</v>
      </c>
      <c r="N9" s="225">
        <f>SUM(Z9,AL9,AX9,BJ9,BV9,CH9,CT9)</f>
        <v>179083</v>
      </c>
      <c r="O9" s="227">
        <f t="shared" si="3"/>
        <v>85761</v>
      </c>
      <c r="P9" s="227">
        <f>SUM(AB9,AN9,AZ9,BL9,BX9,CJ9,CV9)</f>
        <v>101970</v>
      </c>
      <c r="Q9" s="226">
        <f>SUM(AC9,AO9,BA9,BM9,BY9,CK9,CW9)</f>
        <v>187731</v>
      </c>
      <c r="R9" s="41">
        <v>4329</v>
      </c>
      <c r="S9" s="228">
        <v>5516</v>
      </c>
      <c r="T9" s="228">
        <v>9845</v>
      </c>
      <c r="U9" s="236">
        <v>3981</v>
      </c>
      <c r="V9" s="236">
        <v>5277</v>
      </c>
      <c r="W9" s="236">
        <v>9258</v>
      </c>
      <c r="X9" s="228">
        <v>4957</v>
      </c>
      <c r="Y9" s="228">
        <v>6518</v>
      </c>
      <c r="Z9" s="228">
        <v>11475</v>
      </c>
      <c r="AA9" s="236">
        <v>5207</v>
      </c>
      <c r="AB9" s="236">
        <v>6835</v>
      </c>
      <c r="AC9" s="229">
        <v>12042</v>
      </c>
      <c r="AD9" s="45">
        <v>12221</v>
      </c>
      <c r="AE9" s="230">
        <v>13329</v>
      </c>
      <c r="AF9" s="230">
        <v>25550</v>
      </c>
      <c r="AG9" s="233">
        <v>11803</v>
      </c>
      <c r="AH9" s="233">
        <v>12855</v>
      </c>
      <c r="AI9" s="233">
        <v>24658</v>
      </c>
      <c r="AJ9" s="230">
        <v>12981</v>
      </c>
      <c r="AK9" s="230">
        <v>14082</v>
      </c>
      <c r="AL9" s="230">
        <v>27063</v>
      </c>
      <c r="AM9" s="233">
        <v>14159</v>
      </c>
      <c r="AN9" s="233">
        <v>15309</v>
      </c>
      <c r="AO9" s="231">
        <v>29468</v>
      </c>
      <c r="AP9" s="94">
        <v>10737</v>
      </c>
      <c r="AQ9" s="235">
        <v>13343</v>
      </c>
      <c r="AR9" s="235">
        <v>24080</v>
      </c>
      <c r="AS9" s="232">
        <v>11423</v>
      </c>
      <c r="AT9" s="232">
        <v>14043</v>
      </c>
      <c r="AU9" s="232">
        <v>25466</v>
      </c>
      <c r="AV9" s="235">
        <v>11723</v>
      </c>
      <c r="AW9" s="235">
        <v>14343</v>
      </c>
      <c r="AX9" s="235">
        <v>26066</v>
      </c>
      <c r="AY9" s="232">
        <v>12521</v>
      </c>
      <c r="AZ9" s="232">
        <v>15094</v>
      </c>
      <c r="BA9" s="237">
        <v>27615</v>
      </c>
      <c r="BB9" s="45">
        <v>3835</v>
      </c>
      <c r="BC9" s="230">
        <v>6096</v>
      </c>
      <c r="BD9" s="230">
        <v>9931</v>
      </c>
      <c r="BE9" s="233">
        <v>4605</v>
      </c>
      <c r="BF9" s="233">
        <v>7636</v>
      </c>
      <c r="BG9" s="233">
        <v>12241</v>
      </c>
      <c r="BH9" s="230">
        <v>5375</v>
      </c>
      <c r="BI9" s="230">
        <v>9176</v>
      </c>
      <c r="BJ9" s="230">
        <v>14551</v>
      </c>
      <c r="BK9" s="233">
        <v>6145</v>
      </c>
      <c r="BL9" s="233">
        <v>10716</v>
      </c>
      <c r="BM9" s="231">
        <v>16861</v>
      </c>
      <c r="BN9" s="41">
        <v>8189</v>
      </c>
      <c r="BO9" s="228">
        <v>9845</v>
      </c>
      <c r="BP9" s="228">
        <v>18034</v>
      </c>
      <c r="BQ9" s="236">
        <v>9324</v>
      </c>
      <c r="BR9" s="236">
        <v>10811</v>
      </c>
      <c r="BS9" s="236">
        <v>20135</v>
      </c>
      <c r="BT9" s="228">
        <v>9443</v>
      </c>
      <c r="BU9" s="228">
        <v>10536</v>
      </c>
      <c r="BV9" s="228">
        <v>19979</v>
      </c>
      <c r="BW9" s="236">
        <v>9496</v>
      </c>
      <c r="BX9" s="236">
        <v>10327</v>
      </c>
      <c r="BY9" s="229">
        <v>19823</v>
      </c>
      <c r="BZ9" s="169">
        <v>30379</v>
      </c>
      <c r="CA9" s="170">
        <v>29892</v>
      </c>
      <c r="CB9" s="170">
        <v>60271</v>
      </c>
      <c r="CC9" s="171">
        <v>19412</v>
      </c>
      <c r="CD9" s="171">
        <v>24394</v>
      </c>
      <c r="CE9" s="171">
        <v>43806</v>
      </c>
      <c r="CF9" s="170">
        <v>20123</v>
      </c>
      <c r="CG9" s="170">
        <v>23994</v>
      </c>
      <c r="CH9" s="170">
        <v>44117</v>
      </c>
      <c r="CI9" s="171">
        <v>20989</v>
      </c>
      <c r="CJ9" s="171">
        <v>26445</v>
      </c>
      <c r="CK9" s="172">
        <v>47434</v>
      </c>
      <c r="CL9" s="41">
        <v>16947</v>
      </c>
      <c r="CM9" s="228">
        <v>18453</v>
      </c>
      <c r="CN9" s="228">
        <v>35400</v>
      </c>
      <c r="CO9" s="236">
        <v>19548</v>
      </c>
      <c r="CP9" s="236">
        <v>19621</v>
      </c>
      <c r="CQ9" s="236">
        <v>39169</v>
      </c>
      <c r="CR9" s="228">
        <v>17916</v>
      </c>
      <c r="CS9" s="228">
        <v>17916</v>
      </c>
      <c r="CT9" s="228">
        <v>35832</v>
      </c>
      <c r="CU9" s="236">
        <v>17244</v>
      </c>
      <c r="CV9" s="236">
        <v>17244</v>
      </c>
      <c r="CW9" s="229">
        <v>34488</v>
      </c>
    </row>
    <row r="10" spans="1:101" s="13" customFormat="1">
      <c r="A10" s="733"/>
      <c r="B10" s="702"/>
      <c r="C10" s="23" t="s">
        <v>49</v>
      </c>
      <c r="D10" s="638"/>
      <c r="E10" s="639"/>
      <c r="F10" s="640">
        <f t="shared" si="0"/>
        <v>10345</v>
      </c>
      <c r="G10" s="641"/>
      <c r="H10" s="642"/>
      <c r="I10" s="622">
        <f t="shared" si="1"/>
        <v>9981</v>
      </c>
      <c r="J10" s="623"/>
      <c r="K10" s="643"/>
      <c r="L10" s="640">
        <f t="shared" si="2"/>
        <v>10138</v>
      </c>
      <c r="M10" s="641"/>
      <c r="N10" s="642"/>
      <c r="O10" s="622">
        <f t="shared" si="3"/>
        <v>10270</v>
      </c>
      <c r="P10" s="623"/>
      <c r="Q10" s="623"/>
      <c r="R10" s="591">
        <v>800</v>
      </c>
      <c r="S10" s="592"/>
      <c r="T10" s="593"/>
      <c r="U10" s="594">
        <v>734</v>
      </c>
      <c r="V10" s="595"/>
      <c r="W10" s="596"/>
      <c r="X10" s="597">
        <v>794</v>
      </c>
      <c r="Y10" s="592"/>
      <c r="Z10" s="593"/>
      <c r="AA10" s="594">
        <v>854</v>
      </c>
      <c r="AB10" s="595"/>
      <c r="AC10" s="598"/>
      <c r="AD10" s="607">
        <v>1605</v>
      </c>
      <c r="AE10" s="615"/>
      <c r="AF10" s="616"/>
      <c r="AG10" s="588">
        <v>1642</v>
      </c>
      <c r="AH10" s="589"/>
      <c r="AI10" s="610"/>
      <c r="AJ10" s="611">
        <v>1679</v>
      </c>
      <c r="AK10" s="615"/>
      <c r="AL10" s="616"/>
      <c r="AM10" s="588">
        <v>1716</v>
      </c>
      <c r="AN10" s="589"/>
      <c r="AO10" s="590"/>
      <c r="AP10" s="617">
        <v>1723</v>
      </c>
      <c r="AQ10" s="618"/>
      <c r="AR10" s="619"/>
      <c r="AS10" s="612">
        <v>1793</v>
      </c>
      <c r="AT10" s="613"/>
      <c r="AU10" s="620"/>
      <c r="AV10" s="621">
        <v>1845</v>
      </c>
      <c r="AW10" s="618"/>
      <c r="AX10" s="619"/>
      <c r="AY10" s="612">
        <v>1923</v>
      </c>
      <c r="AZ10" s="613"/>
      <c r="BA10" s="614"/>
      <c r="BB10" s="607">
        <v>491</v>
      </c>
      <c r="BC10" s="615"/>
      <c r="BD10" s="616"/>
      <c r="BE10" s="588">
        <v>601</v>
      </c>
      <c r="BF10" s="589"/>
      <c r="BG10" s="610"/>
      <c r="BH10" s="611">
        <v>711</v>
      </c>
      <c r="BI10" s="615"/>
      <c r="BJ10" s="616"/>
      <c r="BK10" s="588">
        <v>821</v>
      </c>
      <c r="BL10" s="589"/>
      <c r="BM10" s="590"/>
      <c r="BN10" s="591">
        <v>1135</v>
      </c>
      <c r="BO10" s="592"/>
      <c r="BP10" s="593"/>
      <c r="BQ10" s="594">
        <v>1109</v>
      </c>
      <c r="BR10" s="595"/>
      <c r="BS10" s="596"/>
      <c r="BT10" s="597">
        <v>1083</v>
      </c>
      <c r="BU10" s="592"/>
      <c r="BV10" s="593"/>
      <c r="BW10" s="594">
        <v>1057</v>
      </c>
      <c r="BX10" s="595"/>
      <c r="BY10" s="598"/>
      <c r="BZ10" s="607">
        <v>2636</v>
      </c>
      <c r="CA10" s="608"/>
      <c r="CB10" s="609"/>
      <c r="CC10" s="588">
        <v>2390</v>
      </c>
      <c r="CD10" s="589"/>
      <c r="CE10" s="610"/>
      <c r="CF10" s="611">
        <v>2408</v>
      </c>
      <c r="CG10" s="608"/>
      <c r="CH10" s="609"/>
      <c r="CI10" s="588">
        <v>2427</v>
      </c>
      <c r="CJ10" s="589"/>
      <c r="CK10" s="590"/>
      <c r="CL10" s="591">
        <v>1955</v>
      </c>
      <c r="CM10" s="592"/>
      <c r="CN10" s="593"/>
      <c r="CO10" s="594">
        <v>1712</v>
      </c>
      <c r="CP10" s="595"/>
      <c r="CQ10" s="596"/>
      <c r="CR10" s="597">
        <v>1618</v>
      </c>
      <c r="CS10" s="592"/>
      <c r="CT10" s="593"/>
      <c r="CU10" s="594">
        <v>1472</v>
      </c>
      <c r="CV10" s="595"/>
      <c r="CW10" s="598"/>
    </row>
    <row r="11" spans="1:101" s="13" customFormat="1" ht="24.75" thickBot="1">
      <c r="A11" s="733"/>
      <c r="B11" s="703"/>
      <c r="C11" s="24" t="s">
        <v>50</v>
      </c>
      <c r="D11" s="14"/>
      <c r="E11" s="14"/>
      <c r="F11" s="37">
        <f t="shared" si="0"/>
        <v>71765</v>
      </c>
      <c r="G11" s="225">
        <f>SUM(S11,AE11,AQ11,BC11,BO11,CA11,CM11)</f>
        <v>86519</v>
      </c>
      <c r="H11" s="225">
        <f>SUM(T11,AF11,AR11,BD11,BP11,CB11,CN11)</f>
        <v>158284</v>
      </c>
      <c r="I11" s="227">
        <f t="shared" si="1"/>
        <v>70091</v>
      </c>
      <c r="J11" s="227">
        <f>SUM(V11,AH11,AT11,BF11,BR11,CD11,CP11)</f>
        <v>77598</v>
      </c>
      <c r="K11" s="227">
        <f>SUM(W11,AI11,AU11,BG11,BS11,CE11,CQ11)</f>
        <v>147689</v>
      </c>
      <c r="L11" s="225">
        <f t="shared" si="2"/>
        <v>71646</v>
      </c>
      <c r="M11" s="225">
        <f>SUM(Y11,AK11,AW11,BI11,BU11,CG11,CS11)</f>
        <v>79724</v>
      </c>
      <c r="N11" s="225">
        <f>SUM(Z11,AL11,AX11,BJ11,BV11,CH11,CT11)</f>
        <v>151370</v>
      </c>
      <c r="O11" s="227">
        <f t="shared" si="3"/>
        <v>70854</v>
      </c>
      <c r="P11" s="227">
        <f>SUM(AB11,AN11,AZ11,BL11,BX11,CJ11,CV11)</f>
        <v>79448</v>
      </c>
      <c r="Q11" s="226">
        <f>SUM(AC11,AO11,BA11,BM11,BY11,CK11,CW11)</f>
        <v>150302</v>
      </c>
      <c r="R11" s="41">
        <v>3600</v>
      </c>
      <c r="S11" s="228">
        <v>4728</v>
      </c>
      <c r="T11" s="228">
        <v>8328</v>
      </c>
      <c r="U11" s="236">
        <v>3255</v>
      </c>
      <c r="V11" s="236">
        <v>4353</v>
      </c>
      <c r="W11" s="236">
        <v>7608</v>
      </c>
      <c r="X11" s="228">
        <v>4231</v>
      </c>
      <c r="Y11" s="228">
        <v>5594</v>
      </c>
      <c r="Z11" s="228">
        <v>9825</v>
      </c>
      <c r="AA11" s="236">
        <v>4481</v>
      </c>
      <c r="AB11" s="236">
        <v>5911</v>
      </c>
      <c r="AC11" s="229">
        <v>10392</v>
      </c>
      <c r="AD11" s="45">
        <v>10625</v>
      </c>
      <c r="AE11" s="230">
        <v>11628</v>
      </c>
      <c r="AF11" s="230">
        <v>22253</v>
      </c>
      <c r="AG11" s="233">
        <v>10933</v>
      </c>
      <c r="AH11" s="233">
        <v>11949</v>
      </c>
      <c r="AI11" s="233">
        <v>22882</v>
      </c>
      <c r="AJ11" s="230">
        <v>11241</v>
      </c>
      <c r="AK11" s="230">
        <v>12270</v>
      </c>
      <c r="AL11" s="230">
        <v>23511</v>
      </c>
      <c r="AM11" s="233">
        <v>11549</v>
      </c>
      <c r="AN11" s="233">
        <v>12591</v>
      </c>
      <c r="AO11" s="231">
        <v>24140</v>
      </c>
      <c r="AP11" s="94">
        <v>10023</v>
      </c>
      <c r="AQ11" s="235">
        <v>12543</v>
      </c>
      <c r="AR11" s="235">
        <v>22566</v>
      </c>
      <c r="AS11" s="232">
        <v>10323</v>
      </c>
      <c r="AT11" s="232">
        <v>12843</v>
      </c>
      <c r="AU11" s="232">
        <v>23166</v>
      </c>
      <c r="AV11" s="235">
        <v>10523</v>
      </c>
      <c r="AW11" s="235">
        <v>13043</v>
      </c>
      <c r="AX11" s="235">
        <v>23566</v>
      </c>
      <c r="AY11" s="232">
        <v>9705</v>
      </c>
      <c r="AZ11" s="232">
        <v>12193</v>
      </c>
      <c r="BA11" s="237">
        <v>21898</v>
      </c>
      <c r="BB11" s="45">
        <v>3318</v>
      </c>
      <c r="BC11" s="230">
        <v>4278</v>
      </c>
      <c r="BD11" s="230">
        <v>7596</v>
      </c>
      <c r="BE11" s="233">
        <v>3868</v>
      </c>
      <c r="BF11" s="233">
        <v>5378</v>
      </c>
      <c r="BG11" s="233">
        <v>9246</v>
      </c>
      <c r="BH11" s="230">
        <v>4418</v>
      </c>
      <c r="BI11" s="230">
        <v>6478</v>
      </c>
      <c r="BJ11" s="230">
        <v>10896</v>
      </c>
      <c r="BK11" s="233">
        <v>4968</v>
      </c>
      <c r="BL11" s="233">
        <v>7578</v>
      </c>
      <c r="BM11" s="231">
        <v>12546</v>
      </c>
      <c r="BN11" s="41">
        <v>7764</v>
      </c>
      <c r="BO11" s="228">
        <v>9251</v>
      </c>
      <c r="BP11" s="228">
        <v>17015</v>
      </c>
      <c r="BQ11" s="236">
        <v>7883</v>
      </c>
      <c r="BR11" s="236">
        <v>8976</v>
      </c>
      <c r="BS11" s="236">
        <v>16859</v>
      </c>
      <c r="BT11" s="228">
        <v>7936</v>
      </c>
      <c r="BU11" s="228">
        <v>8767</v>
      </c>
      <c r="BV11" s="228">
        <v>16703</v>
      </c>
      <c r="BW11" s="236">
        <v>7870</v>
      </c>
      <c r="BX11" s="236">
        <v>8624</v>
      </c>
      <c r="BY11" s="229">
        <v>16494</v>
      </c>
      <c r="BZ11" s="169">
        <v>20498</v>
      </c>
      <c r="CA11" s="170">
        <v>26731</v>
      </c>
      <c r="CB11" s="170">
        <v>47229</v>
      </c>
      <c r="CC11" s="171">
        <v>19273</v>
      </c>
      <c r="CD11" s="171">
        <v>19543</v>
      </c>
      <c r="CE11" s="171">
        <v>38816</v>
      </c>
      <c r="CF11" s="170">
        <v>19413</v>
      </c>
      <c r="CG11" s="170">
        <v>19688</v>
      </c>
      <c r="CH11" s="170">
        <v>39101</v>
      </c>
      <c r="CI11" s="171">
        <v>19565</v>
      </c>
      <c r="CJ11" s="171">
        <v>19835</v>
      </c>
      <c r="CK11" s="172">
        <v>39400</v>
      </c>
      <c r="CL11" s="41">
        <v>15937</v>
      </c>
      <c r="CM11" s="228">
        <v>17360</v>
      </c>
      <c r="CN11" s="228">
        <v>33297</v>
      </c>
      <c r="CO11" s="236">
        <v>14556</v>
      </c>
      <c r="CP11" s="236">
        <v>14556</v>
      </c>
      <c r="CQ11" s="236">
        <v>29112</v>
      </c>
      <c r="CR11" s="228">
        <v>13884</v>
      </c>
      <c r="CS11" s="228">
        <v>13884</v>
      </c>
      <c r="CT11" s="228">
        <v>27768</v>
      </c>
      <c r="CU11" s="236">
        <v>12716</v>
      </c>
      <c r="CV11" s="236">
        <v>12716</v>
      </c>
      <c r="CW11" s="229">
        <v>25432</v>
      </c>
    </row>
    <row r="12" spans="1:101" s="186" customFormat="1">
      <c r="A12" s="733"/>
      <c r="B12" s="735" t="s">
        <v>12</v>
      </c>
      <c r="C12" s="185" t="s">
        <v>72</v>
      </c>
      <c r="D12" s="771"/>
      <c r="E12" s="772"/>
      <c r="F12" s="773">
        <f t="shared" si="0"/>
        <v>3756</v>
      </c>
      <c r="G12" s="774"/>
      <c r="H12" s="775"/>
      <c r="I12" s="776">
        <f t="shared" si="1"/>
        <v>5365</v>
      </c>
      <c r="J12" s="777"/>
      <c r="K12" s="778"/>
      <c r="L12" s="773">
        <f t="shared" si="2"/>
        <v>6922.6</v>
      </c>
      <c r="M12" s="774"/>
      <c r="N12" s="775"/>
      <c r="O12" s="776">
        <f t="shared" si="3"/>
        <v>8586.0400000000009</v>
      </c>
      <c r="P12" s="777"/>
      <c r="Q12" s="777"/>
      <c r="R12" s="766">
        <v>472</v>
      </c>
      <c r="S12" s="751"/>
      <c r="T12" s="752"/>
      <c r="U12" s="753">
        <v>622</v>
      </c>
      <c r="V12" s="754"/>
      <c r="W12" s="767"/>
      <c r="X12" s="750">
        <v>772</v>
      </c>
      <c r="Y12" s="751"/>
      <c r="Z12" s="752"/>
      <c r="AA12" s="753">
        <v>922</v>
      </c>
      <c r="AB12" s="754"/>
      <c r="AC12" s="755"/>
      <c r="AD12" s="756">
        <v>783</v>
      </c>
      <c r="AE12" s="764"/>
      <c r="AF12" s="765"/>
      <c r="AG12" s="759">
        <v>931</v>
      </c>
      <c r="AH12" s="760"/>
      <c r="AI12" s="761"/>
      <c r="AJ12" s="762">
        <v>1079</v>
      </c>
      <c r="AK12" s="764"/>
      <c r="AL12" s="765"/>
      <c r="AM12" s="759">
        <v>1227</v>
      </c>
      <c r="AN12" s="760"/>
      <c r="AO12" s="763"/>
      <c r="AP12" s="779">
        <v>442</v>
      </c>
      <c r="AQ12" s="780"/>
      <c r="AR12" s="781"/>
      <c r="AS12" s="768">
        <v>622</v>
      </c>
      <c r="AT12" s="769"/>
      <c r="AU12" s="782"/>
      <c r="AV12" s="783">
        <v>822</v>
      </c>
      <c r="AW12" s="780"/>
      <c r="AX12" s="781"/>
      <c r="AY12" s="768">
        <v>1074</v>
      </c>
      <c r="AZ12" s="769"/>
      <c r="BA12" s="770"/>
      <c r="BB12" s="756">
        <v>246</v>
      </c>
      <c r="BC12" s="764"/>
      <c r="BD12" s="765"/>
      <c r="BE12" s="759">
        <v>290</v>
      </c>
      <c r="BF12" s="760"/>
      <c r="BG12" s="761"/>
      <c r="BH12" s="762">
        <v>334</v>
      </c>
      <c r="BI12" s="764"/>
      <c r="BJ12" s="765"/>
      <c r="BK12" s="759">
        <v>378</v>
      </c>
      <c r="BL12" s="760"/>
      <c r="BM12" s="763"/>
      <c r="BN12" s="766">
        <v>355</v>
      </c>
      <c r="BO12" s="751"/>
      <c r="BP12" s="752"/>
      <c r="BQ12" s="753">
        <v>589</v>
      </c>
      <c r="BR12" s="754"/>
      <c r="BS12" s="767"/>
      <c r="BT12" s="750">
        <v>823</v>
      </c>
      <c r="BU12" s="751"/>
      <c r="BV12" s="752"/>
      <c r="BW12" s="753">
        <v>1057</v>
      </c>
      <c r="BX12" s="754"/>
      <c r="BY12" s="755"/>
      <c r="BZ12" s="756">
        <v>819</v>
      </c>
      <c r="CA12" s="757"/>
      <c r="CB12" s="758"/>
      <c r="CC12" s="759">
        <v>1085</v>
      </c>
      <c r="CD12" s="760"/>
      <c r="CE12" s="761"/>
      <c r="CF12" s="762">
        <v>1353</v>
      </c>
      <c r="CG12" s="757"/>
      <c r="CH12" s="758"/>
      <c r="CI12" s="759">
        <v>1622</v>
      </c>
      <c r="CJ12" s="760"/>
      <c r="CK12" s="763"/>
      <c r="CL12" s="766">
        <v>639</v>
      </c>
      <c r="CM12" s="751"/>
      <c r="CN12" s="752"/>
      <c r="CO12" s="753">
        <v>1226</v>
      </c>
      <c r="CP12" s="754"/>
      <c r="CQ12" s="767"/>
      <c r="CR12" s="750">
        <v>1739.6</v>
      </c>
      <c r="CS12" s="751"/>
      <c r="CT12" s="752"/>
      <c r="CU12" s="753">
        <v>2306.04</v>
      </c>
      <c r="CV12" s="754"/>
      <c r="CW12" s="755"/>
    </row>
    <row r="13" spans="1:101" s="13" customFormat="1" ht="16.5" thickBot="1">
      <c r="A13" s="733"/>
      <c r="B13" s="703"/>
      <c r="C13" s="25" t="s">
        <v>73</v>
      </c>
      <c r="D13" s="14"/>
      <c r="E13" s="14"/>
      <c r="F13" s="37">
        <f t="shared" si="0"/>
        <v>22360</v>
      </c>
      <c r="G13" s="225">
        <f>SUM(S13,AE13,AQ13,BC13,BO13,CA13,CM13)</f>
        <v>25182</v>
      </c>
      <c r="H13" s="225">
        <f>SUM(T13,AF13,AR13,BD13,BP13,CB13,CN13)</f>
        <v>47542</v>
      </c>
      <c r="I13" s="227">
        <f t="shared" si="1"/>
        <v>35042</v>
      </c>
      <c r="J13" s="227">
        <f>SUM(V13,AH13,AT13,BF13,BR13,CD13,CP13)</f>
        <v>39215</v>
      </c>
      <c r="K13" s="227">
        <f>SUM(W13,AI13,AU13,BG13,BS13,CE13,CQ13)</f>
        <v>74257</v>
      </c>
      <c r="L13" s="225">
        <f t="shared" si="2"/>
        <v>45684</v>
      </c>
      <c r="M13" s="225">
        <f>SUM(Y13,AK13,AW13,BI13,BU13,CG13,CS13)</f>
        <v>50851</v>
      </c>
      <c r="N13" s="225">
        <f>SUM(Z13,AL13,AX13,BJ13,BV13,CH13,CT13)</f>
        <v>96535</v>
      </c>
      <c r="O13" s="227">
        <f t="shared" si="3"/>
        <v>58584</v>
      </c>
      <c r="P13" s="227">
        <f>SUM(AB13,AN13,AZ13,BL13,BX13,CJ13,CV13)</f>
        <v>64452</v>
      </c>
      <c r="Q13" s="226">
        <f>SUM(AC13,AO13,BA13,BM13,BY13,CK13,CW13)</f>
        <v>123036</v>
      </c>
      <c r="R13" s="41">
        <v>2446</v>
      </c>
      <c r="S13" s="228">
        <v>2995</v>
      </c>
      <c r="T13" s="228">
        <v>5441</v>
      </c>
      <c r="U13" s="236">
        <v>3172</v>
      </c>
      <c r="V13" s="236">
        <v>3783</v>
      </c>
      <c r="W13" s="236">
        <v>6955</v>
      </c>
      <c r="X13" s="228">
        <v>3898</v>
      </c>
      <c r="Y13" s="228">
        <v>4707</v>
      </c>
      <c r="Z13" s="228">
        <v>8605</v>
      </c>
      <c r="AA13" s="236">
        <v>4624</v>
      </c>
      <c r="AB13" s="236">
        <v>5631</v>
      </c>
      <c r="AC13" s="229">
        <v>10255</v>
      </c>
      <c r="AD13" s="45">
        <v>5295</v>
      </c>
      <c r="AE13" s="230">
        <v>5510</v>
      </c>
      <c r="AF13" s="230">
        <v>10805</v>
      </c>
      <c r="AG13" s="233">
        <v>6165</v>
      </c>
      <c r="AH13" s="233">
        <v>6416</v>
      </c>
      <c r="AI13" s="233">
        <v>12581</v>
      </c>
      <c r="AJ13" s="230">
        <v>7035</v>
      </c>
      <c r="AK13" s="230">
        <v>7322</v>
      </c>
      <c r="AL13" s="230">
        <v>14357</v>
      </c>
      <c r="AM13" s="233">
        <v>7905</v>
      </c>
      <c r="AN13" s="233">
        <v>8228</v>
      </c>
      <c r="AO13" s="231">
        <v>16133</v>
      </c>
      <c r="AP13" s="94">
        <v>1584</v>
      </c>
      <c r="AQ13" s="235">
        <v>1800</v>
      </c>
      <c r="AR13" s="235">
        <v>3384</v>
      </c>
      <c r="AS13" s="232">
        <v>2684</v>
      </c>
      <c r="AT13" s="232">
        <v>3000</v>
      </c>
      <c r="AU13" s="232">
        <v>5684</v>
      </c>
      <c r="AV13" s="235">
        <v>3884</v>
      </c>
      <c r="AW13" s="235">
        <v>4300</v>
      </c>
      <c r="AX13" s="235">
        <v>8184</v>
      </c>
      <c r="AY13" s="232">
        <v>6700</v>
      </c>
      <c r="AZ13" s="232">
        <v>7200</v>
      </c>
      <c r="BA13" s="237">
        <v>13900</v>
      </c>
      <c r="BB13" s="45">
        <v>517</v>
      </c>
      <c r="BC13" s="230">
        <v>1818</v>
      </c>
      <c r="BD13" s="230">
        <v>2335</v>
      </c>
      <c r="BE13" s="233">
        <v>737</v>
      </c>
      <c r="BF13" s="233">
        <v>2258</v>
      </c>
      <c r="BG13" s="233">
        <v>2995</v>
      </c>
      <c r="BH13" s="230">
        <v>957</v>
      </c>
      <c r="BI13" s="230">
        <v>2698</v>
      </c>
      <c r="BJ13" s="230">
        <v>3655</v>
      </c>
      <c r="BK13" s="233">
        <v>1177</v>
      </c>
      <c r="BL13" s="233">
        <v>3138</v>
      </c>
      <c r="BM13" s="231">
        <v>4315</v>
      </c>
      <c r="BN13" s="41">
        <v>2609</v>
      </c>
      <c r="BO13" s="228">
        <v>3493</v>
      </c>
      <c r="BP13" s="228">
        <v>6102</v>
      </c>
      <c r="BQ13" s="236">
        <v>4050</v>
      </c>
      <c r="BR13" s="236">
        <v>5328</v>
      </c>
      <c r="BS13" s="236">
        <v>9378</v>
      </c>
      <c r="BT13" s="228">
        <v>5557</v>
      </c>
      <c r="BU13" s="228">
        <v>7097</v>
      </c>
      <c r="BV13" s="228">
        <v>12654</v>
      </c>
      <c r="BW13" s="236">
        <v>7130</v>
      </c>
      <c r="BX13" s="236">
        <v>8800</v>
      </c>
      <c r="BY13" s="229">
        <v>15930</v>
      </c>
      <c r="BZ13" s="169">
        <v>5097</v>
      </c>
      <c r="CA13" s="170">
        <v>4827</v>
      </c>
      <c r="CB13" s="170">
        <v>9924</v>
      </c>
      <c r="CC13" s="171">
        <v>8430</v>
      </c>
      <c r="CD13" s="171">
        <v>8626</v>
      </c>
      <c r="CE13" s="171">
        <v>17056</v>
      </c>
      <c r="CF13" s="170">
        <v>10517</v>
      </c>
      <c r="CG13" s="170">
        <v>10891</v>
      </c>
      <c r="CH13" s="170">
        <v>21408</v>
      </c>
      <c r="CI13" s="171">
        <v>12684</v>
      </c>
      <c r="CJ13" s="171">
        <v>13091</v>
      </c>
      <c r="CK13" s="172">
        <v>25775</v>
      </c>
      <c r="CL13" s="41">
        <v>4812</v>
      </c>
      <c r="CM13" s="228">
        <v>4739</v>
      </c>
      <c r="CN13" s="228">
        <v>9551</v>
      </c>
      <c r="CO13" s="236">
        <v>9804</v>
      </c>
      <c r="CP13" s="236">
        <v>9804</v>
      </c>
      <c r="CQ13" s="236">
        <v>19608</v>
      </c>
      <c r="CR13" s="228">
        <v>13836</v>
      </c>
      <c r="CS13" s="228">
        <v>13836</v>
      </c>
      <c r="CT13" s="228">
        <v>27672</v>
      </c>
      <c r="CU13" s="236">
        <v>18364</v>
      </c>
      <c r="CV13" s="236">
        <v>18364</v>
      </c>
      <c r="CW13" s="229">
        <v>36728</v>
      </c>
    </row>
    <row r="14" spans="1:101" s="13" customFormat="1">
      <c r="A14" s="733"/>
      <c r="B14" s="735" t="s">
        <v>15</v>
      </c>
      <c r="C14" s="14" t="s">
        <v>16</v>
      </c>
      <c r="D14" s="638"/>
      <c r="E14" s="639"/>
      <c r="F14" s="640">
        <f t="shared" si="0"/>
        <v>3148</v>
      </c>
      <c r="G14" s="641"/>
      <c r="H14" s="642"/>
      <c r="I14" s="622">
        <f t="shared" si="1"/>
        <v>3548</v>
      </c>
      <c r="J14" s="623"/>
      <c r="K14" s="643"/>
      <c r="L14" s="640">
        <f t="shared" si="2"/>
        <v>3888</v>
      </c>
      <c r="M14" s="641"/>
      <c r="N14" s="642"/>
      <c r="O14" s="622">
        <f t="shared" si="3"/>
        <v>4363</v>
      </c>
      <c r="P14" s="623"/>
      <c r="Q14" s="623"/>
      <c r="R14" s="591">
        <v>162</v>
      </c>
      <c r="S14" s="592"/>
      <c r="T14" s="593"/>
      <c r="U14" s="594">
        <v>165</v>
      </c>
      <c r="V14" s="595"/>
      <c r="W14" s="596"/>
      <c r="X14" s="597">
        <v>180</v>
      </c>
      <c r="Y14" s="592"/>
      <c r="Z14" s="593"/>
      <c r="AA14" s="594">
        <v>190</v>
      </c>
      <c r="AB14" s="595"/>
      <c r="AC14" s="598"/>
      <c r="AD14" s="607">
        <v>567</v>
      </c>
      <c r="AE14" s="615"/>
      <c r="AF14" s="616"/>
      <c r="AG14" s="588">
        <v>641</v>
      </c>
      <c r="AH14" s="589"/>
      <c r="AI14" s="610"/>
      <c r="AJ14" s="611">
        <v>715</v>
      </c>
      <c r="AK14" s="615"/>
      <c r="AL14" s="616"/>
      <c r="AM14" s="588">
        <v>789</v>
      </c>
      <c r="AN14" s="589"/>
      <c r="AO14" s="590"/>
      <c r="AP14" s="617">
        <v>459</v>
      </c>
      <c r="AQ14" s="618"/>
      <c r="AR14" s="619"/>
      <c r="AS14" s="612">
        <v>559</v>
      </c>
      <c r="AT14" s="613"/>
      <c r="AU14" s="620"/>
      <c r="AV14" s="621">
        <v>653</v>
      </c>
      <c r="AW14" s="618"/>
      <c r="AX14" s="619"/>
      <c r="AY14" s="612">
        <v>740</v>
      </c>
      <c r="AZ14" s="613"/>
      <c r="BA14" s="614"/>
      <c r="BB14" s="607">
        <v>118</v>
      </c>
      <c r="BC14" s="615"/>
      <c r="BD14" s="616"/>
      <c r="BE14" s="588">
        <v>151</v>
      </c>
      <c r="BF14" s="589"/>
      <c r="BG14" s="610"/>
      <c r="BH14" s="611">
        <v>184</v>
      </c>
      <c r="BI14" s="615"/>
      <c r="BJ14" s="616"/>
      <c r="BK14" s="588">
        <v>217</v>
      </c>
      <c r="BL14" s="589"/>
      <c r="BM14" s="590"/>
      <c r="BN14" s="591">
        <v>189</v>
      </c>
      <c r="BO14" s="592"/>
      <c r="BP14" s="593"/>
      <c r="BQ14" s="594">
        <v>214</v>
      </c>
      <c r="BR14" s="595"/>
      <c r="BS14" s="596"/>
      <c r="BT14" s="597">
        <v>239</v>
      </c>
      <c r="BU14" s="592"/>
      <c r="BV14" s="593"/>
      <c r="BW14" s="594">
        <v>264</v>
      </c>
      <c r="BX14" s="595"/>
      <c r="BY14" s="598"/>
      <c r="BZ14" s="607">
        <v>1003</v>
      </c>
      <c r="CA14" s="608"/>
      <c r="CB14" s="609"/>
      <c r="CC14" s="588">
        <v>1028</v>
      </c>
      <c r="CD14" s="589"/>
      <c r="CE14" s="610"/>
      <c r="CF14" s="611">
        <v>1043</v>
      </c>
      <c r="CG14" s="608"/>
      <c r="CH14" s="609"/>
      <c r="CI14" s="588">
        <v>1109</v>
      </c>
      <c r="CJ14" s="589"/>
      <c r="CK14" s="590"/>
      <c r="CL14" s="591">
        <v>650</v>
      </c>
      <c r="CM14" s="592"/>
      <c r="CN14" s="593"/>
      <c r="CO14" s="594">
        <v>790</v>
      </c>
      <c r="CP14" s="595"/>
      <c r="CQ14" s="596"/>
      <c r="CR14" s="597">
        <v>874</v>
      </c>
      <c r="CS14" s="592"/>
      <c r="CT14" s="593"/>
      <c r="CU14" s="594">
        <v>1054</v>
      </c>
      <c r="CV14" s="595"/>
      <c r="CW14" s="598"/>
    </row>
    <row r="15" spans="1:101" s="13" customFormat="1">
      <c r="A15" s="733"/>
      <c r="B15" s="702"/>
      <c r="C15" s="14" t="s">
        <v>74</v>
      </c>
      <c r="D15" s="14"/>
      <c r="E15" s="14"/>
      <c r="F15" s="209">
        <f t="shared" si="0"/>
        <v>77960</v>
      </c>
      <c r="G15" s="209">
        <f t="shared" si="0"/>
        <v>81895</v>
      </c>
      <c r="H15" s="209">
        <f t="shared" si="0"/>
        <v>159855</v>
      </c>
      <c r="I15" s="211">
        <f t="shared" si="1"/>
        <v>86976</v>
      </c>
      <c r="J15" s="211">
        <f t="shared" si="1"/>
        <v>91582</v>
      </c>
      <c r="K15" s="211">
        <f t="shared" si="1"/>
        <v>178558</v>
      </c>
      <c r="L15" s="209">
        <f t="shared" si="2"/>
        <v>91165</v>
      </c>
      <c r="M15" s="209">
        <f t="shared" si="2"/>
        <v>97615</v>
      </c>
      <c r="N15" s="209">
        <f t="shared" si="2"/>
        <v>188780</v>
      </c>
      <c r="O15" s="211">
        <f t="shared" si="3"/>
        <v>103610</v>
      </c>
      <c r="P15" s="211">
        <f t="shared" si="3"/>
        <v>106693</v>
      </c>
      <c r="Q15" s="210">
        <f t="shared" si="3"/>
        <v>210333</v>
      </c>
      <c r="R15" s="47">
        <v>4911</v>
      </c>
      <c r="S15" s="212">
        <v>5806</v>
      </c>
      <c r="T15" s="212">
        <v>10717</v>
      </c>
      <c r="U15" s="219">
        <v>5100</v>
      </c>
      <c r="V15" s="219">
        <v>5900</v>
      </c>
      <c r="W15" s="219">
        <v>11000</v>
      </c>
      <c r="X15" s="212">
        <v>5390</v>
      </c>
      <c r="Y15" s="212">
        <v>6270</v>
      </c>
      <c r="Z15" s="212">
        <v>11660</v>
      </c>
      <c r="AA15" s="219">
        <v>5584</v>
      </c>
      <c r="AB15" s="219">
        <v>6516</v>
      </c>
      <c r="AC15" s="220">
        <v>12100</v>
      </c>
      <c r="AD15" s="48">
        <v>13518</v>
      </c>
      <c r="AE15" s="218">
        <v>14260</v>
      </c>
      <c r="AF15" s="218">
        <v>27778</v>
      </c>
      <c r="AG15" s="221">
        <v>14678</v>
      </c>
      <c r="AH15" s="221">
        <v>15468</v>
      </c>
      <c r="AI15" s="221">
        <v>30146</v>
      </c>
      <c r="AJ15" s="218">
        <v>15838</v>
      </c>
      <c r="AK15" s="218">
        <v>16676</v>
      </c>
      <c r="AL15" s="218">
        <v>32514</v>
      </c>
      <c r="AM15" s="221">
        <v>16998</v>
      </c>
      <c r="AN15" s="221">
        <v>17884</v>
      </c>
      <c r="AO15" s="222">
        <v>34882</v>
      </c>
      <c r="AP15" s="98">
        <v>12910</v>
      </c>
      <c r="AQ15" s="216">
        <v>13715</v>
      </c>
      <c r="AR15" s="216">
        <v>26625</v>
      </c>
      <c r="AS15" s="214">
        <v>14895</v>
      </c>
      <c r="AT15" s="214">
        <v>15908</v>
      </c>
      <c r="AU15" s="214">
        <v>30803</v>
      </c>
      <c r="AV15" s="216">
        <v>16795</v>
      </c>
      <c r="AW15" s="216">
        <v>17908</v>
      </c>
      <c r="AX15" s="101">
        <v>34703</v>
      </c>
      <c r="AY15" s="214">
        <v>19500</v>
      </c>
      <c r="AZ15" s="214">
        <v>20600</v>
      </c>
      <c r="BA15" s="217">
        <v>40100</v>
      </c>
      <c r="BB15" s="48">
        <v>2787</v>
      </c>
      <c r="BC15" s="218">
        <v>3462</v>
      </c>
      <c r="BD15" s="218">
        <v>6249</v>
      </c>
      <c r="BE15" s="221">
        <v>2952</v>
      </c>
      <c r="BF15" s="221">
        <v>3792</v>
      </c>
      <c r="BG15" s="221">
        <v>6744</v>
      </c>
      <c r="BH15" s="218">
        <v>3117</v>
      </c>
      <c r="BI15" s="218">
        <v>4122</v>
      </c>
      <c r="BJ15" s="218">
        <v>7239</v>
      </c>
      <c r="BK15" s="221">
        <v>3282</v>
      </c>
      <c r="BL15" s="221">
        <v>4452</v>
      </c>
      <c r="BM15" s="222">
        <v>7734</v>
      </c>
      <c r="BN15" s="47">
        <v>4367</v>
      </c>
      <c r="BO15" s="212">
        <v>6019</v>
      </c>
      <c r="BP15" s="212">
        <v>10386</v>
      </c>
      <c r="BQ15" s="219">
        <v>4978</v>
      </c>
      <c r="BR15" s="219">
        <v>6922</v>
      </c>
      <c r="BS15" s="219">
        <v>11900</v>
      </c>
      <c r="BT15" s="212">
        <v>5675</v>
      </c>
      <c r="BU15" s="212">
        <v>7960</v>
      </c>
      <c r="BV15" s="212">
        <v>13635</v>
      </c>
      <c r="BW15" s="219">
        <v>6470</v>
      </c>
      <c r="BX15" s="219">
        <v>9154</v>
      </c>
      <c r="BY15" s="220">
        <v>15624</v>
      </c>
      <c r="BZ15" s="173">
        <v>25828</v>
      </c>
      <c r="CA15" s="174">
        <v>24719</v>
      </c>
      <c r="CB15" s="174">
        <v>50547</v>
      </c>
      <c r="CC15" s="175">
        <v>25413</v>
      </c>
      <c r="CD15" s="175">
        <v>24632</v>
      </c>
      <c r="CE15" s="175">
        <v>50045</v>
      </c>
      <c r="CF15" s="174">
        <v>24718</v>
      </c>
      <c r="CG15" s="174">
        <v>25047</v>
      </c>
      <c r="CH15" s="174">
        <v>49765</v>
      </c>
      <c r="CI15" s="175">
        <v>30719</v>
      </c>
      <c r="CJ15" s="175">
        <v>27030</v>
      </c>
      <c r="CK15" s="176">
        <v>57749</v>
      </c>
      <c r="CL15" s="47">
        <v>13639</v>
      </c>
      <c r="CM15" s="212">
        <v>13914</v>
      </c>
      <c r="CN15" s="212">
        <v>27553</v>
      </c>
      <c r="CO15" s="219">
        <v>18960</v>
      </c>
      <c r="CP15" s="219">
        <v>18960</v>
      </c>
      <c r="CQ15" s="219">
        <v>37920</v>
      </c>
      <c r="CR15" s="212">
        <v>19632</v>
      </c>
      <c r="CS15" s="212">
        <v>19632</v>
      </c>
      <c r="CT15" s="212">
        <v>39264</v>
      </c>
      <c r="CU15" s="219">
        <v>21057</v>
      </c>
      <c r="CV15" s="219">
        <v>21057</v>
      </c>
      <c r="CW15" s="220">
        <v>42144</v>
      </c>
    </row>
    <row r="16" spans="1:101" s="13" customFormat="1" ht="16.5" thickBot="1">
      <c r="A16" s="734"/>
      <c r="B16" s="703"/>
      <c r="C16" s="25" t="s">
        <v>75</v>
      </c>
      <c r="D16" s="26"/>
      <c r="E16" s="26"/>
      <c r="F16" s="49">
        <f t="shared" si="0"/>
        <v>36717</v>
      </c>
      <c r="G16" s="50">
        <f t="shared" si="0"/>
        <v>40516</v>
      </c>
      <c r="H16" s="50">
        <f t="shared" si="0"/>
        <v>77233</v>
      </c>
      <c r="I16" s="51">
        <f t="shared" si="1"/>
        <v>42918.32</v>
      </c>
      <c r="J16" s="51">
        <f t="shared" si="1"/>
        <v>47204.04</v>
      </c>
      <c r="K16" s="51">
        <f t="shared" si="1"/>
        <v>90122.36</v>
      </c>
      <c r="L16" s="50">
        <f t="shared" si="2"/>
        <v>46194.25</v>
      </c>
      <c r="M16" s="50">
        <f t="shared" si="2"/>
        <v>50168.17</v>
      </c>
      <c r="N16" s="50">
        <f t="shared" si="2"/>
        <v>96362.42</v>
      </c>
      <c r="O16" s="51">
        <f t="shared" si="3"/>
        <v>54508</v>
      </c>
      <c r="P16" s="51">
        <f t="shared" si="3"/>
        <v>59633</v>
      </c>
      <c r="Q16" s="52">
        <f t="shared" si="3"/>
        <v>114141</v>
      </c>
      <c r="R16" s="53">
        <v>3936</v>
      </c>
      <c r="S16" s="54">
        <v>5096</v>
      </c>
      <c r="T16" s="54">
        <v>9032</v>
      </c>
      <c r="U16" s="55">
        <v>2805</v>
      </c>
      <c r="V16" s="55">
        <v>3597</v>
      </c>
      <c r="W16" s="55">
        <v>6402</v>
      </c>
      <c r="X16" s="54">
        <v>2900</v>
      </c>
      <c r="Y16" s="54">
        <v>3780</v>
      </c>
      <c r="Z16" s="54">
        <v>6680</v>
      </c>
      <c r="AA16" s="55">
        <v>3700</v>
      </c>
      <c r="AB16" s="55">
        <v>4600</v>
      </c>
      <c r="AC16" s="56">
        <v>8300</v>
      </c>
      <c r="AD16" s="57">
        <v>5274</v>
      </c>
      <c r="AE16" s="58">
        <v>5773</v>
      </c>
      <c r="AF16" s="58">
        <v>11047</v>
      </c>
      <c r="AG16" s="59">
        <v>6217</v>
      </c>
      <c r="AH16" s="59">
        <v>6754</v>
      </c>
      <c r="AI16" s="59">
        <v>12971</v>
      </c>
      <c r="AJ16" s="58">
        <v>7160</v>
      </c>
      <c r="AK16" s="58">
        <v>7735</v>
      </c>
      <c r="AL16" s="58">
        <v>14895</v>
      </c>
      <c r="AM16" s="59">
        <v>8103</v>
      </c>
      <c r="AN16" s="59">
        <v>8716</v>
      </c>
      <c r="AO16" s="60">
        <v>16819</v>
      </c>
      <c r="AP16" s="103">
        <v>3282</v>
      </c>
      <c r="AQ16" s="104">
        <v>3741</v>
      </c>
      <c r="AR16" s="104">
        <v>7023</v>
      </c>
      <c r="AS16" s="105">
        <v>5000</v>
      </c>
      <c r="AT16" s="105">
        <v>6400</v>
      </c>
      <c r="AU16" s="105">
        <v>11400</v>
      </c>
      <c r="AV16" s="104">
        <v>5800</v>
      </c>
      <c r="AW16" s="104">
        <v>7000</v>
      </c>
      <c r="AX16" s="106">
        <v>12800</v>
      </c>
      <c r="AY16" s="105">
        <v>5900</v>
      </c>
      <c r="AZ16" s="105">
        <v>7900</v>
      </c>
      <c r="BA16" s="107">
        <v>13800</v>
      </c>
      <c r="BB16" s="57">
        <v>1994</v>
      </c>
      <c r="BC16" s="58">
        <v>2623</v>
      </c>
      <c r="BD16" s="58">
        <v>4617</v>
      </c>
      <c r="BE16" s="59">
        <v>3383</v>
      </c>
      <c r="BF16" s="59">
        <v>4022</v>
      </c>
      <c r="BG16" s="59">
        <v>7405</v>
      </c>
      <c r="BH16" s="58">
        <v>3537</v>
      </c>
      <c r="BI16" s="58">
        <v>4321</v>
      </c>
      <c r="BJ16" s="58">
        <v>7858</v>
      </c>
      <c r="BK16" s="59">
        <v>3867</v>
      </c>
      <c r="BL16" s="59">
        <v>4651</v>
      </c>
      <c r="BM16" s="60">
        <v>8518</v>
      </c>
      <c r="BN16" s="53">
        <v>3304</v>
      </c>
      <c r="BO16" s="54">
        <v>4268</v>
      </c>
      <c r="BP16" s="212">
        <v>7572</v>
      </c>
      <c r="BQ16" s="55">
        <v>3354</v>
      </c>
      <c r="BR16" s="55">
        <v>4141</v>
      </c>
      <c r="BS16" s="55">
        <v>7495</v>
      </c>
      <c r="BT16" s="54">
        <v>3377</v>
      </c>
      <c r="BU16" s="54">
        <v>4045</v>
      </c>
      <c r="BV16" s="54">
        <v>7422</v>
      </c>
      <c r="BW16" s="55">
        <v>3349</v>
      </c>
      <c r="BX16" s="55">
        <v>3979</v>
      </c>
      <c r="BY16" s="56">
        <v>7328</v>
      </c>
      <c r="BZ16" s="177">
        <v>11225</v>
      </c>
      <c r="CA16" s="178">
        <v>11172</v>
      </c>
      <c r="CB16" s="178">
        <v>22397</v>
      </c>
      <c r="CC16" s="179">
        <v>12459.32</v>
      </c>
      <c r="CD16" s="179">
        <v>12590.04</v>
      </c>
      <c r="CE16" s="179">
        <v>25049.360000000001</v>
      </c>
      <c r="CF16" s="178">
        <v>12313.25</v>
      </c>
      <c r="CG16" s="178">
        <v>12180.17</v>
      </c>
      <c r="CH16" s="178">
        <v>24493.42</v>
      </c>
      <c r="CI16" s="179">
        <v>14287</v>
      </c>
      <c r="CJ16" s="179">
        <v>14485</v>
      </c>
      <c r="CK16" s="180">
        <v>28772</v>
      </c>
      <c r="CL16" s="53">
        <v>7702</v>
      </c>
      <c r="CM16" s="54">
        <v>7843</v>
      </c>
      <c r="CN16" s="212">
        <v>15545</v>
      </c>
      <c r="CO16" s="55">
        <v>9700</v>
      </c>
      <c r="CP16" s="55">
        <v>9700</v>
      </c>
      <c r="CQ16" s="55">
        <v>19400</v>
      </c>
      <c r="CR16" s="54">
        <v>11107</v>
      </c>
      <c r="CS16" s="54">
        <v>11107</v>
      </c>
      <c r="CT16" s="54">
        <v>22214</v>
      </c>
      <c r="CU16" s="55">
        <v>15302</v>
      </c>
      <c r="CV16" s="55">
        <v>15302</v>
      </c>
      <c r="CW16" s="56">
        <v>30604</v>
      </c>
    </row>
    <row r="17" spans="1:101" s="13" customFormat="1">
      <c r="A17" s="732" t="s">
        <v>19</v>
      </c>
      <c r="B17" s="735" t="s">
        <v>20</v>
      </c>
      <c r="C17" s="27" t="s">
        <v>21</v>
      </c>
      <c r="D17" s="196"/>
      <c r="E17" s="196"/>
      <c r="F17" s="197">
        <f t="shared" si="0"/>
        <v>131</v>
      </c>
      <c r="G17" s="197">
        <f t="shared" si="0"/>
        <v>122</v>
      </c>
      <c r="H17" s="197">
        <f t="shared" si="0"/>
        <v>253</v>
      </c>
      <c r="I17" s="199">
        <f t="shared" si="1"/>
        <v>246</v>
      </c>
      <c r="J17" s="199">
        <f t="shared" si="1"/>
        <v>262</v>
      </c>
      <c r="K17" s="199">
        <f t="shared" si="1"/>
        <v>508</v>
      </c>
      <c r="L17" s="197">
        <f t="shared" si="2"/>
        <v>386</v>
      </c>
      <c r="M17" s="197">
        <f t="shared" si="2"/>
        <v>400</v>
      </c>
      <c r="N17" s="197">
        <f t="shared" si="2"/>
        <v>786</v>
      </c>
      <c r="O17" s="199">
        <f t="shared" si="3"/>
        <v>508</v>
      </c>
      <c r="P17" s="199">
        <f t="shared" si="3"/>
        <v>545</v>
      </c>
      <c r="Q17" s="198">
        <f t="shared" si="3"/>
        <v>1053</v>
      </c>
      <c r="R17" s="64">
        <v>4</v>
      </c>
      <c r="S17" s="204">
        <v>2</v>
      </c>
      <c r="T17" s="204">
        <v>6</v>
      </c>
      <c r="U17" s="205">
        <v>6</v>
      </c>
      <c r="V17" s="205">
        <v>9</v>
      </c>
      <c r="W17" s="205">
        <v>15</v>
      </c>
      <c r="X17" s="204">
        <v>15</v>
      </c>
      <c r="Y17" s="204">
        <v>20</v>
      </c>
      <c r="Z17" s="204">
        <v>35</v>
      </c>
      <c r="AA17" s="205">
        <v>25</v>
      </c>
      <c r="AB17" s="205">
        <v>35</v>
      </c>
      <c r="AC17" s="206">
        <v>60</v>
      </c>
      <c r="AD17" s="68">
        <v>31</v>
      </c>
      <c r="AE17" s="207">
        <v>36</v>
      </c>
      <c r="AF17" s="207">
        <v>67</v>
      </c>
      <c r="AG17" s="208">
        <v>61</v>
      </c>
      <c r="AH17" s="208">
        <v>66</v>
      </c>
      <c r="AI17" s="208">
        <v>127</v>
      </c>
      <c r="AJ17" s="207">
        <v>70</v>
      </c>
      <c r="AK17" s="207">
        <v>73</v>
      </c>
      <c r="AL17" s="207">
        <v>143</v>
      </c>
      <c r="AM17" s="208">
        <v>73</v>
      </c>
      <c r="AN17" s="208">
        <v>77</v>
      </c>
      <c r="AO17" s="200">
        <v>150</v>
      </c>
      <c r="AP17" s="202">
        <v>0</v>
      </c>
      <c r="AQ17" s="201">
        <v>0</v>
      </c>
      <c r="AR17" s="109">
        <v>0</v>
      </c>
      <c r="AS17" s="203">
        <v>10</v>
      </c>
      <c r="AT17" s="203">
        <v>26</v>
      </c>
      <c r="AU17" s="203">
        <v>36</v>
      </c>
      <c r="AV17" s="202">
        <v>41</v>
      </c>
      <c r="AW17" s="201">
        <v>51</v>
      </c>
      <c r="AX17" s="109">
        <v>92</v>
      </c>
      <c r="AY17" s="203">
        <v>65</v>
      </c>
      <c r="AZ17" s="203">
        <v>88</v>
      </c>
      <c r="BA17" s="213">
        <v>153</v>
      </c>
      <c r="BB17" s="68">
        <v>0</v>
      </c>
      <c r="BC17" s="207">
        <v>0</v>
      </c>
      <c r="BD17" s="207">
        <v>0</v>
      </c>
      <c r="BE17" s="208">
        <v>0</v>
      </c>
      <c r="BF17" s="208">
        <v>0</v>
      </c>
      <c r="BG17" s="208">
        <v>0</v>
      </c>
      <c r="BH17" s="207">
        <v>0</v>
      </c>
      <c r="BI17" s="207">
        <v>0</v>
      </c>
      <c r="BJ17" s="207">
        <v>0</v>
      </c>
      <c r="BK17" s="208">
        <v>0</v>
      </c>
      <c r="BL17" s="208">
        <v>0</v>
      </c>
      <c r="BM17" s="208">
        <v>0</v>
      </c>
      <c r="BN17" s="64">
        <v>7</v>
      </c>
      <c r="BO17" s="204">
        <v>4</v>
      </c>
      <c r="BP17" s="204">
        <v>11</v>
      </c>
      <c r="BQ17" s="205">
        <v>37</v>
      </c>
      <c r="BR17" s="205">
        <v>34</v>
      </c>
      <c r="BS17" s="205">
        <v>71</v>
      </c>
      <c r="BT17" s="204">
        <v>67</v>
      </c>
      <c r="BU17" s="204">
        <v>64</v>
      </c>
      <c r="BV17" s="204">
        <v>131</v>
      </c>
      <c r="BW17" s="205">
        <v>98</v>
      </c>
      <c r="BX17" s="205">
        <v>97</v>
      </c>
      <c r="BY17" s="206">
        <v>195</v>
      </c>
      <c r="BZ17" s="181">
        <v>41</v>
      </c>
      <c r="CA17" s="182">
        <v>35</v>
      </c>
      <c r="CB17" s="182">
        <v>76</v>
      </c>
      <c r="CC17" s="183">
        <v>72</v>
      </c>
      <c r="CD17" s="183">
        <v>67</v>
      </c>
      <c r="CE17" s="183">
        <v>139</v>
      </c>
      <c r="CF17" s="182">
        <v>113</v>
      </c>
      <c r="CG17" s="182">
        <v>112</v>
      </c>
      <c r="CH17" s="182">
        <v>225</v>
      </c>
      <c r="CI17" s="183">
        <v>154</v>
      </c>
      <c r="CJ17" s="183">
        <v>151</v>
      </c>
      <c r="CK17" s="184">
        <v>305</v>
      </c>
      <c r="CL17" s="64">
        <v>48</v>
      </c>
      <c r="CM17" s="204">
        <v>45</v>
      </c>
      <c r="CN17" s="204">
        <v>93</v>
      </c>
      <c r="CO17" s="205">
        <v>60</v>
      </c>
      <c r="CP17" s="205">
        <v>60</v>
      </c>
      <c r="CQ17" s="205">
        <v>120</v>
      </c>
      <c r="CR17" s="204">
        <v>80</v>
      </c>
      <c r="CS17" s="204">
        <v>80</v>
      </c>
      <c r="CT17" s="204">
        <v>160</v>
      </c>
      <c r="CU17" s="205">
        <v>93</v>
      </c>
      <c r="CV17" s="205">
        <v>97</v>
      </c>
      <c r="CW17" s="206">
        <v>190</v>
      </c>
    </row>
    <row r="18" spans="1:101" s="13" customFormat="1">
      <c r="A18" s="733"/>
      <c r="B18" s="702"/>
      <c r="C18" s="28" t="s">
        <v>22</v>
      </c>
      <c r="D18" s="14"/>
      <c r="E18" s="14"/>
      <c r="F18" s="209">
        <f t="shared" si="0"/>
        <v>309</v>
      </c>
      <c r="G18" s="209">
        <f t="shared" si="0"/>
        <v>332</v>
      </c>
      <c r="H18" s="209">
        <f t="shared" si="0"/>
        <v>641</v>
      </c>
      <c r="I18" s="211">
        <f t="shared" si="1"/>
        <v>471</v>
      </c>
      <c r="J18" s="211">
        <f t="shared" si="1"/>
        <v>522</v>
      </c>
      <c r="K18" s="211">
        <f t="shared" si="1"/>
        <v>993</v>
      </c>
      <c r="L18" s="209">
        <f t="shared" si="2"/>
        <v>477</v>
      </c>
      <c r="M18" s="209">
        <f t="shared" si="2"/>
        <v>557</v>
      </c>
      <c r="N18" s="209">
        <f t="shared" si="2"/>
        <v>1014</v>
      </c>
      <c r="O18" s="211">
        <f t="shared" si="3"/>
        <v>578</v>
      </c>
      <c r="P18" s="211">
        <f t="shared" si="3"/>
        <v>653</v>
      </c>
      <c r="Q18" s="210">
        <f t="shared" si="3"/>
        <v>1231</v>
      </c>
      <c r="R18" s="47">
        <v>6</v>
      </c>
      <c r="S18" s="212">
        <v>12</v>
      </c>
      <c r="T18" s="212">
        <v>18</v>
      </c>
      <c r="U18" s="219">
        <v>17</v>
      </c>
      <c r="V18" s="219">
        <v>23</v>
      </c>
      <c r="W18" s="219">
        <v>40</v>
      </c>
      <c r="X18" s="212">
        <v>19</v>
      </c>
      <c r="Y18" s="212">
        <v>21</v>
      </c>
      <c r="Z18" s="212">
        <v>40</v>
      </c>
      <c r="AA18" s="219">
        <v>17</v>
      </c>
      <c r="AB18" s="219">
        <v>18</v>
      </c>
      <c r="AC18" s="220">
        <v>35</v>
      </c>
      <c r="AD18" s="48">
        <v>18</v>
      </c>
      <c r="AE18" s="218">
        <v>18</v>
      </c>
      <c r="AF18" s="218">
        <v>36</v>
      </c>
      <c r="AG18" s="221">
        <v>38</v>
      </c>
      <c r="AH18" s="221">
        <v>46</v>
      </c>
      <c r="AI18" s="221">
        <v>84</v>
      </c>
      <c r="AJ18" s="218">
        <v>42</v>
      </c>
      <c r="AK18" s="218">
        <v>53</v>
      </c>
      <c r="AL18" s="218">
        <v>95</v>
      </c>
      <c r="AM18" s="221">
        <v>45</v>
      </c>
      <c r="AN18" s="221">
        <v>70</v>
      </c>
      <c r="AO18" s="222">
        <v>115</v>
      </c>
      <c r="AP18" s="216">
        <v>42</v>
      </c>
      <c r="AQ18" s="215">
        <v>50</v>
      </c>
      <c r="AR18" s="112">
        <v>92</v>
      </c>
      <c r="AS18" s="214">
        <v>109</v>
      </c>
      <c r="AT18" s="214">
        <v>142</v>
      </c>
      <c r="AU18" s="214">
        <v>251</v>
      </c>
      <c r="AV18" s="187">
        <v>108</v>
      </c>
      <c r="AW18" s="188">
        <v>172</v>
      </c>
      <c r="AX18" s="112">
        <v>260</v>
      </c>
      <c r="AY18" s="214">
        <v>230</v>
      </c>
      <c r="AZ18" s="214">
        <v>260</v>
      </c>
      <c r="BA18" s="217">
        <v>490</v>
      </c>
      <c r="BB18" s="48">
        <v>36</v>
      </c>
      <c r="BC18" s="218">
        <v>38</v>
      </c>
      <c r="BD18" s="218">
        <v>74</v>
      </c>
      <c r="BE18" s="221">
        <v>34</v>
      </c>
      <c r="BF18" s="221">
        <v>36</v>
      </c>
      <c r="BG18" s="221">
        <v>70</v>
      </c>
      <c r="BH18" s="218">
        <v>34</v>
      </c>
      <c r="BI18" s="218">
        <v>34</v>
      </c>
      <c r="BJ18" s="218">
        <v>68</v>
      </c>
      <c r="BK18" s="221">
        <v>37</v>
      </c>
      <c r="BL18" s="221">
        <v>35</v>
      </c>
      <c r="BM18" s="221">
        <v>72</v>
      </c>
      <c r="BN18" s="47">
        <v>36</v>
      </c>
      <c r="BO18" s="212">
        <v>34</v>
      </c>
      <c r="BP18" s="212">
        <v>70</v>
      </c>
      <c r="BQ18" s="219">
        <v>29</v>
      </c>
      <c r="BR18" s="219">
        <v>29</v>
      </c>
      <c r="BS18" s="219">
        <v>58</v>
      </c>
      <c r="BT18" s="212">
        <v>21</v>
      </c>
      <c r="BU18" s="212">
        <v>23</v>
      </c>
      <c r="BV18" s="212">
        <v>44</v>
      </c>
      <c r="BW18" s="219">
        <v>14</v>
      </c>
      <c r="BX18" s="219">
        <v>16</v>
      </c>
      <c r="BY18" s="220">
        <v>30</v>
      </c>
      <c r="BZ18" s="173">
        <v>28</v>
      </c>
      <c r="CA18" s="174">
        <v>31</v>
      </c>
      <c r="CB18" s="174">
        <v>59</v>
      </c>
      <c r="CC18" s="175">
        <v>83</v>
      </c>
      <c r="CD18" s="175">
        <v>85</v>
      </c>
      <c r="CE18" s="175">
        <v>168</v>
      </c>
      <c r="CF18" s="174">
        <v>73</v>
      </c>
      <c r="CG18" s="174">
        <v>74</v>
      </c>
      <c r="CH18" s="174">
        <v>147</v>
      </c>
      <c r="CI18" s="175">
        <v>68</v>
      </c>
      <c r="CJ18" s="175">
        <v>79</v>
      </c>
      <c r="CK18" s="176">
        <v>147</v>
      </c>
      <c r="CL18" s="47">
        <v>143</v>
      </c>
      <c r="CM18" s="212">
        <v>149</v>
      </c>
      <c r="CN18" s="212">
        <v>292</v>
      </c>
      <c r="CO18" s="219">
        <v>161</v>
      </c>
      <c r="CP18" s="219">
        <v>161</v>
      </c>
      <c r="CQ18" s="219">
        <v>322</v>
      </c>
      <c r="CR18" s="212">
        <v>180</v>
      </c>
      <c r="CS18" s="212">
        <v>180</v>
      </c>
      <c r="CT18" s="212">
        <v>360</v>
      </c>
      <c r="CU18" s="219">
        <v>167</v>
      </c>
      <c r="CV18" s="219">
        <v>175</v>
      </c>
      <c r="CW18" s="220">
        <v>342</v>
      </c>
    </row>
    <row r="19" spans="1:101" s="13" customFormat="1">
      <c r="A19" s="733"/>
      <c r="B19" s="702"/>
      <c r="C19" s="28" t="s">
        <v>23</v>
      </c>
      <c r="D19" s="14"/>
      <c r="E19" s="14"/>
      <c r="F19" s="209">
        <f t="shared" si="0"/>
        <v>411</v>
      </c>
      <c r="G19" s="209">
        <f t="shared" si="0"/>
        <v>509</v>
      </c>
      <c r="H19" s="209">
        <f t="shared" si="0"/>
        <v>920</v>
      </c>
      <c r="I19" s="211">
        <f t="shared" si="1"/>
        <v>499</v>
      </c>
      <c r="J19" s="211">
        <f t="shared" si="1"/>
        <v>506</v>
      </c>
      <c r="K19" s="211">
        <f t="shared" si="1"/>
        <v>1005</v>
      </c>
      <c r="L19" s="209">
        <f t="shared" si="2"/>
        <v>465</v>
      </c>
      <c r="M19" s="209">
        <f t="shared" si="2"/>
        <v>494</v>
      </c>
      <c r="N19" s="209">
        <f t="shared" si="2"/>
        <v>979</v>
      </c>
      <c r="O19" s="211">
        <f t="shared" si="3"/>
        <v>410</v>
      </c>
      <c r="P19" s="211">
        <f t="shared" si="3"/>
        <v>421</v>
      </c>
      <c r="Q19" s="210">
        <f t="shared" si="3"/>
        <v>819</v>
      </c>
      <c r="R19" s="47">
        <v>1</v>
      </c>
      <c r="S19" s="212">
        <v>3</v>
      </c>
      <c r="T19" s="212">
        <v>4</v>
      </c>
      <c r="U19" s="219">
        <v>15</v>
      </c>
      <c r="V19" s="219">
        <v>18</v>
      </c>
      <c r="W19" s="219">
        <v>33</v>
      </c>
      <c r="X19" s="212">
        <v>20</v>
      </c>
      <c r="Y19" s="212">
        <v>20</v>
      </c>
      <c r="Z19" s="212">
        <v>40</v>
      </c>
      <c r="AA19" s="219">
        <v>22</v>
      </c>
      <c r="AB19" s="219">
        <v>23</v>
      </c>
      <c r="AC19" s="220">
        <v>45</v>
      </c>
      <c r="AD19" s="48">
        <v>20</v>
      </c>
      <c r="AE19" s="218">
        <v>28</v>
      </c>
      <c r="AF19" s="218">
        <v>48</v>
      </c>
      <c r="AG19" s="221">
        <v>43</v>
      </c>
      <c r="AH19" s="221">
        <v>44</v>
      </c>
      <c r="AI19" s="221">
        <v>87</v>
      </c>
      <c r="AJ19" s="218">
        <v>50</v>
      </c>
      <c r="AK19" s="218">
        <v>68</v>
      </c>
      <c r="AL19" s="218">
        <v>118</v>
      </c>
      <c r="AM19" s="221">
        <v>55</v>
      </c>
      <c r="AN19" s="221">
        <v>62</v>
      </c>
      <c r="AO19" s="222">
        <v>117</v>
      </c>
      <c r="AP19" s="216">
        <v>102</v>
      </c>
      <c r="AQ19" s="215">
        <v>166</v>
      </c>
      <c r="AR19" s="112">
        <v>268</v>
      </c>
      <c r="AS19" s="214">
        <v>178</v>
      </c>
      <c r="AT19" s="214">
        <v>171</v>
      </c>
      <c r="AU19" s="214">
        <v>349</v>
      </c>
      <c r="AV19" s="187">
        <v>163</v>
      </c>
      <c r="AW19" s="188">
        <v>161</v>
      </c>
      <c r="AX19" s="112">
        <v>344</v>
      </c>
      <c r="AY19" s="214">
        <v>112</v>
      </c>
      <c r="AZ19" s="214">
        <v>111</v>
      </c>
      <c r="BA19" s="217">
        <v>211</v>
      </c>
      <c r="BB19" s="48">
        <v>22</v>
      </c>
      <c r="BC19" s="218">
        <v>23</v>
      </c>
      <c r="BD19" s="218">
        <v>45</v>
      </c>
      <c r="BE19" s="221">
        <v>23</v>
      </c>
      <c r="BF19" s="221">
        <v>26</v>
      </c>
      <c r="BG19" s="221">
        <v>49</v>
      </c>
      <c r="BH19" s="218">
        <v>21</v>
      </c>
      <c r="BI19" s="218">
        <v>28</v>
      </c>
      <c r="BJ19" s="218">
        <v>49</v>
      </c>
      <c r="BK19" s="221">
        <v>25</v>
      </c>
      <c r="BL19" s="221">
        <v>22</v>
      </c>
      <c r="BM19" s="221">
        <v>47</v>
      </c>
      <c r="BN19" s="47">
        <v>50</v>
      </c>
      <c r="BO19" s="212">
        <v>64</v>
      </c>
      <c r="BP19" s="212">
        <v>114</v>
      </c>
      <c r="BQ19" s="219">
        <v>42</v>
      </c>
      <c r="BR19" s="219">
        <v>53</v>
      </c>
      <c r="BS19" s="219">
        <v>95</v>
      </c>
      <c r="BT19" s="212">
        <v>35</v>
      </c>
      <c r="BU19" s="212">
        <v>42</v>
      </c>
      <c r="BV19" s="212">
        <v>77</v>
      </c>
      <c r="BW19" s="219">
        <v>28</v>
      </c>
      <c r="BX19" s="219">
        <v>30</v>
      </c>
      <c r="BY19" s="220">
        <v>58</v>
      </c>
      <c r="BZ19" s="173">
        <v>71</v>
      </c>
      <c r="CA19" s="174">
        <v>68</v>
      </c>
      <c r="CB19" s="174">
        <v>139</v>
      </c>
      <c r="CC19" s="175">
        <v>60</v>
      </c>
      <c r="CD19" s="175">
        <v>56</v>
      </c>
      <c r="CE19" s="175">
        <v>116</v>
      </c>
      <c r="CF19" s="174">
        <v>53</v>
      </c>
      <c r="CG19" s="174">
        <v>52</v>
      </c>
      <c r="CH19" s="174">
        <v>105</v>
      </c>
      <c r="CI19" s="175">
        <v>33</v>
      </c>
      <c r="CJ19" s="175">
        <v>39</v>
      </c>
      <c r="CK19" s="176">
        <v>72</v>
      </c>
      <c r="CL19" s="47">
        <v>145</v>
      </c>
      <c r="CM19" s="212">
        <v>157</v>
      </c>
      <c r="CN19" s="212">
        <v>302</v>
      </c>
      <c r="CO19" s="219">
        <v>138</v>
      </c>
      <c r="CP19" s="219">
        <v>138</v>
      </c>
      <c r="CQ19" s="219">
        <v>276</v>
      </c>
      <c r="CR19" s="212">
        <v>123</v>
      </c>
      <c r="CS19" s="212">
        <v>123</v>
      </c>
      <c r="CT19" s="212">
        <v>246</v>
      </c>
      <c r="CU19" s="219">
        <v>135</v>
      </c>
      <c r="CV19" s="219">
        <v>134</v>
      </c>
      <c r="CW19" s="220">
        <v>269</v>
      </c>
    </row>
    <row r="20" spans="1:101" s="13" customFormat="1">
      <c r="A20" s="733"/>
      <c r="B20" s="702"/>
      <c r="C20" s="28" t="s">
        <v>24</v>
      </c>
      <c r="D20" s="14"/>
      <c r="E20" s="14"/>
      <c r="F20" s="209">
        <f t="shared" si="0"/>
        <v>708</v>
      </c>
      <c r="G20" s="209">
        <f t="shared" si="0"/>
        <v>803</v>
      </c>
      <c r="H20" s="209">
        <f t="shared" si="0"/>
        <v>1511</v>
      </c>
      <c r="I20" s="211">
        <f t="shared" si="1"/>
        <v>420</v>
      </c>
      <c r="J20" s="211">
        <f t="shared" si="1"/>
        <v>485</v>
      </c>
      <c r="K20" s="211">
        <f t="shared" si="1"/>
        <v>905</v>
      </c>
      <c r="L20" s="209">
        <f t="shared" si="2"/>
        <v>345</v>
      </c>
      <c r="M20" s="209">
        <f t="shared" si="2"/>
        <v>368</v>
      </c>
      <c r="N20" s="209">
        <f t="shared" si="2"/>
        <v>713</v>
      </c>
      <c r="O20" s="211">
        <f t="shared" si="3"/>
        <v>197</v>
      </c>
      <c r="P20" s="211">
        <f t="shared" si="3"/>
        <v>231</v>
      </c>
      <c r="Q20" s="210">
        <f t="shared" si="3"/>
        <v>440</v>
      </c>
      <c r="R20" s="47">
        <v>52</v>
      </c>
      <c r="S20" s="212">
        <v>59</v>
      </c>
      <c r="T20" s="212">
        <v>111</v>
      </c>
      <c r="U20" s="219">
        <v>25</v>
      </c>
      <c r="V20" s="219">
        <v>22</v>
      </c>
      <c r="W20" s="219">
        <v>47</v>
      </c>
      <c r="X20" s="212">
        <v>23</v>
      </c>
      <c r="Y20" s="212">
        <v>17</v>
      </c>
      <c r="Z20" s="212">
        <v>40</v>
      </c>
      <c r="AA20" s="219">
        <v>12</v>
      </c>
      <c r="AB20" s="219">
        <v>10</v>
      </c>
      <c r="AC20" s="220">
        <v>22</v>
      </c>
      <c r="AD20" s="48">
        <v>143</v>
      </c>
      <c r="AE20" s="218">
        <v>184</v>
      </c>
      <c r="AF20" s="218">
        <v>327</v>
      </c>
      <c r="AG20" s="221">
        <v>78</v>
      </c>
      <c r="AH20" s="221">
        <v>116</v>
      </c>
      <c r="AI20" s="221">
        <v>194</v>
      </c>
      <c r="AJ20" s="218">
        <v>60</v>
      </c>
      <c r="AK20" s="218">
        <v>78</v>
      </c>
      <c r="AL20" s="218">
        <v>138</v>
      </c>
      <c r="AM20" s="221">
        <v>51</v>
      </c>
      <c r="AN20" s="221">
        <v>64</v>
      </c>
      <c r="AO20" s="222">
        <v>115</v>
      </c>
      <c r="AP20" s="216">
        <v>286</v>
      </c>
      <c r="AQ20" s="215">
        <v>290</v>
      </c>
      <c r="AR20" s="112">
        <v>576</v>
      </c>
      <c r="AS20" s="214">
        <v>152</v>
      </c>
      <c r="AT20" s="214">
        <v>173</v>
      </c>
      <c r="AU20" s="214">
        <v>325</v>
      </c>
      <c r="AV20" s="187">
        <v>148</v>
      </c>
      <c r="AW20" s="188">
        <v>148</v>
      </c>
      <c r="AX20" s="112">
        <v>296</v>
      </c>
      <c r="AY20" s="214">
        <v>63</v>
      </c>
      <c r="AZ20" s="214">
        <v>83</v>
      </c>
      <c r="BA20" s="217">
        <v>158</v>
      </c>
      <c r="BB20" s="48">
        <v>1</v>
      </c>
      <c r="BC20" s="218">
        <v>2</v>
      </c>
      <c r="BD20" s="218">
        <v>3</v>
      </c>
      <c r="BE20" s="221">
        <v>2</v>
      </c>
      <c r="BF20" s="221">
        <v>2</v>
      </c>
      <c r="BG20" s="221">
        <v>4</v>
      </c>
      <c r="BH20" s="218">
        <v>1</v>
      </c>
      <c r="BI20" s="218">
        <v>3</v>
      </c>
      <c r="BJ20" s="218">
        <v>4</v>
      </c>
      <c r="BK20" s="221">
        <v>3</v>
      </c>
      <c r="BL20" s="221">
        <v>2</v>
      </c>
      <c r="BM20" s="221">
        <v>5</v>
      </c>
      <c r="BN20" s="47">
        <v>42</v>
      </c>
      <c r="BO20" s="212">
        <v>37</v>
      </c>
      <c r="BP20" s="212">
        <v>79</v>
      </c>
      <c r="BQ20" s="219">
        <v>28</v>
      </c>
      <c r="BR20" s="219">
        <v>24</v>
      </c>
      <c r="BS20" s="219">
        <v>52</v>
      </c>
      <c r="BT20" s="212">
        <v>14</v>
      </c>
      <c r="BU20" s="212">
        <v>13</v>
      </c>
      <c r="BV20" s="212">
        <v>27</v>
      </c>
      <c r="BW20" s="219">
        <v>0</v>
      </c>
      <c r="BX20" s="219">
        <v>0</v>
      </c>
      <c r="BY20" s="220">
        <v>0</v>
      </c>
      <c r="BZ20" s="173">
        <v>94</v>
      </c>
      <c r="CA20" s="174">
        <v>103</v>
      </c>
      <c r="CB20" s="174">
        <v>197</v>
      </c>
      <c r="CC20" s="175">
        <v>43</v>
      </c>
      <c r="CD20" s="175">
        <v>56</v>
      </c>
      <c r="CE20" s="175">
        <v>99</v>
      </c>
      <c r="CF20" s="174">
        <v>27</v>
      </c>
      <c r="CG20" s="174">
        <v>37</v>
      </c>
      <c r="CH20" s="174">
        <v>64</v>
      </c>
      <c r="CI20" s="175">
        <v>13</v>
      </c>
      <c r="CJ20" s="175">
        <v>8</v>
      </c>
      <c r="CK20" s="176">
        <v>21</v>
      </c>
      <c r="CL20" s="47">
        <v>90</v>
      </c>
      <c r="CM20" s="212">
        <v>128</v>
      </c>
      <c r="CN20" s="212">
        <v>218</v>
      </c>
      <c r="CO20" s="219">
        <v>92</v>
      </c>
      <c r="CP20" s="219">
        <v>92</v>
      </c>
      <c r="CQ20" s="219">
        <v>184</v>
      </c>
      <c r="CR20" s="212">
        <v>72</v>
      </c>
      <c r="CS20" s="212">
        <v>72</v>
      </c>
      <c r="CT20" s="212">
        <v>144</v>
      </c>
      <c r="CU20" s="219">
        <v>55</v>
      </c>
      <c r="CV20" s="219">
        <v>64</v>
      </c>
      <c r="CW20" s="220">
        <v>119</v>
      </c>
    </row>
    <row r="21" spans="1:101" s="13" customFormat="1">
      <c r="A21" s="733"/>
      <c r="B21" s="702"/>
      <c r="C21" s="28" t="s">
        <v>61</v>
      </c>
      <c r="D21" s="14"/>
      <c r="E21" s="14"/>
      <c r="F21" s="209">
        <f t="shared" si="0"/>
        <v>166</v>
      </c>
      <c r="G21" s="209">
        <f t="shared" si="0"/>
        <v>157</v>
      </c>
      <c r="H21" s="209">
        <f t="shared" si="0"/>
        <v>323</v>
      </c>
      <c r="I21" s="211">
        <f t="shared" si="1"/>
        <v>74</v>
      </c>
      <c r="J21" s="211">
        <f t="shared" si="1"/>
        <v>71</v>
      </c>
      <c r="K21" s="211">
        <f t="shared" si="1"/>
        <v>145</v>
      </c>
      <c r="L21" s="209">
        <f t="shared" si="2"/>
        <v>37</v>
      </c>
      <c r="M21" s="209">
        <f t="shared" si="2"/>
        <v>27</v>
      </c>
      <c r="N21" s="209">
        <f t="shared" si="2"/>
        <v>64</v>
      </c>
      <c r="O21" s="211">
        <f t="shared" si="3"/>
        <v>10</v>
      </c>
      <c r="P21" s="211">
        <f t="shared" si="3"/>
        <v>3</v>
      </c>
      <c r="Q21" s="210">
        <f t="shared" si="3"/>
        <v>13</v>
      </c>
      <c r="R21" s="47">
        <v>53</v>
      </c>
      <c r="S21" s="212">
        <v>44</v>
      </c>
      <c r="T21" s="212">
        <v>97</v>
      </c>
      <c r="U21" s="219">
        <v>15</v>
      </c>
      <c r="V21" s="219">
        <v>12</v>
      </c>
      <c r="W21" s="219">
        <v>27</v>
      </c>
      <c r="X21" s="212">
        <v>4</v>
      </c>
      <c r="Y21" s="212">
        <v>3</v>
      </c>
      <c r="Z21" s="212">
        <v>7</v>
      </c>
      <c r="AA21" s="219">
        <v>0</v>
      </c>
      <c r="AB21" s="219">
        <v>0</v>
      </c>
      <c r="AC21" s="220">
        <v>0</v>
      </c>
      <c r="AD21" s="48">
        <v>16</v>
      </c>
      <c r="AE21" s="218">
        <v>7</v>
      </c>
      <c r="AF21" s="218">
        <v>23</v>
      </c>
      <c r="AG21" s="221">
        <v>8</v>
      </c>
      <c r="AH21" s="221">
        <v>1</v>
      </c>
      <c r="AI21" s="221">
        <v>9</v>
      </c>
      <c r="AJ21" s="218">
        <v>6</v>
      </c>
      <c r="AK21" s="218">
        <v>1</v>
      </c>
      <c r="AL21" s="218">
        <v>7</v>
      </c>
      <c r="AM21" s="221">
        <v>4</v>
      </c>
      <c r="AN21" s="221">
        <v>0</v>
      </c>
      <c r="AO21" s="222">
        <v>4</v>
      </c>
      <c r="AP21" s="216">
        <v>44</v>
      </c>
      <c r="AQ21" s="215">
        <v>38</v>
      </c>
      <c r="AR21" s="112">
        <v>82</v>
      </c>
      <c r="AS21" s="214">
        <v>25</v>
      </c>
      <c r="AT21" s="214">
        <v>32</v>
      </c>
      <c r="AU21" s="214">
        <v>57</v>
      </c>
      <c r="AV21" s="216">
        <v>14</v>
      </c>
      <c r="AW21" s="215">
        <v>12</v>
      </c>
      <c r="AX21" s="112">
        <v>26</v>
      </c>
      <c r="AY21" s="214">
        <v>4</v>
      </c>
      <c r="AZ21" s="214">
        <v>2</v>
      </c>
      <c r="BA21" s="217">
        <v>6</v>
      </c>
      <c r="BB21" s="48">
        <v>0</v>
      </c>
      <c r="BC21" s="218">
        <v>2</v>
      </c>
      <c r="BD21" s="218">
        <v>2</v>
      </c>
      <c r="BE21" s="221">
        <v>1</v>
      </c>
      <c r="BF21" s="221">
        <v>0</v>
      </c>
      <c r="BG21" s="221">
        <v>1</v>
      </c>
      <c r="BH21" s="218">
        <v>1</v>
      </c>
      <c r="BI21" s="218">
        <v>2</v>
      </c>
      <c r="BJ21" s="218">
        <v>3</v>
      </c>
      <c r="BK21" s="221">
        <v>0</v>
      </c>
      <c r="BL21" s="221">
        <v>0</v>
      </c>
      <c r="BM21" s="221">
        <v>0</v>
      </c>
      <c r="BN21" s="47">
        <v>5</v>
      </c>
      <c r="BO21" s="212">
        <v>4</v>
      </c>
      <c r="BP21" s="212">
        <v>9</v>
      </c>
      <c r="BQ21" s="219">
        <v>4</v>
      </c>
      <c r="BR21" s="219">
        <v>3</v>
      </c>
      <c r="BS21" s="219">
        <v>7</v>
      </c>
      <c r="BT21" s="212">
        <v>3</v>
      </c>
      <c r="BU21" s="212">
        <v>1</v>
      </c>
      <c r="BV21" s="212">
        <v>4</v>
      </c>
      <c r="BW21" s="219">
        <v>0</v>
      </c>
      <c r="BX21" s="219">
        <v>0</v>
      </c>
      <c r="BY21" s="220">
        <v>0</v>
      </c>
      <c r="BZ21" s="173">
        <v>36</v>
      </c>
      <c r="CA21" s="174">
        <v>41</v>
      </c>
      <c r="CB21" s="174">
        <v>77</v>
      </c>
      <c r="CC21" s="175">
        <v>12</v>
      </c>
      <c r="CD21" s="175">
        <v>14</v>
      </c>
      <c r="CE21" s="175">
        <v>26</v>
      </c>
      <c r="CF21" s="174">
        <v>4</v>
      </c>
      <c r="CG21" s="174">
        <v>3</v>
      </c>
      <c r="CH21" s="174">
        <v>7</v>
      </c>
      <c r="CI21" s="175">
        <v>2</v>
      </c>
      <c r="CJ21" s="175">
        <v>1</v>
      </c>
      <c r="CK21" s="176">
        <v>3</v>
      </c>
      <c r="CL21" s="47">
        <v>12</v>
      </c>
      <c r="CM21" s="212">
        <v>21</v>
      </c>
      <c r="CN21" s="212">
        <v>33</v>
      </c>
      <c r="CO21" s="219">
        <v>9</v>
      </c>
      <c r="CP21" s="219">
        <v>9</v>
      </c>
      <c r="CQ21" s="219">
        <v>18</v>
      </c>
      <c r="CR21" s="212">
        <v>5</v>
      </c>
      <c r="CS21" s="212">
        <v>5</v>
      </c>
      <c r="CT21" s="212">
        <v>10</v>
      </c>
      <c r="CU21" s="219">
        <v>0</v>
      </c>
      <c r="CV21" s="219">
        <v>0</v>
      </c>
      <c r="CW21" s="220">
        <v>0</v>
      </c>
    </row>
    <row r="22" spans="1:101" s="13" customFormat="1" ht="16.5" thickBot="1">
      <c r="A22" s="733"/>
      <c r="B22" s="703"/>
      <c r="C22" s="29" t="s">
        <v>62</v>
      </c>
      <c r="D22" s="14"/>
      <c r="E22" s="14"/>
      <c r="F22" s="37">
        <f>SUM(F17:F21)</f>
        <v>1725</v>
      </c>
      <c r="G22" s="37">
        <f t="shared" ref="G22:Q22" si="4">SUM(G17:G21)</f>
        <v>1923</v>
      </c>
      <c r="H22" s="37">
        <f t="shared" si="4"/>
        <v>3648</v>
      </c>
      <c r="I22" s="227">
        <f t="shared" si="4"/>
        <v>1710</v>
      </c>
      <c r="J22" s="227">
        <f t="shared" si="4"/>
        <v>1846</v>
      </c>
      <c r="K22" s="227">
        <f t="shared" si="4"/>
        <v>3556</v>
      </c>
      <c r="L22" s="225">
        <f t="shared" si="4"/>
        <v>1710</v>
      </c>
      <c r="M22" s="225">
        <f t="shared" si="4"/>
        <v>1846</v>
      </c>
      <c r="N22" s="225">
        <f t="shared" si="4"/>
        <v>3556</v>
      </c>
      <c r="O22" s="227">
        <f t="shared" si="4"/>
        <v>1703</v>
      </c>
      <c r="P22" s="227">
        <f t="shared" si="4"/>
        <v>1853</v>
      </c>
      <c r="Q22" s="226">
        <f t="shared" si="4"/>
        <v>3556</v>
      </c>
      <c r="R22" s="53">
        <v>116</v>
      </c>
      <c r="S22" s="54">
        <v>120</v>
      </c>
      <c r="T22" s="54">
        <v>236</v>
      </c>
      <c r="U22" s="236">
        <v>78</v>
      </c>
      <c r="V22" s="236">
        <v>84</v>
      </c>
      <c r="W22" s="236">
        <v>162</v>
      </c>
      <c r="X22" s="228">
        <v>81</v>
      </c>
      <c r="Y22" s="228">
        <v>81</v>
      </c>
      <c r="Z22" s="228">
        <v>162</v>
      </c>
      <c r="AA22" s="236">
        <v>76</v>
      </c>
      <c r="AB22" s="236">
        <v>86</v>
      </c>
      <c r="AC22" s="229">
        <v>162</v>
      </c>
      <c r="AD22" s="57">
        <v>228</v>
      </c>
      <c r="AE22" s="58">
        <v>273</v>
      </c>
      <c r="AF22" s="58">
        <v>501</v>
      </c>
      <c r="AG22" s="59">
        <v>228</v>
      </c>
      <c r="AH22" s="59">
        <v>273</v>
      </c>
      <c r="AI22" s="59">
        <v>501</v>
      </c>
      <c r="AJ22" s="58">
        <v>228</v>
      </c>
      <c r="AK22" s="58">
        <v>273</v>
      </c>
      <c r="AL22" s="58">
        <v>501</v>
      </c>
      <c r="AM22" s="59">
        <v>228</v>
      </c>
      <c r="AN22" s="59">
        <v>273</v>
      </c>
      <c r="AO22" s="60">
        <v>501</v>
      </c>
      <c r="AP22" s="235">
        <v>474</v>
      </c>
      <c r="AQ22" s="234">
        <v>544</v>
      </c>
      <c r="AR22" s="234">
        <v>1018</v>
      </c>
      <c r="AS22" s="232">
        <v>474</v>
      </c>
      <c r="AT22" s="232">
        <v>544</v>
      </c>
      <c r="AU22" s="232">
        <v>1018</v>
      </c>
      <c r="AV22" s="235">
        <v>474</v>
      </c>
      <c r="AW22" s="234">
        <v>544</v>
      </c>
      <c r="AX22" s="234">
        <v>1018</v>
      </c>
      <c r="AY22" s="232">
        <v>474</v>
      </c>
      <c r="AZ22" s="232">
        <v>544</v>
      </c>
      <c r="BA22" s="237">
        <v>1018</v>
      </c>
      <c r="BB22" s="45">
        <v>59</v>
      </c>
      <c r="BC22" s="230">
        <v>65</v>
      </c>
      <c r="BD22" s="230">
        <v>124</v>
      </c>
      <c r="BE22" s="233">
        <v>60</v>
      </c>
      <c r="BF22" s="233">
        <v>64</v>
      </c>
      <c r="BG22" s="233">
        <v>124</v>
      </c>
      <c r="BH22" s="230">
        <v>57</v>
      </c>
      <c r="BI22" s="230">
        <v>67</v>
      </c>
      <c r="BJ22" s="230">
        <v>124</v>
      </c>
      <c r="BK22" s="233">
        <v>65</v>
      </c>
      <c r="BL22" s="233">
        <v>59</v>
      </c>
      <c r="BM22" s="231">
        <v>124</v>
      </c>
      <c r="BN22" s="41">
        <v>140</v>
      </c>
      <c r="BO22" s="228">
        <v>143</v>
      </c>
      <c r="BP22" s="228">
        <v>283</v>
      </c>
      <c r="BQ22" s="236">
        <v>140</v>
      </c>
      <c r="BR22" s="236">
        <v>143</v>
      </c>
      <c r="BS22" s="236">
        <v>283</v>
      </c>
      <c r="BT22" s="228">
        <v>140</v>
      </c>
      <c r="BU22" s="228">
        <v>143</v>
      </c>
      <c r="BV22" s="228">
        <v>283</v>
      </c>
      <c r="BW22" s="236">
        <v>140</v>
      </c>
      <c r="BX22" s="236">
        <v>143</v>
      </c>
      <c r="BY22" s="229">
        <v>283</v>
      </c>
      <c r="BZ22" s="169">
        <v>270</v>
      </c>
      <c r="CA22" s="170">
        <v>278</v>
      </c>
      <c r="CB22" s="170">
        <v>548</v>
      </c>
      <c r="CC22" s="171">
        <v>270</v>
      </c>
      <c r="CD22" s="171">
        <v>278</v>
      </c>
      <c r="CE22" s="171">
        <v>548</v>
      </c>
      <c r="CF22" s="170">
        <v>270</v>
      </c>
      <c r="CG22" s="170">
        <v>278</v>
      </c>
      <c r="CH22" s="170">
        <v>548</v>
      </c>
      <c r="CI22" s="171">
        <v>270</v>
      </c>
      <c r="CJ22" s="171">
        <v>278</v>
      </c>
      <c r="CK22" s="172">
        <v>548</v>
      </c>
      <c r="CL22" s="41">
        <v>438</v>
      </c>
      <c r="CM22" s="228">
        <v>500</v>
      </c>
      <c r="CN22" s="228">
        <v>938</v>
      </c>
      <c r="CO22" s="236">
        <v>460</v>
      </c>
      <c r="CP22" s="236">
        <v>460</v>
      </c>
      <c r="CQ22" s="236">
        <v>920</v>
      </c>
      <c r="CR22" s="228">
        <v>460</v>
      </c>
      <c r="CS22" s="228">
        <v>460</v>
      </c>
      <c r="CT22" s="228">
        <v>920</v>
      </c>
      <c r="CU22" s="236">
        <v>450</v>
      </c>
      <c r="CV22" s="236">
        <v>470</v>
      </c>
      <c r="CW22" s="229">
        <v>920</v>
      </c>
    </row>
    <row r="23" spans="1:101" s="251" customFormat="1" ht="24">
      <c r="A23" s="733"/>
      <c r="B23" s="736" t="s">
        <v>25</v>
      </c>
      <c r="C23" s="238" t="s">
        <v>26</v>
      </c>
      <c r="D23" s="239"/>
      <c r="E23" s="239"/>
      <c r="F23" s="240">
        <f t="shared" ref="F23:Q32" si="5">SUM(R23,AD23,AP23,BB23,BN23,BZ23,CL23)</f>
        <v>2412</v>
      </c>
      <c r="G23" s="240">
        <f t="shared" si="5"/>
        <v>3133</v>
      </c>
      <c r="H23" s="240">
        <f t="shared" si="5"/>
        <v>5545</v>
      </c>
      <c r="I23" s="240">
        <f t="shared" si="5"/>
        <v>18992</v>
      </c>
      <c r="J23" s="240">
        <f t="shared" si="5"/>
        <v>20552</v>
      </c>
      <c r="K23" s="240">
        <f t="shared" si="5"/>
        <v>39544</v>
      </c>
      <c r="L23" s="240">
        <f t="shared" si="5"/>
        <v>19124</v>
      </c>
      <c r="M23" s="240">
        <f t="shared" si="5"/>
        <v>20895</v>
      </c>
      <c r="N23" s="240">
        <f t="shared" si="5"/>
        <v>40019</v>
      </c>
      <c r="O23" s="240">
        <f t="shared" si="5"/>
        <v>19784</v>
      </c>
      <c r="P23" s="240">
        <f t="shared" si="5"/>
        <v>20423</v>
      </c>
      <c r="Q23" s="241">
        <f t="shared" si="5"/>
        <v>40207</v>
      </c>
      <c r="R23" s="242">
        <v>2412</v>
      </c>
      <c r="S23" s="240">
        <v>3133</v>
      </c>
      <c r="T23" s="240">
        <v>5545</v>
      </c>
      <c r="U23" s="240">
        <v>1260</v>
      </c>
      <c r="V23" s="240">
        <v>1800</v>
      </c>
      <c r="W23" s="240">
        <v>3060</v>
      </c>
      <c r="X23" s="240">
        <v>1000</v>
      </c>
      <c r="Y23" s="240">
        <v>1300</v>
      </c>
      <c r="Z23" s="240">
        <v>2300</v>
      </c>
      <c r="AA23" s="240">
        <v>1000</v>
      </c>
      <c r="AB23" s="240">
        <v>1200</v>
      </c>
      <c r="AC23" s="243">
        <v>2200</v>
      </c>
      <c r="AD23" s="244" t="s">
        <v>65</v>
      </c>
      <c r="AE23" s="245" t="s">
        <v>65</v>
      </c>
      <c r="AF23" s="245" t="s">
        <v>65</v>
      </c>
      <c r="AG23" s="240">
        <v>980</v>
      </c>
      <c r="AH23" s="240">
        <v>1020</v>
      </c>
      <c r="AI23" s="240">
        <v>2000</v>
      </c>
      <c r="AJ23" s="240">
        <v>980</v>
      </c>
      <c r="AK23" s="240">
        <v>1020</v>
      </c>
      <c r="AL23" s="240">
        <v>2000</v>
      </c>
      <c r="AM23" s="240">
        <v>980</v>
      </c>
      <c r="AN23" s="240">
        <v>1020</v>
      </c>
      <c r="AO23" s="243">
        <v>2000</v>
      </c>
      <c r="AP23" s="246">
        <v>0</v>
      </c>
      <c r="AQ23" s="246">
        <v>0</v>
      </c>
      <c r="AR23" s="246">
        <v>0</v>
      </c>
      <c r="AS23" s="246">
        <v>1480</v>
      </c>
      <c r="AT23" s="246">
        <v>1550</v>
      </c>
      <c r="AU23" s="246">
        <v>3030</v>
      </c>
      <c r="AV23" s="246">
        <v>1500</v>
      </c>
      <c r="AW23" s="246">
        <v>1680</v>
      </c>
      <c r="AX23" s="246">
        <v>3180</v>
      </c>
      <c r="AY23" s="246">
        <v>1570</v>
      </c>
      <c r="AZ23" s="246">
        <v>1620</v>
      </c>
      <c r="BA23" s="247">
        <v>3190</v>
      </c>
      <c r="BB23" s="244">
        <v>0</v>
      </c>
      <c r="BC23" s="245">
        <v>0</v>
      </c>
      <c r="BD23" s="245">
        <v>0</v>
      </c>
      <c r="BE23" s="240">
        <v>440</v>
      </c>
      <c r="BF23" s="240">
        <v>880</v>
      </c>
      <c r="BG23" s="240">
        <v>1320</v>
      </c>
      <c r="BH23" s="240">
        <v>550</v>
      </c>
      <c r="BI23" s="240">
        <v>1100</v>
      </c>
      <c r="BJ23" s="240">
        <v>1650</v>
      </c>
      <c r="BK23" s="240">
        <v>550</v>
      </c>
      <c r="BL23" s="240">
        <v>1100</v>
      </c>
      <c r="BM23" s="243">
        <v>1650</v>
      </c>
      <c r="BN23" s="242">
        <v>0</v>
      </c>
      <c r="BO23" s="240">
        <v>0</v>
      </c>
      <c r="BP23" s="240">
        <v>0</v>
      </c>
      <c r="BQ23" s="240">
        <v>631</v>
      </c>
      <c r="BR23" s="240">
        <v>1436</v>
      </c>
      <c r="BS23" s="240">
        <v>2067</v>
      </c>
      <c r="BT23" s="240">
        <v>714</v>
      </c>
      <c r="BU23" s="240">
        <v>1490</v>
      </c>
      <c r="BV23" s="240">
        <v>2204</v>
      </c>
      <c r="BW23" s="240">
        <v>708</v>
      </c>
      <c r="BX23" s="240">
        <v>1552</v>
      </c>
      <c r="BY23" s="243">
        <v>2260</v>
      </c>
      <c r="BZ23" s="248">
        <v>0</v>
      </c>
      <c r="CA23" s="249">
        <v>0</v>
      </c>
      <c r="CB23" s="249">
        <v>0</v>
      </c>
      <c r="CC23" s="249">
        <v>9834</v>
      </c>
      <c r="CD23" s="249">
        <v>9499</v>
      </c>
      <c r="CE23" s="249">
        <v>19333</v>
      </c>
      <c r="CF23" s="249">
        <v>10215</v>
      </c>
      <c r="CG23" s="249">
        <v>10140</v>
      </c>
      <c r="CH23" s="249">
        <v>20355</v>
      </c>
      <c r="CI23" s="249">
        <v>11161</v>
      </c>
      <c r="CJ23" s="249">
        <v>10116</v>
      </c>
      <c r="CK23" s="250">
        <v>21277</v>
      </c>
      <c r="CL23" s="242">
        <v>0</v>
      </c>
      <c r="CM23" s="240">
        <v>0</v>
      </c>
      <c r="CN23" s="240">
        <v>0</v>
      </c>
      <c r="CO23" s="240">
        <v>4367</v>
      </c>
      <c r="CP23" s="240">
        <v>4367</v>
      </c>
      <c r="CQ23" s="240">
        <v>8734</v>
      </c>
      <c r="CR23" s="240">
        <v>4165</v>
      </c>
      <c r="CS23" s="240">
        <v>4165</v>
      </c>
      <c r="CT23" s="240">
        <v>8330</v>
      </c>
      <c r="CU23" s="240">
        <v>3815</v>
      </c>
      <c r="CV23" s="240">
        <v>3815</v>
      </c>
      <c r="CW23" s="243">
        <v>7630</v>
      </c>
    </row>
    <row r="24" spans="1:101" s="251" customFormat="1" ht="24.75" thickBot="1">
      <c r="A24" s="733"/>
      <c r="B24" s="737"/>
      <c r="C24" s="252" t="s">
        <v>41</v>
      </c>
      <c r="D24" s="239"/>
      <c r="E24" s="239"/>
      <c r="F24" s="253">
        <f t="shared" si="5"/>
        <v>2412</v>
      </c>
      <c r="G24" s="254">
        <f t="shared" si="5"/>
        <v>3133</v>
      </c>
      <c r="H24" s="254">
        <f t="shared" si="5"/>
        <v>5545</v>
      </c>
      <c r="I24" s="254">
        <f t="shared" si="5"/>
        <v>26316</v>
      </c>
      <c r="J24" s="254">
        <f t="shared" si="5"/>
        <v>31877</v>
      </c>
      <c r="K24" s="254">
        <f t="shared" si="5"/>
        <v>58193</v>
      </c>
      <c r="L24" s="254">
        <f t="shared" si="5"/>
        <v>38945</v>
      </c>
      <c r="M24" s="254">
        <f t="shared" si="5"/>
        <v>46612</v>
      </c>
      <c r="N24" s="254">
        <f t="shared" si="5"/>
        <v>85557</v>
      </c>
      <c r="O24" s="254">
        <f t="shared" si="5"/>
        <v>45178</v>
      </c>
      <c r="P24" s="254">
        <f t="shared" si="5"/>
        <v>56506</v>
      </c>
      <c r="Q24" s="255">
        <f t="shared" si="5"/>
        <v>101684</v>
      </c>
      <c r="R24" s="256">
        <v>2412</v>
      </c>
      <c r="S24" s="254">
        <v>3133</v>
      </c>
      <c r="T24" s="254">
        <v>5545</v>
      </c>
      <c r="U24" s="254">
        <v>3672</v>
      </c>
      <c r="V24" s="254">
        <v>4933</v>
      </c>
      <c r="W24" s="254">
        <v>8605</v>
      </c>
      <c r="X24" s="254">
        <v>4672</v>
      </c>
      <c r="Y24" s="254">
        <v>6233</v>
      </c>
      <c r="Z24" s="254">
        <v>10905</v>
      </c>
      <c r="AA24" s="254">
        <v>5672</v>
      </c>
      <c r="AB24" s="254">
        <v>7433</v>
      </c>
      <c r="AC24" s="257">
        <v>13105</v>
      </c>
      <c r="AD24" s="256">
        <v>0</v>
      </c>
      <c r="AE24" s="254">
        <v>0</v>
      </c>
      <c r="AF24" s="254">
        <v>0</v>
      </c>
      <c r="AG24" s="254">
        <v>980</v>
      </c>
      <c r="AH24" s="254">
        <v>1020</v>
      </c>
      <c r="AI24" s="254">
        <v>2000</v>
      </c>
      <c r="AJ24" s="254">
        <v>980</v>
      </c>
      <c r="AK24" s="254">
        <v>1020</v>
      </c>
      <c r="AL24" s="254">
        <v>2000</v>
      </c>
      <c r="AM24" s="254">
        <v>980</v>
      </c>
      <c r="AN24" s="254">
        <v>1020</v>
      </c>
      <c r="AO24" s="257">
        <v>2000</v>
      </c>
      <c r="AP24" s="258">
        <v>0</v>
      </c>
      <c r="AQ24" s="258">
        <v>0</v>
      </c>
      <c r="AR24" s="258">
        <v>0</v>
      </c>
      <c r="AS24" s="258">
        <v>10940</v>
      </c>
      <c r="AT24" s="258">
        <v>12493</v>
      </c>
      <c r="AU24" s="258">
        <v>23433</v>
      </c>
      <c r="AV24" s="258">
        <v>12440</v>
      </c>
      <c r="AW24" s="258">
        <v>14173</v>
      </c>
      <c r="AX24" s="258">
        <v>26613</v>
      </c>
      <c r="AY24" s="258">
        <v>7300</v>
      </c>
      <c r="AZ24" s="258">
        <v>10500</v>
      </c>
      <c r="BA24" s="259">
        <v>17800</v>
      </c>
      <c r="BB24" s="256">
        <v>0</v>
      </c>
      <c r="BC24" s="254">
        <v>0</v>
      </c>
      <c r="BD24" s="254">
        <v>0</v>
      </c>
      <c r="BE24" s="254">
        <v>440</v>
      </c>
      <c r="BF24" s="254">
        <v>880</v>
      </c>
      <c r="BG24" s="254">
        <v>1320</v>
      </c>
      <c r="BH24" s="254">
        <v>990</v>
      </c>
      <c r="BI24" s="254">
        <v>1980</v>
      </c>
      <c r="BJ24" s="254">
        <v>2970</v>
      </c>
      <c r="BK24" s="254">
        <v>1540</v>
      </c>
      <c r="BL24" s="254">
        <v>3080</v>
      </c>
      <c r="BM24" s="257">
        <v>4620</v>
      </c>
      <c r="BN24" s="256">
        <v>0</v>
      </c>
      <c r="BO24" s="254">
        <v>0</v>
      </c>
      <c r="BP24" s="254">
        <v>0</v>
      </c>
      <c r="BQ24" s="254">
        <v>631</v>
      </c>
      <c r="BR24" s="254">
        <v>1436</v>
      </c>
      <c r="BS24" s="240">
        <v>2067</v>
      </c>
      <c r="BT24" s="254">
        <v>1345</v>
      </c>
      <c r="BU24" s="254">
        <v>2926</v>
      </c>
      <c r="BV24" s="240">
        <v>4271</v>
      </c>
      <c r="BW24" s="254">
        <v>2053</v>
      </c>
      <c r="BX24" s="254">
        <v>4478</v>
      </c>
      <c r="BY24" s="257">
        <v>6531</v>
      </c>
      <c r="BZ24" s="260">
        <v>0</v>
      </c>
      <c r="CA24" s="261">
        <v>0</v>
      </c>
      <c r="CB24" s="261">
        <v>0</v>
      </c>
      <c r="CC24" s="261">
        <v>5286</v>
      </c>
      <c r="CD24" s="261">
        <v>6748</v>
      </c>
      <c r="CE24" s="261">
        <v>12034</v>
      </c>
      <c r="CF24" s="261">
        <v>9986</v>
      </c>
      <c r="CG24" s="261">
        <v>11748</v>
      </c>
      <c r="CH24" s="261">
        <v>21734</v>
      </c>
      <c r="CI24" s="261">
        <v>15286</v>
      </c>
      <c r="CJ24" s="261">
        <v>17648</v>
      </c>
      <c r="CK24" s="262">
        <v>32934</v>
      </c>
      <c r="CL24" s="256">
        <v>0</v>
      </c>
      <c r="CM24" s="254">
        <v>0</v>
      </c>
      <c r="CN24" s="254">
        <v>0</v>
      </c>
      <c r="CO24" s="254">
        <v>4367</v>
      </c>
      <c r="CP24" s="254">
        <v>4367</v>
      </c>
      <c r="CQ24" s="254">
        <v>8734</v>
      </c>
      <c r="CR24" s="254">
        <v>8532</v>
      </c>
      <c r="CS24" s="254">
        <v>8532</v>
      </c>
      <c r="CT24" s="254">
        <v>17064</v>
      </c>
      <c r="CU24" s="254">
        <v>12347</v>
      </c>
      <c r="CV24" s="254">
        <v>12347</v>
      </c>
      <c r="CW24" s="257">
        <v>24694</v>
      </c>
    </row>
    <row r="25" spans="1:101" s="13" customFormat="1" ht="24.75" thickBot="1">
      <c r="A25" s="734"/>
      <c r="B25" s="31" t="s">
        <v>27</v>
      </c>
      <c r="C25" s="30" t="s">
        <v>42</v>
      </c>
      <c r="D25" s="738"/>
      <c r="E25" s="739"/>
      <c r="F25" s="740">
        <f t="shared" si="5"/>
        <v>1089</v>
      </c>
      <c r="G25" s="741"/>
      <c r="H25" s="742"/>
      <c r="I25" s="743">
        <f t="shared" si="5"/>
        <v>1272</v>
      </c>
      <c r="J25" s="744"/>
      <c r="K25" s="745"/>
      <c r="L25" s="740">
        <f t="shared" si="5"/>
        <v>1434</v>
      </c>
      <c r="M25" s="741"/>
      <c r="N25" s="742"/>
      <c r="O25" s="743">
        <f t="shared" si="5"/>
        <v>1505</v>
      </c>
      <c r="P25" s="744"/>
      <c r="Q25" s="744"/>
      <c r="R25" s="722">
        <v>4</v>
      </c>
      <c r="S25" s="723"/>
      <c r="T25" s="724"/>
      <c r="U25" s="725">
        <v>20</v>
      </c>
      <c r="V25" s="726"/>
      <c r="W25" s="727"/>
      <c r="X25" s="728">
        <v>10</v>
      </c>
      <c r="Y25" s="723"/>
      <c r="Z25" s="724"/>
      <c r="AA25" s="725">
        <v>12</v>
      </c>
      <c r="AB25" s="726"/>
      <c r="AC25" s="729"/>
      <c r="AD25" s="730">
        <v>185</v>
      </c>
      <c r="AE25" s="747"/>
      <c r="AF25" s="748"/>
      <c r="AG25" s="707">
        <v>285</v>
      </c>
      <c r="AH25" s="708"/>
      <c r="AI25" s="749"/>
      <c r="AJ25" s="716">
        <v>385</v>
      </c>
      <c r="AK25" s="747"/>
      <c r="AL25" s="748"/>
      <c r="AM25" s="707">
        <v>485</v>
      </c>
      <c r="AN25" s="708"/>
      <c r="AO25" s="709"/>
      <c r="AP25" s="710">
        <v>302</v>
      </c>
      <c r="AQ25" s="711"/>
      <c r="AR25" s="712"/>
      <c r="AS25" s="713">
        <v>200</v>
      </c>
      <c r="AT25" s="714"/>
      <c r="AU25" s="715"/>
      <c r="AV25" s="710">
        <v>150</v>
      </c>
      <c r="AW25" s="711"/>
      <c r="AX25" s="712"/>
      <c r="AY25" s="713">
        <v>88</v>
      </c>
      <c r="AZ25" s="714"/>
      <c r="BA25" s="746"/>
      <c r="BB25" s="730">
        <v>23</v>
      </c>
      <c r="BC25" s="747"/>
      <c r="BD25" s="748"/>
      <c r="BE25" s="707">
        <v>64</v>
      </c>
      <c r="BF25" s="708"/>
      <c r="BG25" s="749"/>
      <c r="BH25" s="716">
        <v>76</v>
      </c>
      <c r="BI25" s="747"/>
      <c r="BJ25" s="748"/>
      <c r="BK25" s="707">
        <v>90</v>
      </c>
      <c r="BL25" s="708"/>
      <c r="BM25" s="709"/>
      <c r="BN25" s="722">
        <v>0</v>
      </c>
      <c r="BO25" s="723"/>
      <c r="BP25" s="724"/>
      <c r="BQ25" s="725">
        <v>50</v>
      </c>
      <c r="BR25" s="726"/>
      <c r="BS25" s="727"/>
      <c r="BT25" s="728">
        <v>60</v>
      </c>
      <c r="BU25" s="723"/>
      <c r="BV25" s="724"/>
      <c r="BW25" s="725">
        <v>60</v>
      </c>
      <c r="BX25" s="726"/>
      <c r="BY25" s="729"/>
      <c r="BZ25" s="730">
        <v>443</v>
      </c>
      <c r="CA25" s="717"/>
      <c r="CB25" s="718"/>
      <c r="CC25" s="719">
        <v>473</v>
      </c>
      <c r="CD25" s="720"/>
      <c r="CE25" s="731"/>
      <c r="CF25" s="716">
        <v>573</v>
      </c>
      <c r="CG25" s="717"/>
      <c r="CH25" s="718"/>
      <c r="CI25" s="719">
        <v>589</v>
      </c>
      <c r="CJ25" s="720"/>
      <c r="CK25" s="721"/>
      <c r="CL25" s="722">
        <v>132</v>
      </c>
      <c r="CM25" s="723"/>
      <c r="CN25" s="724"/>
      <c r="CO25" s="725">
        <v>180</v>
      </c>
      <c r="CP25" s="726"/>
      <c r="CQ25" s="727"/>
      <c r="CR25" s="728">
        <v>180</v>
      </c>
      <c r="CS25" s="723"/>
      <c r="CT25" s="724"/>
      <c r="CU25" s="725">
        <v>181</v>
      </c>
      <c r="CV25" s="726"/>
      <c r="CW25" s="729"/>
    </row>
    <row r="26" spans="1:101" s="275" customFormat="1">
      <c r="A26" s="223" t="s">
        <v>28</v>
      </c>
      <c r="B26" s="702" t="s">
        <v>29</v>
      </c>
      <c r="C26" s="263" t="s">
        <v>67</v>
      </c>
      <c r="D26" s="264"/>
      <c r="E26" s="264"/>
      <c r="F26" s="278">
        <f t="shared" si="5"/>
        <v>28156</v>
      </c>
      <c r="G26" s="278">
        <f>SUM(S26,AE26,AQ26,BC26,BO26,CA26,CM26)</f>
        <v>29726</v>
      </c>
      <c r="H26" s="278">
        <f>SUM(T26,AF26,AR26,BD26,BP26,CB26,CN26)</f>
        <v>57882</v>
      </c>
      <c r="I26" s="278">
        <f t="shared" si="5"/>
        <v>25827</v>
      </c>
      <c r="J26" s="278">
        <f>SUM(V26,AH26,AT26,BF26,BR26,CD26,CP26)</f>
        <v>27526</v>
      </c>
      <c r="K26" s="278">
        <f>SUM(W26,AI26,AU26,BG26,BS26,CE26,CQ26)</f>
        <v>53353</v>
      </c>
      <c r="L26" s="278">
        <f t="shared" si="5"/>
        <v>24858</v>
      </c>
      <c r="M26" s="278">
        <f>SUM(Y26,AK26,AW26,BI26,BU26,CG26,CS26)</f>
        <v>26896</v>
      </c>
      <c r="N26" s="278">
        <f>SUM(Z26,AL26,AX26,BJ26,BV26,CH26,CT26)</f>
        <v>51754</v>
      </c>
      <c r="O26" s="278">
        <f t="shared" si="5"/>
        <v>26309</v>
      </c>
      <c r="P26" s="278">
        <f>SUM(AB26,AN26,AZ26,BL26,BX26,CJ26,CV26)</f>
        <v>29837</v>
      </c>
      <c r="Q26" s="277">
        <f>SUM(AC26,AO26,BA26,BM26,BY26,CK26,CW26)</f>
        <v>57130</v>
      </c>
      <c r="R26" s="267">
        <v>2219</v>
      </c>
      <c r="S26" s="278">
        <v>2785</v>
      </c>
      <c r="T26" s="278">
        <v>5004</v>
      </c>
      <c r="U26" s="278">
        <v>2300</v>
      </c>
      <c r="V26" s="278">
        <v>2860</v>
      </c>
      <c r="W26" s="278">
        <v>5160</v>
      </c>
      <c r="X26" s="278">
        <v>2320</v>
      </c>
      <c r="Y26" s="278">
        <v>2880</v>
      </c>
      <c r="Z26" s="278">
        <v>5200</v>
      </c>
      <c r="AA26" s="278">
        <v>2350</v>
      </c>
      <c r="AB26" s="278">
        <v>2950</v>
      </c>
      <c r="AC26" s="279">
        <v>5300</v>
      </c>
      <c r="AD26" s="267">
        <v>3574</v>
      </c>
      <c r="AE26" s="278">
        <v>3898</v>
      </c>
      <c r="AF26" s="278">
        <v>7472</v>
      </c>
      <c r="AG26" s="278">
        <v>4309</v>
      </c>
      <c r="AH26" s="278">
        <v>4663</v>
      </c>
      <c r="AI26" s="278">
        <v>8972</v>
      </c>
      <c r="AJ26" s="278">
        <v>5044</v>
      </c>
      <c r="AK26" s="278">
        <v>5428</v>
      </c>
      <c r="AL26" s="278">
        <v>10472</v>
      </c>
      <c r="AM26" s="278">
        <v>5779</v>
      </c>
      <c r="AN26" s="278">
        <v>6193</v>
      </c>
      <c r="AO26" s="279">
        <v>11972</v>
      </c>
      <c r="AP26" s="269">
        <v>4103</v>
      </c>
      <c r="AQ26" s="280">
        <v>4800</v>
      </c>
      <c r="AR26" s="280">
        <v>8903</v>
      </c>
      <c r="AS26" s="280">
        <v>6000</v>
      </c>
      <c r="AT26" s="280">
        <v>6500</v>
      </c>
      <c r="AU26" s="280">
        <v>12500</v>
      </c>
      <c r="AV26" s="280">
        <v>6500</v>
      </c>
      <c r="AW26" s="280">
        <v>7300</v>
      </c>
      <c r="AX26" s="280">
        <v>13800</v>
      </c>
      <c r="AY26" s="280">
        <v>7900</v>
      </c>
      <c r="AZ26" s="280">
        <v>8600</v>
      </c>
      <c r="BA26" s="281">
        <v>16500</v>
      </c>
      <c r="BB26" s="267">
        <v>984</v>
      </c>
      <c r="BC26" s="278">
        <v>1211</v>
      </c>
      <c r="BD26" s="278">
        <v>2195</v>
      </c>
      <c r="BE26" s="278">
        <v>1049</v>
      </c>
      <c r="BF26" s="278">
        <v>1341</v>
      </c>
      <c r="BG26" s="278">
        <v>2390</v>
      </c>
      <c r="BH26" s="278">
        <v>1114</v>
      </c>
      <c r="BI26" s="278">
        <v>1471</v>
      </c>
      <c r="BJ26" s="278">
        <v>2585</v>
      </c>
      <c r="BK26" s="278">
        <v>1179</v>
      </c>
      <c r="BL26" s="278">
        <v>1601</v>
      </c>
      <c r="BM26" s="279">
        <v>3764</v>
      </c>
      <c r="BN26" s="267">
        <v>1228</v>
      </c>
      <c r="BO26" s="278">
        <v>1927</v>
      </c>
      <c r="BP26" s="278">
        <v>3155</v>
      </c>
      <c r="BQ26" s="278">
        <v>1265</v>
      </c>
      <c r="BR26" s="278">
        <v>1985</v>
      </c>
      <c r="BS26" s="278">
        <f>BQ26+BR26</f>
        <v>3250</v>
      </c>
      <c r="BT26" s="278">
        <v>1316</v>
      </c>
      <c r="BU26" s="278">
        <v>2064</v>
      </c>
      <c r="BV26" s="278">
        <v>3380</v>
      </c>
      <c r="BW26" s="278">
        <v>1381</v>
      </c>
      <c r="BX26" s="278">
        <v>2168</v>
      </c>
      <c r="BY26" s="279">
        <v>3549</v>
      </c>
      <c r="BZ26" s="272">
        <v>12666</v>
      </c>
      <c r="CA26" s="273">
        <v>11110</v>
      </c>
      <c r="CB26" s="273">
        <v>23776</v>
      </c>
      <c r="CC26" s="273">
        <v>5595</v>
      </c>
      <c r="CD26" s="273">
        <v>4868</v>
      </c>
      <c r="CE26" s="273">
        <v>10463</v>
      </c>
      <c r="CF26" s="273">
        <v>2194</v>
      </c>
      <c r="CG26" s="273">
        <v>1383</v>
      </c>
      <c r="CH26" s="273">
        <v>3577</v>
      </c>
      <c r="CI26" s="273">
        <v>2199</v>
      </c>
      <c r="CJ26" s="273">
        <v>2344</v>
      </c>
      <c r="CK26" s="274">
        <v>4543</v>
      </c>
      <c r="CL26" s="267">
        <v>3382</v>
      </c>
      <c r="CM26" s="278">
        <v>3995</v>
      </c>
      <c r="CN26" s="278">
        <v>7377</v>
      </c>
      <c r="CO26" s="278">
        <v>5309</v>
      </c>
      <c r="CP26" s="278">
        <v>5309</v>
      </c>
      <c r="CQ26" s="278">
        <v>10618</v>
      </c>
      <c r="CR26" s="278">
        <v>6370</v>
      </c>
      <c r="CS26" s="278">
        <v>6370</v>
      </c>
      <c r="CT26" s="278">
        <v>12740</v>
      </c>
      <c r="CU26" s="278">
        <v>5521</v>
      </c>
      <c r="CV26" s="278">
        <v>5981</v>
      </c>
      <c r="CW26" s="279">
        <v>11502</v>
      </c>
    </row>
    <row r="27" spans="1:101" s="13" customFormat="1" ht="36.75" thickBot="1">
      <c r="A27" s="223"/>
      <c r="B27" s="703"/>
      <c r="C27" s="33" t="s">
        <v>43</v>
      </c>
      <c r="D27" s="14"/>
      <c r="E27" s="14"/>
      <c r="F27" s="37">
        <f t="shared" si="5"/>
        <v>37384</v>
      </c>
      <c r="G27" s="225">
        <f>SUM(S27,AE27,AQ27,BC27,BO27,CA27,CM27)</f>
        <v>42030</v>
      </c>
      <c r="H27" s="225">
        <f>SUM(T27,AF27,AR27,BD27,BP27,CB27,CN27)</f>
        <v>79414</v>
      </c>
      <c r="I27" s="227">
        <f t="shared" si="5"/>
        <v>40614</v>
      </c>
      <c r="J27" s="227">
        <f>SUM(V27,AH27,AT27,BF27,BR27,CD27,CP27)</f>
        <v>42998</v>
      </c>
      <c r="K27" s="227">
        <f>SUM(W27,AI27,AU27,BG27,BS27,CE27,CQ27)</f>
        <v>83612</v>
      </c>
      <c r="L27" s="225">
        <f t="shared" si="5"/>
        <v>47434</v>
      </c>
      <c r="M27" s="225">
        <f>SUM(Y27,AK27,AW27,BI27,BU27,CG27,CS27)</f>
        <v>50598</v>
      </c>
      <c r="N27" s="225">
        <f>SUM(Z27,AL27,AX27,BJ27,BV27,CH27,CT27)</f>
        <v>98032</v>
      </c>
      <c r="O27" s="227">
        <f t="shared" si="5"/>
        <v>43079</v>
      </c>
      <c r="P27" s="227">
        <f>SUM(AB27,AN27,AZ27,BL27,BX27,CJ27,CV27)</f>
        <v>46340</v>
      </c>
      <c r="Q27" s="226">
        <f>SUM(AC27,AO27,BA27,BM27,BY27,CK27,CW27)</f>
        <v>89419</v>
      </c>
      <c r="R27" s="41">
        <v>1857</v>
      </c>
      <c r="S27" s="228">
        <v>2014</v>
      </c>
      <c r="T27" s="228">
        <v>3871</v>
      </c>
      <c r="U27" s="236">
        <v>2400</v>
      </c>
      <c r="V27" s="236">
        <v>3150</v>
      </c>
      <c r="W27" s="236">
        <v>5550</v>
      </c>
      <c r="X27" s="228">
        <v>2650</v>
      </c>
      <c r="Y27" s="228">
        <v>3200</v>
      </c>
      <c r="Z27" s="228">
        <v>5850</v>
      </c>
      <c r="AA27" s="236">
        <v>2700</v>
      </c>
      <c r="AB27" s="236">
        <v>3300</v>
      </c>
      <c r="AC27" s="229">
        <v>6000</v>
      </c>
      <c r="AD27" s="45">
        <v>7812</v>
      </c>
      <c r="AE27" s="230">
        <v>8344</v>
      </c>
      <c r="AF27" s="230">
        <v>16156</v>
      </c>
      <c r="AG27" s="233">
        <v>8281</v>
      </c>
      <c r="AH27" s="233">
        <v>9490</v>
      </c>
      <c r="AI27" s="233">
        <v>17771</v>
      </c>
      <c r="AJ27" s="230">
        <v>8750</v>
      </c>
      <c r="AK27" s="230">
        <v>10636</v>
      </c>
      <c r="AL27" s="230">
        <v>19386</v>
      </c>
      <c r="AM27" s="233">
        <v>9219</v>
      </c>
      <c r="AN27" s="233">
        <v>11782</v>
      </c>
      <c r="AO27" s="231">
        <v>21001</v>
      </c>
      <c r="AP27" s="94">
        <v>5809</v>
      </c>
      <c r="AQ27" s="235">
        <v>7001</v>
      </c>
      <c r="AR27" s="235">
        <v>12810</v>
      </c>
      <c r="AS27" s="232">
        <v>7200</v>
      </c>
      <c r="AT27" s="232">
        <v>7800</v>
      </c>
      <c r="AU27" s="232">
        <v>15000</v>
      </c>
      <c r="AV27" s="235">
        <v>10000</v>
      </c>
      <c r="AW27" s="235">
        <v>10700</v>
      </c>
      <c r="AX27" s="235">
        <v>20700</v>
      </c>
      <c r="AY27" s="232">
        <v>11500</v>
      </c>
      <c r="AZ27" s="232">
        <v>12000</v>
      </c>
      <c r="BA27" s="237">
        <v>23500</v>
      </c>
      <c r="BB27" s="45">
        <v>816</v>
      </c>
      <c r="BC27" s="230">
        <v>1091</v>
      </c>
      <c r="BD27" s="230">
        <v>1907</v>
      </c>
      <c r="BE27" s="233">
        <v>916</v>
      </c>
      <c r="BF27" s="233">
        <v>1291</v>
      </c>
      <c r="BG27" s="233">
        <v>2207</v>
      </c>
      <c r="BH27" s="230">
        <v>1016</v>
      </c>
      <c r="BI27" s="230">
        <v>1491</v>
      </c>
      <c r="BJ27" s="230">
        <v>2507</v>
      </c>
      <c r="BK27" s="233">
        <v>1116</v>
      </c>
      <c r="BL27" s="233">
        <v>1691</v>
      </c>
      <c r="BM27" s="231">
        <v>2807</v>
      </c>
      <c r="BN27" s="41">
        <v>3548</v>
      </c>
      <c r="BO27" s="228">
        <v>4828</v>
      </c>
      <c r="BP27" s="228">
        <v>8376</v>
      </c>
      <c r="BQ27" s="236">
        <v>3640</v>
      </c>
      <c r="BR27" s="236">
        <v>3845</v>
      </c>
      <c r="BS27" s="236">
        <v>7485</v>
      </c>
      <c r="BT27" s="228">
        <v>3641</v>
      </c>
      <c r="BU27" s="228">
        <v>3687</v>
      </c>
      <c r="BV27" s="228">
        <v>7328</v>
      </c>
      <c r="BW27" s="236">
        <v>3569</v>
      </c>
      <c r="BX27" s="236">
        <v>3551</v>
      </c>
      <c r="BY27" s="229">
        <v>7120</v>
      </c>
      <c r="BZ27" s="169">
        <v>8502</v>
      </c>
      <c r="CA27" s="170">
        <v>8529</v>
      </c>
      <c r="CB27" s="170">
        <v>17031</v>
      </c>
      <c r="CC27" s="171">
        <v>9443</v>
      </c>
      <c r="CD27" s="171">
        <v>8688</v>
      </c>
      <c r="CE27" s="171">
        <v>18131</v>
      </c>
      <c r="CF27" s="170">
        <v>10897</v>
      </c>
      <c r="CG27" s="170">
        <v>10404</v>
      </c>
      <c r="CH27" s="170">
        <v>21301</v>
      </c>
      <c r="CI27" s="171">
        <v>12049</v>
      </c>
      <c r="CJ27" s="171">
        <v>10847</v>
      </c>
      <c r="CK27" s="172">
        <v>22896</v>
      </c>
      <c r="CL27" s="41">
        <v>9040</v>
      </c>
      <c r="CM27" s="228">
        <v>10223</v>
      </c>
      <c r="CN27" s="228">
        <v>19263</v>
      </c>
      <c r="CO27" s="236">
        <v>8734</v>
      </c>
      <c r="CP27" s="236">
        <v>8734</v>
      </c>
      <c r="CQ27" s="236">
        <v>17468</v>
      </c>
      <c r="CR27" s="228">
        <v>10480</v>
      </c>
      <c r="CS27" s="228">
        <v>10480</v>
      </c>
      <c r="CT27" s="228">
        <v>20960</v>
      </c>
      <c r="CU27" s="236">
        <v>2926</v>
      </c>
      <c r="CV27" s="236">
        <v>3169</v>
      </c>
      <c r="CW27" s="229">
        <v>6095</v>
      </c>
    </row>
    <row r="28" spans="1:101" s="275" customFormat="1" ht="84">
      <c r="A28" s="223" t="s">
        <v>272</v>
      </c>
      <c r="B28" s="276" t="s">
        <v>30</v>
      </c>
      <c r="C28" s="263" t="s">
        <v>44</v>
      </c>
      <c r="D28" s="704"/>
      <c r="E28" s="705"/>
      <c r="F28" s="685">
        <f t="shared" si="5"/>
        <v>1739</v>
      </c>
      <c r="G28" s="683"/>
      <c r="H28" s="684"/>
      <c r="I28" s="685">
        <f t="shared" si="5"/>
        <v>1750</v>
      </c>
      <c r="J28" s="683"/>
      <c r="K28" s="684"/>
      <c r="L28" s="685">
        <f t="shared" si="5"/>
        <v>2094</v>
      </c>
      <c r="M28" s="683"/>
      <c r="N28" s="684"/>
      <c r="O28" s="685">
        <f t="shared" si="5"/>
        <v>2731</v>
      </c>
      <c r="P28" s="683"/>
      <c r="Q28" s="683"/>
      <c r="R28" s="682">
        <v>59</v>
      </c>
      <c r="S28" s="683"/>
      <c r="T28" s="684"/>
      <c r="U28" s="685">
        <v>80</v>
      </c>
      <c r="V28" s="683"/>
      <c r="W28" s="684"/>
      <c r="X28" s="685">
        <v>90</v>
      </c>
      <c r="Y28" s="683"/>
      <c r="Z28" s="684"/>
      <c r="AA28" s="685">
        <v>100</v>
      </c>
      <c r="AB28" s="683"/>
      <c r="AC28" s="686"/>
      <c r="AD28" s="682">
        <v>222</v>
      </c>
      <c r="AE28" s="683"/>
      <c r="AF28" s="684"/>
      <c r="AG28" s="685">
        <v>272</v>
      </c>
      <c r="AH28" s="683"/>
      <c r="AI28" s="684"/>
      <c r="AJ28" s="685">
        <v>322</v>
      </c>
      <c r="AK28" s="683"/>
      <c r="AL28" s="684"/>
      <c r="AM28" s="685">
        <v>372</v>
      </c>
      <c r="AN28" s="683"/>
      <c r="AO28" s="686"/>
      <c r="AP28" s="693">
        <v>351</v>
      </c>
      <c r="AQ28" s="694"/>
      <c r="AR28" s="695"/>
      <c r="AS28" s="690">
        <v>85</v>
      </c>
      <c r="AT28" s="691"/>
      <c r="AU28" s="699"/>
      <c r="AV28" s="690">
        <v>115</v>
      </c>
      <c r="AW28" s="691"/>
      <c r="AX28" s="699"/>
      <c r="AY28" s="690">
        <v>200</v>
      </c>
      <c r="AZ28" s="691"/>
      <c r="BA28" s="692"/>
      <c r="BB28" s="682">
        <v>67</v>
      </c>
      <c r="BC28" s="683"/>
      <c r="BD28" s="684"/>
      <c r="BE28" s="685">
        <v>96</v>
      </c>
      <c r="BF28" s="683"/>
      <c r="BG28" s="684"/>
      <c r="BH28" s="685">
        <v>105</v>
      </c>
      <c r="BI28" s="683"/>
      <c r="BJ28" s="684"/>
      <c r="BK28" s="685">
        <v>144</v>
      </c>
      <c r="BL28" s="683"/>
      <c r="BM28" s="686"/>
      <c r="BN28" s="682">
        <v>52</v>
      </c>
      <c r="BO28" s="683"/>
      <c r="BP28" s="684"/>
      <c r="BQ28" s="685">
        <v>54</v>
      </c>
      <c r="BR28" s="683"/>
      <c r="BS28" s="684"/>
      <c r="BT28" s="685">
        <v>60</v>
      </c>
      <c r="BU28" s="683"/>
      <c r="BV28" s="684"/>
      <c r="BW28" s="685">
        <v>66</v>
      </c>
      <c r="BX28" s="683"/>
      <c r="BY28" s="686"/>
      <c r="BZ28" s="682">
        <v>591</v>
      </c>
      <c r="CA28" s="680"/>
      <c r="CB28" s="687"/>
      <c r="CC28" s="679">
        <v>663</v>
      </c>
      <c r="CD28" s="680"/>
      <c r="CE28" s="687"/>
      <c r="CF28" s="685">
        <v>732</v>
      </c>
      <c r="CG28" s="680"/>
      <c r="CH28" s="687"/>
      <c r="CI28" s="679">
        <v>900</v>
      </c>
      <c r="CJ28" s="680"/>
      <c r="CK28" s="681"/>
      <c r="CL28" s="682">
        <v>397</v>
      </c>
      <c r="CM28" s="683"/>
      <c r="CN28" s="684"/>
      <c r="CO28" s="685">
        <v>500</v>
      </c>
      <c r="CP28" s="683"/>
      <c r="CQ28" s="684"/>
      <c r="CR28" s="685">
        <v>670</v>
      </c>
      <c r="CS28" s="683"/>
      <c r="CT28" s="684"/>
      <c r="CU28" s="685">
        <v>949</v>
      </c>
      <c r="CV28" s="683"/>
      <c r="CW28" s="686"/>
    </row>
    <row r="29" spans="1:101" s="275" customFormat="1" ht="84.75" thickBot="1">
      <c r="A29" s="223" t="s">
        <v>272</v>
      </c>
      <c r="B29" s="282"/>
      <c r="C29" s="283" t="s">
        <v>45</v>
      </c>
      <c r="D29" s="704"/>
      <c r="E29" s="705"/>
      <c r="F29" s="661">
        <f t="shared" si="5"/>
        <v>1446</v>
      </c>
      <c r="G29" s="662"/>
      <c r="H29" s="663"/>
      <c r="I29" s="661">
        <f t="shared" si="5"/>
        <v>1923</v>
      </c>
      <c r="J29" s="662"/>
      <c r="K29" s="663"/>
      <c r="L29" s="661">
        <f t="shared" si="5"/>
        <v>1950</v>
      </c>
      <c r="M29" s="662"/>
      <c r="N29" s="663"/>
      <c r="O29" s="661">
        <f t="shared" si="5"/>
        <v>2203</v>
      </c>
      <c r="P29" s="662"/>
      <c r="Q29" s="662"/>
      <c r="R29" s="665">
        <v>10</v>
      </c>
      <c r="S29" s="662"/>
      <c r="T29" s="663"/>
      <c r="U29" s="661">
        <v>50</v>
      </c>
      <c r="V29" s="662"/>
      <c r="W29" s="663"/>
      <c r="X29" s="661">
        <v>50</v>
      </c>
      <c r="Y29" s="662"/>
      <c r="Z29" s="663"/>
      <c r="AA29" s="661">
        <v>55</v>
      </c>
      <c r="AB29" s="662"/>
      <c r="AC29" s="664"/>
      <c r="AD29" s="665">
        <v>522</v>
      </c>
      <c r="AE29" s="662"/>
      <c r="AF29" s="663"/>
      <c r="AG29" s="661">
        <v>567</v>
      </c>
      <c r="AH29" s="662"/>
      <c r="AI29" s="663"/>
      <c r="AJ29" s="661">
        <v>612</v>
      </c>
      <c r="AK29" s="662"/>
      <c r="AL29" s="663"/>
      <c r="AM29" s="661">
        <v>650</v>
      </c>
      <c r="AN29" s="662"/>
      <c r="AO29" s="664"/>
      <c r="AP29" s="696"/>
      <c r="AQ29" s="697"/>
      <c r="AR29" s="698"/>
      <c r="AS29" s="669">
        <v>350</v>
      </c>
      <c r="AT29" s="670"/>
      <c r="AU29" s="688"/>
      <c r="AV29" s="669">
        <v>402</v>
      </c>
      <c r="AW29" s="670"/>
      <c r="AX29" s="688"/>
      <c r="AY29" s="669">
        <v>500</v>
      </c>
      <c r="AZ29" s="670"/>
      <c r="BA29" s="671"/>
      <c r="BB29" s="665">
        <v>70</v>
      </c>
      <c r="BC29" s="662"/>
      <c r="BD29" s="663"/>
      <c r="BE29" s="661">
        <v>96</v>
      </c>
      <c r="BF29" s="662"/>
      <c r="BG29" s="663"/>
      <c r="BH29" s="661">
        <v>108</v>
      </c>
      <c r="BI29" s="662"/>
      <c r="BJ29" s="663"/>
      <c r="BK29" s="661">
        <v>145</v>
      </c>
      <c r="BL29" s="662"/>
      <c r="BM29" s="664"/>
      <c r="BN29" s="665"/>
      <c r="BO29" s="662"/>
      <c r="BP29" s="663"/>
      <c r="BQ29" s="661">
        <v>25</v>
      </c>
      <c r="BR29" s="662"/>
      <c r="BS29" s="663"/>
      <c r="BT29" s="661">
        <v>25</v>
      </c>
      <c r="BU29" s="662"/>
      <c r="BV29" s="663"/>
      <c r="BW29" s="661">
        <v>25</v>
      </c>
      <c r="BX29" s="662"/>
      <c r="BY29" s="664"/>
      <c r="BZ29" s="665">
        <v>591</v>
      </c>
      <c r="CA29" s="666"/>
      <c r="CB29" s="667"/>
      <c r="CC29" s="668">
        <v>535</v>
      </c>
      <c r="CD29" s="666"/>
      <c r="CE29" s="667"/>
      <c r="CF29" s="661">
        <v>549</v>
      </c>
      <c r="CG29" s="666"/>
      <c r="CH29" s="667"/>
      <c r="CI29" s="668">
        <v>723</v>
      </c>
      <c r="CJ29" s="666"/>
      <c r="CK29" s="689"/>
      <c r="CL29" s="665">
        <v>253</v>
      </c>
      <c r="CM29" s="662"/>
      <c r="CN29" s="663"/>
      <c r="CO29" s="661">
        <v>300</v>
      </c>
      <c r="CP29" s="662"/>
      <c r="CQ29" s="663"/>
      <c r="CR29" s="661">
        <v>204</v>
      </c>
      <c r="CS29" s="662"/>
      <c r="CT29" s="663"/>
      <c r="CU29" s="661">
        <v>105</v>
      </c>
      <c r="CV29" s="662"/>
      <c r="CW29" s="664"/>
    </row>
    <row r="30" spans="1:101" s="13" customFormat="1" ht="36">
      <c r="A30" s="223"/>
      <c r="B30" s="702" t="s">
        <v>31</v>
      </c>
      <c r="C30" s="32" t="s">
        <v>46</v>
      </c>
      <c r="D30" s="14"/>
      <c r="E30" s="14"/>
      <c r="F30" s="209">
        <f t="shared" si="5"/>
        <v>35953</v>
      </c>
      <c r="G30" s="209">
        <f>SUM(S30,AE30,AQ30,BC30,BO30,CA30,CM30)</f>
        <v>39452</v>
      </c>
      <c r="H30" s="209">
        <f>SUM(T30,AF30,AR30,BD30,BP30,CB30,CN30)</f>
        <v>75405</v>
      </c>
      <c r="I30" s="211">
        <f t="shared" si="5"/>
        <v>60347.896000000001</v>
      </c>
      <c r="J30" s="211">
        <f>SUM(V30,AH30,AT30,BF30,BR30,CD30,CP30)</f>
        <v>68143.754000000001</v>
      </c>
      <c r="K30" s="211">
        <f>SUM(W30,AI30,AU30,BG30,BS30,CE30,CQ30)</f>
        <v>128491.65</v>
      </c>
      <c r="L30" s="209">
        <f t="shared" si="5"/>
        <v>56516.46</v>
      </c>
      <c r="M30" s="209">
        <f>SUM(Y30,AK30,AW30,BI30,BU30,CG30,CS30)</f>
        <v>63596.59</v>
      </c>
      <c r="N30" s="209">
        <f>SUM(Z30,AL30,AX30,BJ30,BV30,CH30,CT30)</f>
        <v>120113.05</v>
      </c>
      <c r="O30" s="211">
        <f t="shared" si="5"/>
        <v>68914.527999999991</v>
      </c>
      <c r="P30" s="211">
        <f>SUM(AB30,AN30,AZ30,BL30,BX30,CJ30,CV30)</f>
        <v>76223.358000000007</v>
      </c>
      <c r="Q30" s="210">
        <f>SUM(AC30,AO30,BA30,BM30,BY30,CK30,CW30)</f>
        <v>145137.886</v>
      </c>
      <c r="R30" s="47"/>
      <c r="S30" s="212"/>
      <c r="T30" s="212"/>
      <c r="U30" s="219">
        <v>440</v>
      </c>
      <c r="V30" s="219">
        <v>560</v>
      </c>
      <c r="W30" s="219">
        <v>1000</v>
      </c>
      <c r="X30" s="212">
        <v>528</v>
      </c>
      <c r="Y30" s="212">
        <v>672</v>
      </c>
      <c r="Z30" s="212">
        <v>1200</v>
      </c>
      <c r="AA30" s="219">
        <v>572</v>
      </c>
      <c r="AB30" s="219">
        <v>728</v>
      </c>
      <c r="AC30" s="220">
        <v>1300</v>
      </c>
      <c r="AD30" s="48">
        <v>10625</v>
      </c>
      <c r="AE30" s="218">
        <v>11628</v>
      </c>
      <c r="AF30" s="218">
        <v>22253</v>
      </c>
      <c r="AG30" s="221">
        <v>10933</v>
      </c>
      <c r="AH30" s="221">
        <v>11949</v>
      </c>
      <c r="AI30" s="221">
        <v>22882</v>
      </c>
      <c r="AJ30" s="218">
        <v>11241</v>
      </c>
      <c r="AK30" s="218">
        <v>12270</v>
      </c>
      <c r="AL30" s="218">
        <v>23511</v>
      </c>
      <c r="AM30" s="221">
        <v>11549</v>
      </c>
      <c r="AN30" s="221">
        <v>12591</v>
      </c>
      <c r="AO30" s="222">
        <v>24140</v>
      </c>
      <c r="AP30" s="98"/>
      <c r="AQ30" s="216"/>
      <c r="AR30" s="216"/>
      <c r="AS30" s="214">
        <v>12200</v>
      </c>
      <c r="AT30" s="214">
        <v>14000</v>
      </c>
      <c r="AU30" s="214">
        <v>26200</v>
      </c>
      <c r="AV30" s="216">
        <v>13800</v>
      </c>
      <c r="AW30" s="216">
        <v>15200</v>
      </c>
      <c r="AX30" s="216">
        <v>29000</v>
      </c>
      <c r="AY30" s="214">
        <v>19000</v>
      </c>
      <c r="AZ30" s="214">
        <v>20000</v>
      </c>
      <c r="BA30" s="217">
        <v>39000</v>
      </c>
      <c r="BB30" s="48"/>
      <c r="BC30" s="218"/>
      <c r="BD30" s="218"/>
      <c r="BE30" s="221">
        <v>4324</v>
      </c>
      <c r="BF30" s="221">
        <v>5378</v>
      </c>
      <c r="BG30" s="221">
        <v>9702</v>
      </c>
      <c r="BH30" s="218">
        <v>4142</v>
      </c>
      <c r="BI30" s="218">
        <v>5065</v>
      </c>
      <c r="BJ30" s="218">
        <v>9207</v>
      </c>
      <c r="BK30" s="221">
        <v>4968</v>
      </c>
      <c r="BL30" s="221">
        <v>7578</v>
      </c>
      <c r="BM30" s="222">
        <v>12546</v>
      </c>
      <c r="BN30" s="47"/>
      <c r="BO30" s="212"/>
      <c r="BP30" s="212"/>
      <c r="BQ30" s="219">
        <v>2758.8959999999997</v>
      </c>
      <c r="BR30" s="219">
        <v>3141.7539999999999</v>
      </c>
      <c r="BS30" s="219">
        <v>5900.65</v>
      </c>
      <c r="BT30" s="212">
        <v>2777.4599999999996</v>
      </c>
      <c r="BU30" s="212">
        <v>3068.5899999999997</v>
      </c>
      <c r="BV30" s="212">
        <v>5846.0499999999993</v>
      </c>
      <c r="BW30" s="219">
        <v>2754.5279999999998</v>
      </c>
      <c r="BX30" s="219">
        <v>3018.3579999999997</v>
      </c>
      <c r="BY30" s="220">
        <v>5772.8859999999995</v>
      </c>
      <c r="BZ30" s="173">
        <v>9391</v>
      </c>
      <c r="CA30" s="174">
        <v>10464</v>
      </c>
      <c r="CB30" s="174">
        <v>19855</v>
      </c>
      <c r="CC30" s="175">
        <v>14392</v>
      </c>
      <c r="CD30" s="175">
        <v>17815</v>
      </c>
      <c r="CE30" s="175">
        <v>32207</v>
      </c>
      <c r="CF30" s="174">
        <v>13430</v>
      </c>
      <c r="CG30" s="174">
        <v>16723</v>
      </c>
      <c r="CH30" s="174">
        <v>30153</v>
      </c>
      <c r="CI30" s="175">
        <v>14771</v>
      </c>
      <c r="CJ30" s="175">
        <v>17008</v>
      </c>
      <c r="CK30" s="176">
        <v>31779</v>
      </c>
      <c r="CL30" s="47">
        <v>15937</v>
      </c>
      <c r="CM30" s="212">
        <v>17360</v>
      </c>
      <c r="CN30" s="212">
        <v>33297</v>
      </c>
      <c r="CO30" s="219">
        <v>15300</v>
      </c>
      <c r="CP30" s="219">
        <v>15300</v>
      </c>
      <c r="CQ30" s="219">
        <v>30600</v>
      </c>
      <c r="CR30" s="212">
        <v>10598</v>
      </c>
      <c r="CS30" s="212">
        <v>10598</v>
      </c>
      <c r="CT30" s="212">
        <v>21196</v>
      </c>
      <c r="CU30" s="219">
        <v>15300</v>
      </c>
      <c r="CV30" s="219">
        <v>15300</v>
      </c>
      <c r="CW30" s="220">
        <v>30600</v>
      </c>
    </row>
    <row r="31" spans="1:101" s="13" customFormat="1" ht="24.75" thickBot="1">
      <c r="A31" s="223"/>
      <c r="B31" s="703"/>
      <c r="C31" s="33" t="s">
        <v>32</v>
      </c>
      <c r="D31" s="638"/>
      <c r="E31" s="639"/>
      <c r="F31" s="658">
        <f t="shared" si="5"/>
        <v>909</v>
      </c>
      <c r="G31" s="659"/>
      <c r="H31" s="660"/>
      <c r="I31" s="677">
        <f t="shared" si="5"/>
        <v>940</v>
      </c>
      <c r="J31" s="678"/>
      <c r="K31" s="706"/>
      <c r="L31" s="658">
        <f t="shared" si="5"/>
        <v>995</v>
      </c>
      <c r="M31" s="659"/>
      <c r="N31" s="660"/>
      <c r="O31" s="677">
        <f t="shared" si="5"/>
        <v>1201</v>
      </c>
      <c r="P31" s="678"/>
      <c r="Q31" s="678"/>
      <c r="R31" s="627">
        <v>104</v>
      </c>
      <c r="S31" s="628"/>
      <c r="T31" s="629"/>
      <c r="U31" s="630">
        <v>42</v>
      </c>
      <c r="V31" s="631"/>
      <c r="W31" s="632"/>
      <c r="X31" s="633">
        <v>47</v>
      </c>
      <c r="Y31" s="628"/>
      <c r="Z31" s="629"/>
      <c r="AA31" s="630">
        <v>52</v>
      </c>
      <c r="AB31" s="631"/>
      <c r="AC31" s="634"/>
      <c r="AD31" s="644">
        <v>162</v>
      </c>
      <c r="AE31" s="653"/>
      <c r="AF31" s="654"/>
      <c r="AG31" s="624">
        <v>182</v>
      </c>
      <c r="AH31" s="655"/>
      <c r="AI31" s="656"/>
      <c r="AJ31" s="649">
        <v>191</v>
      </c>
      <c r="AK31" s="653"/>
      <c r="AL31" s="654"/>
      <c r="AM31" s="624">
        <v>200</v>
      </c>
      <c r="AN31" s="655"/>
      <c r="AO31" s="657"/>
      <c r="AP31" s="672">
        <v>33</v>
      </c>
      <c r="AQ31" s="673"/>
      <c r="AR31" s="674"/>
      <c r="AS31" s="650">
        <v>71</v>
      </c>
      <c r="AT31" s="651"/>
      <c r="AU31" s="675"/>
      <c r="AV31" s="676">
        <v>80</v>
      </c>
      <c r="AW31" s="673"/>
      <c r="AX31" s="674"/>
      <c r="AY31" s="650">
        <v>175</v>
      </c>
      <c r="AZ31" s="651"/>
      <c r="BA31" s="652"/>
      <c r="BB31" s="644"/>
      <c r="BC31" s="653"/>
      <c r="BD31" s="654"/>
      <c r="BE31" s="624">
        <v>70</v>
      </c>
      <c r="BF31" s="655"/>
      <c r="BG31" s="656"/>
      <c r="BH31" s="649">
        <v>73</v>
      </c>
      <c r="BI31" s="653"/>
      <c r="BJ31" s="654"/>
      <c r="BK31" s="624">
        <v>140</v>
      </c>
      <c r="BL31" s="655"/>
      <c r="BM31" s="657"/>
      <c r="BN31" s="627">
        <v>0</v>
      </c>
      <c r="BO31" s="628"/>
      <c r="BP31" s="629"/>
      <c r="BQ31" s="630">
        <v>20</v>
      </c>
      <c r="BR31" s="631"/>
      <c r="BS31" s="632"/>
      <c r="BT31" s="633">
        <v>25</v>
      </c>
      <c r="BU31" s="628"/>
      <c r="BV31" s="629"/>
      <c r="BW31" s="630">
        <v>30</v>
      </c>
      <c r="BX31" s="631"/>
      <c r="BY31" s="634"/>
      <c r="BZ31" s="644">
        <v>320</v>
      </c>
      <c r="CA31" s="645"/>
      <c r="CB31" s="646"/>
      <c r="CC31" s="647">
        <v>255</v>
      </c>
      <c r="CD31" s="625"/>
      <c r="CE31" s="648"/>
      <c r="CF31" s="649">
        <v>254</v>
      </c>
      <c r="CG31" s="645"/>
      <c r="CH31" s="646"/>
      <c r="CI31" s="624">
        <v>304</v>
      </c>
      <c r="CJ31" s="625"/>
      <c r="CK31" s="626"/>
      <c r="CL31" s="627">
        <v>290</v>
      </c>
      <c r="CM31" s="628"/>
      <c r="CN31" s="629"/>
      <c r="CO31" s="630">
        <v>300</v>
      </c>
      <c r="CP31" s="631"/>
      <c r="CQ31" s="632"/>
      <c r="CR31" s="633">
        <v>325</v>
      </c>
      <c r="CS31" s="628"/>
      <c r="CT31" s="629"/>
      <c r="CU31" s="630">
        <v>300</v>
      </c>
      <c r="CV31" s="631"/>
      <c r="CW31" s="634"/>
    </row>
    <row r="32" spans="1:101" s="13" customFormat="1" ht="24">
      <c r="A32" s="223"/>
      <c r="B32" s="635" t="s">
        <v>33</v>
      </c>
      <c r="C32" s="32" t="s">
        <v>34</v>
      </c>
      <c r="D32" s="638"/>
      <c r="E32" s="639"/>
      <c r="F32" s="640">
        <f t="shared" si="5"/>
        <v>7090</v>
      </c>
      <c r="G32" s="641"/>
      <c r="H32" s="642"/>
      <c r="I32" s="622">
        <f t="shared" si="5"/>
        <v>7322</v>
      </c>
      <c r="J32" s="623"/>
      <c r="K32" s="643"/>
      <c r="L32" s="640">
        <f t="shared" si="5"/>
        <v>7629.1</v>
      </c>
      <c r="M32" s="641"/>
      <c r="N32" s="642"/>
      <c r="O32" s="622">
        <f t="shared" si="5"/>
        <v>8636</v>
      </c>
      <c r="P32" s="623"/>
      <c r="Q32" s="623"/>
      <c r="R32" s="591">
        <v>736</v>
      </c>
      <c r="S32" s="592"/>
      <c r="T32" s="593"/>
      <c r="U32" s="594">
        <v>800</v>
      </c>
      <c r="V32" s="595"/>
      <c r="W32" s="596"/>
      <c r="X32" s="597">
        <v>880</v>
      </c>
      <c r="Y32" s="592"/>
      <c r="Z32" s="593"/>
      <c r="AA32" s="594">
        <v>930</v>
      </c>
      <c r="AB32" s="595"/>
      <c r="AC32" s="598"/>
      <c r="AD32" s="607">
        <v>1559</v>
      </c>
      <c r="AE32" s="615"/>
      <c r="AF32" s="616"/>
      <c r="AG32" s="588">
        <v>1628</v>
      </c>
      <c r="AH32" s="589"/>
      <c r="AI32" s="610"/>
      <c r="AJ32" s="611">
        <v>1662</v>
      </c>
      <c r="AK32" s="615"/>
      <c r="AL32" s="616"/>
      <c r="AM32" s="588">
        <v>1992</v>
      </c>
      <c r="AN32" s="589"/>
      <c r="AO32" s="590"/>
      <c r="AP32" s="617">
        <v>861</v>
      </c>
      <c r="AQ32" s="618"/>
      <c r="AR32" s="619"/>
      <c r="AS32" s="612">
        <v>934</v>
      </c>
      <c r="AT32" s="613"/>
      <c r="AU32" s="620"/>
      <c r="AV32" s="621">
        <v>1000</v>
      </c>
      <c r="AW32" s="618"/>
      <c r="AX32" s="619"/>
      <c r="AY32" s="612">
        <v>1100</v>
      </c>
      <c r="AZ32" s="613"/>
      <c r="BA32" s="614"/>
      <c r="BB32" s="607">
        <v>289</v>
      </c>
      <c r="BC32" s="615"/>
      <c r="BD32" s="616"/>
      <c r="BE32" s="588">
        <v>381</v>
      </c>
      <c r="BF32" s="589"/>
      <c r="BG32" s="610"/>
      <c r="BH32" s="611">
        <v>436</v>
      </c>
      <c r="BI32" s="615"/>
      <c r="BJ32" s="616"/>
      <c r="BK32" s="588">
        <v>546</v>
      </c>
      <c r="BL32" s="589"/>
      <c r="BM32" s="590"/>
      <c r="BN32" s="591">
        <v>664</v>
      </c>
      <c r="BO32" s="592"/>
      <c r="BP32" s="593"/>
      <c r="BQ32" s="594">
        <v>665</v>
      </c>
      <c r="BR32" s="595"/>
      <c r="BS32" s="596"/>
      <c r="BT32" s="597">
        <v>704</v>
      </c>
      <c r="BU32" s="592"/>
      <c r="BV32" s="593"/>
      <c r="BW32" s="594">
        <v>740</v>
      </c>
      <c r="BX32" s="595"/>
      <c r="BY32" s="598"/>
      <c r="BZ32" s="607">
        <v>1906</v>
      </c>
      <c r="CA32" s="608"/>
      <c r="CB32" s="609"/>
      <c r="CC32" s="588">
        <v>1886</v>
      </c>
      <c r="CD32" s="589"/>
      <c r="CE32" s="610"/>
      <c r="CF32" s="611">
        <v>1917.1</v>
      </c>
      <c r="CG32" s="608"/>
      <c r="CH32" s="609"/>
      <c r="CI32" s="588">
        <v>2468</v>
      </c>
      <c r="CJ32" s="589"/>
      <c r="CK32" s="590"/>
      <c r="CL32" s="591">
        <v>1075</v>
      </c>
      <c r="CM32" s="592"/>
      <c r="CN32" s="593"/>
      <c r="CO32" s="594">
        <v>1028</v>
      </c>
      <c r="CP32" s="595"/>
      <c r="CQ32" s="596"/>
      <c r="CR32" s="597">
        <v>1030</v>
      </c>
      <c r="CS32" s="592"/>
      <c r="CT32" s="593"/>
      <c r="CU32" s="594">
        <v>860</v>
      </c>
      <c r="CV32" s="595"/>
      <c r="CW32" s="598"/>
    </row>
    <row r="33" spans="1:101" s="7" customFormat="1" ht="24">
      <c r="A33" s="223"/>
      <c r="B33" s="636"/>
      <c r="C33" s="6" t="s">
        <v>35</v>
      </c>
      <c r="D33" s="599"/>
      <c r="E33" s="600"/>
      <c r="F33" s="601">
        <f>F32/F8</f>
        <v>0.58619264158743278</v>
      </c>
      <c r="G33" s="602"/>
      <c r="H33" s="603"/>
      <c r="I33" s="604">
        <f t="shared" ref="I33" si="6">I32/I8</f>
        <v>0.61862115579587695</v>
      </c>
      <c r="J33" s="605"/>
      <c r="K33" s="606"/>
      <c r="L33" s="601">
        <f t="shared" ref="L33" si="7">L32/L8</f>
        <v>0.63650091773736028</v>
      </c>
      <c r="M33" s="602"/>
      <c r="N33" s="603"/>
      <c r="O33" s="604">
        <f t="shared" ref="O33" si="8">O32/O8</f>
        <v>0.7040026086247656</v>
      </c>
      <c r="P33" s="605"/>
      <c r="Q33" s="605"/>
      <c r="R33" s="580">
        <v>0.77719112988384376</v>
      </c>
      <c r="S33" s="581"/>
      <c r="T33" s="582"/>
      <c r="U33" s="583">
        <v>0.90497737556561086</v>
      </c>
      <c r="V33" s="584"/>
      <c r="W33" s="585"/>
      <c r="X33" s="586">
        <v>0.93220338983050843</v>
      </c>
      <c r="Y33" s="581"/>
      <c r="Z33" s="582"/>
      <c r="AA33" s="583">
        <v>0.92629482071713143</v>
      </c>
      <c r="AB33" s="584"/>
      <c r="AC33" s="587"/>
      <c r="AD33" s="564">
        <v>0.97</v>
      </c>
      <c r="AE33" s="565"/>
      <c r="AF33" s="566"/>
      <c r="AG33" s="567">
        <v>0.97</v>
      </c>
      <c r="AH33" s="568"/>
      <c r="AI33" s="569"/>
      <c r="AJ33" s="570">
        <v>0.97</v>
      </c>
      <c r="AK33" s="565"/>
      <c r="AL33" s="566"/>
      <c r="AM33" s="567">
        <v>0.97</v>
      </c>
      <c r="AN33" s="568"/>
      <c r="AO33" s="571"/>
      <c r="AP33" s="572">
        <v>0.5</v>
      </c>
      <c r="AQ33" s="573"/>
      <c r="AR33" s="574"/>
      <c r="AS33" s="575">
        <v>0.51</v>
      </c>
      <c r="AT33" s="576"/>
      <c r="AU33" s="577"/>
      <c r="AV33" s="578">
        <v>0.54</v>
      </c>
      <c r="AW33" s="573"/>
      <c r="AX33" s="574"/>
      <c r="AY33" s="575">
        <v>0.56999999999999995</v>
      </c>
      <c r="AZ33" s="576"/>
      <c r="BA33" s="579"/>
      <c r="BB33" s="564">
        <v>0.58859470468431774</v>
      </c>
      <c r="BC33" s="565"/>
      <c r="BD33" s="566"/>
      <c r="BE33" s="567">
        <v>0.6</v>
      </c>
      <c r="BF33" s="568"/>
      <c r="BG33" s="569"/>
      <c r="BH33" s="570">
        <v>0.63</v>
      </c>
      <c r="BI33" s="565"/>
      <c r="BJ33" s="566"/>
      <c r="BK33" s="567">
        <v>0.68</v>
      </c>
      <c r="BL33" s="568"/>
      <c r="BM33" s="571"/>
      <c r="BN33" s="548">
        <v>0.59</v>
      </c>
      <c r="BO33" s="549"/>
      <c r="BP33" s="550"/>
      <c r="BQ33" s="551">
        <v>0.6</v>
      </c>
      <c r="BR33" s="552"/>
      <c r="BS33" s="553"/>
      <c r="BT33" s="554">
        <v>0.65</v>
      </c>
      <c r="BU33" s="549"/>
      <c r="BV33" s="550"/>
      <c r="BW33" s="551">
        <v>0.7</v>
      </c>
      <c r="BX33" s="552"/>
      <c r="BY33" s="555"/>
      <c r="BZ33" s="564">
        <v>0.55927230046948362</v>
      </c>
      <c r="CA33" s="565"/>
      <c r="CB33" s="566"/>
      <c r="CC33" s="567">
        <v>0.71009036144578308</v>
      </c>
      <c r="CD33" s="568"/>
      <c r="CE33" s="569"/>
      <c r="CF33" s="570">
        <v>0.71640508221225707</v>
      </c>
      <c r="CG33" s="565"/>
      <c r="CH33" s="566"/>
      <c r="CI33" s="567">
        <v>0.91543026706231456</v>
      </c>
      <c r="CJ33" s="568"/>
      <c r="CK33" s="571"/>
      <c r="CL33" s="548">
        <v>0.55000000000000004</v>
      </c>
      <c r="CM33" s="549"/>
      <c r="CN33" s="550"/>
      <c r="CO33" s="551">
        <v>0.6</v>
      </c>
      <c r="CP33" s="552"/>
      <c r="CQ33" s="553"/>
      <c r="CR33" s="554">
        <v>0.7</v>
      </c>
      <c r="CS33" s="549"/>
      <c r="CT33" s="550"/>
      <c r="CU33" s="551">
        <v>0.9</v>
      </c>
      <c r="CV33" s="552"/>
      <c r="CW33" s="555"/>
    </row>
    <row r="34" spans="1:101" ht="24">
      <c r="A34" s="223"/>
      <c r="B34" s="636"/>
      <c r="C34" s="5" t="s">
        <v>36</v>
      </c>
      <c r="D34" s="556"/>
      <c r="E34" s="557"/>
      <c r="F34" s="558">
        <f>SUM(R34,AD34,AP34,BB34,BN34,BZ34,CL34)</f>
        <v>1938</v>
      </c>
      <c r="G34" s="559"/>
      <c r="H34" s="560"/>
      <c r="I34" s="561">
        <f>SUM(U34,AG34,AS34,BE34,BQ34,CC34,CO34)</f>
        <v>2753</v>
      </c>
      <c r="J34" s="562"/>
      <c r="K34" s="563"/>
      <c r="L34" s="558">
        <f>SUM(X34,AJ34,AV34,BH34,BT34,CF34,CR34)</f>
        <v>3337</v>
      </c>
      <c r="M34" s="559"/>
      <c r="N34" s="560"/>
      <c r="O34" s="561">
        <f>SUM(AA34,AM34,AY34,BK34,BW34,CI34,CU34)</f>
        <v>3508</v>
      </c>
      <c r="P34" s="562"/>
      <c r="Q34" s="562"/>
      <c r="R34" s="533">
        <v>123</v>
      </c>
      <c r="S34" s="514"/>
      <c r="T34" s="515"/>
      <c r="U34" s="510">
        <v>150</v>
      </c>
      <c r="V34" s="511"/>
      <c r="W34" s="512"/>
      <c r="X34" s="513">
        <v>180</v>
      </c>
      <c r="Y34" s="514"/>
      <c r="Z34" s="515"/>
      <c r="AA34" s="510">
        <v>190</v>
      </c>
      <c r="AB34" s="511"/>
      <c r="AC34" s="516"/>
      <c r="AD34" s="547">
        <v>453</v>
      </c>
      <c r="AE34" s="526"/>
      <c r="AF34" s="527"/>
      <c r="AG34" s="534">
        <v>504</v>
      </c>
      <c r="AH34" s="535"/>
      <c r="AI34" s="536"/>
      <c r="AJ34" s="537">
        <v>551</v>
      </c>
      <c r="AK34" s="526"/>
      <c r="AL34" s="527"/>
      <c r="AM34" s="534">
        <v>701</v>
      </c>
      <c r="AN34" s="535"/>
      <c r="AO34" s="538"/>
      <c r="AP34" s="539">
        <v>102</v>
      </c>
      <c r="AQ34" s="540"/>
      <c r="AR34" s="541"/>
      <c r="AS34" s="542">
        <v>300</v>
      </c>
      <c r="AT34" s="543"/>
      <c r="AU34" s="544"/>
      <c r="AV34" s="545">
        <v>410</v>
      </c>
      <c r="AW34" s="540"/>
      <c r="AX34" s="541"/>
      <c r="AY34" s="542">
        <v>590</v>
      </c>
      <c r="AZ34" s="543"/>
      <c r="BA34" s="546"/>
      <c r="BB34" s="547">
        <v>106</v>
      </c>
      <c r="BC34" s="526"/>
      <c r="BD34" s="527"/>
      <c r="BE34" s="534">
        <v>254</v>
      </c>
      <c r="BF34" s="535"/>
      <c r="BG34" s="536"/>
      <c r="BH34" s="537">
        <v>256</v>
      </c>
      <c r="BI34" s="526"/>
      <c r="BJ34" s="527"/>
      <c r="BK34" s="534">
        <v>256</v>
      </c>
      <c r="BL34" s="535"/>
      <c r="BM34" s="538"/>
      <c r="BN34" s="533">
        <v>129</v>
      </c>
      <c r="BO34" s="514"/>
      <c r="BP34" s="515"/>
      <c r="BQ34" s="510">
        <v>144</v>
      </c>
      <c r="BR34" s="511"/>
      <c r="BS34" s="512"/>
      <c r="BT34" s="513">
        <v>152</v>
      </c>
      <c r="BU34" s="514"/>
      <c r="BV34" s="515"/>
      <c r="BW34" s="510">
        <v>159</v>
      </c>
      <c r="BX34" s="511"/>
      <c r="BY34" s="516"/>
      <c r="BZ34" s="525">
        <v>635</v>
      </c>
      <c r="CA34" s="526"/>
      <c r="CB34" s="527"/>
      <c r="CC34" s="528">
        <v>973</v>
      </c>
      <c r="CD34" s="529"/>
      <c r="CE34" s="530"/>
      <c r="CF34" s="531">
        <v>1188</v>
      </c>
      <c r="CG34" s="526"/>
      <c r="CH34" s="527"/>
      <c r="CI34" s="528">
        <v>1277</v>
      </c>
      <c r="CJ34" s="529"/>
      <c r="CK34" s="532"/>
      <c r="CL34" s="533">
        <v>390</v>
      </c>
      <c r="CM34" s="514"/>
      <c r="CN34" s="515"/>
      <c r="CO34" s="510">
        <v>428</v>
      </c>
      <c r="CP34" s="511"/>
      <c r="CQ34" s="512"/>
      <c r="CR34" s="513">
        <v>600</v>
      </c>
      <c r="CS34" s="514"/>
      <c r="CT34" s="515"/>
      <c r="CU34" s="510">
        <v>335</v>
      </c>
      <c r="CV34" s="511"/>
      <c r="CW34" s="516"/>
    </row>
    <row r="35" spans="1:101" s="7" customFormat="1" ht="24.75" thickBot="1">
      <c r="A35" s="224"/>
      <c r="B35" s="637"/>
      <c r="C35" s="8" t="s">
        <v>37</v>
      </c>
      <c r="D35" s="517"/>
      <c r="E35" s="518"/>
      <c r="F35" s="519">
        <f>F34/F8</f>
        <v>0.16023150062009095</v>
      </c>
      <c r="G35" s="520"/>
      <c r="H35" s="521"/>
      <c r="I35" s="522">
        <f t="shared" ref="I35" si="9">I34/I8</f>
        <v>0.23259547144305509</v>
      </c>
      <c r="J35" s="523"/>
      <c r="K35" s="524"/>
      <c r="L35" s="519">
        <f t="shared" ref="L35" si="10">L34/L8</f>
        <v>0.27840814283330551</v>
      </c>
      <c r="M35" s="520"/>
      <c r="N35" s="521"/>
      <c r="O35" s="522">
        <f t="shared" ref="O35" si="11">O34/O8</f>
        <v>0.28597048993233881</v>
      </c>
      <c r="P35" s="523"/>
      <c r="Q35" s="523"/>
      <c r="R35" s="500">
        <v>0.12988384371700107</v>
      </c>
      <c r="S35" s="477"/>
      <c r="T35" s="478"/>
      <c r="U35" s="479">
        <v>0.16968325791855204</v>
      </c>
      <c r="V35" s="480"/>
      <c r="W35" s="501"/>
      <c r="X35" s="476">
        <v>0.19067796610169491</v>
      </c>
      <c r="Y35" s="477"/>
      <c r="Z35" s="478"/>
      <c r="AA35" s="479">
        <v>0.18924302788844621</v>
      </c>
      <c r="AB35" s="480"/>
      <c r="AC35" s="481"/>
      <c r="AD35" s="492">
        <v>0.28000000000000003</v>
      </c>
      <c r="AE35" s="493"/>
      <c r="AF35" s="494"/>
      <c r="AG35" s="495">
        <v>0.3</v>
      </c>
      <c r="AH35" s="496"/>
      <c r="AI35" s="497"/>
      <c r="AJ35" s="498">
        <v>0.33</v>
      </c>
      <c r="AK35" s="493"/>
      <c r="AL35" s="494"/>
      <c r="AM35" s="495">
        <v>0.35</v>
      </c>
      <c r="AN35" s="496"/>
      <c r="AO35" s="499"/>
      <c r="AP35" s="502">
        <v>0.17</v>
      </c>
      <c r="AQ35" s="503"/>
      <c r="AR35" s="504"/>
      <c r="AS35" s="505">
        <v>0.17</v>
      </c>
      <c r="AT35" s="506"/>
      <c r="AU35" s="507"/>
      <c r="AV35" s="508">
        <v>0.22</v>
      </c>
      <c r="AW35" s="503"/>
      <c r="AX35" s="504"/>
      <c r="AY35" s="505">
        <v>0.3</v>
      </c>
      <c r="AZ35" s="506"/>
      <c r="BA35" s="509"/>
      <c r="BB35" s="492">
        <v>0.21588594704684319</v>
      </c>
      <c r="BC35" s="493"/>
      <c r="BD35" s="494"/>
      <c r="BE35" s="495">
        <v>0.4</v>
      </c>
      <c r="BF35" s="496"/>
      <c r="BG35" s="497"/>
      <c r="BH35" s="498">
        <v>0.17</v>
      </c>
      <c r="BI35" s="493"/>
      <c r="BJ35" s="494"/>
      <c r="BK35" s="495">
        <v>0.32</v>
      </c>
      <c r="BL35" s="496"/>
      <c r="BM35" s="499"/>
      <c r="BN35" s="500">
        <v>0.11</v>
      </c>
      <c r="BO35" s="477"/>
      <c r="BP35" s="478"/>
      <c r="BQ35" s="479">
        <v>0.13</v>
      </c>
      <c r="BR35" s="480"/>
      <c r="BS35" s="501"/>
      <c r="BT35" s="476">
        <v>0.14000000000000001</v>
      </c>
      <c r="BU35" s="477"/>
      <c r="BV35" s="478"/>
      <c r="BW35" s="479">
        <v>0.15</v>
      </c>
      <c r="BX35" s="480"/>
      <c r="BY35" s="481"/>
      <c r="BZ35" s="492">
        <v>0.18632629107981222</v>
      </c>
      <c r="CA35" s="493"/>
      <c r="CB35" s="494"/>
      <c r="CC35" s="495">
        <v>0.36634036144578314</v>
      </c>
      <c r="CD35" s="496"/>
      <c r="CE35" s="497"/>
      <c r="CF35" s="498">
        <v>0.44394618834080718</v>
      </c>
      <c r="CG35" s="493"/>
      <c r="CH35" s="494"/>
      <c r="CI35" s="495">
        <v>0.4736646884272997</v>
      </c>
      <c r="CJ35" s="496"/>
      <c r="CK35" s="499"/>
      <c r="CL35" s="500">
        <v>0.2</v>
      </c>
      <c r="CM35" s="477"/>
      <c r="CN35" s="478"/>
      <c r="CO35" s="479">
        <v>0.25</v>
      </c>
      <c r="CP35" s="480"/>
      <c r="CQ35" s="501"/>
      <c r="CR35" s="476">
        <v>0.3</v>
      </c>
      <c r="CS35" s="477"/>
      <c r="CT35" s="478"/>
      <c r="CU35" s="479">
        <v>0.35</v>
      </c>
      <c r="CV35" s="480"/>
      <c r="CW35" s="481"/>
    </row>
    <row r="36" spans="1:101" ht="60.75" thickBot="1">
      <c r="A36" s="2" t="s">
        <v>38</v>
      </c>
      <c r="B36" s="3"/>
      <c r="C36" s="4" t="s">
        <v>39</v>
      </c>
      <c r="D36" s="482"/>
      <c r="E36" s="483"/>
      <c r="F36" s="484"/>
      <c r="G36" s="485"/>
      <c r="H36" s="486"/>
      <c r="I36" s="487"/>
      <c r="J36" s="488"/>
      <c r="K36" s="489"/>
      <c r="L36" s="484"/>
      <c r="M36" s="485"/>
      <c r="N36" s="486"/>
      <c r="O36" s="487"/>
      <c r="P36" s="488"/>
      <c r="Q36" s="488"/>
      <c r="R36" s="457"/>
      <c r="S36" s="458"/>
      <c r="T36" s="459"/>
      <c r="U36" s="472"/>
      <c r="V36" s="473"/>
      <c r="W36" s="490"/>
      <c r="X36" s="491"/>
      <c r="Y36" s="458"/>
      <c r="Z36" s="459"/>
      <c r="AA36" s="472"/>
      <c r="AB36" s="473"/>
      <c r="AC36" s="474"/>
      <c r="AD36" s="464"/>
      <c r="AE36" s="454"/>
      <c r="AF36" s="455"/>
      <c r="AG36" s="450"/>
      <c r="AH36" s="451"/>
      <c r="AI36" s="452"/>
      <c r="AJ36" s="453"/>
      <c r="AK36" s="454"/>
      <c r="AL36" s="455"/>
      <c r="AM36" s="450"/>
      <c r="AN36" s="451"/>
      <c r="AO36" s="456"/>
      <c r="AP36" s="475"/>
      <c r="AQ36" s="469"/>
      <c r="AR36" s="470"/>
      <c r="AS36" s="465"/>
      <c r="AT36" s="466"/>
      <c r="AU36" s="467"/>
      <c r="AV36" s="468"/>
      <c r="AW36" s="469"/>
      <c r="AX36" s="470"/>
      <c r="AY36" s="465"/>
      <c r="AZ36" s="466"/>
      <c r="BA36" s="471"/>
      <c r="BB36" s="464"/>
      <c r="BC36" s="454"/>
      <c r="BD36" s="455"/>
      <c r="BE36" s="450"/>
      <c r="BF36" s="451"/>
      <c r="BG36" s="452"/>
      <c r="BH36" s="453" t="s">
        <v>66</v>
      </c>
      <c r="BI36" s="454"/>
      <c r="BJ36" s="455"/>
      <c r="BK36" s="450"/>
      <c r="BL36" s="451"/>
      <c r="BM36" s="456"/>
      <c r="BN36" s="457"/>
      <c r="BO36" s="458"/>
      <c r="BP36" s="459"/>
      <c r="BQ36" s="447">
        <v>1</v>
      </c>
      <c r="BR36" s="448"/>
      <c r="BS36" s="460"/>
      <c r="BT36" s="461">
        <v>1</v>
      </c>
      <c r="BU36" s="462"/>
      <c r="BV36" s="463"/>
      <c r="BW36" s="447">
        <v>1</v>
      </c>
      <c r="BX36" s="448"/>
      <c r="BY36" s="449"/>
      <c r="BZ36" s="464"/>
      <c r="CA36" s="454"/>
      <c r="CB36" s="455"/>
      <c r="CC36" s="450"/>
      <c r="CD36" s="451"/>
      <c r="CE36" s="452"/>
      <c r="CF36" s="453"/>
      <c r="CG36" s="454"/>
      <c r="CH36" s="455"/>
      <c r="CI36" s="450"/>
      <c r="CJ36" s="451"/>
      <c r="CK36" s="456"/>
      <c r="CL36" s="457"/>
      <c r="CM36" s="458"/>
      <c r="CN36" s="459"/>
      <c r="CO36" s="447"/>
      <c r="CP36" s="448"/>
      <c r="CQ36" s="460"/>
      <c r="CR36" s="461"/>
      <c r="CS36" s="462"/>
      <c r="CT36" s="463"/>
      <c r="CU36" s="447"/>
      <c r="CV36" s="448"/>
      <c r="CW36" s="449"/>
    </row>
  </sheetData>
  <mergeCells count="546">
    <mergeCell ref="CU36:CW36"/>
    <mergeCell ref="CC36:CE36"/>
    <mergeCell ref="CF36:CH36"/>
    <mergeCell ref="CI36:CK36"/>
    <mergeCell ref="CL36:CN36"/>
    <mergeCell ref="CO36:CQ36"/>
    <mergeCell ref="CR36:CT36"/>
    <mergeCell ref="BK36:BM36"/>
    <mergeCell ref="BN36:BP36"/>
    <mergeCell ref="BQ36:BS36"/>
    <mergeCell ref="BT36:BV36"/>
    <mergeCell ref="BW36:BY36"/>
    <mergeCell ref="BZ36:CB36"/>
    <mergeCell ref="AS36:AU36"/>
    <mergeCell ref="AV36:AX36"/>
    <mergeCell ref="AY36:BA36"/>
    <mergeCell ref="BB36:BD36"/>
    <mergeCell ref="BE36:BG36"/>
    <mergeCell ref="BH36:BJ36"/>
    <mergeCell ref="AA36:AC36"/>
    <mergeCell ref="AD36:AF36"/>
    <mergeCell ref="AG36:AI36"/>
    <mergeCell ref="AJ36:AL36"/>
    <mergeCell ref="AM36:AO36"/>
    <mergeCell ref="AP36:AR36"/>
    <mergeCell ref="CR35:CT35"/>
    <mergeCell ref="CU35:CW35"/>
    <mergeCell ref="D36:E36"/>
    <mergeCell ref="F36:H36"/>
    <mergeCell ref="I36:K36"/>
    <mergeCell ref="L36:N36"/>
    <mergeCell ref="O36:Q36"/>
    <mergeCell ref="R36:T36"/>
    <mergeCell ref="U36:W36"/>
    <mergeCell ref="X36:Z36"/>
    <mergeCell ref="BZ35:CB35"/>
    <mergeCell ref="CC35:CE35"/>
    <mergeCell ref="CF35:CH35"/>
    <mergeCell ref="CI35:CK35"/>
    <mergeCell ref="CL35:CN35"/>
    <mergeCell ref="CO35:CQ35"/>
    <mergeCell ref="BH35:BJ35"/>
    <mergeCell ref="BK35:BM35"/>
    <mergeCell ref="BN35:BP35"/>
    <mergeCell ref="BQ35:BS35"/>
    <mergeCell ref="BT35:BV35"/>
    <mergeCell ref="BW35:BY35"/>
    <mergeCell ref="AP35:AR35"/>
    <mergeCell ref="AS35:AU35"/>
    <mergeCell ref="AV35:AX35"/>
    <mergeCell ref="AY35:BA35"/>
    <mergeCell ref="BB35:BD35"/>
    <mergeCell ref="BE35:BG35"/>
    <mergeCell ref="X35:Z35"/>
    <mergeCell ref="AA35:AC35"/>
    <mergeCell ref="AD35:AF35"/>
    <mergeCell ref="AG35:AI35"/>
    <mergeCell ref="AJ35:AL35"/>
    <mergeCell ref="AM35:AO35"/>
    <mergeCell ref="CO34:CQ34"/>
    <mergeCell ref="CR34:CT34"/>
    <mergeCell ref="CU34:CW34"/>
    <mergeCell ref="D35:E35"/>
    <mergeCell ref="F35:H35"/>
    <mergeCell ref="I35:K35"/>
    <mergeCell ref="L35:N35"/>
    <mergeCell ref="O35:Q35"/>
    <mergeCell ref="R35:T35"/>
    <mergeCell ref="U35:W35"/>
    <mergeCell ref="BW34:BY34"/>
    <mergeCell ref="BZ34:CB34"/>
    <mergeCell ref="CC34:CE34"/>
    <mergeCell ref="CF34:CH34"/>
    <mergeCell ref="CI34:CK34"/>
    <mergeCell ref="CL34:CN34"/>
    <mergeCell ref="BE34:BG34"/>
    <mergeCell ref="BH34:BJ34"/>
    <mergeCell ref="BK34:BM34"/>
    <mergeCell ref="BN34:BP34"/>
    <mergeCell ref="BQ34:BS34"/>
    <mergeCell ref="BT34:BV34"/>
    <mergeCell ref="AM34:AO34"/>
    <mergeCell ref="AP34:AR34"/>
    <mergeCell ref="AS34:AU34"/>
    <mergeCell ref="AV34:AX34"/>
    <mergeCell ref="AY34:BA34"/>
    <mergeCell ref="BB34:BD34"/>
    <mergeCell ref="U34:W34"/>
    <mergeCell ref="X34:Z34"/>
    <mergeCell ref="AA34:AC34"/>
    <mergeCell ref="AD34:AF34"/>
    <mergeCell ref="AG34:AI34"/>
    <mergeCell ref="AJ34:AL34"/>
    <mergeCell ref="CL33:CN33"/>
    <mergeCell ref="CO33:CQ33"/>
    <mergeCell ref="CR33:CT33"/>
    <mergeCell ref="CU33:CW33"/>
    <mergeCell ref="D34:E34"/>
    <mergeCell ref="F34:H34"/>
    <mergeCell ref="I34:K34"/>
    <mergeCell ref="L34:N34"/>
    <mergeCell ref="O34:Q34"/>
    <mergeCell ref="R34:T34"/>
    <mergeCell ref="BT33:BV33"/>
    <mergeCell ref="BW33:BY33"/>
    <mergeCell ref="BZ33:CB33"/>
    <mergeCell ref="CC33:CE33"/>
    <mergeCell ref="CF33:CH33"/>
    <mergeCell ref="CI33:CK33"/>
    <mergeCell ref="BB33:BD33"/>
    <mergeCell ref="BE33:BG33"/>
    <mergeCell ref="BH33:BJ33"/>
    <mergeCell ref="BK33:BM33"/>
    <mergeCell ref="BN33:BP33"/>
    <mergeCell ref="BQ33:BS33"/>
    <mergeCell ref="AJ33:AL33"/>
    <mergeCell ref="AM33:AO33"/>
    <mergeCell ref="AP33:AR33"/>
    <mergeCell ref="AS33:AU33"/>
    <mergeCell ref="AV33:AX33"/>
    <mergeCell ref="AY33:BA33"/>
    <mergeCell ref="R33:T33"/>
    <mergeCell ref="U33:W33"/>
    <mergeCell ref="X33:Z33"/>
    <mergeCell ref="AA33:AC33"/>
    <mergeCell ref="AD33:AF33"/>
    <mergeCell ref="AG33:AI33"/>
    <mergeCell ref="CI32:CK32"/>
    <mergeCell ref="CL32:CN32"/>
    <mergeCell ref="CO32:CQ32"/>
    <mergeCell ref="CR32:CT32"/>
    <mergeCell ref="CU32:CW32"/>
    <mergeCell ref="D33:E33"/>
    <mergeCell ref="F33:H33"/>
    <mergeCell ref="I33:K33"/>
    <mergeCell ref="L33:N33"/>
    <mergeCell ref="O33:Q33"/>
    <mergeCell ref="BQ32:BS32"/>
    <mergeCell ref="BT32:BV32"/>
    <mergeCell ref="BW32:BY32"/>
    <mergeCell ref="BZ32:CB32"/>
    <mergeCell ref="CC32:CE32"/>
    <mergeCell ref="CF32:CH32"/>
    <mergeCell ref="AY32:BA32"/>
    <mergeCell ref="BB32:BD32"/>
    <mergeCell ref="BE32:BG32"/>
    <mergeCell ref="BH32:BJ32"/>
    <mergeCell ref="BK32:BM32"/>
    <mergeCell ref="BN32:BP32"/>
    <mergeCell ref="AG32:AI32"/>
    <mergeCell ref="AJ32:AL32"/>
    <mergeCell ref="BN31:BP31"/>
    <mergeCell ref="AG31:AI31"/>
    <mergeCell ref="AJ31:AL31"/>
    <mergeCell ref="AM32:AO32"/>
    <mergeCell ref="AP32:AR32"/>
    <mergeCell ref="AS32:AU32"/>
    <mergeCell ref="AV32:AX32"/>
    <mergeCell ref="O32:Q32"/>
    <mergeCell ref="R32:T32"/>
    <mergeCell ref="U32:W32"/>
    <mergeCell ref="X32:Z32"/>
    <mergeCell ref="AA32:AC32"/>
    <mergeCell ref="AD32:AF32"/>
    <mergeCell ref="X31:Z31"/>
    <mergeCell ref="AA31:AC31"/>
    <mergeCell ref="AD31:AF31"/>
    <mergeCell ref="CI31:CK31"/>
    <mergeCell ref="CL31:CN31"/>
    <mergeCell ref="CO31:CQ31"/>
    <mergeCell ref="CR31:CT31"/>
    <mergeCell ref="CU31:CW31"/>
    <mergeCell ref="B32:B35"/>
    <mergeCell ref="D32:E32"/>
    <mergeCell ref="F32:H32"/>
    <mergeCell ref="I32:K32"/>
    <mergeCell ref="L32:N32"/>
    <mergeCell ref="BQ31:BS31"/>
    <mergeCell ref="BT31:BV31"/>
    <mergeCell ref="BW31:BY31"/>
    <mergeCell ref="BZ31:CB31"/>
    <mergeCell ref="CC31:CE31"/>
    <mergeCell ref="CF31:CH31"/>
    <mergeCell ref="AY31:BA31"/>
    <mergeCell ref="BB31:BD31"/>
    <mergeCell ref="BE31:BG31"/>
    <mergeCell ref="BH31:BJ31"/>
    <mergeCell ref="BK31:BM31"/>
    <mergeCell ref="B30:B31"/>
    <mergeCell ref="D31:E31"/>
    <mergeCell ref="F31:H31"/>
    <mergeCell ref="I31:K31"/>
    <mergeCell ref="L31:N31"/>
    <mergeCell ref="BQ29:BS29"/>
    <mergeCell ref="BT29:BV29"/>
    <mergeCell ref="BW29:BY29"/>
    <mergeCell ref="BZ29:CB29"/>
    <mergeCell ref="AY29:BA29"/>
    <mergeCell ref="BB29:BD29"/>
    <mergeCell ref="BE29:BG29"/>
    <mergeCell ref="BH29:BJ29"/>
    <mergeCell ref="BK29:BM29"/>
    <mergeCell ref="BN29:BP29"/>
    <mergeCell ref="R29:T29"/>
    <mergeCell ref="U29:W29"/>
    <mergeCell ref="AM31:AO31"/>
    <mergeCell ref="AP31:AR31"/>
    <mergeCell ref="AS31:AU31"/>
    <mergeCell ref="AV31:AX31"/>
    <mergeCell ref="O31:Q31"/>
    <mergeCell ref="R31:T31"/>
    <mergeCell ref="U31:W31"/>
    <mergeCell ref="X29:Z29"/>
    <mergeCell ref="AA29:AC29"/>
    <mergeCell ref="AD29:AF29"/>
    <mergeCell ref="AG29:AI29"/>
    <mergeCell ref="CI28:CK28"/>
    <mergeCell ref="CL28:CN28"/>
    <mergeCell ref="CO28:CQ28"/>
    <mergeCell ref="CR28:CT28"/>
    <mergeCell ref="CU28:CW28"/>
    <mergeCell ref="CC28:CE28"/>
    <mergeCell ref="CF28:CH28"/>
    <mergeCell ref="AV29:AX29"/>
    <mergeCell ref="CI29:CK29"/>
    <mergeCell ref="CL29:CN29"/>
    <mergeCell ref="CO29:CQ29"/>
    <mergeCell ref="CR29:CT29"/>
    <mergeCell ref="CU29:CW29"/>
    <mergeCell ref="CC29:CE29"/>
    <mergeCell ref="CF29:CH29"/>
    <mergeCell ref="D29:E29"/>
    <mergeCell ref="F29:H29"/>
    <mergeCell ref="I29:K29"/>
    <mergeCell ref="L29:N29"/>
    <mergeCell ref="O29:Q29"/>
    <mergeCell ref="BQ28:BS28"/>
    <mergeCell ref="BT28:BV28"/>
    <mergeCell ref="BW28:BY28"/>
    <mergeCell ref="BZ28:CB28"/>
    <mergeCell ref="AY28:BA28"/>
    <mergeCell ref="BB28:BD28"/>
    <mergeCell ref="BE28:BG28"/>
    <mergeCell ref="BH28:BJ28"/>
    <mergeCell ref="BK28:BM28"/>
    <mergeCell ref="BN28:BP28"/>
    <mergeCell ref="AG28:AI28"/>
    <mergeCell ref="AJ28:AL28"/>
    <mergeCell ref="AM28:AO28"/>
    <mergeCell ref="AP28:AR29"/>
    <mergeCell ref="AS28:AU28"/>
    <mergeCell ref="AV28:AX28"/>
    <mergeCell ref="AJ29:AL29"/>
    <mergeCell ref="AM29:AO29"/>
    <mergeCell ref="AS29:AU29"/>
    <mergeCell ref="O28:Q28"/>
    <mergeCell ref="R28:T28"/>
    <mergeCell ref="U28:W28"/>
    <mergeCell ref="X28:Z28"/>
    <mergeCell ref="AA28:AC28"/>
    <mergeCell ref="AD28:AF28"/>
    <mergeCell ref="B26:B27"/>
    <mergeCell ref="D28:E28"/>
    <mergeCell ref="F28:H28"/>
    <mergeCell ref="I28:K28"/>
    <mergeCell ref="L28:N28"/>
    <mergeCell ref="AM25:AO25"/>
    <mergeCell ref="AP25:AR25"/>
    <mergeCell ref="AS25:AU25"/>
    <mergeCell ref="CF25:CH25"/>
    <mergeCell ref="CI25:CK25"/>
    <mergeCell ref="CL25:CN25"/>
    <mergeCell ref="CO25:CQ25"/>
    <mergeCell ref="CR25:CT25"/>
    <mergeCell ref="CU25:CW25"/>
    <mergeCell ref="BN25:BP25"/>
    <mergeCell ref="BQ25:BS25"/>
    <mergeCell ref="BT25:BV25"/>
    <mergeCell ref="BW25:BY25"/>
    <mergeCell ref="BZ25:CB25"/>
    <mergeCell ref="CC25:CE25"/>
    <mergeCell ref="CL14:CN14"/>
    <mergeCell ref="CO14:CQ14"/>
    <mergeCell ref="CR14:CT14"/>
    <mergeCell ref="AY14:BA14"/>
    <mergeCell ref="R14:T14"/>
    <mergeCell ref="U14:W14"/>
    <mergeCell ref="X14:Z14"/>
    <mergeCell ref="AA14:AC14"/>
    <mergeCell ref="AD14:AF14"/>
    <mergeCell ref="AG14:AI14"/>
    <mergeCell ref="CF14:CH14"/>
    <mergeCell ref="CI14:CK14"/>
    <mergeCell ref="BB14:BD14"/>
    <mergeCell ref="BE14:BG14"/>
    <mergeCell ref="BH14:BJ14"/>
    <mergeCell ref="BK14:BM14"/>
    <mergeCell ref="BN14:BP14"/>
    <mergeCell ref="BQ14:BS14"/>
    <mergeCell ref="AJ14:AL14"/>
    <mergeCell ref="AM14:AO14"/>
    <mergeCell ref="AP14:AR14"/>
    <mergeCell ref="AS14:AU14"/>
    <mergeCell ref="AV14:AX14"/>
    <mergeCell ref="A17:A25"/>
    <mergeCell ref="B17:B22"/>
    <mergeCell ref="B23:B24"/>
    <mergeCell ref="D25:E25"/>
    <mergeCell ref="F25:H25"/>
    <mergeCell ref="I25:K25"/>
    <mergeCell ref="BT14:BV14"/>
    <mergeCell ref="BW14:BY14"/>
    <mergeCell ref="BZ14:CB14"/>
    <mergeCell ref="L25:N25"/>
    <mergeCell ref="O25:Q25"/>
    <mergeCell ref="R25:T25"/>
    <mergeCell ref="U25:W25"/>
    <mergeCell ref="X25:Z25"/>
    <mergeCell ref="AA25:AC25"/>
    <mergeCell ref="AV25:AX25"/>
    <mergeCell ref="AY25:BA25"/>
    <mergeCell ref="BB25:BD25"/>
    <mergeCell ref="BE25:BG25"/>
    <mergeCell ref="BH25:BJ25"/>
    <mergeCell ref="BK25:BM25"/>
    <mergeCell ref="AD25:AF25"/>
    <mergeCell ref="AG25:AI25"/>
    <mergeCell ref="AJ25:AL25"/>
    <mergeCell ref="CR12:CT12"/>
    <mergeCell ref="CU12:CW12"/>
    <mergeCell ref="B14:B16"/>
    <mergeCell ref="D14:E14"/>
    <mergeCell ref="F14:H14"/>
    <mergeCell ref="I14:K14"/>
    <mergeCell ref="L14:N14"/>
    <mergeCell ref="O14:Q14"/>
    <mergeCell ref="BT12:BV12"/>
    <mergeCell ref="BW12:BY12"/>
    <mergeCell ref="BZ12:CB12"/>
    <mergeCell ref="CC12:CE12"/>
    <mergeCell ref="CF12:CH12"/>
    <mergeCell ref="CI12:CK12"/>
    <mergeCell ref="BB12:BD12"/>
    <mergeCell ref="BE12:BG12"/>
    <mergeCell ref="BH12:BJ12"/>
    <mergeCell ref="BK12:BM12"/>
    <mergeCell ref="BN12:BP12"/>
    <mergeCell ref="BQ12:BS12"/>
    <mergeCell ref="AJ12:AL12"/>
    <mergeCell ref="AM12:AO12"/>
    <mergeCell ref="CU14:CW14"/>
    <mergeCell ref="CC14:CE14"/>
    <mergeCell ref="AY12:BA12"/>
    <mergeCell ref="R12:T12"/>
    <mergeCell ref="U12:W12"/>
    <mergeCell ref="X12:Z12"/>
    <mergeCell ref="AA12:AC12"/>
    <mergeCell ref="AD12:AF12"/>
    <mergeCell ref="AG12:AI12"/>
    <mergeCell ref="CL12:CN12"/>
    <mergeCell ref="CO12:CQ12"/>
    <mergeCell ref="B12:B13"/>
    <mergeCell ref="D12:E12"/>
    <mergeCell ref="F12:H12"/>
    <mergeCell ref="I12:K12"/>
    <mergeCell ref="L12:N12"/>
    <mergeCell ref="O12:Q12"/>
    <mergeCell ref="CF10:CH10"/>
    <mergeCell ref="CI10:CK10"/>
    <mergeCell ref="CL10:CN10"/>
    <mergeCell ref="AV10:AX10"/>
    <mergeCell ref="AY10:BA10"/>
    <mergeCell ref="BB10:BD10"/>
    <mergeCell ref="BE10:BG10"/>
    <mergeCell ref="BH10:BJ10"/>
    <mergeCell ref="BK10:BM10"/>
    <mergeCell ref="AD10:AF10"/>
    <mergeCell ref="AG10:AI10"/>
    <mergeCell ref="AJ10:AL10"/>
    <mergeCell ref="AM10:AO10"/>
    <mergeCell ref="AP10:AR10"/>
    <mergeCell ref="AS10:AU10"/>
    <mergeCell ref="AP12:AR12"/>
    <mergeCell ref="AS12:AU12"/>
    <mergeCell ref="AV12:AX12"/>
    <mergeCell ref="CO10:CQ10"/>
    <mergeCell ref="CR10:CT10"/>
    <mergeCell ref="CU10:CW10"/>
    <mergeCell ref="BN10:BP10"/>
    <mergeCell ref="BQ10:BS10"/>
    <mergeCell ref="BT10:BV10"/>
    <mergeCell ref="BW10:BY10"/>
    <mergeCell ref="BZ10:CB10"/>
    <mergeCell ref="CC10:CE10"/>
    <mergeCell ref="CU8:CW8"/>
    <mergeCell ref="D10:E10"/>
    <mergeCell ref="F10:H10"/>
    <mergeCell ref="I10:K10"/>
    <mergeCell ref="L10:N10"/>
    <mergeCell ref="O10:Q10"/>
    <mergeCell ref="R10:T10"/>
    <mergeCell ref="U10:W10"/>
    <mergeCell ref="X10:Z10"/>
    <mergeCell ref="AA10:AC10"/>
    <mergeCell ref="CC8:CE8"/>
    <mergeCell ref="CF8:CH8"/>
    <mergeCell ref="CI8:CK8"/>
    <mergeCell ref="CL8:CN8"/>
    <mergeCell ref="CO8:CQ8"/>
    <mergeCell ref="CR8:CT8"/>
    <mergeCell ref="BK8:BM8"/>
    <mergeCell ref="BN8:BP8"/>
    <mergeCell ref="BQ8:BS8"/>
    <mergeCell ref="BT8:BV8"/>
    <mergeCell ref="BW8:BY8"/>
    <mergeCell ref="BZ8:CB8"/>
    <mergeCell ref="AS8:AU8"/>
    <mergeCell ref="AV8:AX8"/>
    <mergeCell ref="AY8:BA8"/>
    <mergeCell ref="BB8:BD8"/>
    <mergeCell ref="BE8:BG8"/>
    <mergeCell ref="BH8:BJ8"/>
    <mergeCell ref="AA8:AC8"/>
    <mergeCell ref="AD8:AF8"/>
    <mergeCell ref="AG8:AI8"/>
    <mergeCell ref="AJ8:AL8"/>
    <mergeCell ref="AM8:AO8"/>
    <mergeCell ref="AP8:AR8"/>
    <mergeCell ref="CO6:CQ6"/>
    <mergeCell ref="CR6:CT6"/>
    <mergeCell ref="CU6:CW6"/>
    <mergeCell ref="F8:H8"/>
    <mergeCell ref="I8:K8"/>
    <mergeCell ref="L8:N8"/>
    <mergeCell ref="O8:Q8"/>
    <mergeCell ref="R8:T8"/>
    <mergeCell ref="U8:W8"/>
    <mergeCell ref="X8:Z8"/>
    <mergeCell ref="BW6:BY6"/>
    <mergeCell ref="BZ6:CB6"/>
    <mergeCell ref="CC6:CE6"/>
    <mergeCell ref="CF6:CH6"/>
    <mergeCell ref="CI6:CK6"/>
    <mergeCell ref="CL6:CN6"/>
    <mergeCell ref="BE6:BG6"/>
    <mergeCell ref="BH6:BJ6"/>
    <mergeCell ref="BK6:BM6"/>
    <mergeCell ref="BN6:BP6"/>
    <mergeCell ref="BQ6:BS6"/>
    <mergeCell ref="BT6:BV6"/>
    <mergeCell ref="AM6:AO6"/>
    <mergeCell ref="AP6:AR6"/>
    <mergeCell ref="AS6:AU6"/>
    <mergeCell ref="AV6:AX6"/>
    <mergeCell ref="AY6:BA6"/>
    <mergeCell ref="BB6:BD6"/>
    <mergeCell ref="U6:W6"/>
    <mergeCell ref="X6:Z6"/>
    <mergeCell ref="AA6:AC6"/>
    <mergeCell ref="AD6:AF6"/>
    <mergeCell ref="AG6:AI6"/>
    <mergeCell ref="AJ6:AL6"/>
    <mergeCell ref="AD2:AF2"/>
    <mergeCell ref="AG2:AI2"/>
    <mergeCell ref="CI4:CK4"/>
    <mergeCell ref="CL4:CN4"/>
    <mergeCell ref="CO4:CQ4"/>
    <mergeCell ref="CR4:CT4"/>
    <mergeCell ref="CU4:CW4"/>
    <mergeCell ref="F6:H6"/>
    <mergeCell ref="I6:K6"/>
    <mergeCell ref="L6:N6"/>
    <mergeCell ref="O6:Q6"/>
    <mergeCell ref="R6:T6"/>
    <mergeCell ref="BQ4:BS4"/>
    <mergeCell ref="BT4:BV4"/>
    <mergeCell ref="BW4:BY4"/>
    <mergeCell ref="BZ4:CB4"/>
    <mergeCell ref="CC4:CE4"/>
    <mergeCell ref="CF4:CH4"/>
    <mergeCell ref="AY4:BA4"/>
    <mergeCell ref="BB4:BD4"/>
    <mergeCell ref="BE4:BG4"/>
    <mergeCell ref="BH4:BJ4"/>
    <mergeCell ref="BK4:BM4"/>
    <mergeCell ref="BN4:BP4"/>
    <mergeCell ref="AM4:AO4"/>
    <mergeCell ref="AP4:AR4"/>
    <mergeCell ref="AS4:AU4"/>
    <mergeCell ref="AV4:AX4"/>
    <mergeCell ref="O4:Q4"/>
    <mergeCell ref="R4:T4"/>
    <mergeCell ref="U4:W4"/>
    <mergeCell ref="X4:Z4"/>
    <mergeCell ref="AA4:AC4"/>
    <mergeCell ref="AD4:AF4"/>
    <mergeCell ref="AG4:AI4"/>
    <mergeCell ref="AJ4:AL4"/>
    <mergeCell ref="CL2:CN2"/>
    <mergeCell ref="CO2:CQ2"/>
    <mergeCell ref="CR2:CT2"/>
    <mergeCell ref="CU2:CW2"/>
    <mergeCell ref="A4:A16"/>
    <mergeCell ref="B4:B11"/>
    <mergeCell ref="D4:E4"/>
    <mergeCell ref="F4:H4"/>
    <mergeCell ref="I4:K4"/>
    <mergeCell ref="L4:N4"/>
    <mergeCell ref="BT2:BV2"/>
    <mergeCell ref="BW2:BY2"/>
    <mergeCell ref="BZ2:CB2"/>
    <mergeCell ref="CC2:CE2"/>
    <mergeCell ref="CF2:CH2"/>
    <mergeCell ref="CI2:CK2"/>
    <mergeCell ref="BB2:BD2"/>
    <mergeCell ref="BE2:BG2"/>
    <mergeCell ref="BH2:BJ2"/>
    <mergeCell ref="BK2:BM2"/>
    <mergeCell ref="BN2:BP2"/>
    <mergeCell ref="BQ2:BS2"/>
    <mergeCell ref="AJ2:AL2"/>
    <mergeCell ref="AM2:AO2"/>
    <mergeCell ref="BZ1:CK1"/>
    <mergeCell ref="CL1:CW1"/>
    <mergeCell ref="A2:A3"/>
    <mergeCell ref="B2:B3"/>
    <mergeCell ref="C2:C3"/>
    <mergeCell ref="D2:E2"/>
    <mergeCell ref="F2:H2"/>
    <mergeCell ref="I2:K2"/>
    <mergeCell ref="L2:N2"/>
    <mergeCell ref="O2:Q2"/>
    <mergeCell ref="F1:Q1"/>
    <mergeCell ref="R1:AC1"/>
    <mergeCell ref="AD1:AO1"/>
    <mergeCell ref="AP1:BA1"/>
    <mergeCell ref="BB1:BM1"/>
    <mergeCell ref="BN1:BY1"/>
    <mergeCell ref="AP2:AR2"/>
    <mergeCell ref="AS2:AU2"/>
    <mergeCell ref="AV2:AX2"/>
    <mergeCell ref="AY2:BA2"/>
    <mergeCell ref="R2:T2"/>
    <mergeCell ref="U2:W2"/>
    <mergeCell ref="X2:Z2"/>
    <mergeCell ref="AA2:AC2"/>
  </mergeCells>
  <pageMargins left="0.70866141732283472" right="0.70866141732283472" top="0.74803149606299213" bottom="0.74803149606299213" header="0.31496062992125984" footer="0.31496062992125984"/>
  <pageSetup paperSize="9" scale="95" fitToHeight="0" orientation="landscape" horizontalDpi="0" verticalDpi="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W41"/>
  <sheetViews>
    <sheetView tabSelected="1" topLeftCell="A13" zoomScale="115" zoomScaleNormal="115" workbookViewId="0">
      <pane xSplit="5" topLeftCell="F1" activePane="topRight" state="frozen"/>
      <selection pane="topRight" activeCell="D19" sqref="D19"/>
    </sheetView>
  </sheetViews>
  <sheetFormatPr baseColWidth="10" defaultRowHeight="15.75"/>
  <cols>
    <col min="1" max="1" width="18.5" customWidth="1"/>
    <col min="2" max="2" width="4.125" bestFit="1" customWidth="1"/>
    <col min="3" max="3" width="38.75" customWidth="1"/>
    <col min="4" max="4" width="63.875" customWidth="1"/>
    <col min="5" max="5" width="6.375" hidden="1" customWidth="1"/>
    <col min="6" max="6" width="6.625" bestFit="1" customWidth="1"/>
    <col min="7" max="7" width="6.375" bestFit="1" customWidth="1"/>
    <col min="8" max="8" width="6.875" bestFit="1" customWidth="1"/>
    <col min="9" max="9" width="6.625" bestFit="1" customWidth="1"/>
    <col min="10" max="10" width="6.375" bestFit="1" customWidth="1"/>
    <col min="11" max="11" width="6.875" bestFit="1" customWidth="1"/>
    <col min="12" max="12" width="6.625" bestFit="1" customWidth="1"/>
    <col min="13" max="13" width="6.375" bestFit="1" customWidth="1"/>
    <col min="14" max="17" width="6.875" bestFit="1" customWidth="1"/>
    <col min="18" max="18" width="6.625" bestFit="1" customWidth="1"/>
    <col min="19" max="19" width="6.375" bestFit="1" customWidth="1"/>
    <col min="20" max="20" width="6" bestFit="1" customWidth="1"/>
    <col min="21" max="21" width="6.625" bestFit="1" customWidth="1"/>
    <col min="22" max="22" width="6.375" bestFit="1" customWidth="1"/>
    <col min="23" max="23" width="6" bestFit="1" customWidth="1"/>
    <col min="24" max="24" width="6.625" bestFit="1" customWidth="1"/>
    <col min="25" max="25" width="6.375" bestFit="1" customWidth="1"/>
    <col min="26" max="26" width="6" bestFit="1" customWidth="1"/>
    <col min="27" max="27" width="6.625" bestFit="1" customWidth="1"/>
    <col min="28" max="28" width="6.375" bestFit="1" customWidth="1"/>
    <col min="29" max="29" width="6" bestFit="1" customWidth="1"/>
    <col min="30" max="30" width="6.625" bestFit="1" customWidth="1"/>
    <col min="31" max="31" width="6.375" bestFit="1" customWidth="1"/>
    <col min="32" max="32" width="6" bestFit="1" customWidth="1"/>
    <col min="33" max="33" width="6.625" bestFit="1" customWidth="1"/>
    <col min="34" max="34" width="6.375" bestFit="1" customWidth="1"/>
    <col min="35" max="35" width="6" bestFit="1" customWidth="1"/>
    <col min="36" max="36" width="6.625" bestFit="1" customWidth="1"/>
    <col min="37" max="37" width="6.375" bestFit="1" customWidth="1"/>
    <col min="38" max="38" width="6" bestFit="1" customWidth="1"/>
    <col min="39" max="39" width="6.625" bestFit="1" customWidth="1"/>
    <col min="40" max="40" width="6.375" bestFit="1" customWidth="1"/>
    <col min="41" max="41" width="6" bestFit="1" customWidth="1"/>
    <col min="42" max="42" width="6.625" bestFit="1" customWidth="1"/>
    <col min="43" max="43" width="6.375" bestFit="1" customWidth="1"/>
    <col min="44" max="44" width="6" bestFit="1" customWidth="1"/>
    <col min="45" max="45" width="6.625" bestFit="1" customWidth="1"/>
    <col min="46" max="46" width="6.375" bestFit="1" customWidth="1"/>
    <col min="47" max="47" width="6" bestFit="1" customWidth="1"/>
    <col min="48" max="48" width="6.625" bestFit="1" customWidth="1"/>
    <col min="49" max="49" width="6.375" bestFit="1" customWidth="1"/>
    <col min="50" max="50" width="6" bestFit="1" customWidth="1"/>
    <col min="51" max="51" width="6.625" bestFit="1" customWidth="1"/>
    <col min="52" max="52" width="6.375" bestFit="1" customWidth="1"/>
    <col min="53" max="53" width="6" bestFit="1" customWidth="1"/>
    <col min="54" max="54" width="6.625" bestFit="1" customWidth="1"/>
    <col min="55" max="55" width="6.375" bestFit="1" customWidth="1"/>
    <col min="56" max="56" width="5.125" bestFit="1" customWidth="1"/>
    <col min="57" max="57" width="6.625" bestFit="1" customWidth="1"/>
    <col min="58" max="58" width="6.375" bestFit="1" customWidth="1"/>
    <col min="59" max="59" width="6" bestFit="1" customWidth="1"/>
    <col min="60" max="60" width="6.625" bestFit="1" customWidth="1"/>
    <col min="61" max="61" width="6.375" bestFit="1" customWidth="1"/>
    <col min="62" max="62" width="6" bestFit="1" customWidth="1"/>
    <col min="63" max="63" width="6.625" bestFit="1" customWidth="1"/>
    <col min="64" max="64" width="6.375" bestFit="1" customWidth="1"/>
    <col min="65" max="65" width="6" bestFit="1" customWidth="1"/>
    <col min="66" max="66" width="6.625" bestFit="1" customWidth="1"/>
    <col min="67" max="67" width="6.375" bestFit="1" customWidth="1"/>
    <col min="68" max="68" width="6" bestFit="1" customWidth="1"/>
    <col min="69" max="69" width="6.625" bestFit="1" customWidth="1"/>
    <col min="70" max="70" width="6.375" bestFit="1" customWidth="1"/>
    <col min="71" max="71" width="6" bestFit="1" customWidth="1"/>
    <col min="72" max="72" width="6.625" bestFit="1" customWidth="1"/>
    <col min="73" max="73" width="6.375" bestFit="1" customWidth="1"/>
    <col min="74" max="74" width="6" bestFit="1" customWidth="1"/>
    <col min="75" max="75" width="6.625" bestFit="1" customWidth="1"/>
    <col min="76" max="76" width="6.375" bestFit="1" customWidth="1"/>
    <col min="77" max="77" width="6" bestFit="1" customWidth="1"/>
    <col min="78" max="78" width="6.625" bestFit="1" customWidth="1"/>
    <col min="79" max="79" width="6.375" bestFit="1" customWidth="1"/>
    <col min="80" max="80" width="5.625" bestFit="1" customWidth="1"/>
    <col min="81" max="81" width="6.625" bestFit="1" customWidth="1"/>
    <col min="82" max="82" width="6.375" bestFit="1" customWidth="1"/>
    <col min="83" max="83" width="5.625" bestFit="1" customWidth="1"/>
    <col min="84" max="84" width="6.625" bestFit="1" customWidth="1"/>
    <col min="85" max="85" width="6.375" bestFit="1" customWidth="1"/>
    <col min="86" max="86" width="5.625" bestFit="1" customWidth="1"/>
    <col min="87" max="87" width="6.625" bestFit="1" customWidth="1"/>
    <col min="88" max="88" width="6.375" bestFit="1" customWidth="1"/>
    <col min="89" max="89" width="5.625" bestFit="1" customWidth="1"/>
    <col min="90" max="90" width="6.625" bestFit="1" customWidth="1"/>
    <col min="91" max="91" width="6.375" bestFit="1" customWidth="1"/>
    <col min="92" max="92" width="6" bestFit="1" customWidth="1"/>
    <col min="93" max="93" width="6.625" bestFit="1" customWidth="1"/>
    <col min="94" max="94" width="6.375" bestFit="1" customWidth="1"/>
    <col min="95" max="95" width="6" bestFit="1" customWidth="1"/>
    <col min="96" max="96" width="6.625" bestFit="1" customWidth="1"/>
    <col min="97" max="97" width="6.375" bestFit="1" customWidth="1"/>
    <col min="98" max="98" width="6" bestFit="1" customWidth="1"/>
    <col min="99" max="99" width="6.625" bestFit="1" customWidth="1"/>
    <col min="100" max="100" width="6.375" bestFit="1" customWidth="1"/>
    <col min="101" max="101" width="6" bestFit="1" customWidth="1"/>
  </cols>
  <sheetData>
    <row r="1" spans="1:101" s="11" customFormat="1" ht="16.5" thickBot="1">
      <c r="D1"/>
      <c r="E1"/>
      <c r="F1" s="829" t="s">
        <v>60</v>
      </c>
      <c r="G1" s="830"/>
      <c r="H1" s="830"/>
      <c r="I1" s="830"/>
      <c r="J1" s="830"/>
      <c r="K1" s="830"/>
      <c r="L1" s="830"/>
      <c r="M1" s="830"/>
      <c r="N1" s="830"/>
      <c r="O1" s="830"/>
      <c r="P1" s="830"/>
      <c r="Q1" s="831"/>
      <c r="R1" s="829" t="s">
        <v>53</v>
      </c>
      <c r="S1" s="830"/>
      <c r="T1" s="830"/>
      <c r="U1" s="830"/>
      <c r="V1" s="830"/>
      <c r="W1" s="830"/>
      <c r="X1" s="830"/>
      <c r="Y1" s="830"/>
      <c r="Z1" s="830"/>
      <c r="AA1" s="830"/>
      <c r="AB1" s="830"/>
      <c r="AC1" s="831"/>
      <c r="AD1" s="829" t="s">
        <v>54</v>
      </c>
      <c r="AE1" s="830"/>
      <c r="AF1" s="830"/>
      <c r="AG1" s="830"/>
      <c r="AH1" s="830"/>
      <c r="AI1" s="830"/>
      <c r="AJ1" s="830"/>
      <c r="AK1" s="830"/>
      <c r="AL1" s="830"/>
      <c r="AM1" s="830"/>
      <c r="AN1" s="830"/>
      <c r="AO1" s="831"/>
      <c r="AP1" s="838" t="s">
        <v>55</v>
      </c>
      <c r="AQ1" s="839"/>
      <c r="AR1" s="839"/>
      <c r="AS1" s="839"/>
      <c r="AT1" s="839"/>
      <c r="AU1" s="839"/>
      <c r="AV1" s="839"/>
      <c r="AW1" s="839"/>
      <c r="AX1" s="839"/>
      <c r="AY1" s="839"/>
      <c r="AZ1" s="839"/>
      <c r="BA1" s="840"/>
      <c r="BB1" s="829" t="s">
        <v>56</v>
      </c>
      <c r="BC1" s="830"/>
      <c r="BD1" s="830"/>
      <c r="BE1" s="830"/>
      <c r="BF1" s="830"/>
      <c r="BG1" s="830"/>
      <c r="BH1" s="830"/>
      <c r="BI1" s="830"/>
      <c r="BJ1" s="830"/>
      <c r="BK1" s="830"/>
      <c r="BL1" s="830"/>
      <c r="BM1" s="831"/>
      <c r="BN1" s="829" t="s">
        <v>57</v>
      </c>
      <c r="BO1" s="830"/>
      <c r="BP1" s="830"/>
      <c r="BQ1" s="830"/>
      <c r="BR1" s="830"/>
      <c r="BS1" s="830"/>
      <c r="BT1" s="830"/>
      <c r="BU1" s="830"/>
      <c r="BV1" s="830"/>
      <c r="BW1" s="830"/>
      <c r="BX1" s="830"/>
      <c r="BY1" s="831"/>
      <c r="BZ1" s="829" t="s">
        <v>58</v>
      </c>
      <c r="CA1" s="830"/>
      <c r="CB1" s="830"/>
      <c r="CC1" s="830"/>
      <c r="CD1" s="830"/>
      <c r="CE1" s="830"/>
      <c r="CF1" s="830"/>
      <c r="CG1" s="830"/>
      <c r="CH1" s="830"/>
      <c r="CI1" s="830"/>
      <c r="CJ1" s="830"/>
      <c r="CK1" s="831"/>
      <c r="CL1" s="829" t="s">
        <v>59</v>
      </c>
      <c r="CM1" s="830"/>
      <c r="CN1" s="830"/>
      <c r="CO1" s="830"/>
      <c r="CP1" s="830"/>
      <c r="CQ1" s="830"/>
      <c r="CR1" s="830"/>
      <c r="CS1" s="830"/>
      <c r="CT1" s="830"/>
      <c r="CU1" s="830"/>
      <c r="CV1" s="830"/>
      <c r="CW1" s="831"/>
    </row>
    <row r="2" spans="1:101" ht="16.5" thickBot="1">
      <c r="A2" s="832" t="s">
        <v>68</v>
      </c>
      <c r="B2" s="834" t="s">
        <v>69</v>
      </c>
      <c r="C2" s="836" t="s">
        <v>5</v>
      </c>
      <c r="F2" s="787" t="s">
        <v>1</v>
      </c>
      <c r="G2" s="788"/>
      <c r="H2" s="789"/>
      <c r="I2" s="790" t="s">
        <v>63</v>
      </c>
      <c r="J2" s="788"/>
      <c r="K2" s="789"/>
      <c r="L2" s="790" t="s">
        <v>64</v>
      </c>
      <c r="M2" s="788"/>
      <c r="N2" s="789"/>
      <c r="O2" s="790" t="s">
        <v>2</v>
      </c>
      <c r="P2" s="788"/>
      <c r="Q2" s="822"/>
      <c r="R2" s="787" t="s">
        <v>1</v>
      </c>
      <c r="S2" s="788"/>
      <c r="T2" s="789"/>
      <c r="U2" s="790" t="s">
        <v>63</v>
      </c>
      <c r="V2" s="788"/>
      <c r="W2" s="789"/>
      <c r="X2" s="790" t="s">
        <v>64</v>
      </c>
      <c r="Y2" s="788"/>
      <c r="Z2" s="789"/>
      <c r="AA2" s="790" t="s">
        <v>2</v>
      </c>
      <c r="AB2" s="788"/>
      <c r="AC2" s="822"/>
      <c r="AD2" s="787" t="s">
        <v>1</v>
      </c>
      <c r="AE2" s="788"/>
      <c r="AF2" s="789"/>
      <c r="AG2" s="790" t="s">
        <v>63</v>
      </c>
      <c r="AH2" s="788"/>
      <c r="AI2" s="789"/>
      <c r="AJ2" s="790" t="s">
        <v>64</v>
      </c>
      <c r="AK2" s="788"/>
      <c r="AL2" s="789"/>
      <c r="AM2" s="790" t="s">
        <v>2</v>
      </c>
      <c r="AN2" s="788"/>
      <c r="AO2" s="822"/>
      <c r="AP2" s="787" t="s">
        <v>1</v>
      </c>
      <c r="AQ2" s="788"/>
      <c r="AR2" s="789"/>
      <c r="AS2" s="790" t="s">
        <v>63</v>
      </c>
      <c r="AT2" s="788"/>
      <c r="AU2" s="789"/>
      <c r="AV2" s="790" t="s">
        <v>64</v>
      </c>
      <c r="AW2" s="788"/>
      <c r="AX2" s="789"/>
      <c r="AY2" s="790" t="s">
        <v>2</v>
      </c>
      <c r="AZ2" s="788"/>
      <c r="BA2" s="822"/>
      <c r="BB2" s="787" t="s">
        <v>1</v>
      </c>
      <c r="BC2" s="788"/>
      <c r="BD2" s="789"/>
      <c r="BE2" s="790" t="s">
        <v>63</v>
      </c>
      <c r="BF2" s="788"/>
      <c r="BG2" s="789"/>
      <c r="BH2" s="790" t="s">
        <v>64</v>
      </c>
      <c r="BI2" s="788"/>
      <c r="BJ2" s="789"/>
      <c r="BK2" s="790" t="s">
        <v>2</v>
      </c>
      <c r="BL2" s="788"/>
      <c r="BM2" s="822"/>
      <c r="BN2" s="787" t="s">
        <v>1</v>
      </c>
      <c r="BO2" s="788"/>
      <c r="BP2" s="789"/>
      <c r="BQ2" s="790" t="s">
        <v>63</v>
      </c>
      <c r="BR2" s="788"/>
      <c r="BS2" s="789"/>
      <c r="BT2" s="790" t="s">
        <v>64</v>
      </c>
      <c r="BU2" s="788"/>
      <c r="BV2" s="789"/>
      <c r="BW2" s="790" t="s">
        <v>2</v>
      </c>
      <c r="BX2" s="788"/>
      <c r="BY2" s="822"/>
      <c r="BZ2" s="787" t="s">
        <v>1</v>
      </c>
      <c r="CA2" s="788"/>
      <c r="CB2" s="789"/>
      <c r="CC2" s="790" t="s">
        <v>63</v>
      </c>
      <c r="CD2" s="788"/>
      <c r="CE2" s="789"/>
      <c r="CF2" s="790" t="s">
        <v>64</v>
      </c>
      <c r="CG2" s="788"/>
      <c r="CH2" s="789"/>
      <c r="CI2" s="790" t="s">
        <v>2</v>
      </c>
      <c r="CJ2" s="788"/>
      <c r="CK2" s="822"/>
      <c r="CL2" s="787" t="s">
        <v>1</v>
      </c>
      <c r="CM2" s="788"/>
      <c r="CN2" s="789"/>
      <c r="CO2" s="790" t="s">
        <v>63</v>
      </c>
      <c r="CP2" s="788"/>
      <c r="CQ2" s="789"/>
      <c r="CR2" s="790" t="s">
        <v>64</v>
      </c>
      <c r="CS2" s="788"/>
      <c r="CT2" s="789"/>
      <c r="CU2" s="790" t="s">
        <v>2</v>
      </c>
      <c r="CV2" s="788"/>
      <c r="CW2" s="822"/>
    </row>
    <row r="3" spans="1:101" ht="16.5" thickBot="1">
      <c r="A3" s="833"/>
      <c r="B3" s="835"/>
      <c r="C3" s="837"/>
      <c r="F3" s="9" t="s">
        <v>6</v>
      </c>
      <c r="G3" s="1" t="s">
        <v>7</v>
      </c>
      <c r="H3" s="1" t="s">
        <v>40</v>
      </c>
      <c r="I3" s="1" t="s">
        <v>6</v>
      </c>
      <c r="J3" s="1" t="s">
        <v>7</v>
      </c>
      <c r="K3" s="1" t="s">
        <v>40</v>
      </c>
      <c r="L3" s="1" t="s">
        <v>6</v>
      </c>
      <c r="M3" s="1" t="s">
        <v>7</v>
      </c>
      <c r="N3" s="1" t="s">
        <v>40</v>
      </c>
      <c r="O3" s="1" t="s">
        <v>6</v>
      </c>
      <c r="P3" s="1" t="s">
        <v>7</v>
      </c>
      <c r="Q3" s="10" t="s">
        <v>40</v>
      </c>
      <c r="R3" s="9" t="s">
        <v>6</v>
      </c>
      <c r="S3" s="1" t="s">
        <v>7</v>
      </c>
      <c r="T3" s="1" t="s">
        <v>40</v>
      </c>
      <c r="U3" s="1" t="s">
        <v>6</v>
      </c>
      <c r="V3" s="1" t="s">
        <v>7</v>
      </c>
      <c r="W3" s="1" t="s">
        <v>40</v>
      </c>
      <c r="X3" s="1" t="s">
        <v>6</v>
      </c>
      <c r="Y3" s="1" t="s">
        <v>7</v>
      </c>
      <c r="Z3" s="1" t="s">
        <v>40</v>
      </c>
      <c r="AA3" s="1" t="s">
        <v>6</v>
      </c>
      <c r="AB3" s="1" t="s">
        <v>7</v>
      </c>
      <c r="AC3" s="10" t="s">
        <v>40</v>
      </c>
      <c r="AD3" s="9" t="s">
        <v>6</v>
      </c>
      <c r="AE3" s="1" t="s">
        <v>7</v>
      </c>
      <c r="AF3" s="1" t="s">
        <v>40</v>
      </c>
      <c r="AG3" s="1" t="s">
        <v>6</v>
      </c>
      <c r="AH3" s="1" t="s">
        <v>7</v>
      </c>
      <c r="AI3" s="1" t="s">
        <v>40</v>
      </c>
      <c r="AJ3" s="1" t="s">
        <v>6</v>
      </c>
      <c r="AK3" s="1" t="s">
        <v>7</v>
      </c>
      <c r="AL3" s="1" t="s">
        <v>40</v>
      </c>
      <c r="AM3" s="1" t="s">
        <v>6</v>
      </c>
      <c r="AN3" s="1" t="s">
        <v>7</v>
      </c>
      <c r="AO3" s="10" t="s">
        <v>40</v>
      </c>
      <c r="AP3" s="91" t="s">
        <v>6</v>
      </c>
      <c r="AQ3" s="92" t="s">
        <v>7</v>
      </c>
      <c r="AR3" s="92" t="s">
        <v>40</v>
      </c>
      <c r="AS3" s="92" t="s">
        <v>6</v>
      </c>
      <c r="AT3" s="92" t="s">
        <v>7</v>
      </c>
      <c r="AU3" s="92" t="s">
        <v>40</v>
      </c>
      <c r="AV3" s="92" t="s">
        <v>6</v>
      </c>
      <c r="AW3" s="92" t="s">
        <v>7</v>
      </c>
      <c r="AX3" s="92" t="s">
        <v>40</v>
      </c>
      <c r="AY3" s="92" t="s">
        <v>6</v>
      </c>
      <c r="AZ3" s="92" t="s">
        <v>7</v>
      </c>
      <c r="BA3" s="93" t="s">
        <v>40</v>
      </c>
      <c r="BB3" s="9" t="s">
        <v>6</v>
      </c>
      <c r="BC3" s="1" t="s">
        <v>7</v>
      </c>
      <c r="BD3" s="1" t="s">
        <v>40</v>
      </c>
      <c r="BE3" s="1" t="s">
        <v>6</v>
      </c>
      <c r="BF3" s="1" t="s">
        <v>7</v>
      </c>
      <c r="BG3" s="1" t="s">
        <v>40</v>
      </c>
      <c r="BH3" s="1" t="s">
        <v>6</v>
      </c>
      <c r="BI3" s="1" t="s">
        <v>7</v>
      </c>
      <c r="BJ3" s="1" t="s">
        <v>40</v>
      </c>
      <c r="BK3" s="1" t="s">
        <v>6</v>
      </c>
      <c r="BL3" s="1" t="s">
        <v>7</v>
      </c>
      <c r="BM3" s="10" t="s">
        <v>40</v>
      </c>
      <c r="BN3" s="9" t="s">
        <v>6</v>
      </c>
      <c r="BO3" s="1" t="s">
        <v>7</v>
      </c>
      <c r="BP3" s="1" t="s">
        <v>40</v>
      </c>
      <c r="BQ3" s="1" t="s">
        <v>6</v>
      </c>
      <c r="BR3" s="1" t="s">
        <v>7</v>
      </c>
      <c r="BS3" s="1" t="s">
        <v>40</v>
      </c>
      <c r="BT3" s="1" t="s">
        <v>6</v>
      </c>
      <c r="BU3" s="1" t="s">
        <v>7</v>
      </c>
      <c r="BV3" s="1" t="s">
        <v>40</v>
      </c>
      <c r="BW3" s="1" t="s">
        <v>6</v>
      </c>
      <c r="BX3" s="1" t="s">
        <v>7</v>
      </c>
      <c r="BY3" s="10" t="s">
        <v>40</v>
      </c>
      <c r="BZ3" s="9" t="s">
        <v>6</v>
      </c>
      <c r="CA3" s="1" t="s">
        <v>7</v>
      </c>
      <c r="CB3" s="1" t="s">
        <v>40</v>
      </c>
      <c r="CC3" s="1" t="s">
        <v>6</v>
      </c>
      <c r="CD3" s="1" t="s">
        <v>7</v>
      </c>
      <c r="CE3" s="1" t="s">
        <v>40</v>
      </c>
      <c r="CF3" s="1" t="s">
        <v>6</v>
      </c>
      <c r="CG3" s="1" t="s">
        <v>7</v>
      </c>
      <c r="CH3" s="1" t="s">
        <v>40</v>
      </c>
      <c r="CI3" s="1" t="s">
        <v>6</v>
      </c>
      <c r="CJ3" s="1" t="s">
        <v>7</v>
      </c>
      <c r="CK3" s="10" t="s">
        <v>40</v>
      </c>
      <c r="CL3" s="9" t="s">
        <v>6</v>
      </c>
      <c r="CM3" s="1" t="s">
        <v>7</v>
      </c>
      <c r="CN3" s="1" t="s">
        <v>40</v>
      </c>
      <c r="CO3" s="1" t="s">
        <v>6</v>
      </c>
      <c r="CP3" s="1" t="s">
        <v>7</v>
      </c>
      <c r="CQ3" s="1" t="s">
        <v>40</v>
      </c>
      <c r="CR3" s="1" t="s">
        <v>6</v>
      </c>
      <c r="CS3" s="1" t="s">
        <v>7</v>
      </c>
      <c r="CT3" s="1" t="s">
        <v>40</v>
      </c>
      <c r="CU3" s="1" t="s">
        <v>6</v>
      </c>
      <c r="CV3" s="1" t="s">
        <v>7</v>
      </c>
      <c r="CW3" s="10" t="s">
        <v>40</v>
      </c>
    </row>
    <row r="4" spans="1:101" s="373" customFormat="1">
      <c r="A4" s="732" t="s">
        <v>8</v>
      </c>
      <c r="B4" s="735" t="s">
        <v>9</v>
      </c>
      <c r="C4" s="371" t="s">
        <v>70</v>
      </c>
      <c r="D4" s="372" t="s">
        <v>273</v>
      </c>
      <c r="E4" s="372"/>
      <c r="F4" s="806">
        <f t="shared" ref="F4:H25" si="0">SUM(R4,AD4,AP4,BB4,BN4,BZ4,CL4)</f>
        <v>3979</v>
      </c>
      <c r="G4" s="810"/>
      <c r="H4" s="811"/>
      <c r="I4" s="806">
        <f t="shared" ref="I4:K25" si="1">SUM(U4,AG4,AS4,BE4,BQ4,CC4,CO4)</f>
        <v>5306</v>
      </c>
      <c r="J4" s="810"/>
      <c r="K4" s="811"/>
      <c r="L4" s="806">
        <f t="shared" ref="L4:N25" si="2">SUM(X4,AJ4,AV4,BH4,BT4,CF4,CR4)</f>
        <v>6697</v>
      </c>
      <c r="M4" s="810"/>
      <c r="N4" s="811"/>
      <c r="O4" s="806">
        <f t="shared" ref="O4:Q25" si="3">SUM(AA4,AM4,AY4,BK4,BW4,CI4,CU4)</f>
        <v>8194</v>
      </c>
      <c r="P4" s="810"/>
      <c r="Q4" s="810"/>
      <c r="R4" s="802">
        <v>745</v>
      </c>
      <c r="S4" s="810"/>
      <c r="T4" s="811"/>
      <c r="U4" s="806">
        <v>955</v>
      </c>
      <c r="V4" s="810"/>
      <c r="W4" s="811"/>
      <c r="X4" s="806">
        <v>1165</v>
      </c>
      <c r="Y4" s="810"/>
      <c r="Z4" s="811"/>
      <c r="AA4" s="806">
        <v>1375</v>
      </c>
      <c r="AB4" s="810"/>
      <c r="AC4" s="849"/>
      <c r="AD4" s="802">
        <v>502</v>
      </c>
      <c r="AE4" s="810"/>
      <c r="AF4" s="811"/>
      <c r="AG4" s="806">
        <v>687</v>
      </c>
      <c r="AH4" s="810"/>
      <c r="AI4" s="811"/>
      <c r="AJ4" s="806">
        <v>872</v>
      </c>
      <c r="AK4" s="810"/>
      <c r="AL4" s="811"/>
      <c r="AM4" s="806">
        <v>1057</v>
      </c>
      <c r="AN4" s="810"/>
      <c r="AO4" s="849"/>
      <c r="AP4" s="850">
        <v>626</v>
      </c>
      <c r="AQ4" s="851"/>
      <c r="AR4" s="852"/>
      <c r="AS4" s="853">
        <v>876</v>
      </c>
      <c r="AT4" s="851"/>
      <c r="AU4" s="852"/>
      <c r="AV4" s="853">
        <v>1128</v>
      </c>
      <c r="AW4" s="851"/>
      <c r="AX4" s="852"/>
      <c r="AY4" s="853">
        <v>1458</v>
      </c>
      <c r="AZ4" s="851"/>
      <c r="BA4" s="855"/>
      <c r="BB4" s="802">
        <v>369</v>
      </c>
      <c r="BC4" s="810"/>
      <c r="BD4" s="811"/>
      <c r="BE4" s="806">
        <v>479</v>
      </c>
      <c r="BF4" s="810"/>
      <c r="BG4" s="811"/>
      <c r="BH4" s="806">
        <v>589</v>
      </c>
      <c r="BI4" s="810"/>
      <c r="BJ4" s="811"/>
      <c r="BK4" s="806">
        <v>699</v>
      </c>
      <c r="BL4" s="810"/>
      <c r="BM4" s="849"/>
      <c r="BN4" s="802">
        <v>484</v>
      </c>
      <c r="BO4" s="810"/>
      <c r="BP4" s="811"/>
      <c r="BQ4" s="806">
        <v>692</v>
      </c>
      <c r="BR4" s="810"/>
      <c r="BS4" s="811"/>
      <c r="BT4" s="806">
        <v>900</v>
      </c>
      <c r="BU4" s="810"/>
      <c r="BV4" s="811"/>
      <c r="BW4" s="806">
        <v>1108</v>
      </c>
      <c r="BX4" s="810"/>
      <c r="BY4" s="849"/>
      <c r="BZ4" s="802">
        <v>117</v>
      </c>
      <c r="CA4" s="803"/>
      <c r="CB4" s="804"/>
      <c r="CC4" s="806">
        <v>137</v>
      </c>
      <c r="CD4" s="803"/>
      <c r="CE4" s="804"/>
      <c r="CF4" s="806">
        <v>143</v>
      </c>
      <c r="CG4" s="803"/>
      <c r="CH4" s="804"/>
      <c r="CI4" s="806">
        <v>177</v>
      </c>
      <c r="CJ4" s="803"/>
      <c r="CK4" s="854"/>
      <c r="CL4" s="802">
        <v>1136</v>
      </c>
      <c r="CM4" s="810"/>
      <c r="CN4" s="811"/>
      <c r="CO4" s="806">
        <v>1480</v>
      </c>
      <c r="CP4" s="810"/>
      <c r="CQ4" s="811"/>
      <c r="CR4" s="806">
        <v>1900</v>
      </c>
      <c r="CS4" s="810"/>
      <c r="CT4" s="811"/>
      <c r="CU4" s="806">
        <v>2320</v>
      </c>
      <c r="CV4" s="810"/>
      <c r="CW4" s="849"/>
    </row>
    <row r="5" spans="1:101" s="373" customFormat="1">
      <c r="A5" s="733"/>
      <c r="B5" s="702"/>
      <c r="C5" s="374" t="s">
        <v>71</v>
      </c>
      <c r="D5" s="372" t="s">
        <v>274</v>
      </c>
      <c r="E5" s="372"/>
      <c r="F5" s="375">
        <f t="shared" si="0"/>
        <v>26097</v>
      </c>
      <c r="G5" s="366">
        <f>SUM(S5,AE5,AQ5,BC5,BO5,CA5,CM5)</f>
        <v>28906</v>
      </c>
      <c r="H5" s="366">
        <f>SUM(T5,AF5,AR5,BD5,BP5,CB5,CN5)</f>
        <v>55003</v>
      </c>
      <c r="I5" s="366">
        <f t="shared" si="1"/>
        <v>38024</v>
      </c>
      <c r="J5" s="366">
        <f>SUM(V5,AH5,AT5,BF5,BR5,CD5,CP5)</f>
        <v>41242</v>
      </c>
      <c r="K5" s="366">
        <f>SUM(W5,AI5,AU5,BG5,BS5,CE5,CQ5)</f>
        <v>79266</v>
      </c>
      <c r="L5" s="366">
        <f t="shared" si="2"/>
        <v>47187</v>
      </c>
      <c r="M5" s="366">
        <f>SUM(Y5,AK5,AW5,BI5,BU5,CG5,CS5)</f>
        <v>51404</v>
      </c>
      <c r="N5" s="366">
        <f>SUM(Z5,AL5,AX5,BJ5,BV5,CH5,CT5)</f>
        <v>98591</v>
      </c>
      <c r="O5" s="366">
        <f t="shared" si="3"/>
        <v>56945</v>
      </c>
      <c r="P5" s="366">
        <f>SUM(AB5,AN5,AZ5,BL5,BX5,CJ5,CV5)</f>
        <v>62121</v>
      </c>
      <c r="Q5" s="376">
        <f>SUM(AC5,AO5,BA5,BM5,BY5,CK5,CW5)</f>
        <v>119066</v>
      </c>
      <c r="R5" s="45">
        <v>3455</v>
      </c>
      <c r="S5" s="366">
        <v>4447</v>
      </c>
      <c r="T5" s="366">
        <v>7902</v>
      </c>
      <c r="U5" s="366">
        <v>4431</v>
      </c>
      <c r="V5" s="366">
        <v>5688</v>
      </c>
      <c r="W5" s="366">
        <v>10119</v>
      </c>
      <c r="X5" s="366">
        <v>5407</v>
      </c>
      <c r="Y5" s="366">
        <v>6929</v>
      </c>
      <c r="Z5" s="366">
        <v>12336</v>
      </c>
      <c r="AA5" s="366">
        <v>6383</v>
      </c>
      <c r="AB5" s="366">
        <v>8170</v>
      </c>
      <c r="AC5" s="376">
        <v>14553</v>
      </c>
      <c r="AD5" s="45">
        <v>3198</v>
      </c>
      <c r="AE5" s="366">
        <v>3328</v>
      </c>
      <c r="AF5" s="366">
        <v>6526</v>
      </c>
      <c r="AG5" s="366">
        <v>4376</v>
      </c>
      <c r="AH5" s="366">
        <v>4555</v>
      </c>
      <c r="AI5" s="366">
        <v>8931</v>
      </c>
      <c r="AJ5" s="366">
        <v>5554</v>
      </c>
      <c r="AK5" s="366">
        <v>5782</v>
      </c>
      <c r="AL5" s="366">
        <v>11336</v>
      </c>
      <c r="AM5" s="366">
        <v>6732</v>
      </c>
      <c r="AN5" s="366">
        <v>7009</v>
      </c>
      <c r="AO5" s="376">
        <v>13741</v>
      </c>
      <c r="AP5" s="377">
        <v>3652</v>
      </c>
      <c r="AQ5" s="378">
        <v>4289</v>
      </c>
      <c r="AR5" s="378">
        <v>7941</v>
      </c>
      <c r="AS5" s="378">
        <v>5052</v>
      </c>
      <c r="AT5" s="378">
        <v>5789</v>
      </c>
      <c r="AU5" s="378">
        <v>10841</v>
      </c>
      <c r="AV5" s="378">
        <v>6452</v>
      </c>
      <c r="AW5" s="378">
        <v>7289</v>
      </c>
      <c r="AX5" s="378">
        <v>13741</v>
      </c>
      <c r="AY5" s="378">
        <v>8450</v>
      </c>
      <c r="AZ5" s="378">
        <v>9340</v>
      </c>
      <c r="BA5" s="379">
        <v>17790</v>
      </c>
      <c r="BB5" s="45">
        <v>2363</v>
      </c>
      <c r="BC5" s="366">
        <v>2846</v>
      </c>
      <c r="BD5" s="366">
        <v>5209</v>
      </c>
      <c r="BE5" s="366">
        <v>2913</v>
      </c>
      <c r="BF5" s="366">
        <v>3946</v>
      </c>
      <c r="BG5" s="366">
        <v>6859</v>
      </c>
      <c r="BH5" s="366">
        <v>3463</v>
      </c>
      <c r="BI5" s="366">
        <v>5046</v>
      </c>
      <c r="BJ5" s="366">
        <v>8509</v>
      </c>
      <c r="BK5" s="366">
        <v>4013</v>
      </c>
      <c r="BL5" s="366">
        <v>6146</v>
      </c>
      <c r="BM5" s="376">
        <v>10159</v>
      </c>
      <c r="BN5" s="45">
        <v>3234</v>
      </c>
      <c r="BO5" s="366">
        <v>2589</v>
      </c>
      <c r="BP5" s="366">
        <v>5823</v>
      </c>
      <c r="BQ5" s="366">
        <v>4794</v>
      </c>
      <c r="BR5" s="366">
        <v>4149</v>
      </c>
      <c r="BS5" s="366">
        <v>8943</v>
      </c>
      <c r="BT5" s="366">
        <v>6354</v>
      </c>
      <c r="BU5" s="366">
        <v>5709</v>
      </c>
      <c r="BV5" s="366">
        <v>12063</v>
      </c>
      <c r="BW5" s="366">
        <v>7914</v>
      </c>
      <c r="BX5" s="366">
        <v>7269</v>
      </c>
      <c r="BY5" s="376">
        <v>15183</v>
      </c>
      <c r="BZ5" s="169">
        <v>952</v>
      </c>
      <c r="CA5" s="170">
        <v>1338</v>
      </c>
      <c r="CB5" s="170">
        <v>2290</v>
      </c>
      <c r="CC5" s="170">
        <v>4050</v>
      </c>
      <c r="CD5" s="170">
        <v>4707</v>
      </c>
      <c r="CE5" s="170">
        <v>8757</v>
      </c>
      <c r="CF5" s="170">
        <v>4189</v>
      </c>
      <c r="CG5" s="170">
        <v>4881</v>
      </c>
      <c r="CH5" s="170">
        <v>9070</v>
      </c>
      <c r="CI5" s="170">
        <v>4325</v>
      </c>
      <c r="CJ5" s="170">
        <v>5059</v>
      </c>
      <c r="CK5" s="380">
        <v>9384</v>
      </c>
      <c r="CL5" s="45">
        <v>9243</v>
      </c>
      <c r="CM5" s="366">
        <v>10069</v>
      </c>
      <c r="CN5" s="366">
        <v>19312</v>
      </c>
      <c r="CO5" s="366">
        <v>12408</v>
      </c>
      <c r="CP5" s="366">
        <v>12408</v>
      </c>
      <c r="CQ5" s="366">
        <v>24816</v>
      </c>
      <c r="CR5" s="366">
        <v>15768</v>
      </c>
      <c r="CS5" s="366">
        <v>15768</v>
      </c>
      <c r="CT5" s="366">
        <v>31536</v>
      </c>
      <c r="CU5" s="366">
        <v>19128</v>
      </c>
      <c r="CV5" s="366">
        <v>19128</v>
      </c>
      <c r="CW5" s="376">
        <v>38256</v>
      </c>
    </row>
    <row r="6" spans="1:101" s="373" customFormat="1">
      <c r="A6" s="733"/>
      <c r="B6" s="702"/>
      <c r="C6" s="374" t="s">
        <v>275</v>
      </c>
      <c r="D6" s="372"/>
      <c r="E6" s="372"/>
      <c r="F6" s="381"/>
      <c r="G6" s="297"/>
      <c r="H6" s="298"/>
      <c r="I6" s="297"/>
      <c r="J6" s="297"/>
      <c r="K6" s="298"/>
      <c r="L6" s="297"/>
      <c r="M6" s="297"/>
      <c r="N6" s="298"/>
      <c r="O6" s="297"/>
      <c r="P6" s="297"/>
      <c r="Q6" s="297"/>
      <c r="R6" s="296"/>
      <c r="S6" s="297"/>
      <c r="T6" s="298"/>
      <c r="U6" s="297"/>
      <c r="V6" s="297"/>
      <c r="W6" s="298"/>
      <c r="X6" s="297"/>
      <c r="Y6" s="297"/>
      <c r="Z6" s="298"/>
      <c r="AA6" s="297"/>
      <c r="AB6" s="297"/>
      <c r="AC6" s="382"/>
      <c r="AD6" s="296"/>
      <c r="AE6" s="297"/>
      <c r="AF6" s="298"/>
      <c r="AG6" s="297"/>
      <c r="AH6" s="297"/>
      <c r="AI6" s="298"/>
      <c r="AJ6" s="297"/>
      <c r="AK6" s="297"/>
      <c r="AL6" s="298"/>
      <c r="AM6" s="297"/>
      <c r="AN6" s="297"/>
      <c r="AO6" s="382"/>
      <c r="AP6" s="383"/>
      <c r="AQ6" s="384"/>
      <c r="AR6" s="385"/>
      <c r="AS6" s="384"/>
      <c r="AT6" s="384"/>
      <c r="AU6" s="385"/>
      <c r="AV6" s="384"/>
      <c r="AW6" s="384"/>
      <c r="AX6" s="385"/>
      <c r="AY6" s="384"/>
      <c r="AZ6" s="384"/>
      <c r="BA6" s="386"/>
      <c r="BB6" s="296"/>
      <c r="BC6" s="297"/>
      <c r="BD6" s="298"/>
      <c r="BE6" s="297"/>
      <c r="BF6" s="297"/>
      <c r="BG6" s="298"/>
      <c r="BH6" s="297"/>
      <c r="BI6" s="297"/>
      <c r="BJ6" s="298"/>
      <c r="BK6" s="297"/>
      <c r="BL6" s="297"/>
      <c r="BM6" s="382"/>
      <c r="BN6" s="296"/>
      <c r="BO6" s="297"/>
      <c r="BP6" s="298"/>
      <c r="BQ6" s="297"/>
      <c r="BR6" s="297"/>
      <c r="BS6" s="298"/>
      <c r="BT6" s="297"/>
      <c r="BU6" s="297"/>
      <c r="BV6" s="298"/>
      <c r="BW6" s="297"/>
      <c r="BX6" s="297"/>
      <c r="BY6" s="382"/>
      <c r="BZ6" s="307"/>
      <c r="CA6" s="308"/>
      <c r="CB6" s="309"/>
      <c r="CC6" s="308"/>
      <c r="CD6" s="308"/>
      <c r="CE6" s="309"/>
      <c r="CF6" s="308"/>
      <c r="CG6" s="308"/>
      <c r="CH6" s="309"/>
      <c r="CI6" s="308"/>
      <c r="CJ6" s="308"/>
      <c r="CK6" s="387"/>
      <c r="CL6" s="296"/>
      <c r="CM6" s="297"/>
      <c r="CN6" s="298"/>
      <c r="CO6" s="297"/>
      <c r="CP6" s="297"/>
      <c r="CQ6" s="298"/>
      <c r="CR6" s="297"/>
      <c r="CS6" s="297"/>
      <c r="CT6" s="298"/>
      <c r="CU6" s="297"/>
      <c r="CV6" s="297"/>
      <c r="CW6" s="382"/>
    </row>
    <row r="7" spans="1:101" s="373" customFormat="1" ht="24.75" thickBot="1">
      <c r="A7" s="733"/>
      <c r="B7" s="702"/>
      <c r="C7" s="374" t="s">
        <v>276</v>
      </c>
      <c r="D7" s="372"/>
      <c r="E7" s="372"/>
      <c r="F7" s="381"/>
      <c r="G7" s="297"/>
      <c r="H7" s="298"/>
      <c r="I7" s="297"/>
      <c r="J7" s="297"/>
      <c r="K7" s="298"/>
      <c r="L7" s="297"/>
      <c r="M7" s="297"/>
      <c r="N7" s="298"/>
      <c r="O7" s="297"/>
      <c r="P7" s="297"/>
      <c r="Q7" s="297"/>
      <c r="R7" s="296"/>
      <c r="S7" s="297"/>
      <c r="T7" s="298"/>
      <c r="U7" s="297"/>
      <c r="V7" s="297"/>
      <c r="W7" s="298"/>
      <c r="X7" s="297"/>
      <c r="Y7" s="297"/>
      <c r="Z7" s="298"/>
      <c r="AA7" s="297"/>
      <c r="AB7" s="297"/>
      <c r="AC7" s="382"/>
      <c r="AD7" s="296"/>
      <c r="AE7" s="297"/>
      <c r="AF7" s="298"/>
      <c r="AG7" s="297"/>
      <c r="AH7" s="297"/>
      <c r="AI7" s="298"/>
      <c r="AJ7" s="297"/>
      <c r="AK7" s="297"/>
      <c r="AL7" s="298"/>
      <c r="AM7" s="297"/>
      <c r="AN7" s="297"/>
      <c r="AO7" s="382"/>
      <c r="AP7" s="383"/>
      <c r="AQ7" s="384"/>
      <c r="AR7" s="385"/>
      <c r="AS7" s="384"/>
      <c r="AT7" s="384"/>
      <c r="AU7" s="385"/>
      <c r="AV7" s="384"/>
      <c r="AW7" s="384"/>
      <c r="AX7" s="385"/>
      <c r="AY7" s="384"/>
      <c r="AZ7" s="384"/>
      <c r="BA7" s="386"/>
      <c r="BB7" s="296"/>
      <c r="BC7" s="297"/>
      <c r="BD7" s="298"/>
      <c r="BE7" s="297"/>
      <c r="BF7" s="297"/>
      <c r="BG7" s="298"/>
      <c r="BH7" s="297"/>
      <c r="BI7" s="297"/>
      <c r="BJ7" s="298"/>
      <c r="BK7" s="297"/>
      <c r="BL7" s="297"/>
      <c r="BM7" s="382"/>
      <c r="BN7" s="296"/>
      <c r="BO7" s="297"/>
      <c r="BP7" s="298"/>
      <c r="BQ7" s="297"/>
      <c r="BR7" s="297"/>
      <c r="BS7" s="298"/>
      <c r="BT7" s="297"/>
      <c r="BU7" s="297"/>
      <c r="BV7" s="298"/>
      <c r="BW7" s="297"/>
      <c r="BX7" s="297"/>
      <c r="BY7" s="382"/>
      <c r="BZ7" s="307"/>
      <c r="CA7" s="308"/>
      <c r="CB7" s="309"/>
      <c r="CC7" s="308"/>
      <c r="CD7" s="308"/>
      <c r="CE7" s="309"/>
      <c r="CF7" s="308"/>
      <c r="CG7" s="308"/>
      <c r="CH7" s="309"/>
      <c r="CI7" s="308"/>
      <c r="CJ7" s="308"/>
      <c r="CK7" s="387"/>
      <c r="CL7" s="296"/>
      <c r="CM7" s="297"/>
      <c r="CN7" s="298"/>
      <c r="CO7" s="297"/>
      <c r="CP7" s="297"/>
      <c r="CQ7" s="298"/>
      <c r="CR7" s="297"/>
      <c r="CS7" s="297"/>
      <c r="CT7" s="298"/>
      <c r="CU7" s="297"/>
      <c r="CV7" s="297"/>
      <c r="CW7" s="382"/>
    </row>
    <row r="8" spans="1:101" s="373" customFormat="1" ht="24">
      <c r="A8" s="733"/>
      <c r="B8" s="702"/>
      <c r="C8" s="388" t="s">
        <v>51</v>
      </c>
      <c r="D8" s="372" t="s">
        <v>278</v>
      </c>
      <c r="E8" s="372"/>
      <c r="F8" s="611">
        <f t="shared" si="0"/>
        <v>83</v>
      </c>
      <c r="G8" s="615"/>
      <c r="H8" s="616"/>
      <c r="I8" s="611">
        <f t="shared" si="1"/>
        <v>126</v>
      </c>
      <c r="J8" s="615"/>
      <c r="K8" s="616"/>
      <c r="L8" s="611">
        <f t="shared" si="2"/>
        <v>0</v>
      </c>
      <c r="M8" s="615"/>
      <c r="N8" s="616"/>
      <c r="O8" s="611">
        <f t="shared" si="3"/>
        <v>0</v>
      </c>
      <c r="P8" s="615"/>
      <c r="Q8" s="615"/>
      <c r="R8" s="607"/>
      <c r="S8" s="615"/>
      <c r="T8" s="616"/>
      <c r="U8" s="611">
        <v>126</v>
      </c>
      <c r="V8" s="615"/>
      <c r="W8" s="616"/>
      <c r="X8" s="611">
        <v>0</v>
      </c>
      <c r="Y8" s="615"/>
      <c r="Z8" s="616"/>
      <c r="AA8" s="611">
        <v>0</v>
      </c>
      <c r="AB8" s="615"/>
      <c r="AC8" s="860"/>
      <c r="AD8" s="607">
        <v>13</v>
      </c>
      <c r="AE8" s="615"/>
      <c r="AF8" s="616"/>
      <c r="AG8" s="611">
        <v>0</v>
      </c>
      <c r="AH8" s="615"/>
      <c r="AI8" s="616"/>
      <c r="AJ8" s="611">
        <v>0</v>
      </c>
      <c r="AK8" s="615"/>
      <c r="AL8" s="616"/>
      <c r="AM8" s="611">
        <v>0</v>
      </c>
      <c r="AN8" s="615"/>
      <c r="AO8" s="860"/>
      <c r="AP8" s="866">
        <v>15</v>
      </c>
      <c r="AQ8" s="857"/>
      <c r="AR8" s="858"/>
      <c r="AS8" s="856">
        <v>0</v>
      </c>
      <c r="AT8" s="857"/>
      <c r="AU8" s="858"/>
      <c r="AV8" s="856">
        <v>0</v>
      </c>
      <c r="AW8" s="857"/>
      <c r="AX8" s="858"/>
      <c r="AY8" s="856">
        <v>0</v>
      </c>
      <c r="AZ8" s="857"/>
      <c r="BA8" s="859"/>
      <c r="BB8" s="607">
        <v>0</v>
      </c>
      <c r="BC8" s="615"/>
      <c r="BD8" s="616"/>
      <c r="BE8" s="611">
        <v>0</v>
      </c>
      <c r="BF8" s="615"/>
      <c r="BG8" s="616"/>
      <c r="BH8" s="611">
        <v>0</v>
      </c>
      <c r="BI8" s="615"/>
      <c r="BJ8" s="616"/>
      <c r="BK8" s="611">
        <v>0</v>
      </c>
      <c r="BL8" s="615"/>
      <c r="BM8" s="860"/>
      <c r="BN8" s="607">
        <v>8</v>
      </c>
      <c r="BO8" s="615"/>
      <c r="BP8" s="616"/>
      <c r="BQ8" s="611">
        <v>0</v>
      </c>
      <c r="BR8" s="615"/>
      <c r="BS8" s="616"/>
      <c r="BT8" s="611">
        <v>0</v>
      </c>
      <c r="BU8" s="615"/>
      <c r="BV8" s="616"/>
      <c r="BW8" s="611">
        <v>0</v>
      </c>
      <c r="BX8" s="615"/>
      <c r="BY8" s="860"/>
      <c r="BZ8" s="607">
        <v>47</v>
      </c>
      <c r="CA8" s="608"/>
      <c r="CB8" s="609"/>
      <c r="CC8" s="611">
        <v>0</v>
      </c>
      <c r="CD8" s="608"/>
      <c r="CE8" s="609"/>
      <c r="CF8" s="611">
        <v>0</v>
      </c>
      <c r="CG8" s="608"/>
      <c r="CH8" s="609"/>
      <c r="CI8" s="611">
        <v>0</v>
      </c>
      <c r="CJ8" s="608"/>
      <c r="CK8" s="865"/>
      <c r="CL8" s="607">
        <v>0</v>
      </c>
      <c r="CM8" s="615"/>
      <c r="CN8" s="616"/>
      <c r="CO8" s="611">
        <v>0</v>
      </c>
      <c r="CP8" s="615"/>
      <c r="CQ8" s="616"/>
      <c r="CR8" s="611">
        <v>0</v>
      </c>
      <c r="CS8" s="615"/>
      <c r="CT8" s="616"/>
      <c r="CU8" s="611">
        <v>0</v>
      </c>
      <c r="CV8" s="615"/>
      <c r="CW8" s="860"/>
    </row>
    <row r="9" spans="1:101" s="373" customFormat="1" ht="24.75" thickBot="1">
      <c r="A9" s="733"/>
      <c r="B9" s="702"/>
      <c r="C9" s="389" t="s">
        <v>52</v>
      </c>
      <c r="D9" s="372" t="s">
        <v>279</v>
      </c>
      <c r="E9" s="372"/>
      <c r="F9" s="375">
        <f t="shared" si="0"/>
        <v>550</v>
      </c>
      <c r="G9" s="366">
        <f>SUM(S9,AE9,AQ9,BC9,BO9,CA9,CM9)</f>
        <v>565</v>
      </c>
      <c r="H9" s="366">
        <f>SUM(T9,AF9,AR9,BD9,BP9,CB9,CN9)</f>
        <v>1115</v>
      </c>
      <c r="I9" s="366">
        <f t="shared" si="1"/>
        <v>611</v>
      </c>
      <c r="J9" s="366">
        <f>SUM(V9,AH9,AT9,BF9,BR9,CD9,CP9)</f>
        <v>664</v>
      </c>
      <c r="K9" s="366">
        <f>SUM(W9,AI9,AU9,BG9,BS9,CE9,CQ9)</f>
        <v>1275</v>
      </c>
      <c r="L9" s="366">
        <f t="shared" si="2"/>
        <v>0</v>
      </c>
      <c r="M9" s="366">
        <f>SUM(Y9,AK9,AW9,BI9,BU9,CG9,CS9)</f>
        <v>0</v>
      </c>
      <c r="N9" s="366">
        <f>SUM(Z9,AL9,AX9,BJ9,BV9,CH9,CT9)</f>
        <v>0</v>
      </c>
      <c r="O9" s="366">
        <f t="shared" si="3"/>
        <v>0</v>
      </c>
      <c r="P9" s="366">
        <f>SUM(AB9,AN9,AZ9,BL9,BX9,CJ9,CV9)</f>
        <v>0</v>
      </c>
      <c r="Q9" s="376">
        <f>SUM(AC9,AO9,BA9,BM9,BY9,CK9,CW9)</f>
        <v>0</v>
      </c>
      <c r="R9" s="45"/>
      <c r="S9" s="366"/>
      <c r="T9" s="366">
        <v>0</v>
      </c>
      <c r="U9" s="366">
        <v>611</v>
      </c>
      <c r="V9" s="366">
        <v>664</v>
      </c>
      <c r="W9" s="366">
        <v>1275</v>
      </c>
      <c r="X9" s="366">
        <v>0</v>
      </c>
      <c r="Y9" s="366">
        <v>0</v>
      </c>
      <c r="Z9" s="366">
        <v>0</v>
      </c>
      <c r="AA9" s="366">
        <v>0</v>
      </c>
      <c r="AB9" s="366">
        <v>0</v>
      </c>
      <c r="AC9" s="376">
        <v>0</v>
      </c>
      <c r="AD9" s="45">
        <v>105</v>
      </c>
      <c r="AE9" s="366">
        <v>66</v>
      </c>
      <c r="AF9" s="366">
        <v>171</v>
      </c>
      <c r="AG9" s="366">
        <v>0</v>
      </c>
      <c r="AH9" s="366">
        <v>0</v>
      </c>
      <c r="AI9" s="366">
        <v>0</v>
      </c>
      <c r="AJ9" s="366">
        <v>0</v>
      </c>
      <c r="AK9" s="366">
        <v>0</v>
      </c>
      <c r="AL9" s="366">
        <v>0</v>
      </c>
      <c r="AM9" s="366">
        <v>0</v>
      </c>
      <c r="AN9" s="366">
        <v>0</v>
      </c>
      <c r="AO9" s="376">
        <v>0</v>
      </c>
      <c r="AP9" s="377">
        <v>90</v>
      </c>
      <c r="AQ9" s="378">
        <v>99</v>
      </c>
      <c r="AR9" s="378">
        <v>189</v>
      </c>
      <c r="AS9" s="378">
        <v>0</v>
      </c>
      <c r="AT9" s="378">
        <v>0</v>
      </c>
      <c r="AU9" s="378">
        <v>0</v>
      </c>
      <c r="AV9" s="378">
        <v>0</v>
      </c>
      <c r="AW9" s="378">
        <v>0</v>
      </c>
      <c r="AX9" s="378">
        <v>0</v>
      </c>
      <c r="AY9" s="378">
        <v>0</v>
      </c>
      <c r="AZ9" s="378">
        <v>0</v>
      </c>
      <c r="BA9" s="379">
        <v>0</v>
      </c>
      <c r="BB9" s="45">
        <v>0</v>
      </c>
      <c r="BC9" s="366">
        <v>0</v>
      </c>
      <c r="BD9" s="366">
        <v>0</v>
      </c>
      <c r="BE9" s="366">
        <v>0</v>
      </c>
      <c r="BF9" s="366">
        <v>0</v>
      </c>
      <c r="BG9" s="366">
        <v>0</v>
      </c>
      <c r="BH9" s="366">
        <v>0</v>
      </c>
      <c r="BI9" s="366">
        <v>0</v>
      </c>
      <c r="BJ9" s="366">
        <v>0</v>
      </c>
      <c r="BK9" s="366">
        <v>0</v>
      </c>
      <c r="BL9" s="366">
        <v>0</v>
      </c>
      <c r="BM9" s="376">
        <v>0</v>
      </c>
      <c r="BN9" s="45">
        <v>38</v>
      </c>
      <c r="BO9" s="366">
        <v>59</v>
      </c>
      <c r="BP9" s="366">
        <v>97</v>
      </c>
      <c r="BQ9" s="366">
        <v>0</v>
      </c>
      <c r="BR9" s="366">
        <v>0</v>
      </c>
      <c r="BS9" s="366">
        <v>0</v>
      </c>
      <c r="BT9" s="366">
        <v>0</v>
      </c>
      <c r="BU9" s="366">
        <v>0</v>
      </c>
      <c r="BV9" s="366">
        <v>0</v>
      </c>
      <c r="BW9" s="366">
        <v>0</v>
      </c>
      <c r="BX9" s="366">
        <v>0</v>
      </c>
      <c r="BY9" s="376">
        <v>0</v>
      </c>
      <c r="BZ9" s="169">
        <v>317</v>
      </c>
      <c r="CA9" s="170">
        <v>341</v>
      </c>
      <c r="CB9" s="170">
        <v>658</v>
      </c>
      <c r="CC9" s="170">
        <v>0</v>
      </c>
      <c r="CD9" s="170">
        <v>0</v>
      </c>
      <c r="CE9" s="170">
        <v>0</v>
      </c>
      <c r="CF9" s="170">
        <v>0</v>
      </c>
      <c r="CG9" s="170">
        <v>0</v>
      </c>
      <c r="CH9" s="170">
        <v>0</v>
      </c>
      <c r="CI9" s="170">
        <v>0</v>
      </c>
      <c r="CJ9" s="170">
        <v>0</v>
      </c>
      <c r="CK9" s="380">
        <v>0</v>
      </c>
      <c r="CL9" s="45">
        <v>0</v>
      </c>
      <c r="CM9" s="366">
        <v>0</v>
      </c>
      <c r="CN9" s="366">
        <v>0</v>
      </c>
      <c r="CO9" s="366">
        <v>0</v>
      </c>
      <c r="CP9" s="366">
        <v>0</v>
      </c>
      <c r="CQ9" s="366">
        <v>0</v>
      </c>
      <c r="CR9" s="366">
        <v>0</v>
      </c>
      <c r="CS9" s="366">
        <v>0</v>
      </c>
      <c r="CT9" s="366">
        <v>0</v>
      </c>
      <c r="CU9" s="366">
        <v>0</v>
      </c>
      <c r="CV9" s="366">
        <v>0</v>
      </c>
      <c r="CW9" s="376">
        <v>0</v>
      </c>
    </row>
    <row r="10" spans="1:101" s="436" customFormat="1" ht="24">
      <c r="A10" s="733"/>
      <c r="B10" s="702"/>
      <c r="C10" s="433" t="s">
        <v>47</v>
      </c>
      <c r="D10" s="434" t="s">
        <v>280</v>
      </c>
      <c r="E10" s="435"/>
      <c r="F10" s="861">
        <f t="shared" si="0"/>
        <v>12095</v>
      </c>
      <c r="G10" s="862"/>
      <c r="H10" s="863"/>
      <c r="I10" s="861">
        <f t="shared" si="1"/>
        <v>11836</v>
      </c>
      <c r="J10" s="862"/>
      <c r="K10" s="863"/>
      <c r="L10" s="861">
        <f t="shared" si="2"/>
        <v>11986</v>
      </c>
      <c r="M10" s="862"/>
      <c r="N10" s="863"/>
      <c r="O10" s="861">
        <f t="shared" si="3"/>
        <v>12267</v>
      </c>
      <c r="P10" s="862"/>
      <c r="Q10" s="862"/>
      <c r="R10" s="864">
        <v>947</v>
      </c>
      <c r="S10" s="862"/>
      <c r="T10" s="863"/>
      <c r="U10" s="861">
        <v>884</v>
      </c>
      <c r="V10" s="862"/>
      <c r="W10" s="863"/>
      <c r="X10" s="861">
        <v>944</v>
      </c>
      <c r="Y10" s="862"/>
      <c r="Z10" s="863"/>
      <c r="AA10" s="861">
        <v>1004</v>
      </c>
      <c r="AB10" s="862"/>
      <c r="AC10" s="867"/>
      <c r="AD10" s="864">
        <v>1859</v>
      </c>
      <c r="AE10" s="862"/>
      <c r="AF10" s="863"/>
      <c r="AG10" s="861">
        <v>1790</v>
      </c>
      <c r="AH10" s="862"/>
      <c r="AI10" s="863"/>
      <c r="AJ10" s="861">
        <v>1827</v>
      </c>
      <c r="AK10" s="862"/>
      <c r="AL10" s="863"/>
      <c r="AM10" s="861">
        <v>1864</v>
      </c>
      <c r="AN10" s="862"/>
      <c r="AO10" s="867"/>
      <c r="AP10" s="864">
        <v>1843</v>
      </c>
      <c r="AQ10" s="862"/>
      <c r="AR10" s="863"/>
      <c r="AS10" s="861">
        <v>1973</v>
      </c>
      <c r="AT10" s="862"/>
      <c r="AU10" s="863"/>
      <c r="AV10" s="861">
        <v>2045</v>
      </c>
      <c r="AW10" s="862"/>
      <c r="AX10" s="863"/>
      <c r="AY10" s="861">
        <v>2175</v>
      </c>
      <c r="AZ10" s="862"/>
      <c r="BA10" s="867"/>
      <c r="BB10" s="864">
        <v>737</v>
      </c>
      <c r="BC10" s="862"/>
      <c r="BD10" s="863"/>
      <c r="BE10" s="861">
        <v>891</v>
      </c>
      <c r="BF10" s="862"/>
      <c r="BG10" s="863"/>
      <c r="BH10" s="861">
        <v>1045</v>
      </c>
      <c r="BI10" s="862"/>
      <c r="BJ10" s="863"/>
      <c r="BK10" s="861">
        <v>1199</v>
      </c>
      <c r="BL10" s="862"/>
      <c r="BM10" s="867"/>
      <c r="BN10" s="864">
        <v>1194</v>
      </c>
      <c r="BO10" s="862"/>
      <c r="BP10" s="863"/>
      <c r="BQ10" s="861">
        <v>1343</v>
      </c>
      <c r="BR10" s="862"/>
      <c r="BS10" s="863"/>
      <c r="BT10" s="861">
        <v>1317</v>
      </c>
      <c r="BU10" s="862"/>
      <c r="BV10" s="863"/>
      <c r="BW10" s="861">
        <v>1291</v>
      </c>
      <c r="BX10" s="862"/>
      <c r="BY10" s="867"/>
      <c r="BZ10" s="864">
        <v>3408</v>
      </c>
      <c r="CA10" s="873"/>
      <c r="CB10" s="874"/>
      <c r="CC10" s="861">
        <v>2656</v>
      </c>
      <c r="CD10" s="862"/>
      <c r="CE10" s="863"/>
      <c r="CF10" s="861">
        <v>2676</v>
      </c>
      <c r="CG10" s="873"/>
      <c r="CH10" s="874"/>
      <c r="CI10" s="861">
        <v>2696</v>
      </c>
      <c r="CJ10" s="862"/>
      <c r="CK10" s="867"/>
      <c r="CL10" s="864">
        <v>2107</v>
      </c>
      <c r="CM10" s="862"/>
      <c r="CN10" s="863"/>
      <c r="CO10" s="861">
        <v>2299</v>
      </c>
      <c r="CP10" s="862"/>
      <c r="CQ10" s="863"/>
      <c r="CR10" s="861">
        <v>2132</v>
      </c>
      <c r="CS10" s="862"/>
      <c r="CT10" s="863"/>
      <c r="CU10" s="861">
        <v>2038</v>
      </c>
      <c r="CV10" s="862"/>
      <c r="CW10" s="867"/>
    </row>
    <row r="11" spans="1:101" s="436" customFormat="1" ht="36.75" thickBot="1">
      <c r="A11" s="733"/>
      <c r="B11" s="702"/>
      <c r="C11" s="437" t="s">
        <v>48</v>
      </c>
      <c r="D11" s="434" t="s">
        <v>281</v>
      </c>
      <c r="E11" s="435"/>
      <c r="F11" s="438">
        <f t="shared" si="0"/>
        <v>86637</v>
      </c>
      <c r="G11" s="439">
        <f>SUM(S11,AE11,AQ11,BC11,BO11,CA11,CM11)</f>
        <v>96474</v>
      </c>
      <c r="H11" s="439">
        <f>SUM(T11,AF11,AR11,BD11,BP11,CB11,CN11)</f>
        <v>183111</v>
      </c>
      <c r="I11" s="439">
        <f t="shared" si="1"/>
        <v>80096</v>
      </c>
      <c r="J11" s="439">
        <f>SUM(V11,AH11,AT11,BF11,BR11,CD11,CP11)</f>
        <v>94637</v>
      </c>
      <c r="K11" s="439">
        <f>SUM(W11,AI11,AU11,BG11,BS11,CE11,CQ11)</f>
        <v>174733</v>
      </c>
      <c r="L11" s="439">
        <f t="shared" si="2"/>
        <v>82518</v>
      </c>
      <c r="M11" s="439">
        <f>SUM(Y11,AK11,AW11,BI11,BU11,CG11,CS11)</f>
        <v>96565</v>
      </c>
      <c r="N11" s="439">
        <f>SUM(Z11,AL11,AX11,BJ11,BV11,CH11,CT11)</f>
        <v>179083</v>
      </c>
      <c r="O11" s="439">
        <f t="shared" si="3"/>
        <v>85761</v>
      </c>
      <c r="P11" s="439">
        <f>SUM(AB11,AN11,AZ11,BL11,BX11,CJ11,CV11)</f>
        <v>101970</v>
      </c>
      <c r="Q11" s="440">
        <f>SUM(AC11,AO11,BA11,BM11,BY11,CK11,CW11)</f>
        <v>187731</v>
      </c>
      <c r="R11" s="441">
        <v>4329</v>
      </c>
      <c r="S11" s="439">
        <v>5516</v>
      </c>
      <c r="T11" s="439">
        <v>9845</v>
      </c>
      <c r="U11" s="439">
        <v>3981</v>
      </c>
      <c r="V11" s="439">
        <v>5277</v>
      </c>
      <c r="W11" s="439">
        <v>9258</v>
      </c>
      <c r="X11" s="439">
        <v>4957</v>
      </c>
      <c r="Y11" s="439">
        <v>6518</v>
      </c>
      <c r="Z11" s="439">
        <v>11475</v>
      </c>
      <c r="AA11" s="439">
        <v>5207</v>
      </c>
      <c r="AB11" s="439">
        <v>6835</v>
      </c>
      <c r="AC11" s="442">
        <v>12042</v>
      </c>
      <c r="AD11" s="441">
        <v>12221</v>
      </c>
      <c r="AE11" s="439">
        <v>13329</v>
      </c>
      <c r="AF11" s="439">
        <v>25550</v>
      </c>
      <c r="AG11" s="439">
        <v>11803</v>
      </c>
      <c r="AH11" s="439">
        <v>12855</v>
      </c>
      <c r="AI11" s="439">
        <v>24658</v>
      </c>
      <c r="AJ11" s="439">
        <v>12981</v>
      </c>
      <c r="AK11" s="439">
        <v>14082</v>
      </c>
      <c r="AL11" s="439">
        <v>27063</v>
      </c>
      <c r="AM11" s="439">
        <v>14159</v>
      </c>
      <c r="AN11" s="439">
        <v>15309</v>
      </c>
      <c r="AO11" s="442">
        <v>29468</v>
      </c>
      <c r="AP11" s="441">
        <v>10737</v>
      </c>
      <c r="AQ11" s="439">
        <v>13343</v>
      </c>
      <c r="AR11" s="439">
        <v>24080</v>
      </c>
      <c r="AS11" s="439">
        <v>11423</v>
      </c>
      <c r="AT11" s="439">
        <v>14043</v>
      </c>
      <c r="AU11" s="439">
        <v>25466</v>
      </c>
      <c r="AV11" s="439">
        <v>11723</v>
      </c>
      <c r="AW11" s="439">
        <v>14343</v>
      </c>
      <c r="AX11" s="439">
        <v>26066</v>
      </c>
      <c r="AY11" s="439">
        <v>12521</v>
      </c>
      <c r="AZ11" s="439">
        <v>15094</v>
      </c>
      <c r="BA11" s="442">
        <v>27615</v>
      </c>
      <c r="BB11" s="441">
        <v>3835</v>
      </c>
      <c r="BC11" s="439">
        <v>6096</v>
      </c>
      <c r="BD11" s="439">
        <v>9931</v>
      </c>
      <c r="BE11" s="439">
        <v>4605</v>
      </c>
      <c r="BF11" s="439">
        <v>7636</v>
      </c>
      <c r="BG11" s="439">
        <v>12241</v>
      </c>
      <c r="BH11" s="439">
        <v>5375</v>
      </c>
      <c r="BI11" s="439">
        <v>9176</v>
      </c>
      <c r="BJ11" s="439">
        <v>14551</v>
      </c>
      <c r="BK11" s="439">
        <v>6145</v>
      </c>
      <c r="BL11" s="439">
        <v>10716</v>
      </c>
      <c r="BM11" s="442">
        <v>16861</v>
      </c>
      <c r="BN11" s="441">
        <v>8189</v>
      </c>
      <c r="BO11" s="439">
        <v>9845</v>
      </c>
      <c r="BP11" s="439">
        <v>18034</v>
      </c>
      <c r="BQ11" s="439">
        <v>9324</v>
      </c>
      <c r="BR11" s="439">
        <v>10811</v>
      </c>
      <c r="BS11" s="439">
        <v>20135</v>
      </c>
      <c r="BT11" s="439">
        <v>9443</v>
      </c>
      <c r="BU11" s="439">
        <v>10536</v>
      </c>
      <c r="BV11" s="439">
        <v>19979</v>
      </c>
      <c r="BW11" s="439">
        <v>9496</v>
      </c>
      <c r="BX11" s="439">
        <v>10327</v>
      </c>
      <c r="BY11" s="442">
        <v>19823</v>
      </c>
      <c r="BZ11" s="443">
        <v>30379</v>
      </c>
      <c r="CA11" s="444">
        <v>29892</v>
      </c>
      <c r="CB11" s="444">
        <v>60271</v>
      </c>
      <c r="CC11" s="444">
        <v>19412</v>
      </c>
      <c r="CD11" s="444">
        <v>24394</v>
      </c>
      <c r="CE11" s="444">
        <v>43806</v>
      </c>
      <c r="CF11" s="444">
        <v>20123</v>
      </c>
      <c r="CG11" s="444">
        <v>23994</v>
      </c>
      <c r="CH11" s="444">
        <v>44117</v>
      </c>
      <c r="CI11" s="444">
        <v>20989</v>
      </c>
      <c r="CJ11" s="444">
        <v>26445</v>
      </c>
      <c r="CK11" s="445">
        <v>47434</v>
      </c>
      <c r="CL11" s="441">
        <v>16947</v>
      </c>
      <c r="CM11" s="439">
        <v>18453</v>
      </c>
      <c r="CN11" s="439">
        <v>35400</v>
      </c>
      <c r="CO11" s="439">
        <v>19548</v>
      </c>
      <c r="CP11" s="439">
        <v>19621</v>
      </c>
      <c r="CQ11" s="439">
        <v>39169</v>
      </c>
      <c r="CR11" s="439">
        <v>17916</v>
      </c>
      <c r="CS11" s="439">
        <v>17916</v>
      </c>
      <c r="CT11" s="439">
        <v>35832</v>
      </c>
      <c r="CU11" s="439">
        <v>17244</v>
      </c>
      <c r="CV11" s="439">
        <v>17244</v>
      </c>
      <c r="CW11" s="442">
        <v>34488</v>
      </c>
    </row>
    <row r="12" spans="1:101" s="392" customFormat="1" ht="24">
      <c r="A12" s="733"/>
      <c r="B12" s="702"/>
      <c r="C12" s="404" t="s">
        <v>49</v>
      </c>
      <c r="D12" s="390" t="s">
        <v>282</v>
      </c>
      <c r="E12" s="391"/>
      <c r="F12" s="868">
        <f t="shared" si="0"/>
        <v>10345</v>
      </c>
      <c r="G12" s="869"/>
      <c r="H12" s="870"/>
      <c r="I12" s="868">
        <f t="shared" si="1"/>
        <v>9981</v>
      </c>
      <c r="J12" s="869"/>
      <c r="K12" s="870"/>
      <c r="L12" s="868">
        <f t="shared" si="2"/>
        <v>10138</v>
      </c>
      <c r="M12" s="869"/>
      <c r="N12" s="870"/>
      <c r="O12" s="868">
        <f t="shared" si="3"/>
        <v>10270</v>
      </c>
      <c r="P12" s="869"/>
      <c r="Q12" s="869"/>
      <c r="R12" s="871">
        <v>800</v>
      </c>
      <c r="S12" s="869"/>
      <c r="T12" s="870"/>
      <c r="U12" s="868">
        <v>734</v>
      </c>
      <c r="V12" s="869"/>
      <c r="W12" s="870"/>
      <c r="X12" s="868">
        <v>794</v>
      </c>
      <c r="Y12" s="869"/>
      <c r="Z12" s="870"/>
      <c r="AA12" s="868">
        <v>854</v>
      </c>
      <c r="AB12" s="869"/>
      <c r="AC12" s="872"/>
      <c r="AD12" s="871">
        <v>1605</v>
      </c>
      <c r="AE12" s="869"/>
      <c r="AF12" s="870"/>
      <c r="AG12" s="868">
        <v>1642</v>
      </c>
      <c r="AH12" s="869"/>
      <c r="AI12" s="870"/>
      <c r="AJ12" s="868">
        <v>1679</v>
      </c>
      <c r="AK12" s="869"/>
      <c r="AL12" s="870"/>
      <c r="AM12" s="868">
        <v>1716</v>
      </c>
      <c r="AN12" s="869"/>
      <c r="AO12" s="872"/>
      <c r="AP12" s="882">
        <v>1723</v>
      </c>
      <c r="AQ12" s="878"/>
      <c r="AR12" s="879"/>
      <c r="AS12" s="877">
        <v>1793</v>
      </c>
      <c r="AT12" s="878"/>
      <c r="AU12" s="879"/>
      <c r="AV12" s="877">
        <v>1845</v>
      </c>
      <c r="AW12" s="878"/>
      <c r="AX12" s="879"/>
      <c r="AY12" s="877">
        <v>1923</v>
      </c>
      <c r="AZ12" s="878"/>
      <c r="BA12" s="880"/>
      <c r="BB12" s="871">
        <v>491</v>
      </c>
      <c r="BC12" s="869"/>
      <c r="BD12" s="870"/>
      <c r="BE12" s="868">
        <v>601</v>
      </c>
      <c r="BF12" s="869"/>
      <c r="BG12" s="870"/>
      <c r="BH12" s="868">
        <v>711</v>
      </c>
      <c r="BI12" s="869"/>
      <c r="BJ12" s="870"/>
      <c r="BK12" s="868">
        <v>821</v>
      </c>
      <c r="BL12" s="869"/>
      <c r="BM12" s="872"/>
      <c r="BN12" s="871">
        <v>1135</v>
      </c>
      <c r="BO12" s="869"/>
      <c r="BP12" s="870"/>
      <c r="BQ12" s="868">
        <v>1109</v>
      </c>
      <c r="BR12" s="869"/>
      <c r="BS12" s="870"/>
      <c r="BT12" s="868">
        <v>1083</v>
      </c>
      <c r="BU12" s="869"/>
      <c r="BV12" s="870"/>
      <c r="BW12" s="868">
        <v>1057</v>
      </c>
      <c r="BX12" s="869"/>
      <c r="BY12" s="872"/>
      <c r="BZ12" s="871">
        <v>2636</v>
      </c>
      <c r="CA12" s="875"/>
      <c r="CB12" s="876"/>
      <c r="CC12" s="868">
        <v>2390</v>
      </c>
      <c r="CD12" s="869"/>
      <c r="CE12" s="870"/>
      <c r="CF12" s="868">
        <v>2408</v>
      </c>
      <c r="CG12" s="875"/>
      <c r="CH12" s="876"/>
      <c r="CI12" s="868">
        <v>2427</v>
      </c>
      <c r="CJ12" s="869"/>
      <c r="CK12" s="872"/>
      <c r="CL12" s="871">
        <v>1955</v>
      </c>
      <c r="CM12" s="869"/>
      <c r="CN12" s="870"/>
      <c r="CO12" s="868">
        <v>1712</v>
      </c>
      <c r="CP12" s="869"/>
      <c r="CQ12" s="870"/>
      <c r="CR12" s="868">
        <v>1618</v>
      </c>
      <c r="CS12" s="869"/>
      <c r="CT12" s="870"/>
      <c r="CU12" s="868">
        <v>1472</v>
      </c>
      <c r="CV12" s="869"/>
      <c r="CW12" s="872"/>
    </row>
    <row r="13" spans="1:101" s="392" customFormat="1" ht="24">
      <c r="A13" s="733"/>
      <c r="B13" s="702"/>
      <c r="C13" s="405" t="s">
        <v>50</v>
      </c>
      <c r="D13" s="390" t="s">
        <v>281</v>
      </c>
      <c r="E13" s="391"/>
      <c r="F13" s="393">
        <f t="shared" si="0"/>
        <v>71765</v>
      </c>
      <c r="G13" s="394">
        <f>SUM(S13,AE13,AQ13,BC13,BO13,CA13,CM13)</f>
        <v>86519</v>
      </c>
      <c r="H13" s="394">
        <f>SUM(T13,AF13,AR13,BD13,BP13,CB13,CN13)</f>
        <v>158284</v>
      </c>
      <c r="I13" s="394">
        <f t="shared" si="1"/>
        <v>70091</v>
      </c>
      <c r="J13" s="394">
        <f>SUM(V13,AH13,AT13,BF13,BR13,CD13,CP13)</f>
        <v>77598</v>
      </c>
      <c r="K13" s="394">
        <f>SUM(W13,AI13,AU13,BG13,BS13,CE13,CQ13)</f>
        <v>147689</v>
      </c>
      <c r="L13" s="394">
        <f t="shared" si="2"/>
        <v>71646</v>
      </c>
      <c r="M13" s="394">
        <f>SUM(Y13,AK13,AW13,BI13,BU13,CG13,CS13)</f>
        <v>79724</v>
      </c>
      <c r="N13" s="394">
        <f>SUM(Z13,AL13,AX13,BJ13,BV13,CH13,CT13)</f>
        <v>151370</v>
      </c>
      <c r="O13" s="394">
        <f t="shared" si="3"/>
        <v>70854</v>
      </c>
      <c r="P13" s="394">
        <f>SUM(AB13,AN13,AZ13,BL13,BX13,CJ13,CV13)</f>
        <v>79448</v>
      </c>
      <c r="Q13" s="395">
        <f>SUM(AC13,AO13,BA13,BM13,BY13,CK13,CW13)</f>
        <v>150302</v>
      </c>
      <c r="R13" s="396">
        <v>3600</v>
      </c>
      <c r="S13" s="394">
        <v>4728</v>
      </c>
      <c r="T13" s="394">
        <v>8328</v>
      </c>
      <c r="U13" s="394">
        <v>3255</v>
      </c>
      <c r="V13" s="394">
        <v>4353</v>
      </c>
      <c r="W13" s="394">
        <v>7608</v>
      </c>
      <c r="X13" s="394">
        <v>4231</v>
      </c>
      <c r="Y13" s="394">
        <v>5594</v>
      </c>
      <c r="Z13" s="394">
        <v>9825</v>
      </c>
      <c r="AA13" s="394">
        <v>4481</v>
      </c>
      <c r="AB13" s="394">
        <v>5911</v>
      </c>
      <c r="AC13" s="397">
        <v>10392</v>
      </c>
      <c r="AD13" s="396">
        <v>10625</v>
      </c>
      <c r="AE13" s="394">
        <v>11628</v>
      </c>
      <c r="AF13" s="394">
        <v>22253</v>
      </c>
      <c r="AG13" s="394">
        <v>10933</v>
      </c>
      <c r="AH13" s="394">
        <v>11949</v>
      </c>
      <c r="AI13" s="394">
        <v>22882</v>
      </c>
      <c r="AJ13" s="394">
        <v>11241</v>
      </c>
      <c r="AK13" s="394">
        <v>12270</v>
      </c>
      <c r="AL13" s="394">
        <v>23511</v>
      </c>
      <c r="AM13" s="394">
        <v>11549</v>
      </c>
      <c r="AN13" s="394">
        <v>12591</v>
      </c>
      <c r="AO13" s="397">
        <v>24140</v>
      </c>
      <c r="AP13" s="398">
        <v>10023</v>
      </c>
      <c r="AQ13" s="399">
        <v>12543</v>
      </c>
      <c r="AR13" s="399">
        <v>22566</v>
      </c>
      <c r="AS13" s="399">
        <v>10323</v>
      </c>
      <c r="AT13" s="399">
        <v>12843</v>
      </c>
      <c r="AU13" s="399">
        <v>23166</v>
      </c>
      <c r="AV13" s="399">
        <v>10523</v>
      </c>
      <c r="AW13" s="399">
        <v>13043</v>
      </c>
      <c r="AX13" s="399">
        <v>23566</v>
      </c>
      <c r="AY13" s="399">
        <v>9705</v>
      </c>
      <c r="AZ13" s="399">
        <v>12193</v>
      </c>
      <c r="BA13" s="400">
        <v>21898</v>
      </c>
      <c r="BB13" s="396">
        <v>3318</v>
      </c>
      <c r="BC13" s="394">
        <v>4278</v>
      </c>
      <c r="BD13" s="394">
        <v>7596</v>
      </c>
      <c r="BE13" s="394">
        <v>3868</v>
      </c>
      <c r="BF13" s="394">
        <v>5378</v>
      </c>
      <c r="BG13" s="394">
        <v>9246</v>
      </c>
      <c r="BH13" s="394">
        <v>4418</v>
      </c>
      <c r="BI13" s="394">
        <v>6478</v>
      </c>
      <c r="BJ13" s="394">
        <v>10896</v>
      </c>
      <c r="BK13" s="394">
        <v>4968</v>
      </c>
      <c r="BL13" s="394">
        <v>7578</v>
      </c>
      <c r="BM13" s="397">
        <v>12546</v>
      </c>
      <c r="BN13" s="396">
        <v>7764</v>
      </c>
      <c r="BO13" s="394">
        <v>9251</v>
      </c>
      <c r="BP13" s="394">
        <v>17015</v>
      </c>
      <c r="BQ13" s="394">
        <v>7883</v>
      </c>
      <c r="BR13" s="394">
        <v>8976</v>
      </c>
      <c r="BS13" s="394">
        <v>16859</v>
      </c>
      <c r="BT13" s="394">
        <v>7936</v>
      </c>
      <c r="BU13" s="394">
        <v>8767</v>
      </c>
      <c r="BV13" s="394">
        <v>16703</v>
      </c>
      <c r="BW13" s="394">
        <v>7870</v>
      </c>
      <c r="BX13" s="394">
        <v>8624</v>
      </c>
      <c r="BY13" s="397">
        <v>16494</v>
      </c>
      <c r="BZ13" s="401">
        <v>20498</v>
      </c>
      <c r="CA13" s="402">
        <v>26731</v>
      </c>
      <c r="CB13" s="402">
        <v>47229</v>
      </c>
      <c r="CC13" s="402">
        <v>19273</v>
      </c>
      <c r="CD13" s="402">
        <v>19543</v>
      </c>
      <c r="CE13" s="402">
        <v>38816</v>
      </c>
      <c r="CF13" s="402">
        <v>19413</v>
      </c>
      <c r="CG13" s="402">
        <v>19688</v>
      </c>
      <c r="CH13" s="402">
        <v>39101</v>
      </c>
      <c r="CI13" s="402">
        <v>19565</v>
      </c>
      <c r="CJ13" s="402">
        <v>19835</v>
      </c>
      <c r="CK13" s="403">
        <v>39400</v>
      </c>
      <c r="CL13" s="396">
        <v>15937</v>
      </c>
      <c r="CM13" s="394">
        <v>17360</v>
      </c>
      <c r="CN13" s="394">
        <v>33297</v>
      </c>
      <c r="CO13" s="394">
        <v>14556</v>
      </c>
      <c r="CP13" s="394">
        <v>14556</v>
      </c>
      <c r="CQ13" s="394">
        <v>29112</v>
      </c>
      <c r="CR13" s="394">
        <v>13884</v>
      </c>
      <c r="CS13" s="394">
        <v>13884</v>
      </c>
      <c r="CT13" s="394">
        <v>27768</v>
      </c>
      <c r="CU13" s="394">
        <v>12716</v>
      </c>
      <c r="CV13" s="394">
        <v>12716</v>
      </c>
      <c r="CW13" s="397">
        <v>25432</v>
      </c>
    </row>
    <row r="14" spans="1:101" s="408" customFormat="1" ht="24">
      <c r="A14" s="848"/>
      <c r="B14" s="881" t="s">
        <v>12</v>
      </c>
      <c r="C14" s="406" t="s">
        <v>72</v>
      </c>
      <c r="D14" s="407" t="s">
        <v>283</v>
      </c>
      <c r="E14" s="372"/>
      <c r="F14" s="762">
        <f t="shared" si="0"/>
        <v>3756</v>
      </c>
      <c r="G14" s="764"/>
      <c r="H14" s="765"/>
      <c r="I14" s="762">
        <f t="shared" si="1"/>
        <v>5365</v>
      </c>
      <c r="J14" s="764"/>
      <c r="K14" s="765"/>
      <c r="L14" s="762">
        <f t="shared" si="2"/>
        <v>6922.6</v>
      </c>
      <c r="M14" s="764"/>
      <c r="N14" s="765"/>
      <c r="O14" s="762">
        <f t="shared" si="3"/>
        <v>8586.0400000000009</v>
      </c>
      <c r="P14" s="764"/>
      <c r="Q14" s="764"/>
      <c r="R14" s="756">
        <v>472</v>
      </c>
      <c r="S14" s="764"/>
      <c r="T14" s="765"/>
      <c r="U14" s="762">
        <v>622</v>
      </c>
      <c r="V14" s="764"/>
      <c r="W14" s="765"/>
      <c r="X14" s="762">
        <v>772</v>
      </c>
      <c r="Y14" s="764"/>
      <c r="Z14" s="765"/>
      <c r="AA14" s="762">
        <v>922</v>
      </c>
      <c r="AB14" s="764"/>
      <c r="AC14" s="887"/>
      <c r="AD14" s="756">
        <v>783</v>
      </c>
      <c r="AE14" s="764"/>
      <c r="AF14" s="765"/>
      <c r="AG14" s="762">
        <v>931</v>
      </c>
      <c r="AH14" s="764"/>
      <c r="AI14" s="765"/>
      <c r="AJ14" s="762">
        <v>1079</v>
      </c>
      <c r="AK14" s="764"/>
      <c r="AL14" s="765"/>
      <c r="AM14" s="762">
        <v>1227</v>
      </c>
      <c r="AN14" s="764"/>
      <c r="AO14" s="887"/>
      <c r="AP14" s="888">
        <v>442</v>
      </c>
      <c r="AQ14" s="884"/>
      <c r="AR14" s="885"/>
      <c r="AS14" s="883">
        <v>622</v>
      </c>
      <c r="AT14" s="884"/>
      <c r="AU14" s="885"/>
      <c r="AV14" s="883">
        <v>822</v>
      </c>
      <c r="AW14" s="884"/>
      <c r="AX14" s="885"/>
      <c r="AY14" s="883">
        <v>1074</v>
      </c>
      <c r="AZ14" s="884"/>
      <c r="BA14" s="886"/>
      <c r="BB14" s="756">
        <v>246</v>
      </c>
      <c r="BC14" s="764"/>
      <c r="BD14" s="765"/>
      <c r="BE14" s="762">
        <v>290</v>
      </c>
      <c r="BF14" s="764"/>
      <c r="BG14" s="765"/>
      <c r="BH14" s="762">
        <v>334</v>
      </c>
      <c r="BI14" s="764"/>
      <c r="BJ14" s="765"/>
      <c r="BK14" s="762">
        <v>378</v>
      </c>
      <c r="BL14" s="764"/>
      <c r="BM14" s="887"/>
      <c r="BN14" s="756">
        <v>355</v>
      </c>
      <c r="BO14" s="764"/>
      <c r="BP14" s="765"/>
      <c r="BQ14" s="762">
        <v>589</v>
      </c>
      <c r="BR14" s="764"/>
      <c r="BS14" s="765"/>
      <c r="BT14" s="762">
        <v>823</v>
      </c>
      <c r="BU14" s="764"/>
      <c r="BV14" s="765"/>
      <c r="BW14" s="762">
        <v>1057</v>
      </c>
      <c r="BX14" s="764"/>
      <c r="BY14" s="887"/>
      <c r="BZ14" s="756">
        <v>819</v>
      </c>
      <c r="CA14" s="757"/>
      <c r="CB14" s="758"/>
      <c r="CC14" s="762">
        <v>1085</v>
      </c>
      <c r="CD14" s="764"/>
      <c r="CE14" s="765"/>
      <c r="CF14" s="762">
        <v>1353</v>
      </c>
      <c r="CG14" s="757"/>
      <c r="CH14" s="758"/>
      <c r="CI14" s="762">
        <v>1622</v>
      </c>
      <c r="CJ14" s="764"/>
      <c r="CK14" s="887"/>
      <c r="CL14" s="756">
        <v>639</v>
      </c>
      <c r="CM14" s="764"/>
      <c r="CN14" s="765"/>
      <c r="CO14" s="762">
        <v>1226</v>
      </c>
      <c r="CP14" s="764"/>
      <c r="CQ14" s="765"/>
      <c r="CR14" s="762">
        <v>1739.6</v>
      </c>
      <c r="CS14" s="764"/>
      <c r="CT14" s="765"/>
      <c r="CU14" s="762">
        <v>2306.04</v>
      </c>
      <c r="CV14" s="764"/>
      <c r="CW14" s="887"/>
    </row>
    <row r="15" spans="1:101" s="373" customFormat="1" ht="24">
      <c r="A15" s="848"/>
      <c r="B15" s="881"/>
      <c r="C15" s="409" t="s">
        <v>277</v>
      </c>
      <c r="D15" s="407" t="s">
        <v>284</v>
      </c>
      <c r="E15" s="372"/>
      <c r="F15" s="375">
        <f t="shared" si="0"/>
        <v>22360</v>
      </c>
      <c r="G15" s="366">
        <f>SUM(S15,AE15,AQ15,BC15,BO15,CA15,CM15)</f>
        <v>25182</v>
      </c>
      <c r="H15" s="366">
        <f>SUM(T15,AF15,AR15,BD15,BP15,CB15,CN15)</f>
        <v>47542</v>
      </c>
      <c r="I15" s="366">
        <f t="shared" si="1"/>
        <v>35042</v>
      </c>
      <c r="J15" s="366">
        <f>SUM(V15,AH15,AT15,BF15,BR15,CD15,CP15)</f>
        <v>39215</v>
      </c>
      <c r="K15" s="366">
        <f>SUM(W15,AI15,AU15,BG15,BS15,CE15,CQ15)</f>
        <v>74257</v>
      </c>
      <c r="L15" s="366">
        <f t="shared" si="2"/>
        <v>45684</v>
      </c>
      <c r="M15" s="366">
        <f>SUM(Y15,AK15,AW15,BI15,BU15,CG15,CS15)</f>
        <v>50851</v>
      </c>
      <c r="N15" s="366">
        <f>SUM(Z15,AL15,AX15,BJ15,BV15,CH15,CT15)</f>
        <v>96535</v>
      </c>
      <c r="O15" s="366">
        <f t="shared" si="3"/>
        <v>58584</v>
      </c>
      <c r="P15" s="366">
        <f>SUM(AB15,AN15,AZ15,BL15,BX15,CJ15,CV15)</f>
        <v>64452</v>
      </c>
      <c r="Q15" s="365">
        <f>SUM(AC15,AO15,BA15,BM15,BY15,CK15,CW15)</f>
        <v>123036</v>
      </c>
      <c r="R15" s="45">
        <v>2446</v>
      </c>
      <c r="S15" s="366">
        <v>2995</v>
      </c>
      <c r="T15" s="366">
        <v>5441</v>
      </c>
      <c r="U15" s="366">
        <v>3172</v>
      </c>
      <c r="V15" s="366">
        <v>3783</v>
      </c>
      <c r="W15" s="366">
        <v>6955</v>
      </c>
      <c r="X15" s="366">
        <v>3898</v>
      </c>
      <c r="Y15" s="366">
        <v>4707</v>
      </c>
      <c r="Z15" s="366">
        <v>8605</v>
      </c>
      <c r="AA15" s="366">
        <v>4624</v>
      </c>
      <c r="AB15" s="366">
        <v>5631</v>
      </c>
      <c r="AC15" s="376">
        <v>10255</v>
      </c>
      <c r="AD15" s="45">
        <v>5295</v>
      </c>
      <c r="AE15" s="366">
        <v>5510</v>
      </c>
      <c r="AF15" s="366">
        <v>10805</v>
      </c>
      <c r="AG15" s="366">
        <v>6165</v>
      </c>
      <c r="AH15" s="366">
        <v>6416</v>
      </c>
      <c r="AI15" s="366">
        <v>12581</v>
      </c>
      <c r="AJ15" s="366">
        <v>7035</v>
      </c>
      <c r="AK15" s="366">
        <v>7322</v>
      </c>
      <c r="AL15" s="366">
        <v>14357</v>
      </c>
      <c r="AM15" s="366">
        <v>7905</v>
      </c>
      <c r="AN15" s="366">
        <v>8228</v>
      </c>
      <c r="AO15" s="376">
        <v>16133</v>
      </c>
      <c r="AP15" s="377">
        <v>1584</v>
      </c>
      <c r="AQ15" s="378">
        <v>1800</v>
      </c>
      <c r="AR15" s="378">
        <v>3384</v>
      </c>
      <c r="AS15" s="378">
        <v>2684</v>
      </c>
      <c r="AT15" s="378">
        <v>3000</v>
      </c>
      <c r="AU15" s="378">
        <v>5684</v>
      </c>
      <c r="AV15" s="378">
        <v>3884</v>
      </c>
      <c r="AW15" s="378">
        <v>4300</v>
      </c>
      <c r="AX15" s="378">
        <v>8184</v>
      </c>
      <c r="AY15" s="378">
        <v>6700</v>
      </c>
      <c r="AZ15" s="378">
        <v>7200</v>
      </c>
      <c r="BA15" s="379">
        <v>13900</v>
      </c>
      <c r="BB15" s="45">
        <v>517</v>
      </c>
      <c r="BC15" s="366">
        <v>1818</v>
      </c>
      <c r="BD15" s="366">
        <v>2335</v>
      </c>
      <c r="BE15" s="366">
        <v>737</v>
      </c>
      <c r="BF15" s="366">
        <v>2258</v>
      </c>
      <c r="BG15" s="366">
        <v>2995</v>
      </c>
      <c r="BH15" s="366">
        <v>957</v>
      </c>
      <c r="BI15" s="366">
        <v>2698</v>
      </c>
      <c r="BJ15" s="366">
        <v>3655</v>
      </c>
      <c r="BK15" s="366">
        <v>1177</v>
      </c>
      <c r="BL15" s="366">
        <v>3138</v>
      </c>
      <c r="BM15" s="376">
        <v>4315</v>
      </c>
      <c r="BN15" s="45">
        <v>2609</v>
      </c>
      <c r="BO15" s="366">
        <v>3493</v>
      </c>
      <c r="BP15" s="366">
        <v>6102</v>
      </c>
      <c r="BQ15" s="366">
        <v>4050</v>
      </c>
      <c r="BR15" s="366">
        <v>5328</v>
      </c>
      <c r="BS15" s="366">
        <v>9378</v>
      </c>
      <c r="BT15" s="366">
        <v>5557</v>
      </c>
      <c r="BU15" s="366">
        <v>7097</v>
      </c>
      <c r="BV15" s="366">
        <v>12654</v>
      </c>
      <c r="BW15" s="366">
        <v>7130</v>
      </c>
      <c r="BX15" s="366">
        <v>8800</v>
      </c>
      <c r="BY15" s="376">
        <v>15930</v>
      </c>
      <c r="BZ15" s="169">
        <v>5097</v>
      </c>
      <c r="CA15" s="170">
        <v>4827</v>
      </c>
      <c r="CB15" s="170">
        <v>9924</v>
      </c>
      <c r="CC15" s="170">
        <v>8430</v>
      </c>
      <c r="CD15" s="170">
        <v>8626</v>
      </c>
      <c r="CE15" s="170">
        <v>17056</v>
      </c>
      <c r="CF15" s="170">
        <v>10517</v>
      </c>
      <c r="CG15" s="170">
        <v>10891</v>
      </c>
      <c r="CH15" s="170">
        <v>21408</v>
      </c>
      <c r="CI15" s="170">
        <v>12684</v>
      </c>
      <c r="CJ15" s="170">
        <v>13091</v>
      </c>
      <c r="CK15" s="380">
        <v>25775</v>
      </c>
      <c r="CL15" s="45">
        <v>4812</v>
      </c>
      <c r="CM15" s="366">
        <v>4739</v>
      </c>
      <c r="CN15" s="366">
        <v>9551</v>
      </c>
      <c r="CO15" s="366">
        <v>9804</v>
      </c>
      <c r="CP15" s="366">
        <v>9804</v>
      </c>
      <c r="CQ15" s="366">
        <v>19608</v>
      </c>
      <c r="CR15" s="366">
        <v>13836</v>
      </c>
      <c r="CS15" s="366">
        <v>13836</v>
      </c>
      <c r="CT15" s="366">
        <v>27672</v>
      </c>
      <c r="CU15" s="366">
        <v>18364</v>
      </c>
      <c r="CV15" s="366">
        <v>18364</v>
      </c>
      <c r="CW15" s="376">
        <v>36728</v>
      </c>
    </row>
    <row r="16" spans="1:101" s="373" customFormat="1" ht="24">
      <c r="A16" s="848"/>
      <c r="B16" s="409"/>
      <c r="C16" s="409" t="s">
        <v>288</v>
      </c>
      <c r="D16" s="407"/>
      <c r="E16" s="372"/>
      <c r="F16" s="381"/>
      <c r="G16" s="297"/>
      <c r="H16" s="298"/>
      <c r="I16" s="297"/>
      <c r="J16" s="297"/>
      <c r="K16" s="298"/>
      <c r="L16" s="297"/>
      <c r="M16" s="297"/>
      <c r="N16" s="298"/>
      <c r="O16" s="297"/>
      <c r="P16" s="297"/>
      <c r="Q16" s="297"/>
      <c r="R16" s="296"/>
      <c r="S16" s="297"/>
      <c r="T16" s="298"/>
      <c r="U16" s="297"/>
      <c r="V16" s="297"/>
      <c r="W16" s="298"/>
      <c r="X16" s="297"/>
      <c r="Y16" s="297"/>
      <c r="Z16" s="298"/>
      <c r="AA16" s="297"/>
      <c r="AB16" s="297"/>
      <c r="AC16" s="382"/>
      <c r="AD16" s="296"/>
      <c r="AE16" s="297"/>
      <c r="AF16" s="298"/>
      <c r="AG16" s="297"/>
      <c r="AH16" s="297"/>
      <c r="AI16" s="298"/>
      <c r="AJ16" s="297"/>
      <c r="AK16" s="297"/>
      <c r="AL16" s="298"/>
      <c r="AM16" s="297"/>
      <c r="AN16" s="297"/>
      <c r="AO16" s="382"/>
      <c r="AP16" s="383"/>
      <c r="AQ16" s="384"/>
      <c r="AR16" s="385"/>
      <c r="AS16" s="384"/>
      <c r="AT16" s="384"/>
      <c r="AU16" s="385"/>
      <c r="AV16" s="384"/>
      <c r="AW16" s="384"/>
      <c r="AX16" s="385"/>
      <c r="AY16" s="384"/>
      <c r="AZ16" s="384"/>
      <c r="BA16" s="386"/>
      <c r="BB16" s="296"/>
      <c r="BC16" s="297"/>
      <c r="BD16" s="298"/>
      <c r="BE16" s="297"/>
      <c r="BF16" s="297"/>
      <c r="BG16" s="298"/>
      <c r="BH16" s="297"/>
      <c r="BI16" s="297"/>
      <c r="BJ16" s="298"/>
      <c r="BK16" s="297"/>
      <c r="BL16" s="297"/>
      <c r="BM16" s="382"/>
      <c r="BN16" s="296"/>
      <c r="BO16" s="297"/>
      <c r="BP16" s="298"/>
      <c r="BQ16" s="297"/>
      <c r="BR16" s="297"/>
      <c r="BS16" s="298"/>
      <c r="BT16" s="297"/>
      <c r="BU16" s="297"/>
      <c r="BV16" s="298"/>
      <c r="BW16" s="297"/>
      <c r="BX16" s="297"/>
      <c r="BY16" s="382"/>
      <c r="BZ16" s="307"/>
      <c r="CA16" s="308"/>
      <c r="CB16" s="309"/>
      <c r="CC16" s="308"/>
      <c r="CD16" s="308"/>
      <c r="CE16" s="309"/>
      <c r="CF16" s="308"/>
      <c r="CG16" s="308"/>
      <c r="CH16" s="309"/>
      <c r="CI16" s="308"/>
      <c r="CJ16" s="308"/>
      <c r="CK16" s="387"/>
      <c r="CL16" s="296"/>
      <c r="CM16" s="297"/>
      <c r="CN16" s="298"/>
      <c r="CO16" s="297"/>
      <c r="CP16" s="297"/>
      <c r="CQ16" s="298"/>
      <c r="CR16" s="297"/>
      <c r="CS16" s="297"/>
      <c r="CT16" s="298"/>
      <c r="CU16" s="297"/>
      <c r="CV16" s="297"/>
      <c r="CW16" s="382"/>
    </row>
    <row r="17" spans="1:101" s="373" customFormat="1" ht="24">
      <c r="A17" s="848"/>
      <c r="B17" s="410"/>
      <c r="C17" s="410" t="s">
        <v>289</v>
      </c>
      <c r="D17" s="407"/>
      <c r="E17" s="372"/>
      <c r="F17" s="381"/>
      <c r="G17" s="297"/>
      <c r="H17" s="298"/>
      <c r="I17" s="297"/>
      <c r="J17" s="297"/>
      <c r="K17" s="298"/>
      <c r="L17" s="297"/>
      <c r="M17" s="297"/>
      <c r="N17" s="298"/>
      <c r="O17" s="297"/>
      <c r="P17" s="297"/>
      <c r="Q17" s="297"/>
      <c r="R17" s="296"/>
      <c r="S17" s="297"/>
      <c r="T17" s="298"/>
      <c r="U17" s="297"/>
      <c r="V17" s="297"/>
      <c r="W17" s="298"/>
      <c r="X17" s="297"/>
      <c r="Y17" s="297"/>
      <c r="Z17" s="298"/>
      <c r="AA17" s="297"/>
      <c r="AB17" s="297"/>
      <c r="AC17" s="382"/>
      <c r="AD17" s="296"/>
      <c r="AE17" s="297"/>
      <c r="AF17" s="298"/>
      <c r="AG17" s="297"/>
      <c r="AH17" s="297"/>
      <c r="AI17" s="298"/>
      <c r="AJ17" s="297"/>
      <c r="AK17" s="297"/>
      <c r="AL17" s="298"/>
      <c r="AM17" s="297"/>
      <c r="AN17" s="297"/>
      <c r="AO17" s="382"/>
      <c r="AP17" s="383"/>
      <c r="AQ17" s="384"/>
      <c r="AR17" s="385"/>
      <c r="AS17" s="384"/>
      <c r="AT17" s="384"/>
      <c r="AU17" s="385"/>
      <c r="AV17" s="384"/>
      <c r="AW17" s="384"/>
      <c r="AX17" s="385"/>
      <c r="AY17" s="384"/>
      <c r="AZ17" s="384"/>
      <c r="BA17" s="386"/>
      <c r="BB17" s="296"/>
      <c r="BC17" s="297"/>
      <c r="BD17" s="298"/>
      <c r="BE17" s="297"/>
      <c r="BF17" s="297"/>
      <c r="BG17" s="298"/>
      <c r="BH17" s="297"/>
      <c r="BI17" s="297"/>
      <c r="BJ17" s="298"/>
      <c r="BK17" s="297"/>
      <c r="BL17" s="297"/>
      <c r="BM17" s="382"/>
      <c r="BN17" s="296"/>
      <c r="BO17" s="297"/>
      <c r="BP17" s="298"/>
      <c r="BQ17" s="297"/>
      <c r="BR17" s="297"/>
      <c r="BS17" s="298"/>
      <c r="BT17" s="297"/>
      <c r="BU17" s="297"/>
      <c r="BV17" s="298"/>
      <c r="BW17" s="297"/>
      <c r="BX17" s="297"/>
      <c r="BY17" s="382"/>
      <c r="BZ17" s="307"/>
      <c r="CA17" s="308"/>
      <c r="CB17" s="309"/>
      <c r="CC17" s="308"/>
      <c r="CD17" s="308"/>
      <c r="CE17" s="309"/>
      <c r="CF17" s="308"/>
      <c r="CG17" s="308"/>
      <c r="CH17" s="309"/>
      <c r="CI17" s="308"/>
      <c r="CJ17" s="308"/>
      <c r="CK17" s="387"/>
      <c r="CL17" s="296"/>
      <c r="CM17" s="297"/>
      <c r="CN17" s="298"/>
      <c r="CO17" s="297"/>
      <c r="CP17" s="297"/>
      <c r="CQ17" s="298"/>
      <c r="CR17" s="297"/>
      <c r="CS17" s="297"/>
      <c r="CT17" s="298"/>
      <c r="CU17" s="297"/>
      <c r="CV17" s="297"/>
      <c r="CW17" s="382"/>
    </row>
    <row r="18" spans="1:101" s="13" customFormat="1">
      <c r="A18" s="733"/>
      <c r="B18" s="702" t="s">
        <v>15</v>
      </c>
      <c r="C18" s="14" t="s">
        <v>16</v>
      </c>
      <c r="D18" s="314" t="s">
        <v>285</v>
      </c>
      <c r="E18"/>
      <c r="F18" s="640">
        <f t="shared" si="0"/>
        <v>3148</v>
      </c>
      <c r="G18" s="641"/>
      <c r="H18" s="642"/>
      <c r="I18" s="622">
        <f t="shared" si="1"/>
        <v>3548</v>
      </c>
      <c r="J18" s="623"/>
      <c r="K18" s="643"/>
      <c r="L18" s="640">
        <f t="shared" si="2"/>
        <v>3888</v>
      </c>
      <c r="M18" s="641"/>
      <c r="N18" s="642"/>
      <c r="O18" s="622">
        <f t="shared" si="3"/>
        <v>4363</v>
      </c>
      <c r="P18" s="623"/>
      <c r="Q18" s="623"/>
      <c r="R18" s="591">
        <v>162</v>
      </c>
      <c r="S18" s="592"/>
      <c r="T18" s="593"/>
      <c r="U18" s="594">
        <v>165</v>
      </c>
      <c r="V18" s="595"/>
      <c r="W18" s="596"/>
      <c r="X18" s="597">
        <v>180</v>
      </c>
      <c r="Y18" s="592"/>
      <c r="Z18" s="593"/>
      <c r="AA18" s="594">
        <v>190</v>
      </c>
      <c r="AB18" s="595"/>
      <c r="AC18" s="598"/>
      <c r="AD18" s="607">
        <v>567</v>
      </c>
      <c r="AE18" s="615"/>
      <c r="AF18" s="616"/>
      <c r="AG18" s="588">
        <v>641</v>
      </c>
      <c r="AH18" s="589"/>
      <c r="AI18" s="610"/>
      <c r="AJ18" s="611">
        <v>715</v>
      </c>
      <c r="AK18" s="615"/>
      <c r="AL18" s="616"/>
      <c r="AM18" s="588">
        <v>789</v>
      </c>
      <c r="AN18" s="589"/>
      <c r="AO18" s="590"/>
      <c r="AP18" s="617">
        <v>459</v>
      </c>
      <c r="AQ18" s="618"/>
      <c r="AR18" s="619"/>
      <c r="AS18" s="612">
        <v>559</v>
      </c>
      <c r="AT18" s="613"/>
      <c r="AU18" s="620"/>
      <c r="AV18" s="621">
        <v>653</v>
      </c>
      <c r="AW18" s="618"/>
      <c r="AX18" s="619"/>
      <c r="AY18" s="612">
        <v>740</v>
      </c>
      <c r="AZ18" s="613"/>
      <c r="BA18" s="614"/>
      <c r="BB18" s="607">
        <v>118</v>
      </c>
      <c r="BC18" s="615"/>
      <c r="BD18" s="616"/>
      <c r="BE18" s="588">
        <v>151</v>
      </c>
      <c r="BF18" s="589"/>
      <c r="BG18" s="610"/>
      <c r="BH18" s="611">
        <v>184</v>
      </c>
      <c r="BI18" s="615"/>
      <c r="BJ18" s="616"/>
      <c r="BK18" s="588">
        <v>217</v>
      </c>
      <c r="BL18" s="589"/>
      <c r="BM18" s="590"/>
      <c r="BN18" s="591">
        <v>189</v>
      </c>
      <c r="BO18" s="592"/>
      <c r="BP18" s="593"/>
      <c r="BQ18" s="594">
        <v>214</v>
      </c>
      <c r="BR18" s="595"/>
      <c r="BS18" s="596"/>
      <c r="BT18" s="597">
        <v>239</v>
      </c>
      <c r="BU18" s="592"/>
      <c r="BV18" s="593"/>
      <c r="BW18" s="594">
        <v>264</v>
      </c>
      <c r="BX18" s="595"/>
      <c r="BY18" s="598"/>
      <c r="BZ18" s="607">
        <v>1003</v>
      </c>
      <c r="CA18" s="608"/>
      <c r="CB18" s="609"/>
      <c r="CC18" s="588">
        <v>1028</v>
      </c>
      <c r="CD18" s="589"/>
      <c r="CE18" s="610"/>
      <c r="CF18" s="611">
        <v>1043</v>
      </c>
      <c r="CG18" s="608"/>
      <c r="CH18" s="609"/>
      <c r="CI18" s="588">
        <v>1109</v>
      </c>
      <c r="CJ18" s="589"/>
      <c r="CK18" s="590"/>
      <c r="CL18" s="591">
        <v>650</v>
      </c>
      <c r="CM18" s="592"/>
      <c r="CN18" s="593"/>
      <c r="CO18" s="594">
        <v>790</v>
      </c>
      <c r="CP18" s="595"/>
      <c r="CQ18" s="596"/>
      <c r="CR18" s="597">
        <v>874</v>
      </c>
      <c r="CS18" s="592"/>
      <c r="CT18" s="593"/>
      <c r="CU18" s="594">
        <v>1054</v>
      </c>
      <c r="CV18" s="595"/>
      <c r="CW18" s="598"/>
    </row>
    <row r="19" spans="1:101" s="13" customFormat="1">
      <c r="A19" s="733"/>
      <c r="B19" s="702"/>
      <c r="C19" s="14" t="s">
        <v>74</v>
      </c>
      <c r="D19"/>
      <c r="E19"/>
      <c r="F19" s="209">
        <f t="shared" si="0"/>
        <v>77960</v>
      </c>
      <c r="G19" s="209">
        <f t="shared" si="0"/>
        <v>81895</v>
      </c>
      <c r="H19" s="209">
        <f t="shared" si="0"/>
        <v>159855</v>
      </c>
      <c r="I19" s="211">
        <f t="shared" si="1"/>
        <v>86976</v>
      </c>
      <c r="J19" s="211">
        <f t="shared" si="1"/>
        <v>91582</v>
      </c>
      <c r="K19" s="211">
        <f t="shared" si="1"/>
        <v>178558</v>
      </c>
      <c r="L19" s="209">
        <f t="shared" si="2"/>
        <v>91165</v>
      </c>
      <c r="M19" s="209">
        <f t="shared" si="2"/>
        <v>97615</v>
      </c>
      <c r="N19" s="209">
        <f t="shared" si="2"/>
        <v>188780</v>
      </c>
      <c r="O19" s="211">
        <f t="shared" si="3"/>
        <v>103610</v>
      </c>
      <c r="P19" s="211">
        <f t="shared" si="3"/>
        <v>106693</v>
      </c>
      <c r="Q19" s="210">
        <f t="shared" si="3"/>
        <v>210333</v>
      </c>
      <c r="R19" s="47">
        <v>4911</v>
      </c>
      <c r="S19" s="212">
        <v>5806</v>
      </c>
      <c r="T19" s="212">
        <v>10717</v>
      </c>
      <c r="U19" s="219">
        <v>5100</v>
      </c>
      <c r="V19" s="219">
        <v>5900</v>
      </c>
      <c r="W19" s="219">
        <v>11000</v>
      </c>
      <c r="X19" s="212">
        <v>5390</v>
      </c>
      <c r="Y19" s="212">
        <v>6270</v>
      </c>
      <c r="Z19" s="212">
        <v>11660</v>
      </c>
      <c r="AA19" s="219">
        <v>5584</v>
      </c>
      <c r="AB19" s="219">
        <v>6516</v>
      </c>
      <c r="AC19" s="220">
        <v>12100</v>
      </c>
      <c r="AD19" s="48">
        <v>13518</v>
      </c>
      <c r="AE19" s="218">
        <v>14260</v>
      </c>
      <c r="AF19" s="218">
        <v>27778</v>
      </c>
      <c r="AG19" s="221">
        <v>14678</v>
      </c>
      <c r="AH19" s="221">
        <v>15468</v>
      </c>
      <c r="AI19" s="221">
        <v>30146</v>
      </c>
      <c r="AJ19" s="218">
        <v>15838</v>
      </c>
      <c r="AK19" s="218">
        <v>16676</v>
      </c>
      <c r="AL19" s="218">
        <v>32514</v>
      </c>
      <c r="AM19" s="221">
        <v>16998</v>
      </c>
      <c r="AN19" s="221">
        <v>17884</v>
      </c>
      <c r="AO19" s="222">
        <v>34882</v>
      </c>
      <c r="AP19" s="98">
        <v>12910</v>
      </c>
      <c r="AQ19" s="216">
        <v>13715</v>
      </c>
      <c r="AR19" s="216">
        <v>26625</v>
      </c>
      <c r="AS19" s="214">
        <v>14895</v>
      </c>
      <c r="AT19" s="214">
        <v>15908</v>
      </c>
      <c r="AU19" s="214">
        <v>30803</v>
      </c>
      <c r="AV19" s="216">
        <v>16795</v>
      </c>
      <c r="AW19" s="216">
        <v>17908</v>
      </c>
      <c r="AX19" s="101">
        <v>34703</v>
      </c>
      <c r="AY19" s="214">
        <v>19500</v>
      </c>
      <c r="AZ19" s="214">
        <v>20600</v>
      </c>
      <c r="BA19" s="217">
        <v>40100</v>
      </c>
      <c r="BB19" s="48">
        <v>2787</v>
      </c>
      <c r="BC19" s="218">
        <v>3462</v>
      </c>
      <c r="BD19" s="218">
        <v>6249</v>
      </c>
      <c r="BE19" s="221">
        <v>2952</v>
      </c>
      <c r="BF19" s="221">
        <v>3792</v>
      </c>
      <c r="BG19" s="221">
        <v>6744</v>
      </c>
      <c r="BH19" s="218">
        <v>3117</v>
      </c>
      <c r="BI19" s="218">
        <v>4122</v>
      </c>
      <c r="BJ19" s="218">
        <v>7239</v>
      </c>
      <c r="BK19" s="221">
        <v>3282</v>
      </c>
      <c r="BL19" s="221">
        <v>4452</v>
      </c>
      <c r="BM19" s="222">
        <v>7734</v>
      </c>
      <c r="BN19" s="47">
        <v>4367</v>
      </c>
      <c r="BO19" s="212">
        <v>6019</v>
      </c>
      <c r="BP19" s="212">
        <v>10386</v>
      </c>
      <c r="BQ19" s="219">
        <v>4978</v>
      </c>
      <c r="BR19" s="219">
        <v>6922</v>
      </c>
      <c r="BS19" s="219">
        <v>11900</v>
      </c>
      <c r="BT19" s="212">
        <v>5675</v>
      </c>
      <c r="BU19" s="212">
        <v>7960</v>
      </c>
      <c r="BV19" s="212">
        <v>13635</v>
      </c>
      <c r="BW19" s="219">
        <v>6470</v>
      </c>
      <c r="BX19" s="219">
        <v>9154</v>
      </c>
      <c r="BY19" s="220">
        <v>15624</v>
      </c>
      <c r="BZ19" s="173">
        <v>25828</v>
      </c>
      <c r="CA19" s="174">
        <v>24719</v>
      </c>
      <c r="CB19" s="174">
        <v>50547</v>
      </c>
      <c r="CC19" s="175">
        <v>25413</v>
      </c>
      <c r="CD19" s="175">
        <v>24632</v>
      </c>
      <c r="CE19" s="175">
        <v>50045</v>
      </c>
      <c r="CF19" s="174">
        <v>24718</v>
      </c>
      <c r="CG19" s="174">
        <v>25047</v>
      </c>
      <c r="CH19" s="174">
        <v>49765</v>
      </c>
      <c r="CI19" s="175">
        <v>30719</v>
      </c>
      <c r="CJ19" s="175">
        <v>27030</v>
      </c>
      <c r="CK19" s="176">
        <v>57749</v>
      </c>
      <c r="CL19" s="47">
        <v>13639</v>
      </c>
      <c r="CM19" s="212">
        <v>13914</v>
      </c>
      <c r="CN19" s="212">
        <v>27553</v>
      </c>
      <c r="CO19" s="219">
        <v>18960</v>
      </c>
      <c r="CP19" s="219">
        <v>18960</v>
      </c>
      <c r="CQ19" s="219">
        <v>37920</v>
      </c>
      <c r="CR19" s="212">
        <v>19632</v>
      </c>
      <c r="CS19" s="212">
        <v>19632</v>
      </c>
      <c r="CT19" s="212">
        <v>39264</v>
      </c>
      <c r="CU19" s="219">
        <v>21057</v>
      </c>
      <c r="CV19" s="219">
        <v>21057</v>
      </c>
      <c r="CW19" s="220">
        <v>42144</v>
      </c>
    </row>
    <row r="20" spans="1:101" s="13" customFormat="1" ht="24.75" thickBot="1">
      <c r="A20" s="734"/>
      <c r="B20" s="703"/>
      <c r="C20" s="25" t="s">
        <v>75</v>
      </c>
      <c r="D20"/>
      <c r="E20"/>
      <c r="F20" s="49">
        <f t="shared" si="0"/>
        <v>36717</v>
      </c>
      <c r="G20" s="50">
        <f t="shared" si="0"/>
        <v>40516</v>
      </c>
      <c r="H20" s="50">
        <f t="shared" si="0"/>
        <v>77233</v>
      </c>
      <c r="I20" s="51">
        <f t="shared" si="1"/>
        <v>42918.32</v>
      </c>
      <c r="J20" s="51">
        <f t="shared" si="1"/>
        <v>47204.04</v>
      </c>
      <c r="K20" s="51">
        <f t="shared" si="1"/>
        <v>90122.36</v>
      </c>
      <c r="L20" s="50">
        <f t="shared" si="2"/>
        <v>46194.25</v>
      </c>
      <c r="M20" s="50">
        <f t="shared" si="2"/>
        <v>50168.17</v>
      </c>
      <c r="N20" s="50">
        <f t="shared" si="2"/>
        <v>96362.42</v>
      </c>
      <c r="O20" s="51">
        <f t="shared" si="3"/>
        <v>54508</v>
      </c>
      <c r="P20" s="51">
        <f t="shared" si="3"/>
        <v>59633</v>
      </c>
      <c r="Q20" s="52">
        <f t="shared" si="3"/>
        <v>114141</v>
      </c>
      <c r="R20" s="53">
        <v>3936</v>
      </c>
      <c r="S20" s="54">
        <v>5096</v>
      </c>
      <c r="T20" s="54">
        <v>9032</v>
      </c>
      <c r="U20" s="55">
        <v>2805</v>
      </c>
      <c r="V20" s="55">
        <v>3597</v>
      </c>
      <c r="W20" s="55">
        <v>6402</v>
      </c>
      <c r="X20" s="54">
        <v>2900</v>
      </c>
      <c r="Y20" s="54">
        <v>3780</v>
      </c>
      <c r="Z20" s="54">
        <v>6680</v>
      </c>
      <c r="AA20" s="55">
        <v>3700</v>
      </c>
      <c r="AB20" s="55">
        <v>4600</v>
      </c>
      <c r="AC20" s="56">
        <v>8300</v>
      </c>
      <c r="AD20" s="57">
        <v>5274</v>
      </c>
      <c r="AE20" s="58">
        <v>5773</v>
      </c>
      <c r="AF20" s="58">
        <v>11047</v>
      </c>
      <c r="AG20" s="59">
        <v>6217</v>
      </c>
      <c r="AH20" s="59">
        <v>6754</v>
      </c>
      <c r="AI20" s="59">
        <v>12971</v>
      </c>
      <c r="AJ20" s="58">
        <v>7160</v>
      </c>
      <c r="AK20" s="58">
        <v>7735</v>
      </c>
      <c r="AL20" s="58">
        <v>14895</v>
      </c>
      <c r="AM20" s="59">
        <v>8103</v>
      </c>
      <c r="AN20" s="59">
        <v>8716</v>
      </c>
      <c r="AO20" s="60">
        <v>16819</v>
      </c>
      <c r="AP20" s="103">
        <v>3282</v>
      </c>
      <c r="AQ20" s="104">
        <v>3741</v>
      </c>
      <c r="AR20" s="104">
        <v>7023</v>
      </c>
      <c r="AS20" s="105">
        <v>5000</v>
      </c>
      <c r="AT20" s="105">
        <v>6400</v>
      </c>
      <c r="AU20" s="105">
        <v>11400</v>
      </c>
      <c r="AV20" s="104">
        <v>5800</v>
      </c>
      <c r="AW20" s="104">
        <v>7000</v>
      </c>
      <c r="AX20" s="106">
        <v>12800</v>
      </c>
      <c r="AY20" s="105">
        <v>5900</v>
      </c>
      <c r="AZ20" s="105">
        <v>7900</v>
      </c>
      <c r="BA20" s="107">
        <v>13800</v>
      </c>
      <c r="BB20" s="57">
        <v>1994</v>
      </c>
      <c r="BC20" s="58">
        <v>2623</v>
      </c>
      <c r="BD20" s="58">
        <v>4617</v>
      </c>
      <c r="BE20" s="59">
        <v>3383</v>
      </c>
      <c r="BF20" s="59">
        <v>4022</v>
      </c>
      <c r="BG20" s="59">
        <v>7405</v>
      </c>
      <c r="BH20" s="58">
        <v>3537</v>
      </c>
      <c r="BI20" s="58">
        <v>4321</v>
      </c>
      <c r="BJ20" s="58">
        <v>7858</v>
      </c>
      <c r="BK20" s="59">
        <v>3867</v>
      </c>
      <c r="BL20" s="59">
        <v>4651</v>
      </c>
      <c r="BM20" s="60">
        <v>8518</v>
      </c>
      <c r="BN20" s="53">
        <v>3304</v>
      </c>
      <c r="BO20" s="54">
        <v>4268</v>
      </c>
      <c r="BP20" s="212">
        <v>7572</v>
      </c>
      <c r="BQ20" s="55">
        <v>3354</v>
      </c>
      <c r="BR20" s="55">
        <v>4141</v>
      </c>
      <c r="BS20" s="55">
        <v>7495</v>
      </c>
      <c r="BT20" s="54">
        <v>3377</v>
      </c>
      <c r="BU20" s="54">
        <v>4045</v>
      </c>
      <c r="BV20" s="54">
        <v>7422</v>
      </c>
      <c r="BW20" s="55">
        <v>3349</v>
      </c>
      <c r="BX20" s="55">
        <v>3979</v>
      </c>
      <c r="BY20" s="56">
        <v>7328</v>
      </c>
      <c r="BZ20" s="177">
        <v>11225</v>
      </c>
      <c r="CA20" s="178">
        <v>11172</v>
      </c>
      <c r="CB20" s="178">
        <v>22397</v>
      </c>
      <c r="CC20" s="179">
        <v>12459.32</v>
      </c>
      <c r="CD20" s="179">
        <v>12590.04</v>
      </c>
      <c r="CE20" s="179">
        <v>25049.360000000001</v>
      </c>
      <c r="CF20" s="178">
        <v>12313.25</v>
      </c>
      <c r="CG20" s="178">
        <v>12180.17</v>
      </c>
      <c r="CH20" s="178">
        <v>24493.42</v>
      </c>
      <c r="CI20" s="179">
        <v>14287</v>
      </c>
      <c r="CJ20" s="179">
        <v>14485</v>
      </c>
      <c r="CK20" s="180">
        <v>28772</v>
      </c>
      <c r="CL20" s="53">
        <v>7702</v>
      </c>
      <c r="CM20" s="54">
        <v>7843</v>
      </c>
      <c r="CN20" s="212">
        <v>15545</v>
      </c>
      <c r="CO20" s="55">
        <v>9700</v>
      </c>
      <c r="CP20" s="55">
        <v>9700</v>
      </c>
      <c r="CQ20" s="55">
        <v>19400</v>
      </c>
      <c r="CR20" s="54">
        <v>11107</v>
      </c>
      <c r="CS20" s="54">
        <v>11107</v>
      </c>
      <c r="CT20" s="54">
        <v>22214</v>
      </c>
      <c r="CU20" s="55">
        <v>15302</v>
      </c>
      <c r="CV20" s="55">
        <v>15302</v>
      </c>
      <c r="CW20" s="56">
        <v>30604</v>
      </c>
    </row>
    <row r="21" spans="1:101" s="13" customFormat="1">
      <c r="A21" s="732" t="s">
        <v>19</v>
      </c>
      <c r="B21" s="735" t="s">
        <v>20</v>
      </c>
      <c r="C21" s="27" t="s">
        <v>21</v>
      </c>
      <c r="D21" t="s">
        <v>286</v>
      </c>
      <c r="E21"/>
      <c r="F21" s="197">
        <f t="shared" si="0"/>
        <v>131</v>
      </c>
      <c r="G21" s="197">
        <f t="shared" si="0"/>
        <v>122</v>
      </c>
      <c r="H21" s="197">
        <f t="shared" si="0"/>
        <v>253</v>
      </c>
      <c r="I21" s="199">
        <f t="shared" si="1"/>
        <v>246</v>
      </c>
      <c r="J21" s="199">
        <f t="shared" si="1"/>
        <v>262</v>
      </c>
      <c r="K21" s="199">
        <f t="shared" si="1"/>
        <v>508</v>
      </c>
      <c r="L21" s="197">
        <f t="shared" si="2"/>
        <v>386</v>
      </c>
      <c r="M21" s="197">
        <f t="shared" si="2"/>
        <v>400</v>
      </c>
      <c r="N21" s="197">
        <f t="shared" si="2"/>
        <v>786</v>
      </c>
      <c r="O21" s="199">
        <f t="shared" si="3"/>
        <v>508</v>
      </c>
      <c r="P21" s="199">
        <f t="shared" si="3"/>
        <v>545</v>
      </c>
      <c r="Q21" s="198">
        <f t="shared" si="3"/>
        <v>1053</v>
      </c>
      <c r="R21" s="64">
        <v>4</v>
      </c>
      <c r="S21" s="204">
        <v>2</v>
      </c>
      <c r="T21" s="204">
        <v>6</v>
      </c>
      <c r="U21" s="205">
        <v>6</v>
      </c>
      <c r="V21" s="205">
        <v>9</v>
      </c>
      <c r="W21" s="205">
        <v>15</v>
      </c>
      <c r="X21" s="204">
        <v>15</v>
      </c>
      <c r="Y21" s="204">
        <v>20</v>
      </c>
      <c r="Z21" s="204">
        <v>35</v>
      </c>
      <c r="AA21" s="205">
        <v>25</v>
      </c>
      <c r="AB21" s="205">
        <v>35</v>
      </c>
      <c r="AC21" s="206">
        <v>60</v>
      </c>
      <c r="AD21" s="68">
        <v>31</v>
      </c>
      <c r="AE21" s="207">
        <v>36</v>
      </c>
      <c r="AF21" s="207">
        <v>67</v>
      </c>
      <c r="AG21" s="208">
        <v>61</v>
      </c>
      <c r="AH21" s="208">
        <v>66</v>
      </c>
      <c r="AI21" s="208">
        <v>127</v>
      </c>
      <c r="AJ21" s="207">
        <v>70</v>
      </c>
      <c r="AK21" s="207">
        <v>73</v>
      </c>
      <c r="AL21" s="207">
        <v>143</v>
      </c>
      <c r="AM21" s="208">
        <v>73</v>
      </c>
      <c r="AN21" s="208">
        <v>77</v>
      </c>
      <c r="AO21" s="200">
        <v>150</v>
      </c>
      <c r="AP21" s="202">
        <v>0</v>
      </c>
      <c r="AQ21" s="201">
        <v>0</v>
      </c>
      <c r="AR21" s="109">
        <v>0</v>
      </c>
      <c r="AS21" s="203">
        <v>10</v>
      </c>
      <c r="AT21" s="203">
        <v>26</v>
      </c>
      <c r="AU21" s="203">
        <v>36</v>
      </c>
      <c r="AV21" s="202">
        <v>41</v>
      </c>
      <c r="AW21" s="201">
        <v>51</v>
      </c>
      <c r="AX21" s="109">
        <v>92</v>
      </c>
      <c r="AY21" s="203">
        <v>65</v>
      </c>
      <c r="AZ21" s="203">
        <v>88</v>
      </c>
      <c r="BA21" s="213">
        <v>153</v>
      </c>
      <c r="BB21" s="68">
        <v>0</v>
      </c>
      <c r="BC21" s="207">
        <v>0</v>
      </c>
      <c r="BD21" s="207">
        <v>0</v>
      </c>
      <c r="BE21" s="208">
        <v>0</v>
      </c>
      <c r="BF21" s="208">
        <v>0</v>
      </c>
      <c r="BG21" s="208">
        <v>0</v>
      </c>
      <c r="BH21" s="207">
        <v>0</v>
      </c>
      <c r="BI21" s="207">
        <v>0</v>
      </c>
      <c r="BJ21" s="207">
        <v>0</v>
      </c>
      <c r="BK21" s="208">
        <v>0</v>
      </c>
      <c r="BL21" s="208">
        <v>0</v>
      </c>
      <c r="BM21" s="208">
        <v>0</v>
      </c>
      <c r="BN21" s="64">
        <v>7</v>
      </c>
      <c r="BO21" s="204">
        <v>4</v>
      </c>
      <c r="BP21" s="204">
        <v>11</v>
      </c>
      <c r="BQ21" s="205">
        <v>37</v>
      </c>
      <c r="BR21" s="205">
        <v>34</v>
      </c>
      <c r="BS21" s="205">
        <v>71</v>
      </c>
      <c r="BT21" s="204">
        <v>67</v>
      </c>
      <c r="BU21" s="204">
        <v>64</v>
      </c>
      <c r="BV21" s="204">
        <v>131</v>
      </c>
      <c r="BW21" s="205">
        <v>98</v>
      </c>
      <c r="BX21" s="205">
        <v>97</v>
      </c>
      <c r="BY21" s="206">
        <v>195</v>
      </c>
      <c r="BZ21" s="181">
        <v>41</v>
      </c>
      <c r="CA21" s="182">
        <v>35</v>
      </c>
      <c r="CB21" s="182">
        <v>76</v>
      </c>
      <c r="CC21" s="183">
        <v>72</v>
      </c>
      <c r="CD21" s="183">
        <v>67</v>
      </c>
      <c r="CE21" s="183">
        <v>139</v>
      </c>
      <c r="CF21" s="182">
        <v>113</v>
      </c>
      <c r="CG21" s="182">
        <v>112</v>
      </c>
      <c r="CH21" s="182">
        <v>225</v>
      </c>
      <c r="CI21" s="183">
        <v>154</v>
      </c>
      <c r="CJ21" s="183">
        <v>151</v>
      </c>
      <c r="CK21" s="184">
        <v>305</v>
      </c>
      <c r="CL21" s="64">
        <v>48</v>
      </c>
      <c r="CM21" s="204">
        <v>45</v>
      </c>
      <c r="CN21" s="204">
        <v>93</v>
      </c>
      <c r="CO21" s="205">
        <v>60</v>
      </c>
      <c r="CP21" s="205">
        <v>60</v>
      </c>
      <c r="CQ21" s="205">
        <v>120</v>
      </c>
      <c r="CR21" s="204">
        <v>80</v>
      </c>
      <c r="CS21" s="204">
        <v>80</v>
      </c>
      <c r="CT21" s="204">
        <v>160</v>
      </c>
      <c r="CU21" s="205">
        <v>93</v>
      </c>
      <c r="CV21" s="205">
        <v>97</v>
      </c>
      <c r="CW21" s="206">
        <v>190</v>
      </c>
    </row>
    <row r="22" spans="1:101" s="13" customFormat="1">
      <c r="A22" s="733"/>
      <c r="B22" s="702"/>
      <c r="C22" s="28" t="s">
        <v>22</v>
      </c>
      <c r="D22" t="s">
        <v>286</v>
      </c>
      <c r="E22"/>
      <c r="F22" s="209">
        <f t="shared" si="0"/>
        <v>309</v>
      </c>
      <c r="G22" s="209">
        <f t="shared" si="0"/>
        <v>332</v>
      </c>
      <c r="H22" s="209">
        <f t="shared" si="0"/>
        <v>641</v>
      </c>
      <c r="I22" s="211">
        <f t="shared" si="1"/>
        <v>471</v>
      </c>
      <c r="J22" s="211">
        <f t="shared" si="1"/>
        <v>522</v>
      </c>
      <c r="K22" s="211">
        <f t="shared" si="1"/>
        <v>993</v>
      </c>
      <c r="L22" s="209">
        <f t="shared" si="2"/>
        <v>477</v>
      </c>
      <c r="M22" s="209">
        <f t="shared" si="2"/>
        <v>557</v>
      </c>
      <c r="N22" s="209">
        <f t="shared" si="2"/>
        <v>1014</v>
      </c>
      <c r="O22" s="211">
        <f t="shared" si="3"/>
        <v>578</v>
      </c>
      <c r="P22" s="211">
        <f t="shared" si="3"/>
        <v>653</v>
      </c>
      <c r="Q22" s="210">
        <f t="shared" si="3"/>
        <v>1231</v>
      </c>
      <c r="R22" s="47">
        <v>6</v>
      </c>
      <c r="S22" s="212">
        <v>12</v>
      </c>
      <c r="T22" s="212">
        <v>18</v>
      </c>
      <c r="U22" s="219">
        <v>17</v>
      </c>
      <c r="V22" s="219">
        <v>23</v>
      </c>
      <c r="W22" s="219">
        <v>40</v>
      </c>
      <c r="X22" s="212">
        <v>19</v>
      </c>
      <c r="Y22" s="212">
        <v>21</v>
      </c>
      <c r="Z22" s="212">
        <v>40</v>
      </c>
      <c r="AA22" s="219">
        <v>17</v>
      </c>
      <c r="AB22" s="219">
        <v>18</v>
      </c>
      <c r="AC22" s="220">
        <v>35</v>
      </c>
      <c r="AD22" s="48">
        <v>18</v>
      </c>
      <c r="AE22" s="218">
        <v>18</v>
      </c>
      <c r="AF22" s="218">
        <v>36</v>
      </c>
      <c r="AG22" s="221">
        <v>38</v>
      </c>
      <c r="AH22" s="221">
        <v>46</v>
      </c>
      <c r="AI22" s="221">
        <v>84</v>
      </c>
      <c r="AJ22" s="218">
        <v>42</v>
      </c>
      <c r="AK22" s="218">
        <v>53</v>
      </c>
      <c r="AL22" s="218">
        <v>95</v>
      </c>
      <c r="AM22" s="221">
        <v>45</v>
      </c>
      <c r="AN22" s="221">
        <v>70</v>
      </c>
      <c r="AO22" s="222">
        <v>115</v>
      </c>
      <c r="AP22" s="216">
        <v>42</v>
      </c>
      <c r="AQ22" s="215">
        <v>50</v>
      </c>
      <c r="AR22" s="112">
        <v>92</v>
      </c>
      <c r="AS22" s="214">
        <v>109</v>
      </c>
      <c r="AT22" s="214">
        <v>142</v>
      </c>
      <c r="AU22" s="214">
        <v>251</v>
      </c>
      <c r="AV22" s="187">
        <v>108</v>
      </c>
      <c r="AW22" s="188">
        <v>172</v>
      </c>
      <c r="AX22" s="112">
        <v>260</v>
      </c>
      <c r="AY22" s="214">
        <v>230</v>
      </c>
      <c r="AZ22" s="214">
        <v>260</v>
      </c>
      <c r="BA22" s="217">
        <v>490</v>
      </c>
      <c r="BB22" s="48">
        <v>36</v>
      </c>
      <c r="BC22" s="218">
        <v>38</v>
      </c>
      <c r="BD22" s="218">
        <v>74</v>
      </c>
      <c r="BE22" s="221">
        <v>34</v>
      </c>
      <c r="BF22" s="221">
        <v>36</v>
      </c>
      <c r="BG22" s="221">
        <v>70</v>
      </c>
      <c r="BH22" s="218">
        <v>34</v>
      </c>
      <c r="BI22" s="218">
        <v>34</v>
      </c>
      <c r="BJ22" s="218">
        <v>68</v>
      </c>
      <c r="BK22" s="221">
        <v>37</v>
      </c>
      <c r="BL22" s="221">
        <v>35</v>
      </c>
      <c r="BM22" s="221">
        <v>72</v>
      </c>
      <c r="BN22" s="47">
        <v>36</v>
      </c>
      <c r="BO22" s="212">
        <v>34</v>
      </c>
      <c r="BP22" s="212">
        <v>70</v>
      </c>
      <c r="BQ22" s="219">
        <v>29</v>
      </c>
      <c r="BR22" s="219">
        <v>29</v>
      </c>
      <c r="BS22" s="219">
        <v>58</v>
      </c>
      <c r="BT22" s="212">
        <v>21</v>
      </c>
      <c r="BU22" s="212">
        <v>23</v>
      </c>
      <c r="BV22" s="212">
        <v>44</v>
      </c>
      <c r="BW22" s="219">
        <v>14</v>
      </c>
      <c r="BX22" s="219">
        <v>16</v>
      </c>
      <c r="BY22" s="220">
        <v>30</v>
      </c>
      <c r="BZ22" s="173">
        <v>28</v>
      </c>
      <c r="CA22" s="174">
        <v>31</v>
      </c>
      <c r="CB22" s="174">
        <v>59</v>
      </c>
      <c r="CC22" s="175">
        <v>83</v>
      </c>
      <c r="CD22" s="175">
        <v>85</v>
      </c>
      <c r="CE22" s="175">
        <v>168</v>
      </c>
      <c r="CF22" s="174">
        <v>73</v>
      </c>
      <c r="CG22" s="174">
        <v>74</v>
      </c>
      <c r="CH22" s="174">
        <v>147</v>
      </c>
      <c r="CI22" s="175">
        <v>68</v>
      </c>
      <c r="CJ22" s="175">
        <v>79</v>
      </c>
      <c r="CK22" s="176">
        <v>147</v>
      </c>
      <c r="CL22" s="47">
        <v>143</v>
      </c>
      <c r="CM22" s="212">
        <v>149</v>
      </c>
      <c r="CN22" s="212">
        <v>292</v>
      </c>
      <c r="CO22" s="219">
        <v>161</v>
      </c>
      <c r="CP22" s="219">
        <v>161</v>
      </c>
      <c r="CQ22" s="219">
        <v>322</v>
      </c>
      <c r="CR22" s="212">
        <v>180</v>
      </c>
      <c r="CS22" s="212">
        <v>180</v>
      </c>
      <c r="CT22" s="212">
        <v>360</v>
      </c>
      <c r="CU22" s="219">
        <v>167</v>
      </c>
      <c r="CV22" s="219">
        <v>175</v>
      </c>
      <c r="CW22" s="220">
        <v>342</v>
      </c>
    </row>
    <row r="23" spans="1:101" s="13" customFormat="1">
      <c r="A23" s="733"/>
      <c r="B23" s="702"/>
      <c r="C23" s="28" t="s">
        <v>23</v>
      </c>
      <c r="D23" t="s">
        <v>286</v>
      </c>
      <c r="E23"/>
      <c r="F23" s="209">
        <f t="shared" si="0"/>
        <v>411</v>
      </c>
      <c r="G23" s="209">
        <f t="shared" si="0"/>
        <v>509</v>
      </c>
      <c r="H23" s="209">
        <f t="shared" si="0"/>
        <v>920</v>
      </c>
      <c r="I23" s="211">
        <f t="shared" si="1"/>
        <v>499</v>
      </c>
      <c r="J23" s="211">
        <f t="shared" si="1"/>
        <v>506</v>
      </c>
      <c r="K23" s="211">
        <f t="shared" si="1"/>
        <v>1005</v>
      </c>
      <c r="L23" s="209">
        <f t="shared" si="2"/>
        <v>465</v>
      </c>
      <c r="M23" s="209">
        <f t="shared" si="2"/>
        <v>494</v>
      </c>
      <c r="N23" s="209">
        <f t="shared" si="2"/>
        <v>979</v>
      </c>
      <c r="O23" s="211">
        <f t="shared" si="3"/>
        <v>410</v>
      </c>
      <c r="P23" s="211">
        <f t="shared" si="3"/>
        <v>421</v>
      </c>
      <c r="Q23" s="210">
        <f t="shared" si="3"/>
        <v>819</v>
      </c>
      <c r="R23" s="47">
        <v>1</v>
      </c>
      <c r="S23" s="212">
        <v>3</v>
      </c>
      <c r="T23" s="212">
        <v>4</v>
      </c>
      <c r="U23" s="219">
        <v>15</v>
      </c>
      <c r="V23" s="219">
        <v>18</v>
      </c>
      <c r="W23" s="219">
        <v>33</v>
      </c>
      <c r="X23" s="212">
        <v>20</v>
      </c>
      <c r="Y23" s="212">
        <v>20</v>
      </c>
      <c r="Z23" s="212">
        <v>40</v>
      </c>
      <c r="AA23" s="219">
        <v>22</v>
      </c>
      <c r="AB23" s="219">
        <v>23</v>
      </c>
      <c r="AC23" s="220">
        <v>45</v>
      </c>
      <c r="AD23" s="48">
        <v>20</v>
      </c>
      <c r="AE23" s="218">
        <v>28</v>
      </c>
      <c r="AF23" s="218">
        <v>48</v>
      </c>
      <c r="AG23" s="221">
        <v>43</v>
      </c>
      <c r="AH23" s="221">
        <v>44</v>
      </c>
      <c r="AI23" s="221">
        <v>87</v>
      </c>
      <c r="AJ23" s="218">
        <v>50</v>
      </c>
      <c r="AK23" s="218">
        <v>68</v>
      </c>
      <c r="AL23" s="218">
        <v>118</v>
      </c>
      <c r="AM23" s="221">
        <v>55</v>
      </c>
      <c r="AN23" s="221">
        <v>62</v>
      </c>
      <c r="AO23" s="222">
        <v>117</v>
      </c>
      <c r="AP23" s="216">
        <v>102</v>
      </c>
      <c r="AQ23" s="215">
        <v>166</v>
      </c>
      <c r="AR23" s="112">
        <v>268</v>
      </c>
      <c r="AS23" s="214">
        <v>178</v>
      </c>
      <c r="AT23" s="214">
        <v>171</v>
      </c>
      <c r="AU23" s="214">
        <v>349</v>
      </c>
      <c r="AV23" s="187">
        <v>163</v>
      </c>
      <c r="AW23" s="188">
        <v>161</v>
      </c>
      <c r="AX23" s="112">
        <v>344</v>
      </c>
      <c r="AY23" s="214">
        <v>112</v>
      </c>
      <c r="AZ23" s="214">
        <v>111</v>
      </c>
      <c r="BA23" s="217">
        <v>211</v>
      </c>
      <c r="BB23" s="48">
        <v>22</v>
      </c>
      <c r="BC23" s="218">
        <v>23</v>
      </c>
      <c r="BD23" s="218">
        <v>45</v>
      </c>
      <c r="BE23" s="221">
        <v>23</v>
      </c>
      <c r="BF23" s="221">
        <v>26</v>
      </c>
      <c r="BG23" s="221">
        <v>49</v>
      </c>
      <c r="BH23" s="218">
        <v>21</v>
      </c>
      <c r="BI23" s="218">
        <v>28</v>
      </c>
      <c r="BJ23" s="218">
        <v>49</v>
      </c>
      <c r="BK23" s="221">
        <v>25</v>
      </c>
      <c r="BL23" s="221">
        <v>22</v>
      </c>
      <c r="BM23" s="221">
        <v>47</v>
      </c>
      <c r="BN23" s="47">
        <v>50</v>
      </c>
      <c r="BO23" s="212">
        <v>64</v>
      </c>
      <c r="BP23" s="212">
        <v>114</v>
      </c>
      <c r="BQ23" s="219">
        <v>42</v>
      </c>
      <c r="BR23" s="219">
        <v>53</v>
      </c>
      <c r="BS23" s="219">
        <v>95</v>
      </c>
      <c r="BT23" s="212">
        <v>35</v>
      </c>
      <c r="BU23" s="212">
        <v>42</v>
      </c>
      <c r="BV23" s="212">
        <v>77</v>
      </c>
      <c r="BW23" s="219">
        <v>28</v>
      </c>
      <c r="BX23" s="219">
        <v>30</v>
      </c>
      <c r="BY23" s="220">
        <v>58</v>
      </c>
      <c r="BZ23" s="173">
        <v>71</v>
      </c>
      <c r="CA23" s="174">
        <v>68</v>
      </c>
      <c r="CB23" s="174">
        <v>139</v>
      </c>
      <c r="CC23" s="175">
        <v>60</v>
      </c>
      <c r="CD23" s="175">
        <v>56</v>
      </c>
      <c r="CE23" s="175">
        <v>116</v>
      </c>
      <c r="CF23" s="174">
        <v>53</v>
      </c>
      <c r="CG23" s="174">
        <v>52</v>
      </c>
      <c r="CH23" s="174">
        <v>105</v>
      </c>
      <c r="CI23" s="175">
        <v>33</v>
      </c>
      <c r="CJ23" s="175">
        <v>39</v>
      </c>
      <c r="CK23" s="176">
        <v>72</v>
      </c>
      <c r="CL23" s="47">
        <v>145</v>
      </c>
      <c r="CM23" s="212">
        <v>157</v>
      </c>
      <c r="CN23" s="212">
        <v>302</v>
      </c>
      <c r="CO23" s="219">
        <v>138</v>
      </c>
      <c r="CP23" s="219">
        <v>138</v>
      </c>
      <c r="CQ23" s="219">
        <v>276</v>
      </c>
      <c r="CR23" s="212">
        <v>123</v>
      </c>
      <c r="CS23" s="212">
        <v>123</v>
      </c>
      <c r="CT23" s="212">
        <v>246</v>
      </c>
      <c r="CU23" s="219">
        <v>135</v>
      </c>
      <c r="CV23" s="219">
        <v>134</v>
      </c>
      <c r="CW23" s="220">
        <v>269</v>
      </c>
    </row>
    <row r="24" spans="1:101" s="13" customFormat="1">
      <c r="A24" s="733"/>
      <c r="B24" s="702"/>
      <c r="C24" s="28" t="s">
        <v>24</v>
      </c>
      <c r="D24" t="s">
        <v>286</v>
      </c>
      <c r="E24"/>
      <c r="F24" s="209">
        <f t="shared" si="0"/>
        <v>708</v>
      </c>
      <c r="G24" s="209">
        <f t="shared" si="0"/>
        <v>803</v>
      </c>
      <c r="H24" s="209">
        <f t="shared" si="0"/>
        <v>1511</v>
      </c>
      <c r="I24" s="211">
        <f t="shared" si="1"/>
        <v>420</v>
      </c>
      <c r="J24" s="211">
        <f t="shared" si="1"/>
        <v>485</v>
      </c>
      <c r="K24" s="211">
        <f t="shared" si="1"/>
        <v>905</v>
      </c>
      <c r="L24" s="209">
        <f t="shared" si="2"/>
        <v>345</v>
      </c>
      <c r="M24" s="209">
        <f t="shared" si="2"/>
        <v>368</v>
      </c>
      <c r="N24" s="209">
        <f t="shared" si="2"/>
        <v>713</v>
      </c>
      <c r="O24" s="211">
        <f t="shared" si="3"/>
        <v>197</v>
      </c>
      <c r="P24" s="211">
        <f t="shared" si="3"/>
        <v>231</v>
      </c>
      <c r="Q24" s="210">
        <f t="shared" si="3"/>
        <v>440</v>
      </c>
      <c r="R24" s="47">
        <v>52</v>
      </c>
      <c r="S24" s="212">
        <v>59</v>
      </c>
      <c r="T24" s="212">
        <v>111</v>
      </c>
      <c r="U24" s="219">
        <v>25</v>
      </c>
      <c r="V24" s="219">
        <v>22</v>
      </c>
      <c r="W24" s="219">
        <v>47</v>
      </c>
      <c r="X24" s="212">
        <v>23</v>
      </c>
      <c r="Y24" s="212">
        <v>17</v>
      </c>
      <c r="Z24" s="212">
        <v>40</v>
      </c>
      <c r="AA24" s="219">
        <v>12</v>
      </c>
      <c r="AB24" s="219">
        <v>10</v>
      </c>
      <c r="AC24" s="220">
        <v>22</v>
      </c>
      <c r="AD24" s="48">
        <v>143</v>
      </c>
      <c r="AE24" s="218">
        <v>184</v>
      </c>
      <c r="AF24" s="218">
        <v>327</v>
      </c>
      <c r="AG24" s="221">
        <v>78</v>
      </c>
      <c r="AH24" s="221">
        <v>116</v>
      </c>
      <c r="AI24" s="221">
        <v>194</v>
      </c>
      <c r="AJ24" s="218">
        <v>60</v>
      </c>
      <c r="AK24" s="218">
        <v>78</v>
      </c>
      <c r="AL24" s="218">
        <v>138</v>
      </c>
      <c r="AM24" s="221">
        <v>51</v>
      </c>
      <c r="AN24" s="221">
        <v>64</v>
      </c>
      <c r="AO24" s="222">
        <v>115</v>
      </c>
      <c r="AP24" s="216">
        <v>286</v>
      </c>
      <c r="AQ24" s="215">
        <v>290</v>
      </c>
      <c r="AR24" s="112">
        <v>576</v>
      </c>
      <c r="AS24" s="214">
        <v>152</v>
      </c>
      <c r="AT24" s="214">
        <v>173</v>
      </c>
      <c r="AU24" s="214">
        <v>325</v>
      </c>
      <c r="AV24" s="187">
        <v>148</v>
      </c>
      <c r="AW24" s="188">
        <v>148</v>
      </c>
      <c r="AX24" s="112">
        <v>296</v>
      </c>
      <c r="AY24" s="214">
        <v>63</v>
      </c>
      <c r="AZ24" s="214">
        <v>83</v>
      </c>
      <c r="BA24" s="217">
        <v>158</v>
      </c>
      <c r="BB24" s="48">
        <v>1</v>
      </c>
      <c r="BC24" s="218">
        <v>2</v>
      </c>
      <c r="BD24" s="218">
        <v>3</v>
      </c>
      <c r="BE24" s="221">
        <v>2</v>
      </c>
      <c r="BF24" s="221">
        <v>2</v>
      </c>
      <c r="BG24" s="221">
        <v>4</v>
      </c>
      <c r="BH24" s="218">
        <v>1</v>
      </c>
      <c r="BI24" s="218">
        <v>3</v>
      </c>
      <c r="BJ24" s="218">
        <v>4</v>
      </c>
      <c r="BK24" s="221">
        <v>3</v>
      </c>
      <c r="BL24" s="221">
        <v>2</v>
      </c>
      <c r="BM24" s="221">
        <v>5</v>
      </c>
      <c r="BN24" s="47">
        <v>42</v>
      </c>
      <c r="BO24" s="212">
        <v>37</v>
      </c>
      <c r="BP24" s="212">
        <v>79</v>
      </c>
      <c r="BQ24" s="219">
        <v>28</v>
      </c>
      <c r="BR24" s="219">
        <v>24</v>
      </c>
      <c r="BS24" s="219">
        <v>52</v>
      </c>
      <c r="BT24" s="212">
        <v>14</v>
      </c>
      <c r="BU24" s="212">
        <v>13</v>
      </c>
      <c r="BV24" s="212">
        <v>27</v>
      </c>
      <c r="BW24" s="219">
        <v>0</v>
      </c>
      <c r="BX24" s="219">
        <v>0</v>
      </c>
      <c r="BY24" s="220">
        <v>0</v>
      </c>
      <c r="BZ24" s="173">
        <v>94</v>
      </c>
      <c r="CA24" s="174">
        <v>103</v>
      </c>
      <c r="CB24" s="174">
        <v>197</v>
      </c>
      <c r="CC24" s="175">
        <v>43</v>
      </c>
      <c r="CD24" s="175">
        <v>56</v>
      </c>
      <c r="CE24" s="175">
        <v>99</v>
      </c>
      <c r="CF24" s="174">
        <v>27</v>
      </c>
      <c r="CG24" s="174">
        <v>37</v>
      </c>
      <c r="CH24" s="174">
        <v>64</v>
      </c>
      <c r="CI24" s="175">
        <v>13</v>
      </c>
      <c r="CJ24" s="175">
        <v>8</v>
      </c>
      <c r="CK24" s="176">
        <v>21</v>
      </c>
      <c r="CL24" s="47">
        <v>90</v>
      </c>
      <c r="CM24" s="212">
        <v>128</v>
      </c>
      <c r="CN24" s="212">
        <v>218</v>
      </c>
      <c r="CO24" s="219">
        <v>92</v>
      </c>
      <c r="CP24" s="219">
        <v>92</v>
      </c>
      <c r="CQ24" s="219">
        <v>184</v>
      </c>
      <c r="CR24" s="212">
        <v>72</v>
      </c>
      <c r="CS24" s="212">
        <v>72</v>
      </c>
      <c r="CT24" s="212">
        <v>144</v>
      </c>
      <c r="CU24" s="219">
        <v>55</v>
      </c>
      <c r="CV24" s="219">
        <v>64</v>
      </c>
      <c r="CW24" s="220">
        <v>119</v>
      </c>
    </row>
    <row r="25" spans="1:101" s="13" customFormat="1">
      <c r="A25" s="733"/>
      <c r="B25" s="702"/>
      <c r="C25" s="28" t="s">
        <v>61</v>
      </c>
      <c r="D25" t="s">
        <v>286</v>
      </c>
      <c r="E25"/>
      <c r="F25" s="209">
        <f t="shared" si="0"/>
        <v>166</v>
      </c>
      <c r="G25" s="209">
        <f t="shared" si="0"/>
        <v>157</v>
      </c>
      <c r="H25" s="209">
        <f t="shared" si="0"/>
        <v>323</v>
      </c>
      <c r="I25" s="211">
        <f t="shared" si="1"/>
        <v>74</v>
      </c>
      <c r="J25" s="211">
        <f t="shared" si="1"/>
        <v>71</v>
      </c>
      <c r="K25" s="211">
        <f t="shared" si="1"/>
        <v>145</v>
      </c>
      <c r="L25" s="209">
        <f t="shared" si="2"/>
        <v>37</v>
      </c>
      <c r="M25" s="209">
        <f t="shared" si="2"/>
        <v>27</v>
      </c>
      <c r="N25" s="209">
        <f t="shared" si="2"/>
        <v>64</v>
      </c>
      <c r="O25" s="211">
        <f t="shared" si="3"/>
        <v>10</v>
      </c>
      <c r="P25" s="211">
        <f t="shared" si="3"/>
        <v>3</v>
      </c>
      <c r="Q25" s="210">
        <f t="shared" si="3"/>
        <v>13</v>
      </c>
      <c r="R25" s="47">
        <v>53</v>
      </c>
      <c r="S25" s="212">
        <v>44</v>
      </c>
      <c r="T25" s="212">
        <v>97</v>
      </c>
      <c r="U25" s="219">
        <v>15</v>
      </c>
      <c r="V25" s="219">
        <v>12</v>
      </c>
      <c r="W25" s="219">
        <v>27</v>
      </c>
      <c r="X25" s="212">
        <v>4</v>
      </c>
      <c r="Y25" s="212">
        <v>3</v>
      </c>
      <c r="Z25" s="212">
        <v>7</v>
      </c>
      <c r="AA25" s="219">
        <v>0</v>
      </c>
      <c r="AB25" s="219">
        <v>0</v>
      </c>
      <c r="AC25" s="220">
        <v>0</v>
      </c>
      <c r="AD25" s="48">
        <v>16</v>
      </c>
      <c r="AE25" s="218">
        <v>7</v>
      </c>
      <c r="AF25" s="218">
        <v>23</v>
      </c>
      <c r="AG25" s="221">
        <v>8</v>
      </c>
      <c r="AH25" s="221">
        <v>1</v>
      </c>
      <c r="AI25" s="221">
        <v>9</v>
      </c>
      <c r="AJ25" s="218">
        <v>6</v>
      </c>
      <c r="AK25" s="218">
        <v>1</v>
      </c>
      <c r="AL25" s="218">
        <v>7</v>
      </c>
      <c r="AM25" s="221">
        <v>4</v>
      </c>
      <c r="AN25" s="221">
        <v>0</v>
      </c>
      <c r="AO25" s="222">
        <v>4</v>
      </c>
      <c r="AP25" s="216">
        <v>44</v>
      </c>
      <c r="AQ25" s="215">
        <v>38</v>
      </c>
      <c r="AR25" s="112">
        <v>82</v>
      </c>
      <c r="AS25" s="214">
        <v>25</v>
      </c>
      <c r="AT25" s="214">
        <v>32</v>
      </c>
      <c r="AU25" s="214">
        <v>57</v>
      </c>
      <c r="AV25" s="216">
        <v>14</v>
      </c>
      <c r="AW25" s="215">
        <v>12</v>
      </c>
      <c r="AX25" s="112">
        <v>26</v>
      </c>
      <c r="AY25" s="214">
        <v>4</v>
      </c>
      <c r="AZ25" s="214">
        <v>2</v>
      </c>
      <c r="BA25" s="217">
        <v>6</v>
      </c>
      <c r="BB25" s="48">
        <v>0</v>
      </c>
      <c r="BC25" s="218">
        <v>2</v>
      </c>
      <c r="BD25" s="218">
        <v>2</v>
      </c>
      <c r="BE25" s="221">
        <v>1</v>
      </c>
      <c r="BF25" s="221">
        <v>0</v>
      </c>
      <c r="BG25" s="221">
        <v>1</v>
      </c>
      <c r="BH25" s="218">
        <v>1</v>
      </c>
      <c r="BI25" s="218">
        <v>2</v>
      </c>
      <c r="BJ25" s="218">
        <v>3</v>
      </c>
      <c r="BK25" s="221">
        <v>0</v>
      </c>
      <c r="BL25" s="221">
        <v>0</v>
      </c>
      <c r="BM25" s="221">
        <v>0</v>
      </c>
      <c r="BN25" s="47">
        <v>5</v>
      </c>
      <c r="BO25" s="212">
        <v>4</v>
      </c>
      <c r="BP25" s="212">
        <v>9</v>
      </c>
      <c r="BQ25" s="219">
        <v>4</v>
      </c>
      <c r="BR25" s="219">
        <v>3</v>
      </c>
      <c r="BS25" s="219">
        <v>7</v>
      </c>
      <c r="BT25" s="212">
        <v>3</v>
      </c>
      <c r="BU25" s="212">
        <v>1</v>
      </c>
      <c r="BV25" s="212">
        <v>4</v>
      </c>
      <c r="BW25" s="219">
        <v>0</v>
      </c>
      <c r="BX25" s="219">
        <v>0</v>
      </c>
      <c r="BY25" s="220">
        <v>0</v>
      </c>
      <c r="BZ25" s="173">
        <v>36</v>
      </c>
      <c r="CA25" s="174">
        <v>41</v>
      </c>
      <c r="CB25" s="174">
        <v>77</v>
      </c>
      <c r="CC25" s="175">
        <v>12</v>
      </c>
      <c r="CD25" s="175">
        <v>14</v>
      </c>
      <c r="CE25" s="175">
        <v>26</v>
      </c>
      <c r="CF25" s="174">
        <v>4</v>
      </c>
      <c r="CG25" s="174">
        <v>3</v>
      </c>
      <c r="CH25" s="174">
        <v>7</v>
      </c>
      <c r="CI25" s="175">
        <v>2</v>
      </c>
      <c r="CJ25" s="175">
        <v>1</v>
      </c>
      <c r="CK25" s="176">
        <v>3</v>
      </c>
      <c r="CL25" s="47">
        <v>12</v>
      </c>
      <c r="CM25" s="212">
        <v>21</v>
      </c>
      <c r="CN25" s="212">
        <v>33</v>
      </c>
      <c r="CO25" s="219">
        <v>9</v>
      </c>
      <c r="CP25" s="219">
        <v>9</v>
      </c>
      <c r="CQ25" s="219">
        <v>18</v>
      </c>
      <c r="CR25" s="212">
        <v>5</v>
      </c>
      <c r="CS25" s="212">
        <v>5</v>
      </c>
      <c r="CT25" s="212">
        <v>10</v>
      </c>
      <c r="CU25" s="219">
        <v>0</v>
      </c>
      <c r="CV25" s="219">
        <v>0</v>
      </c>
      <c r="CW25" s="220">
        <v>0</v>
      </c>
    </row>
    <row r="26" spans="1:101" s="13" customFormat="1" ht="16.5" thickBot="1">
      <c r="A26" s="733"/>
      <c r="B26" s="703"/>
      <c r="C26" s="29" t="s">
        <v>62</v>
      </c>
      <c r="D26" t="s">
        <v>287</v>
      </c>
      <c r="E26"/>
      <c r="F26" s="37">
        <f>SUM(F21:F25)</f>
        <v>1725</v>
      </c>
      <c r="G26" s="37">
        <f t="shared" ref="G26:Q26" si="4">SUM(G21:G25)</f>
        <v>1923</v>
      </c>
      <c r="H26" s="37">
        <f t="shared" si="4"/>
        <v>3648</v>
      </c>
      <c r="I26" s="227">
        <f t="shared" si="4"/>
        <v>1710</v>
      </c>
      <c r="J26" s="227">
        <f t="shared" si="4"/>
        <v>1846</v>
      </c>
      <c r="K26" s="227">
        <f t="shared" si="4"/>
        <v>3556</v>
      </c>
      <c r="L26" s="225">
        <f t="shared" si="4"/>
        <v>1710</v>
      </c>
      <c r="M26" s="225">
        <f t="shared" si="4"/>
        <v>1846</v>
      </c>
      <c r="N26" s="225">
        <f t="shared" si="4"/>
        <v>3556</v>
      </c>
      <c r="O26" s="227">
        <f t="shared" si="4"/>
        <v>1703</v>
      </c>
      <c r="P26" s="227">
        <f t="shared" si="4"/>
        <v>1853</v>
      </c>
      <c r="Q26" s="226">
        <f t="shared" si="4"/>
        <v>3556</v>
      </c>
      <c r="R26" s="53">
        <v>116</v>
      </c>
      <c r="S26" s="54">
        <v>120</v>
      </c>
      <c r="T26" s="54">
        <v>236</v>
      </c>
      <c r="U26" s="236">
        <v>78</v>
      </c>
      <c r="V26" s="236">
        <v>84</v>
      </c>
      <c r="W26" s="236">
        <v>162</v>
      </c>
      <c r="X26" s="228">
        <v>81</v>
      </c>
      <c r="Y26" s="228">
        <v>81</v>
      </c>
      <c r="Z26" s="228">
        <v>162</v>
      </c>
      <c r="AA26" s="236">
        <v>76</v>
      </c>
      <c r="AB26" s="236">
        <v>86</v>
      </c>
      <c r="AC26" s="229">
        <v>162</v>
      </c>
      <c r="AD26" s="57">
        <v>228</v>
      </c>
      <c r="AE26" s="58">
        <v>273</v>
      </c>
      <c r="AF26" s="58">
        <v>501</v>
      </c>
      <c r="AG26" s="59">
        <v>228</v>
      </c>
      <c r="AH26" s="59">
        <v>273</v>
      </c>
      <c r="AI26" s="59">
        <v>501</v>
      </c>
      <c r="AJ26" s="58">
        <v>228</v>
      </c>
      <c r="AK26" s="58">
        <v>273</v>
      </c>
      <c r="AL26" s="58">
        <v>501</v>
      </c>
      <c r="AM26" s="59">
        <v>228</v>
      </c>
      <c r="AN26" s="59">
        <v>273</v>
      </c>
      <c r="AO26" s="60">
        <v>501</v>
      </c>
      <c r="AP26" s="235">
        <v>474</v>
      </c>
      <c r="AQ26" s="234">
        <v>544</v>
      </c>
      <c r="AR26" s="234">
        <v>1018</v>
      </c>
      <c r="AS26" s="232">
        <v>474</v>
      </c>
      <c r="AT26" s="232">
        <v>544</v>
      </c>
      <c r="AU26" s="232">
        <v>1018</v>
      </c>
      <c r="AV26" s="235">
        <v>474</v>
      </c>
      <c r="AW26" s="234">
        <v>544</v>
      </c>
      <c r="AX26" s="234">
        <v>1018</v>
      </c>
      <c r="AY26" s="232">
        <v>474</v>
      </c>
      <c r="AZ26" s="232">
        <v>544</v>
      </c>
      <c r="BA26" s="237">
        <v>1018</v>
      </c>
      <c r="BB26" s="45">
        <v>59</v>
      </c>
      <c r="BC26" s="230">
        <v>65</v>
      </c>
      <c r="BD26" s="230">
        <v>124</v>
      </c>
      <c r="BE26" s="233">
        <v>60</v>
      </c>
      <c r="BF26" s="233">
        <v>64</v>
      </c>
      <c r="BG26" s="233">
        <v>124</v>
      </c>
      <c r="BH26" s="230">
        <v>57</v>
      </c>
      <c r="BI26" s="230">
        <v>67</v>
      </c>
      <c r="BJ26" s="230">
        <v>124</v>
      </c>
      <c r="BK26" s="233">
        <v>65</v>
      </c>
      <c r="BL26" s="233">
        <v>59</v>
      </c>
      <c r="BM26" s="231">
        <v>124</v>
      </c>
      <c r="BN26" s="41">
        <v>140</v>
      </c>
      <c r="BO26" s="228">
        <v>143</v>
      </c>
      <c r="BP26" s="228">
        <v>283</v>
      </c>
      <c r="BQ26" s="236">
        <v>140</v>
      </c>
      <c r="BR26" s="236">
        <v>143</v>
      </c>
      <c r="BS26" s="236">
        <v>283</v>
      </c>
      <c r="BT26" s="228">
        <v>140</v>
      </c>
      <c r="BU26" s="228">
        <v>143</v>
      </c>
      <c r="BV26" s="228">
        <v>283</v>
      </c>
      <c r="BW26" s="236">
        <v>140</v>
      </c>
      <c r="BX26" s="236">
        <v>143</v>
      </c>
      <c r="BY26" s="229">
        <v>283</v>
      </c>
      <c r="BZ26" s="169">
        <v>270</v>
      </c>
      <c r="CA26" s="170">
        <v>278</v>
      </c>
      <c r="CB26" s="170">
        <v>548</v>
      </c>
      <c r="CC26" s="171">
        <v>270</v>
      </c>
      <c r="CD26" s="171">
        <v>278</v>
      </c>
      <c r="CE26" s="171">
        <v>548</v>
      </c>
      <c r="CF26" s="170">
        <v>270</v>
      </c>
      <c r="CG26" s="170">
        <v>278</v>
      </c>
      <c r="CH26" s="170">
        <v>548</v>
      </c>
      <c r="CI26" s="171">
        <v>270</v>
      </c>
      <c r="CJ26" s="171">
        <v>278</v>
      </c>
      <c r="CK26" s="172">
        <v>548</v>
      </c>
      <c r="CL26" s="41">
        <v>438</v>
      </c>
      <c r="CM26" s="228">
        <v>500</v>
      </c>
      <c r="CN26" s="228">
        <v>938</v>
      </c>
      <c r="CO26" s="236">
        <v>460</v>
      </c>
      <c r="CP26" s="236">
        <v>460</v>
      </c>
      <c r="CQ26" s="236">
        <v>920</v>
      </c>
      <c r="CR26" s="228">
        <v>460</v>
      </c>
      <c r="CS26" s="228">
        <v>460</v>
      </c>
      <c r="CT26" s="228">
        <v>920</v>
      </c>
      <c r="CU26" s="236">
        <v>450</v>
      </c>
      <c r="CV26" s="236">
        <v>470</v>
      </c>
      <c r="CW26" s="229">
        <v>920</v>
      </c>
    </row>
    <row r="27" spans="1:101" s="373" customFormat="1" ht="24">
      <c r="A27" s="733"/>
      <c r="B27" s="736" t="s">
        <v>25</v>
      </c>
      <c r="C27" s="411" t="s">
        <v>26</v>
      </c>
      <c r="D27" s="372" t="s">
        <v>290</v>
      </c>
      <c r="E27" s="372"/>
      <c r="F27" s="364">
        <f t="shared" ref="F27:Q37" si="5">SUM(R27,AD27,AP27,BB27,BN27,BZ27,CL27)</f>
        <v>2412</v>
      </c>
      <c r="G27" s="364">
        <f t="shared" si="5"/>
        <v>3133</v>
      </c>
      <c r="H27" s="364">
        <f t="shared" si="5"/>
        <v>5545</v>
      </c>
      <c r="I27" s="364">
        <f t="shared" si="5"/>
        <v>18992</v>
      </c>
      <c r="J27" s="364">
        <f t="shared" si="5"/>
        <v>20552</v>
      </c>
      <c r="K27" s="364">
        <f t="shared" si="5"/>
        <v>39544</v>
      </c>
      <c r="L27" s="364">
        <f t="shared" si="5"/>
        <v>19124</v>
      </c>
      <c r="M27" s="364">
        <f t="shared" si="5"/>
        <v>20895</v>
      </c>
      <c r="N27" s="364">
        <f t="shared" si="5"/>
        <v>40019</v>
      </c>
      <c r="O27" s="364">
        <f t="shared" si="5"/>
        <v>19784</v>
      </c>
      <c r="P27" s="364">
        <f t="shared" si="5"/>
        <v>20423</v>
      </c>
      <c r="Q27" s="363">
        <f t="shared" si="5"/>
        <v>40207</v>
      </c>
      <c r="R27" s="48">
        <v>2412</v>
      </c>
      <c r="S27" s="364">
        <v>3133</v>
      </c>
      <c r="T27" s="364">
        <v>5545</v>
      </c>
      <c r="U27" s="364">
        <v>1260</v>
      </c>
      <c r="V27" s="364">
        <v>1800</v>
      </c>
      <c r="W27" s="364">
        <v>3060</v>
      </c>
      <c r="X27" s="364">
        <v>1000</v>
      </c>
      <c r="Y27" s="364">
        <v>1300</v>
      </c>
      <c r="Z27" s="364">
        <v>2300</v>
      </c>
      <c r="AA27" s="364">
        <v>1000</v>
      </c>
      <c r="AB27" s="364">
        <v>1200</v>
      </c>
      <c r="AC27" s="412">
        <v>2200</v>
      </c>
      <c r="AD27" s="89" t="s">
        <v>65</v>
      </c>
      <c r="AE27" s="90" t="s">
        <v>65</v>
      </c>
      <c r="AF27" s="90" t="s">
        <v>65</v>
      </c>
      <c r="AG27" s="364">
        <v>980</v>
      </c>
      <c r="AH27" s="364">
        <v>1020</v>
      </c>
      <c r="AI27" s="364">
        <v>2000</v>
      </c>
      <c r="AJ27" s="364">
        <v>980</v>
      </c>
      <c r="AK27" s="364">
        <v>1020</v>
      </c>
      <c r="AL27" s="364">
        <v>2000</v>
      </c>
      <c r="AM27" s="364">
        <v>980</v>
      </c>
      <c r="AN27" s="364">
        <v>1020</v>
      </c>
      <c r="AO27" s="412">
        <v>2000</v>
      </c>
      <c r="AP27" s="413">
        <v>0</v>
      </c>
      <c r="AQ27" s="413">
        <v>0</v>
      </c>
      <c r="AR27" s="413">
        <v>0</v>
      </c>
      <c r="AS27" s="413">
        <v>1480</v>
      </c>
      <c r="AT27" s="413">
        <v>1550</v>
      </c>
      <c r="AU27" s="413">
        <v>3030</v>
      </c>
      <c r="AV27" s="413">
        <v>1500</v>
      </c>
      <c r="AW27" s="413">
        <v>1680</v>
      </c>
      <c r="AX27" s="413">
        <v>3180</v>
      </c>
      <c r="AY27" s="413">
        <v>1570</v>
      </c>
      <c r="AZ27" s="413">
        <v>1620</v>
      </c>
      <c r="BA27" s="414">
        <v>3190</v>
      </c>
      <c r="BB27" s="89">
        <v>0</v>
      </c>
      <c r="BC27" s="90">
        <v>0</v>
      </c>
      <c r="BD27" s="90">
        <v>0</v>
      </c>
      <c r="BE27" s="364">
        <v>440</v>
      </c>
      <c r="BF27" s="364">
        <v>880</v>
      </c>
      <c r="BG27" s="364">
        <v>1320</v>
      </c>
      <c r="BH27" s="364">
        <v>550</v>
      </c>
      <c r="BI27" s="364">
        <v>1100</v>
      </c>
      <c r="BJ27" s="364">
        <v>1650</v>
      </c>
      <c r="BK27" s="364">
        <v>550</v>
      </c>
      <c r="BL27" s="364">
        <v>1100</v>
      </c>
      <c r="BM27" s="412">
        <v>1650</v>
      </c>
      <c r="BN27" s="48">
        <v>0</v>
      </c>
      <c r="BO27" s="364">
        <v>0</v>
      </c>
      <c r="BP27" s="364">
        <v>0</v>
      </c>
      <c r="BQ27" s="364">
        <v>631</v>
      </c>
      <c r="BR27" s="364">
        <v>1436</v>
      </c>
      <c r="BS27" s="364">
        <v>2067</v>
      </c>
      <c r="BT27" s="364">
        <v>714</v>
      </c>
      <c r="BU27" s="364">
        <v>1490</v>
      </c>
      <c r="BV27" s="364">
        <v>2204</v>
      </c>
      <c r="BW27" s="364">
        <v>708</v>
      </c>
      <c r="BX27" s="364">
        <v>1552</v>
      </c>
      <c r="BY27" s="412">
        <v>2260</v>
      </c>
      <c r="BZ27" s="173">
        <v>0</v>
      </c>
      <c r="CA27" s="174">
        <v>0</v>
      </c>
      <c r="CB27" s="174">
        <v>0</v>
      </c>
      <c r="CC27" s="174">
        <v>9834</v>
      </c>
      <c r="CD27" s="174">
        <v>9499</v>
      </c>
      <c r="CE27" s="174">
        <v>19333</v>
      </c>
      <c r="CF27" s="174">
        <v>10215</v>
      </c>
      <c r="CG27" s="174">
        <v>10140</v>
      </c>
      <c r="CH27" s="174">
        <v>20355</v>
      </c>
      <c r="CI27" s="174">
        <v>11161</v>
      </c>
      <c r="CJ27" s="174">
        <v>10116</v>
      </c>
      <c r="CK27" s="415">
        <v>21277</v>
      </c>
      <c r="CL27" s="48">
        <v>0</v>
      </c>
      <c r="CM27" s="364">
        <v>0</v>
      </c>
      <c r="CN27" s="364">
        <v>0</v>
      </c>
      <c r="CO27" s="364">
        <v>4367</v>
      </c>
      <c r="CP27" s="364">
        <v>4367</v>
      </c>
      <c r="CQ27" s="364">
        <v>8734</v>
      </c>
      <c r="CR27" s="364">
        <v>4165</v>
      </c>
      <c r="CS27" s="364">
        <v>4165</v>
      </c>
      <c r="CT27" s="364">
        <v>8330</v>
      </c>
      <c r="CU27" s="364">
        <v>3815</v>
      </c>
      <c r="CV27" s="364">
        <v>3815</v>
      </c>
      <c r="CW27" s="412">
        <v>7630</v>
      </c>
    </row>
    <row r="28" spans="1:101" s="373" customFormat="1" ht="36.75" thickBot="1">
      <c r="A28" s="733"/>
      <c r="B28" s="737"/>
      <c r="C28" s="416" t="s">
        <v>41</v>
      </c>
      <c r="D28" s="372" t="s">
        <v>291</v>
      </c>
      <c r="E28" s="372"/>
      <c r="F28" s="375">
        <f t="shared" si="5"/>
        <v>2412</v>
      </c>
      <c r="G28" s="366">
        <f t="shared" si="5"/>
        <v>3133</v>
      </c>
      <c r="H28" s="366">
        <f t="shared" si="5"/>
        <v>5545</v>
      </c>
      <c r="I28" s="366">
        <f t="shared" si="5"/>
        <v>26316</v>
      </c>
      <c r="J28" s="366">
        <f t="shared" si="5"/>
        <v>31877</v>
      </c>
      <c r="K28" s="366">
        <f t="shared" si="5"/>
        <v>58193</v>
      </c>
      <c r="L28" s="366">
        <f t="shared" si="5"/>
        <v>38945</v>
      </c>
      <c r="M28" s="366">
        <f t="shared" si="5"/>
        <v>46612</v>
      </c>
      <c r="N28" s="366">
        <f t="shared" si="5"/>
        <v>85557</v>
      </c>
      <c r="O28" s="366">
        <f t="shared" si="5"/>
        <v>45178</v>
      </c>
      <c r="P28" s="366">
        <f t="shared" si="5"/>
        <v>56506</v>
      </c>
      <c r="Q28" s="365">
        <f t="shared" si="5"/>
        <v>101684</v>
      </c>
      <c r="R28" s="45">
        <v>2412</v>
      </c>
      <c r="S28" s="366">
        <v>3133</v>
      </c>
      <c r="T28" s="366">
        <v>5545</v>
      </c>
      <c r="U28" s="366">
        <v>3672</v>
      </c>
      <c r="V28" s="366">
        <v>4933</v>
      </c>
      <c r="W28" s="366">
        <v>8605</v>
      </c>
      <c r="X28" s="366">
        <v>4672</v>
      </c>
      <c r="Y28" s="366">
        <v>6233</v>
      </c>
      <c r="Z28" s="366">
        <v>10905</v>
      </c>
      <c r="AA28" s="366">
        <v>5672</v>
      </c>
      <c r="AB28" s="366">
        <v>7433</v>
      </c>
      <c r="AC28" s="376">
        <v>13105</v>
      </c>
      <c r="AD28" s="45">
        <v>0</v>
      </c>
      <c r="AE28" s="366">
        <v>0</v>
      </c>
      <c r="AF28" s="366">
        <v>0</v>
      </c>
      <c r="AG28" s="366">
        <v>980</v>
      </c>
      <c r="AH28" s="366">
        <v>1020</v>
      </c>
      <c r="AI28" s="366">
        <v>2000</v>
      </c>
      <c r="AJ28" s="366">
        <v>980</v>
      </c>
      <c r="AK28" s="366">
        <v>1020</v>
      </c>
      <c r="AL28" s="366">
        <v>2000</v>
      </c>
      <c r="AM28" s="366">
        <v>980</v>
      </c>
      <c r="AN28" s="366">
        <v>1020</v>
      </c>
      <c r="AO28" s="376">
        <v>2000</v>
      </c>
      <c r="AP28" s="378">
        <v>0</v>
      </c>
      <c r="AQ28" s="378">
        <v>0</v>
      </c>
      <c r="AR28" s="378">
        <v>0</v>
      </c>
      <c r="AS28" s="378">
        <v>10940</v>
      </c>
      <c r="AT28" s="378">
        <v>12493</v>
      </c>
      <c r="AU28" s="378">
        <v>23433</v>
      </c>
      <c r="AV28" s="378">
        <v>12440</v>
      </c>
      <c r="AW28" s="378">
        <v>14173</v>
      </c>
      <c r="AX28" s="378">
        <v>26613</v>
      </c>
      <c r="AY28" s="378">
        <v>7300</v>
      </c>
      <c r="AZ28" s="378">
        <v>10500</v>
      </c>
      <c r="BA28" s="379">
        <v>17800</v>
      </c>
      <c r="BB28" s="45">
        <v>0</v>
      </c>
      <c r="BC28" s="366">
        <v>0</v>
      </c>
      <c r="BD28" s="366">
        <v>0</v>
      </c>
      <c r="BE28" s="366">
        <v>440</v>
      </c>
      <c r="BF28" s="366">
        <v>880</v>
      </c>
      <c r="BG28" s="366">
        <v>1320</v>
      </c>
      <c r="BH28" s="366">
        <v>990</v>
      </c>
      <c r="BI28" s="366">
        <v>1980</v>
      </c>
      <c r="BJ28" s="366">
        <v>2970</v>
      </c>
      <c r="BK28" s="366">
        <v>1540</v>
      </c>
      <c r="BL28" s="366">
        <v>3080</v>
      </c>
      <c r="BM28" s="376">
        <v>4620</v>
      </c>
      <c r="BN28" s="45">
        <v>0</v>
      </c>
      <c r="BO28" s="366">
        <v>0</v>
      </c>
      <c r="BP28" s="366">
        <v>0</v>
      </c>
      <c r="BQ28" s="366">
        <v>631</v>
      </c>
      <c r="BR28" s="366">
        <v>1436</v>
      </c>
      <c r="BS28" s="364">
        <v>2067</v>
      </c>
      <c r="BT28" s="366">
        <v>1345</v>
      </c>
      <c r="BU28" s="366">
        <v>2926</v>
      </c>
      <c r="BV28" s="364">
        <v>4271</v>
      </c>
      <c r="BW28" s="366">
        <v>2053</v>
      </c>
      <c r="BX28" s="366">
        <v>4478</v>
      </c>
      <c r="BY28" s="376">
        <v>6531</v>
      </c>
      <c r="BZ28" s="169">
        <v>0</v>
      </c>
      <c r="CA28" s="170">
        <v>0</v>
      </c>
      <c r="CB28" s="170">
        <v>0</v>
      </c>
      <c r="CC28" s="170">
        <v>5286</v>
      </c>
      <c r="CD28" s="170">
        <v>6748</v>
      </c>
      <c r="CE28" s="170">
        <v>12034</v>
      </c>
      <c r="CF28" s="170">
        <v>9986</v>
      </c>
      <c r="CG28" s="170">
        <v>11748</v>
      </c>
      <c r="CH28" s="170">
        <v>21734</v>
      </c>
      <c r="CI28" s="170">
        <v>15286</v>
      </c>
      <c r="CJ28" s="170">
        <v>17648</v>
      </c>
      <c r="CK28" s="380">
        <v>32934</v>
      </c>
      <c r="CL28" s="45">
        <v>0</v>
      </c>
      <c r="CM28" s="366">
        <v>0</v>
      </c>
      <c r="CN28" s="366">
        <v>0</v>
      </c>
      <c r="CO28" s="366">
        <v>4367</v>
      </c>
      <c r="CP28" s="366">
        <v>4367</v>
      </c>
      <c r="CQ28" s="366">
        <v>8734</v>
      </c>
      <c r="CR28" s="366">
        <v>8532</v>
      </c>
      <c r="CS28" s="366">
        <v>8532</v>
      </c>
      <c r="CT28" s="366">
        <v>17064</v>
      </c>
      <c r="CU28" s="366">
        <v>12347</v>
      </c>
      <c r="CV28" s="366">
        <v>12347</v>
      </c>
      <c r="CW28" s="376">
        <v>24694</v>
      </c>
    </row>
    <row r="29" spans="1:101" s="373" customFormat="1" ht="36.75" thickBot="1">
      <c r="A29" s="734"/>
      <c r="B29" s="446" t="s">
        <v>27</v>
      </c>
      <c r="C29" s="416" t="s">
        <v>42</v>
      </c>
      <c r="D29" s="431" t="s">
        <v>292</v>
      </c>
      <c r="E29" s="372"/>
      <c r="F29" s="716">
        <f t="shared" si="5"/>
        <v>1089</v>
      </c>
      <c r="G29" s="747"/>
      <c r="H29" s="748"/>
      <c r="I29" s="716">
        <f t="shared" si="5"/>
        <v>1272</v>
      </c>
      <c r="J29" s="747"/>
      <c r="K29" s="748"/>
      <c r="L29" s="716">
        <f t="shared" si="5"/>
        <v>1434</v>
      </c>
      <c r="M29" s="747"/>
      <c r="N29" s="748"/>
      <c r="O29" s="716">
        <f t="shared" si="5"/>
        <v>1505</v>
      </c>
      <c r="P29" s="747"/>
      <c r="Q29" s="747"/>
      <c r="R29" s="730">
        <v>4</v>
      </c>
      <c r="S29" s="747"/>
      <c r="T29" s="748"/>
      <c r="U29" s="716">
        <v>20</v>
      </c>
      <c r="V29" s="747"/>
      <c r="W29" s="748"/>
      <c r="X29" s="716">
        <v>10</v>
      </c>
      <c r="Y29" s="747"/>
      <c r="Z29" s="748"/>
      <c r="AA29" s="716">
        <v>12</v>
      </c>
      <c r="AB29" s="747"/>
      <c r="AC29" s="889"/>
      <c r="AD29" s="730">
        <v>185</v>
      </c>
      <c r="AE29" s="747"/>
      <c r="AF29" s="748"/>
      <c r="AG29" s="716">
        <v>285</v>
      </c>
      <c r="AH29" s="747"/>
      <c r="AI29" s="748"/>
      <c r="AJ29" s="716">
        <v>385</v>
      </c>
      <c r="AK29" s="747"/>
      <c r="AL29" s="748"/>
      <c r="AM29" s="716">
        <v>485</v>
      </c>
      <c r="AN29" s="747"/>
      <c r="AO29" s="889"/>
      <c r="AP29" s="890">
        <v>302</v>
      </c>
      <c r="AQ29" s="891"/>
      <c r="AR29" s="892"/>
      <c r="AS29" s="890">
        <v>200</v>
      </c>
      <c r="AT29" s="891"/>
      <c r="AU29" s="892"/>
      <c r="AV29" s="890">
        <v>150</v>
      </c>
      <c r="AW29" s="891"/>
      <c r="AX29" s="892"/>
      <c r="AY29" s="890">
        <v>88</v>
      </c>
      <c r="AZ29" s="891"/>
      <c r="BA29" s="893"/>
      <c r="BB29" s="730">
        <v>23</v>
      </c>
      <c r="BC29" s="747"/>
      <c r="BD29" s="748"/>
      <c r="BE29" s="716">
        <v>64</v>
      </c>
      <c r="BF29" s="747"/>
      <c r="BG29" s="748"/>
      <c r="BH29" s="716">
        <v>76</v>
      </c>
      <c r="BI29" s="747"/>
      <c r="BJ29" s="748"/>
      <c r="BK29" s="716">
        <v>90</v>
      </c>
      <c r="BL29" s="747"/>
      <c r="BM29" s="889"/>
      <c r="BN29" s="730">
        <v>0</v>
      </c>
      <c r="BO29" s="747"/>
      <c r="BP29" s="748"/>
      <c r="BQ29" s="716">
        <v>50</v>
      </c>
      <c r="BR29" s="747"/>
      <c r="BS29" s="748"/>
      <c r="BT29" s="716">
        <v>60</v>
      </c>
      <c r="BU29" s="747"/>
      <c r="BV29" s="748"/>
      <c r="BW29" s="716">
        <v>60</v>
      </c>
      <c r="BX29" s="747"/>
      <c r="BY29" s="889"/>
      <c r="BZ29" s="730">
        <v>443</v>
      </c>
      <c r="CA29" s="717"/>
      <c r="CB29" s="718"/>
      <c r="CC29" s="894">
        <v>473</v>
      </c>
      <c r="CD29" s="717"/>
      <c r="CE29" s="718"/>
      <c r="CF29" s="716">
        <v>573</v>
      </c>
      <c r="CG29" s="717"/>
      <c r="CH29" s="718"/>
      <c r="CI29" s="894">
        <v>589</v>
      </c>
      <c r="CJ29" s="717"/>
      <c r="CK29" s="895"/>
      <c r="CL29" s="730">
        <v>132</v>
      </c>
      <c r="CM29" s="747"/>
      <c r="CN29" s="748"/>
      <c r="CO29" s="716">
        <v>180</v>
      </c>
      <c r="CP29" s="747"/>
      <c r="CQ29" s="748"/>
      <c r="CR29" s="716">
        <v>180</v>
      </c>
      <c r="CS29" s="747"/>
      <c r="CT29" s="748"/>
      <c r="CU29" s="716">
        <v>181</v>
      </c>
      <c r="CV29" s="747"/>
      <c r="CW29" s="889"/>
    </row>
    <row r="30" spans="1:101" s="373" customFormat="1">
      <c r="A30" s="417"/>
      <c r="B30" s="418"/>
      <c r="C30" s="419" t="s">
        <v>293</v>
      </c>
      <c r="D30" s="372"/>
      <c r="E30" s="372"/>
      <c r="F30" s="297"/>
      <c r="G30" s="297"/>
      <c r="H30" s="298"/>
      <c r="I30" s="297"/>
      <c r="J30" s="297"/>
      <c r="K30" s="298"/>
      <c r="L30" s="297"/>
      <c r="M30" s="297"/>
      <c r="N30" s="298"/>
      <c r="O30" s="297"/>
      <c r="P30" s="297"/>
      <c r="Q30" s="297"/>
      <c r="R30" s="296"/>
      <c r="S30" s="297"/>
      <c r="T30" s="298"/>
      <c r="U30" s="297"/>
      <c r="V30" s="297"/>
      <c r="W30" s="298"/>
      <c r="X30" s="297"/>
      <c r="Y30" s="297"/>
      <c r="Z30" s="298"/>
      <c r="AA30" s="297"/>
      <c r="AB30" s="297"/>
      <c r="AC30" s="382"/>
      <c r="AD30" s="296"/>
      <c r="AE30" s="297"/>
      <c r="AF30" s="298"/>
      <c r="AG30" s="297"/>
      <c r="AH30" s="297"/>
      <c r="AI30" s="298"/>
      <c r="AJ30" s="297"/>
      <c r="AK30" s="297"/>
      <c r="AL30" s="298"/>
      <c r="AM30" s="297"/>
      <c r="AN30" s="297"/>
      <c r="AO30" s="382"/>
      <c r="AP30" s="384"/>
      <c r="AQ30" s="384"/>
      <c r="AR30" s="385"/>
      <c r="AS30" s="384"/>
      <c r="AT30" s="384"/>
      <c r="AU30" s="385"/>
      <c r="AV30" s="384"/>
      <c r="AW30" s="384"/>
      <c r="AX30" s="385"/>
      <c r="AY30" s="384"/>
      <c r="AZ30" s="384"/>
      <c r="BA30" s="386"/>
      <c r="BB30" s="296"/>
      <c r="BC30" s="297"/>
      <c r="BD30" s="298"/>
      <c r="BE30" s="297"/>
      <c r="BF30" s="297"/>
      <c r="BG30" s="298"/>
      <c r="BH30" s="297"/>
      <c r="BI30" s="297"/>
      <c r="BJ30" s="298"/>
      <c r="BK30" s="297"/>
      <c r="BL30" s="297"/>
      <c r="BM30" s="382"/>
      <c r="BN30" s="296"/>
      <c r="BO30" s="297"/>
      <c r="BP30" s="298"/>
      <c r="BQ30" s="297"/>
      <c r="BR30" s="297"/>
      <c r="BS30" s="298"/>
      <c r="BT30" s="297"/>
      <c r="BU30" s="297"/>
      <c r="BV30" s="298"/>
      <c r="BW30" s="297"/>
      <c r="BX30" s="297"/>
      <c r="BY30" s="382"/>
      <c r="BZ30" s="296"/>
      <c r="CA30" s="315"/>
      <c r="CB30" s="316"/>
      <c r="CC30" s="315"/>
      <c r="CD30" s="315"/>
      <c r="CE30" s="316"/>
      <c r="CF30" s="297"/>
      <c r="CG30" s="315"/>
      <c r="CH30" s="316"/>
      <c r="CI30" s="315"/>
      <c r="CJ30" s="315"/>
      <c r="CK30" s="420"/>
      <c r="CL30" s="296"/>
      <c r="CM30" s="297"/>
      <c r="CN30" s="298"/>
      <c r="CO30" s="297"/>
      <c r="CP30" s="297"/>
      <c r="CQ30" s="298"/>
      <c r="CR30" s="297"/>
      <c r="CS30" s="297"/>
      <c r="CT30" s="298"/>
      <c r="CU30" s="297"/>
      <c r="CV30" s="297"/>
      <c r="CW30" s="382"/>
    </row>
    <row r="31" spans="1:101" s="275" customFormat="1" ht="24">
      <c r="A31" s="223" t="s">
        <v>28</v>
      </c>
      <c r="B31" s="702" t="s">
        <v>29</v>
      </c>
      <c r="C31" s="263" t="s">
        <v>67</v>
      </c>
      <c r="D31" t="s">
        <v>294</v>
      </c>
      <c r="E31"/>
      <c r="F31" s="278">
        <f t="shared" si="5"/>
        <v>28156</v>
      </c>
      <c r="G31" s="278">
        <f>SUM(S31,AE31,AQ31,BC31,BO31,CA31,CM31)</f>
        <v>29726</v>
      </c>
      <c r="H31" s="278">
        <f>SUM(T31,AF31,AR31,BD31,BP31,CB31,CN31)</f>
        <v>57882</v>
      </c>
      <c r="I31" s="278">
        <f t="shared" si="5"/>
        <v>25827</v>
      </c>
      <c r="J31" s="278">
        <f>SUM(V31,AH31,AT31,BF31,BR31,CD31,CP31)</f>
        <v>27526</v>
      </c>
      <c r="K31" s="278">
        <f>SUM(W31,AI31,AU31,BG31,BS31,CE31,CQ31)</f>
        <v>53353</v>
      </c>
      <c r="L31" s="278">
        <f t="shared" si="5"/>
        <v>24858</v>
      </c>
      <c r="M31" s="278">
        <f>SUM(Y31,AK31,AW31,BI31,BU31,CG31,CS31)</f>
        <v>26896</v>
      </c>
      <c r="N31" s="278">
        <f>SUM(Z31,AL31,AX31,BJ31,BV31,CH31,CT31)</f>
        <v>51754</v>
      </c>
      <c r="O31" s="278">
        <f t="shared" si="5"/>
        <v>26309</v>
      </c>
      <c r="P31" s="278">
        <f>SUM(AB31,AN31,AZ31,BL31,BX31,CJ31,CV31)</f>
        <v>29837</v>
      </c>
      <c r="Q31" s="277">
        <f>SUM(AC31,AO31,BA31,BM31,BY31,CK31,CW31)</f>
        <v>57130</v>
      </c>
      <c r="R31" s="267">
        <v>2219</v>
      </c>
      <c r="S31" s="278">
        <v>2785</v>
      </c>
      <c r="T31" s="278">
        <v>5004</v>
      </c>
      <c r="U31" s="278">
        <v>2300</v>
      </c>
      <c r="V31" s="278">
        <v>2860</v>
      </c>
      <c r="W31" s="278">
        <v>5160</v>
      </c>
      <c r="X31" s="278">
        <v>2320</v>
      </c>
      <c r="Y31" s="278">
        <v>2880</v>
      </c>
      <c r="Z31" s="278">
        <v>5200</v>
      </c>
      <c r="AA31" s="278">
        <v>2350</v>
      </c>
      <c r="AB31" s="278">
        <v>2950</v>
      </c>
      <c r="AC31" s="279">
        <v>5300</v>
      </c>
      <c r="AD31" s="267">
        <v>3574</v>
      </c>
      <c r="AE31" s="278">
        <v>3898</v>
      </c>
      <c r="AF31" s="278">
        <v>7472</v>
      </c>
      <c r="AG31" s="278">
        <v>4309</v>
      </c>
      <c r="AH31" s="278">
        <v>4663</v>
      </c>
      <c r="AI31" s="278">
        <v>8972</v>
      </c>
      <c r="AJ31" s="278">
        <v>5044</v>
      </c>
      <c r="AK31" s="278">
        <v>5428</v>
      </c>
      <c r="AL31" s="278">
        <v>10472</v>
      </c>
      <c r="AM31" s="278">
        <v>5779</v>
      </c>
      <c r="AN31" s="278">
        <v>6193</v>
      </c>
      <c r="AO31" s="279">
        <v>11972</v>
      </c>
      <c r="AP31" s="269">
        <v>4103</v>
      </c>
      <c r="AQ31" s="280">
        <v>4800</v>
      </c>
      <c r="AR31" s="280">
        <v>8903</v>
      </c>
      <c r="AS31" s="280">
        <v>6000</v>
      </c>
      <c r="AT31" s="280">
        <v>6500</v>
      </c>
      <c r="AU31" s="280">
        <v>12500</v>
      </c>
      <c r="AV31" s="280">
        <v>6500</v>
      </c>
      <c r="AW31" s="280">
        <v>7300</v>
      </c>
      <c r="AX31" s="280">
        <v>13800</v>
      </c>
      <c r="AY31" s="280">
        <v>7900</v>
      </c>
      <c r="AZ31" s="280">
        <v>8600</v>
      </c>
      <c r="BA31" s="281">
        <v>16500</v>
      </c>
      <c r="BB31" s="267">
        <v>984</v>
      </c>
      <c r="BC31" s="278">
        <v>1211</v>
      </c>
      <c r="BD31" s="278">
        <v>2195</v>
      </c>
      <c r="BE31" s="278">
        <v>1049</v>
      </c>
      <c r="BF31" s="278">
        <v>1341</v>
      </c>
      <c r="BG31" s="278">
        <v>2390</v>
      </c>
      <c r="BH31" s="278">
        <v>1114</v>
      </c>
      <c r="BI31" s="278">
        <v>1471</v>
      </c>
      <c r="BJ31" s="278">
        <v>2585</v>
      </c>
      <c r="BK31" s="278">
        <v>1179</v>
      </c>
      <c r="BL31" s="278">
        <v>1601</v>
      </c>
      <c r="BM31" s="279">
        <v>3764</v>
      </c>
      <c r="BN31" s="267">
        <v>1228</v>
      </c>
      <c r="BO31" s="278">
        <v>1927</v>
      </c>
      <c r="BP31" s="278">
        <v>3155</v>
      </c>
      <c r="BQ31" s="278">
        <v>1265</v>
      </c>
      <c r="BR31" s="278">
        <v>1985</v>
      </c>
      <c r="BS31" s="278">
        <f>BQ31+BR31</f>
        <v>3250</v>
      </c>
      <c r="BT31" s="278">
        <v>1316</v>
      </c>
      <c r="BU31" s="278">
        <v>2064</v>
      </c>
      <c r="BV31" s="278">
        <v>3380</v>
      </c>
      <c r="BW31" s="278">
        <v>1381</v>
      </c>
      <c r="BX31" s="278">
        <v>2168</v>
      </c>
      <c r="BY31" s="279">
        <v>3549</v>
      </c>
      <c r="BZ31" s="272">
        <v>12666</v>
      </c>
      <c r="CA31" s="273">
        <v>11110</v>
      </c>
      <c r="CB31" s="273">
        <v>23776</v>
      </c>
      <c r="CC31" s="273">
        <v>5595</v>
      </c>
      <c r="CD31" s="273">
        <v>4868</v>
      </c>
      <c r="CE31" s="273">
        <v>10463</v>
      </c>
      <c r="CF31" s="273">
        <v>2194</v>
      </c>
      <c r="CG31" s="273">
        <v>1383</v>
      </c>
      <c r="CH31" s="273">
        <v>3577</v>
      </c>
      <c r="CI31" s="273">
        <v>2199</v>
      </c>
      <c r="CJ31" s="273">
        <v>2344</v>
      </c>
      <c r="CK31" s="274">
        <v>4543</v>
      </c>
      <c r="CL31" s="267">
        <v>3382</v>
      </c>
      <c r="CM31" s="278">
        <v>3995</v>
      </c>
      <c r="CN31" s="278">
        <v>7377</v>
      </c>
      <c r="CO31" s="278">
        <v>5309</v>
      </c>
      <c r="CP31" s="278">
        <v>5309</v>
      </c>
      <c r="CQ31" s="278">
        <v>10618</v>
      </c>
      <c r="CR31" s="278">
        <v>6370</v>
      </c>
      <c r="CS31" s="278">
        <v>6370</v>
      </c>
      <c r="CT31" s="278">
        <v>12740</v>
      </c>
      <c r="CU31" s="278">
        <v>5521</v>
      </c>
      <c r="CV31" s="278">
        <v>5981</v>
      </c>
      <c r="CW31" s="279">
        <v>11502</v>
      </c>
    </row>
    <row r="32" spans="1:101" s="373" customFormat="1" ht="48.75" thickBot="1">
      <c r="A32" s="421"/>
      <c r="B32" s="703"/>
      <c r="C32" s="422" t="s">
        <v>43</v>
      </c>
      <c r="D32" s="372"/>
      <c r="E32" s="372"/>
      <c r="F32" s="375">
        <f t="shared" si="5"/>
        <v>37384</v>
      </c>
      <c r="G32" s="366">
        <f>SUM(S32,AE32,AQ32,BC32,BO32,CA32,CM32)</f>
        <v>42030</v>
      </c>
      <c r="H32" s="366">
        <f>SUM(T32,AF32,AR32,BD32,BP32,CB32,CN32)</f>
        <v>79414</v>
      </c>
      <c r="I32" s="366">
        <f t="shared" si="5"/>
        <v>40614</v>
      </c>
      <c r="J32" s="366">
        <f>SUM(V32,AH32,AT32,BF32,BR32,CD32,CP32)</f>
        <v>42998</v>
      </c>
      <c r="K32" s="366">
        <f>SUM(W32,AI32,AU32,BG32,BS32,CE32,CQ32)</f>
        <v>83612</v>
      </c>
      <c r="L32" s="366">
        <f t="shared" si="5"/>
        <v>47434</v>
      </c>
      <c r="M32" s="366">
        <f>SUM(Y32,AK32,AW32,BI32,BU32,CG32,CS32)</f>
        <v>50598</v>
      </c>
      <c r="N32" s="366">
        <f>SUM(Z32,AL32,AX32,BJ32,BV32,CH32,CT32)</f>
        <v>98032</v>
      </c>
      <c r="O32" s="366">
        <f t="shared" si="5"/>
        <v>43079</v>
      </c>
      <c r="P32" s="366">
        <f>SUM(AB32,AN32,AZ32,BL32,BX32,CJ32,CV32)</f>
        <v>46340</v>
      </c>
      <c r="Q32" s="365">
        <f>SUM(AC32,AO32,BA32,BM32,BY32,CK32,CW32)</f>
        <v>89419</v>
      </c>
      <c r="R32" s="45">
        <v>1857</v>
      </c>
      <c r="S32" s="366">
        <v>2014</v>
      </c>
      <c r="T32" s="366">
        <v>3871</v>
      </c>
      <c r="U32" s="366">
        <v>2400</v>
      </c>
      <c r="V32" s="366">
        <v>3150</v>
      </c>
      <c r="W32" s="366">
        <v>5550</v>
      </c>
      <c r="X32" s="366">
        <v>2650</v>
      </c>
      <c r="Y32" s="366">
        <v>3200</v>
      </c>
      <c r="Z32" s="366">
        <v>5850</v>
      </c>
      <c r="AA32" s="366">
        <v>2700</v>
      </c>
      <c r="AB32" s="366">
        <v>3300</v>
      </c>
      <c r="AC32" s="376">
        <v>6000</v>
      </c>
      <c r="AD32" s="45">
        <v>7812</v>
      </c>
      <c r="AE32" s="366">
        <v>8344</v>
      </c>
      <c r="AF32" s="366">
        <v>16156</v>
      </c>
      <c r="AG32" s="366">
        <v>8281</v>
      </c>
      <c r="AH32" s="366">
        <v>9490</v>
      </c>
      <c r="AI32" s="366">
        <v>17771</v>
      </c>
      <c r="AJ32" s="366">
        <v>8750</v>
      </c>
      <c r="AK32" s="366">
        <v>10636</v>
      </c>
      <c r="AL32" s="366">
        <v>19386</v>
      </c>
      <c r="AM32" s="366">
        <v>9219</v>
      </c>
      <c r="AN32" s="366">
        <v>11782</v>
      </c>
      <c r="AO32" s="376">
        <v>21001</v>
      </c>
      <c r="AP32" s="377">
        <v>5809</v>
      </c>
      <c r="AQ32" s="378">
        <v>7001</v>
      </c>
      <c r="AR32" s="378">
        <v>12810</v>
      </c>
      <c r="AS32" s="378">
        <v>7200</v>
      </c>
      <c r="AT32" s="378">
        <v>7800</v>
      </c>
      <c r="AU32" s="378">
        <v>15000</v>
      </c>
      <c r="AV32" s="378">
        <v>10000</v>
      </c>
      <c r="AW32" s="378">
        <v>10700</v>
      </c>
      <c r="AX32" s="378">
        <v>20700</v>
      </c>
      <c r="AY32" s="378">
        <v>11500</v>
      </c>
      <c r="AZ32" s="378">
        <v>12000</v>
      </c>
      <c r="BA32" s="379">
        <v>23500</v>
      </c>
      <c r="BB32" s="45">
        <v>816</v>
      </c>
      <c r="BC32" s="366">
        <v>1091</v>
      </c>
      <c r="BD32" s="366">
        <v>1907</v>
      </c>
      <c r="BE32" s="366">
        <v>916</v>
      </c>
      <c r="BF32" s="366">
        <v>1291</v>
      </c>
      <c r="BG32" s="366">
        <v>2207</v>
      </c>
      <c r="BH32" s="366">
        <v>1016</v>
      </c>
      <c r="BI32" s="366">
        <v>1491</v>
      </c>
      <c r="BJ32" s="366">
        <v>2507</v>
      </c>
      <c r="BK32" s="366">
        <v>1116</v>
      </c>
      <c r="BL32" s="366">
        <v>1691</v>
      </c>
      <c r="BM32" s="376">
        <v>2807</v>
      </c>
      <c r="BN32" s="45">
        <v>3548</v>
      </c>
      <c r="BO32" s="366">
        <v>4828</v>
      </c>
      <c r="BP32" s="366">
        <v>8376</v>
      </c>
      <c r="BQ32" s="366">
        <v>3640</v>
      </c>
      <c r="BR32" s="366">
        <v>3845</v>
      </c>
      <c r="BS32" s="366">
        <v>7485</v>
      </c>
      <c r="BT32" s="366">
        <v>3641</v>
      </c>
      <c r="BU32" s="366">
        <v>3687</v>
      </c>
      <c r="BV32" s="366">
        <v>7328</v>
      </c>
      <c r="BW32" s="366">
        <v>3569</v>
      </c>
      <c r="BX32" s="366">
        <v>3551</v>
      </c>
      <c r="BY32" s="376">
        <v>7120</v>
      </c>
      <c r="BZ32" s="169">
        <v>8502</v>
      </c>
      <c r="CA32" s="170">
        <v>8529</v>
      </c>
      <c r="CB32" s="170">
        <v>17031</v>
      </c>
      <c r="CC32" s="170">
        <v>9443</v>
      </c>
      <c r="CD32" s="170">
        <v>8688</v>
      </c>
      <c r="CE32" s="170">
        <v>18131</v>
      </c>
      <c r="CF32" s="170">
        <v>10897</v>
      </c>
      <c r="CG32" s="170">
        <v>10404</v>
      </c>
      <c r="CH32" s="170">
        <v>21301</v>
      </c>
      <c r="CI32" s="170">
        <v>12049</v>
      </c>
      <c r="CJ32" s="170">
        <v>10847</v>
      </c>
      <c r="CK32" s="380">
        <v>22896</v>
      </c>
      <c r="CL32" s="45">
        <v>9040</v>
      </c>
      <c r="CM32" s="366">
        <v>10223</v>
      </c>
      <c r="CN32" s="366">
        <v>19263</v>
      </c>
      <c r="CO32" s="366">
        <v>8734</v>
      </c>
      <c r="CP32" s="366">
        <v>8734</v>
      </c>
      <c r="CQ32" s="366">
        <v>17468</v>
      </c>
      <c r="CR32" s="366">
        <v>10480</v>
      </c>
      <c r="CS32" s="366">
        <v>10480</v>
      </c>
      <c r="CT32" s="366">
        <v>20960</v>
      </c>
      <c r="CU32" s="366">
        <v>2926</v>
      </c>
      <c r="CV32" s="366">
        <v>3169</v>
      </c>
      <c r="CW32" s="376">
        <v>6095</v>
      </c>
    </row>
    <row r="33" spans="1:101" s="373" customFormat="1" ht="48">
      <c r="A33" s="421" t="s">
        <v>272</v>
      </c>
      <c r="B33" s="423" t="s">
        <v>30</v>
      </c>
      <c r="C33" s="424" t="s">
        <v>44</v>
      </c>
      <c r="D33" s="372" t="s">
        <v>295</v>
      </c>
      <c r="E33" s="372"/>
      <c r="F33" s="611">
        <f t="shared" si="5"/>
        <v>1739</v>
      </c>
      <c r="G33" s="615"/>
      <c r="H33" s="616"/>
      <c r="I33" s="611">
        <f t="shared" si="5"/>
        <v>1750</v>
      </c>
      <c r="J33" s="615"/>
      <c r="K33" s="616"/>
      <c r="L33" s="611">
        <f t="shared" si="5"/>
        <v>2094</v>
      </c>
      <c r="M33" s="615"/>
      <c r="N33" s="616"/>
      <c r="O33" s="611">
        <f t="shared" si="5"/>
        <v>2731</v>
      </c>
      <c r="P33" s="615"/>
      <c r="Q33" s="615"/>
      <c r="R33" s="607">
        <v>59</v>
      </c>
      <c r="S33" s="615"/>
      <c r="T33" s="616"/>
      <c r="U33" s="611">
        <v>80</v>
      </c>
      <c r="V33" s="615"/>
      <c r="W33" s="616"/>
      <c r="X33" s="611">
        <v>90</v>
      </c>
      <c r="Y33" s="615"/>
      <c r="Z33" s="616"/>
      <c r="AA33" s="611">
        <v>100</v>
      </c>
      <c r="AB33" s="615"/>
      <c r="AC33" s="860"/>
      <c r="AD33" s="607">
        <v>222</v>
      </c>
      <c r="AE33" s="615"/>
      <c r="AF33" s="616"/>
      <c r="AG33" s="611">
        <v>272</v>
      </c>
      <c r="AH33" s="615"/>
      <c r="AI33" s="616"/>
      <c r="AJ33" s="611">
        <v>322</v>
      </c>
      <c r="AK33" s="615"/>
      <c r="AL33" s="616"/>
      <c r="AM33" s="611">
        <v>372</v>
      </c>
      <c r="AN33" s="615"/>
      <c r="AO33" s="860"/>
      <c r="AP33" s="896">
        <v>351</v>
      </c>
      <c r="AQ33" s="897"/>
      <c r="AR33" s="898"/>
      <c r="AS33" s="856">
        <v>85</v>
      </c>
      <c r="AT33" s="857"/>
      <c r="AU33" s="858"/>
      <c r="AV33" s="856">
        <v>115</v>
      </c>
      <c r="AW33" s="857"/>
      <c r="AX33" s="858"/>
      <c r="AY33" s="856">
        <v>200</v>
      </c>
      <c r="AZ33" s="857"/>
      <c r="BA33" s="859"/>
      <c r="BB33" s="607">
        <v>67</v>
      </c>
      <c r="BC33" s="615"/>
      <c r="BD33" s="616"/>
      <c r="BE33" s="611">
        <v>96</v>
      </c>
      <c r="BF33" s="615"/>
      <c r="BG33" s="616"/>
      <c r="BH33" s="611">
        <v>105</v>
      </c>
      <c r="BI33" s="615"/>
      <c r="BJ33" s="616"/>
      <c r="BK33" s="611">
        <v>144</v>
      </c>
      <c r="BL33" s="615"/>
      <c r="BM33" s="860"/>
      <c r="BN33" s="607">
        <v>52</v>
      </c>
      <c r="BO33" s="615"/>
      <c r="BP33" s="616"/>
      <c r="BQ33" s="611">
        <v>54</v>
      </c>
      <c r="BR33" s="615"/>
      <c r="BS33" s="616"/>
      <c r="BT33" s="611">
        <v>60</v>
      </c>
      <c r="BU33" s="615"/>
      <c r="BV33" s="616"/>
      <c r="BW33" s="611">
        <v>66</v>
      </c>
      <c r="BX33" s="615"/>
      <c r="BY33" s="860"/>
      <c r="BZ33" s="607">
        <v>591</v>
      </c>
      <c r="CA33" s="608"/>
      <c r="CB33" s="609"/>
      <c r="CC33" s="907">
        <v>663</v>
      </c>
      <c r="CD33" s="608"/>
      <c r="CE33" s="609"/>
      <c r="CF33" s="611">
        <v>732</v>
      </c>
      <c r="CG33" s="608"/>
      <c r="CH33" s="609"/>
      <c r="CI33" s="907">
        <v>900</v>
      </c>
      <c r="CJ33" s="608"/>
      <c r="CK33" s="865"/>
      <c r="CL33" s="607">
        <v>397</v>
      </c>
      <c r="CM33" s="615"/>
      <c r="CN33" s="616"/>
      <c r="CO33" s="611">
        <v>500</v>
      </c>
      <c r="CP33" s="615"/>
      <c r="CQ33" s="616"/>
      <c r="CR33" s="611">
        <v>670</v>
      </c>
      <c r="CS33" s="615"/>
      <c r="CT33" s="616"/>
      <c r="CU33" s="611">
        <v>949</v>
      </c>
      <c r="CV33" s="615"/>
      <c r="CW33" s="860"/>
    </row>
    <row r="34" spans="1:101" s="373" customFormat="1" ht="36.75" thickBot="1">
      <c r="A34" s="421" t="s">
        <v>272</v>
      </c>
      <c r="B34" s="425"/>
      <c r="C34" s="426" t="s">
        <v>45</v>
      </c>
      <c r="D34" s="372" t="s">
        <v>295</v>
      </c>
      <c r="E34" s="372"/>
      <c r="F34" s="649">
        <f t="shared" si="5"/>
        <v>1446</v>
      </c>
      <c r="G34" s="653"/>
      <c r="H34" s="654"/>
      <c r="I34" s="649">
        <f t="shared" si="5"/>
        <v>1923</v>
      </c>
      <c r="J34" s="653"/>
      <c r="K34" s="654"/>
      <c r="L34" s="649">
        <f t="shared" si="5"/>
        <v>1950</v>
      </c>
      <c r="M34" s="653"/>
      <c r="N34" s="654"/>
      <c r="O34" s="649">
        <f t="shared" si="5"/>
        <v>2203</v>
      </c>
      <c r="P34" s="653"/>
      <c r="Q34" s="653"/>
      <c r="R34" s="644">
        <v>10</v>
      </c>
      <c r="S34" s="653"/>
      <c r="T34" s="654"/>
      <c r="U34" s="649">
        <v>50</v>
      </c>
      <c r="V34" s="653"/>
      <c r="W34" s="654"/>
      <c r="X34" s="649">
        <v>50</v>
      </c>
      <c r="Y34" s="653"/>
      <c r="Z34" s="654"/>
      <c r="AA34" s="649">
        <v>55</v>
      </c>
      <c r="AB34" s="653"/>
      <c r="AC34" s="902"/>
      <c r="AD34" s="644">
        <v>522</v>
      </c>
      <c r="AE34" s="653"/>
      <c r="AF34" s="654"/>
      <c r="AG34" s="649">
        <v>567</v>
      </c>
      <c r="AH34" s="653"/>
      <c r="AI34" s="654"/>
      <c r="AJ34" s="649">
        <v>612</v>
      </c>
      <c r="AK34" s="653"/>
      <c r="AL34" s="654"/>
      <c r="AM34" s="649">
        <v>650</v>
      </c>
      <c r="AN34" s="653"/>
      <c r="AO34" s="902"/>
      <c r="AP34" s="899"/>
      <c r="AQ34" s="900"/>
      <c r="AR34" s="901"/>
      <c r="AS34" s="903">
        <v>350</v>
      </c>
      <c r="AT34" s="904"/>
      <c r="AU34" s="905"/>
      <c r="AV34" s="903">
        <v>402</v>
      </c>
      <c r="AW34" s="904"/>
      <c r="AX34" s="905"/>
      <c r="AY34" s="903">
        <v>500</v>
      </c>
      <c r="AZ34" s="904"/>
      <c r="BA34" s="906"/>
      <c r="BB34" s="644">
        <v>70</v>
      </c>
      <c r="BC34" s="653"/>
      <c r="BD34" s="654"/>
      <c r="BE34" s="649">
        <v>96</v>
      </c>
      <c r="BF34" s="653"/>
      <c r="BG34" s="654"/>
      <c r="BH34" s="649">
        <v>108</v>
      </c>
      <c r="BI34" s="653"/>
      <c r="BJ34" s="654"/>
      <c r="BK34" s="649">
        <v>145</v>
      </c>
      <c r="BL34" s="653"/>
      <c r="BM34" s="902"/>
      <c r="BN34" s="644"/>
      <c r="BO34" s="653"/>
      <c r="BP34" s="654"/>
      <c r="BQ34" s="649">
        <v>25</v>
      </c>
      <c r="BR34" s="653"/>
      <c r="BS34" s="654"/>
      <c r="BT34" s="649">
        <v>25</v>
      </c>
      <c r="BU34" s="653"/>
      <c r="BV34" s="654"/>
      <c r="BW34" s="649">
        <v>25</v>
      </c>
      <c r="BX34" s="653"/>
      <c r="BY34" s="902"/>
      <c r="BZ34" s="644">
        <v>591</v>
      </c>
      <c r="CA34" s="645"/>
      <c r="CB34" s="646"/>
      <c r="CC34" s="908">
        <v>535</v>
      </c>
      <c r="CD34" s="645"/>
      <c r="CE34" s="646"/>
      <c r="CF34" s="649">
        <v>549</v>
      </c>
      <c r="CG34" s="645"/>
      <c r="CH34" s="646"/>
      <c r="CI34" s="908">
        <v>723</v>
      </c>
      <c r="CJ34" s="645"/>
      <c r="CK34" s="909"/>
      <c r="CL34" s="644">
        <v>253</v>
      </c>
      <c r="CM34" s="653"/>
      <c r="CN34" s="654"/>
      <c r="CO34" s="649">
        <v>300</v>
      </c>
      <c r="CP34" s="653"/>
      <c r="CQ34" s="654"/>
      <c r="CR34" s="649">
        <v>204</v>
      </c>
      <c r="CS34" s="653"/>
      <c r="CT34" s="654"/>
      <c r="CU34" s="649">
        <v>105</v>
      </c>
      <c r="CV34" s="653"/>
      <c r="CW34" s="902"/>
    </row>
    <row r="35" spans="1:101" s="373" customFormat="1" ht="48">
      <c r="A35" s="421"/>
      <c r="B35" s="702" t="s">
        <v>31</v>
      </c>
      <c r="C35" s="424" t="s">
        <v>46</v>
      </c>
      <c r="D35" s="372" t="s">
        <v>296</v>
      </c>
      <c r="E35" s="372"/>
      <c r="F35" s="364">
        <f t="shared" si="5"/>
        <v>35953</v>
      </c>
      <c r="G35" s="364">
        <f>SUM(S35,AE35,AQ35,BC35,BO35,CA35,CM35)</f>
        <v>39452</v>
      </c>
      <c r="H35" s="364">
        <f>SUM(T35,AF35,AR35,BD35,BP35,CB35,CN35)</f>
        <v>75405</v>
      </c>
      <c r="I35" s="364">
        <f t="shared" si="5"/>
        <v>60347.896000000001</v>
      </c>
      <c r="J35" s="364">
        <f>SUM(V35,AH35,AT35,BF35,BR35,CD35,CP35)</f>
        <v>68143.754000000001</v>
      </c>
      <c r="K35" s="364">
        <f>SUM(W35,AI35,AU35,BG35,BS35,CE35,CQ35)</f>
        <v>128491.65</v>
      </c>
      <c r="L35" s="364">
        <f t="shared" si="5"/>
        <v>56516.46</v>
      </c>
      <c r="M35" s="364">
        <f>SUM(Y35,AK35,AW35,BI35,BU35,CG35,CS35)</f>
        <v>63596.59</v>
      </c>
      <c r="N35" s="364">
        <f>SUM(Z35,AL35,AX35,BJ35,BV35,CH35,CT35)</f>
        <v>120113.05</v>
      </c>
      <c r="O35" s="364">
        <f t="shared" si="5"/>
        <v>68914.527999999991</v>
      </c>
      <c r="P35" s="364">
        <f>SUM(AB35,AN35,AZ35,BL35,BX35,CJ35,CV35)</f>
        <v>76223.358000000007</v>
      </c>
      <c r="Q35" s="363">
        <f>SUM(AC35,AO35,BA35,BM35,BY35,CK35,CW35)</f>
        <v>145137.886</v>
      </c>
      <c r="R35" s="48"/>
      <c r="S35" s="364"/>
      <c r="T35" s="364"/>
      <c r="U35" s="364">
        <v>440</v>
      </c>
      <c r="V35" s="364">
        <v>560</v>
      </c>
      <c r="W35" s="364">
        <v>1000</v>
      </c>
      <c r="X35" s="364">
        <v>528</v>
      </c>
      <c r="Y35" s="364">
        <v>672</v>
      </c>
      <c r="Z35" s="364">
        <v>1200</v>
      </c>
      <c r="AA35" s="364">
        <v>572</v>
      </c>
      <c r="AB35" s="364">
        <v>728</v>
      </c>
      <c r="AC35" s="412">
        <v>1300</v>
      </c>
      <c r="AD35" s="48">
        <v>10625</v>
      </c>
      <c r="AE35" s="364">
        <v>11628</v>
      </c>
      <c r="AF35" s="364">
        <v>22253</v>
      </c>
      <c r="AG35" s="364">
        <v>10933</v>
      </c>
      <c r="AH35" s="364">
        <v>11949</v>
      </c>
      <c r="AI35" s="364">
        <v>22882</v>
      </c>
      <c r="AJ35" s="364">
        <v>11241</v>
      </c>
      <c r="AK35" s="364">
        <v>12270</v>
      </c>
      <c r="AL35" s="364">
        <v>23511</v>
      </c>
      <c r="AM35" s="364">
        <v>11549</v>
      </c>
      <c r="AN35" s="364">
        <v>12591</v>
      </c>
      <c r="AO35" s="412">
        <v>24140</v>
      </c>
      <c r="AP35" s="427"/>
      <c r="AQ35" s="413"/>
      <c r="AR35" s="413"/>
      <c r="AS35" s="413">
        <v>12200</v>
      </c>
      <c r="AT35" s="413">
        <v>14000</v>
      </c>
      <c r="AU35" s="413">
        <v>26200</v>
      </c>
      <c r="AV35" s="413">
        <v>13800</v>
      </c>
      <c r="AW35" s="413">
        <v>15200</v>
      </c>
      <c r="AX35" s="413">
        <v>29000</v>
      </c>
      <c r="AY35" s="413">
        <v>19000</v>
      </c>
      <c r="AZ35" s="413">
        <v>20000</v>
      </c>
      <c r="BA35" s="414">
        <v>39000</v>
      </c>
      <c r="BB35" s="48"/>
      <c r="BC35" s="364"/>
      <c r="BD35" s="364"/>
      <c r="BE35" s="364">
        <v>4324</v>
      </c>
      <c r="BF35" s="364">
        <v>5378</v>
      </c>
      <c r="BG35" s="364">
        <v>9702</v>
      </c>
      <c r="BH35" s="364">
        <v>4142</v>
      </c>
      <c r="BI35" s="364">
        <v>5065</v>
      </c>
      <c r="BJ35" s="364">
        <v>9207</v>
      </c>
      <c r="BK35" s="364">
        <v>4968</v>
      </c>
      <c r="BL35" s="364">
        <v>7578</v>
      </c>
      <c r="BM35" s="412">
        <v>12546</v>
      </c>
      <c r="BN35" s="48"/>
      <c r="BO35" s="364"/>
      <c r="BP35" s="364"/>
      <c r="BQ35" s="364">
        <v>2758.8959999999997</v>
      </c>
      <c r="BR35" s="364">
        <v>3141.7539999999999</v>
      </c>
      <c r="BS35" s="364">
        <v>5900.65</v>
      </c>
      <c r="BT35" s="364">
        <v>2777.4599999999996</v>
      </c>
      <c r="BU35" s="364">
        <v>3068.5899999999997</v>
      </c>
      <c r="BV35" s="364">
        <v>5846.0499999999993</v>
      </c>
      <c r="BW35" s="364">
        <v>2754.5279999999998</v>
      </c>
      <c r="BX35" s="364">
        <v>3018.3579999999997</v>
      </c>
      <c r="BY35" s="412">
        <v>5772.8859999999995</v>
      </c>
      <c r="BZ35" s="173">
        <v>9391</v>
      </c>
      <c r="CA35" s="174">
        <v>10464</v>
      </c>
      <c r="CB35" s="174">
        <v>19855</v>
      </c>
      <c r="CC35" s="174">
        <v>14392</v>
      </c>
      <c r="CD35" s="174">
        <v>17815</v>
      </c>
      <c r="CE35" s="174">
        <v>32207</v>
      </c>
      <c r="CF35" s="174">
        <v>13430</v>
      </c>
      <c r="CG35" s="174">
        <v>16723</v>
      </c>
      <c r="CH35" s="174">
        <v>30153</v>
      </c>
      <c r="CI35" s="174">
        <v>14771</v>
      </c>
      <c r="CJ35" s="174">
        <v>17008</v>
      </c>
      <c r="CK35" s="415">
        <v>31779</v>
      </c>
      <c r="CL35" s="48">
        <v>15937</v>
      </c>
      <c r="CM35" s="364">
        <v>17360</v>
      </c>
      <c r="CN35" s="364">
        <v>33297</v>
      </c>
      <c r="CO35" s="364">
        <v>15300</v>
      </c>
      <c r="CP35" s="364">
        <v>15300</v>
      </c>
      <c r="CQ35" s="364">
        <v>30600</v>
      </c>
      <c r="CR35" s="364">
        <v>10598</v>
      </c>
      <c r="CS35" s="364">
        <v>10598</v>
      </c>
      <c r="CT35" s="364">
        <v>21196</v>
      </c>
      <c r="CU35" s="364">
        <v>15300</v>
      </c>
      <c r="CV35" s="364">
        <v>15300</v>
      </c>
      <c r="CW35" s="412">
        <v>30600</v>
      </c>
    </row>
    <row r="36" spans="1:101" s="373" customFormat="1" ht="24.75" thickBot="1">
      <c r="A36" s="421"/>
      <c r="B36" s="703"/>
      <c r="C36" s="422" t="s">
        <v>32</v>
      </c>
      <c r="D36" s="372"/>
      <c r="E36" s="372"/>
      <c r="F36" s="649">
        <f t="shared" si="5"/>
        <v>909</v>
      </c>
      <c r="G36" s="653"/>
      <c r="H36" s="654"/>
      <c r="I36" s="649">
        <f t="shared" si="5"/>
        <v>940</v>
      </c>
      <c r="J36" s="653"/>
      <c r="K36" s="654"/>
      <c r="L36" s="649">
        <f t="shared" si="5"/>
        <v>995</v>
      </c>
      <c r="M36" s="653"/>
      <c r="N36" s="654"/>
      <c r="O36" s="649">
        <f t="shared" si="5"/>
        <v>1201</v>
      </c>
      <c r="P36" s="653"/>
      <c r="Q36" s="653"/>
      <c r="R36" s="644">
        <v>104</v>
      </c>
      <c r="S36" s="653"/>
      <c r="T36" s="654"/>
      <c r="U36" s="649">
        <v>42</v>
      </c>
      <c r="V36" s="653"/>
      <c r="W36" s="654"/>
      <c r="X36" s="649">
        <v>47</v>
      </c>
      <c r="Y36" s="653"/>
      <c r="Z36" s="654"/>
      <c r="AA36" s="649">
        <v>52</v>
      </c>
      <c r="AB36" s="653"/>
      <c r="AC36" s="902"/>
      <c r="AD36" s="644">
        <v>162</v>
      </c>
      <c r="AE36" s="653"/>
      <c r="AF36" s="654"/>
      <c r="AG36" s="649">
        <v>182</v>
      </c>
      <c r="AH36" s="653"/>
      <c r="AI36" s="654"/>
      <c r="AJ36" s="649">
        <v>191</v>
      </c>
      <c r="AK36" s="653"/>
      <c r="AL36" s="654"/>
      <c r="AM36" s="649">
        <v>200</v>
      </c>
      <c r="AN36" s="653"/>
      <c r="AO36" s="902"/>
      <c r="AP36" s="910">
        <v>33</v>
      </c>
      <c r="AQ36" s="904"/>
      <c r="AR36" s="905"/>
      <c r="AS36" s="903">
        <v>71</v>
      </c>
      <c r="AT36" s="904"/>
      <c r="AU36" s="905"/>
      <c r="AV36" s="903">
        <v>80</v>
      </c>
      <c r="AW36" s="904"/>
      <c r="AX36" s="905"/>
      <c r="AY36" s="903">
        <v>175</v>
      </c>
      <c r="AZ36" s="904"/>
      <c r="BA36" s="906"/>
      <c r="BB36" s="644"/>
      <c r="BC36" s="653"/>
      <c r="BD36" s="654"/>
      <c r="BE36" s="649">
        <v>70</v>
      </c>
      <c r="BF36" s="653"/>
      <c r="BG36" s="654"/>
      <c r="BH36" s="649">
        <v>73</v>
      </c>
      <c r="BI36" s="653"/>
      <c r="BJ36" s="654"/>
      <c r="BK36" s="649">
        <v>140</v>
      </c>
      <c r="BL36" s="653"/>
      <c r="BM36" s="902"/>
      <c r="BN36" s="644">
        <v>0</v>
      </c>
      <c r="BO36" s="653"/>
      <c r="BP36" s="654"/>
      <c r="BQ36" s="649">
        <v>20</v>
      </c>
      <c r="BR36" s="653"/>
      <c r="BS36" s="654"/>
      <c r="BT36" s="649">
        <v>25</v>
      </c>
      <c r="BU36" s="653"/>
      <c r="BV36" s="654"/>
      <c r="BW36" s="649">
        <v>30</v>
      </c>
      <c r="BX36" s="653"/>
      <c r="BY36" s="902"/>
      <c r="BZ36" s="644">
        <v>320</v>
      </c>
      <c r="CA36" s="645"/>
      <c r="CB36" s="646"/>
      <c r="CC36" s="908">
        <v>255</v>
      </c>
      <c r="CD36" s="645"/>
      <c r="CE36" s="646"/>
      <c r="CF36" s="649">
        <v>254</v>
      </c>
      <c r="CG36" s="645"/>
      <c r="CH36" s="646"/>
      <c r="CI36" s="649">
        <v>304</v>
      </c>
      <c r="CJ36" s="645"/>
      <c r="CK36" s="909"/>
      <c r="CL36" s="644">
        <v>290</v>
      </c>
      <c r="CM36" s="653"/>
      <c r="CN36" s="654"/>
      <c r="CO36" s="649">
        <v>300</v>
      </c>
      <c r="CP36" s="653"/>
      <c r="CQ36" s="654"/>
      <c r="CR36" s="649">
        <v>325</v>
      </c>
      <c r="CS36" s="653"/>
      <c r="CT36" s="654"/>
      <c r="CU36" s="649">
        <v>300</v>
      </c>
      <c r="CV36" s="653"/>
      <c r="CW36" s="902"/>
    </row>
    <row r="37" spans="1:101" s="373" customFormat="1" ht="36">
      <c r="A37" s="421"/>
      <c r="B37" s="635" t="s">
        <v>33</v>
      </c>
      <c r="C37" s="424" t="s">
        <v>34</v>
      </c>
      <c r="D37" s="372" t="s">
        <v>297</v>
      </c>
      <c r="E37" s="372"/>
      <c r="F37" s="611">
        <f t="shared" si="5"/>
        <v>7090</v>
      </c>
      <c r="G37" s="615"/>
      <c r="H37" s="616"/>
      <c r="I37" s="611">
        <f t="shared" si="5"/>
        <v>7322</v>
      </c>
      <c r="J37" s="615"/>
      <c r="K37" s="616"/>
      <c r="L37" s="611">
        <f t="shared" si="5"/>
        <v>7629.1</v>
      </c>
      <c r="M37" s="615"/>
      <c r="N37" s="616"/>
      <c r="O37" s="611">
        <f t="shared" si="5"/>
        <v>8636</v>
      </c>
      <c r="P37" s="615"/>
      <c r="Q37" s="615"/>
      <c r="R37" s="607">
        <v>736</v>
      </c>
      <c r="S37" s="615"/>
      <c r="T37" s="616"/>
      <c r="U37" s="611">
        <v>800</v>
      </c>
      <c r="V37" s="615"/>
      <c r="W37" s="616"/>
      <c r="X37" s="611">
        <v>880</v>
      </c>
      <c r="Y37" s="615"/>
      <c r="Z37" s="616"/>
      <c r="AA37" s="611">
        <v>930</v>
      </c>
      <c r="AB37" s="615"/>
      <c r="AC37" s="860"/>
      <c r="AD37" s="607">
        <v>1559</v>
      </c>
      <c r="AE37" s="615"/>
      <c r="AF37" s="616"/>
      <c r="AG37" s="611">
        <v>1628</v>
      </c>
      <c r="AH37" s="615"/>
      <c r="AI37" s="616"/>
      <c r="AJ37" s="611">
        <v>1662</v>
      </c>
      <c r="AK37" s="615"/>
      <c r="AL37" s="616"/>
      <c r="AM37" s="611">
        <v>1992</v>
      </c>
      <c r="AN37" s="615"/>
      <c r="AO37" s="860"/>
      <c r="AP37" s="866">
        <v>861</v>
      </c>
      <c r="AQ37" s="857"/>
      <c r="AR37" s="858"/>
      <c r="AS37" s="856">
        <v>934</v>
      </c>
      <c r="AT37" s="857"/>
      <c r="AU37" s="858"/>
      <c r="AV37" s="856">
        <v>1000</v>
      </c>
      <c r="AW37" s="857"/>
      <c r="AX37" s="858"/>
      <c r="AY37" s="856">
        <v>1100</v>
      </c>
      <c r="AZ37" s="857"/>
      <c r="BA37" s="859"/>
      <c r="BB37" s="607">
        <v>289</v>
      </c>
      <c r="BC37" s="615"/>
      <c r="BD37" s="616"/>
      <c r="BE37" s="611">
        <v>381</v>
      </c>
      <c r="BF37" s="615"/>
      <c r="BG37" s="616"/>
      <c r="BH37" s="611">
        <v>436</v>
      </c>
      <c r="BI37" s="615"/>
      <c r="BJ37" s="616"/>
      <c r="BK37" s="611">
        <v>546</v>
      </c>
      <c r="BL37" s="615"/>
      <c r="BM37" s="860"/>
      <c r="BN37" s="607">
        <v>664</v>
      </c>
      <c r="BO37" s="615"/>
      <c r="BP37" s="616"/>
      <c r="BQ37" s="611">
        <v>665</v>
      </c>
      <c r="BR37" s="615"/>
      <c r="BS37" s="616"/>
      <c r="BT37" s="611">
        <v>704</v>
      </c>
      <c r="BU37" s="615"/>
      <c r="BV37" s="616"/>
      <c r="BW37" s="611">
        <v>740</v>
      </c>
      <c r="BX37" s="615"/>
      <c r="BY37" s="860"/>
      <c r="BZ37" s="607">
        <v>1906</v>
      </c>
      <c r="CA37" s="608"/>
      <c r="CB37" s="609"/>
      <c r="CC37" s="611">
        <v>1886</v>
      </c>
      <c r="CD37" s="615"/>
      <c r="CE37" s="616"/>
      <c r="CF37" s="611">
        <v>1917.1</v>
      </c>
      <c r="CG37" s="608"/>
      <c r="CH37" s="609"/>
      <c r="CI37" s="611">
        <v>2468</v>
      </c>
      <c r="CJ37" s="615"/>
      <c r="CK37" s="860"/>
      <c r="CL37" s="607">
        <v>1075</v>
      </c>
      <c r="CM37" s="615"/>
      <c r="CN37" s="616"/>
      <c r="CO37" s="611">
        <v>1028</v>
      </c>
      <c r="CP37" s="615"/>
      <c r="CQ37" s="616"/>
      <c r="CR37" s="611">
        <v>1030</v>
      </c>
      <c r="CS37" s="615"/>
      <c r="CT37" s="616"/>
      <c r="CU37" s="611">
        <v>860</v>
      </c>
      <c r="CV37" s="615"/>
      <c r="CW37" s="860"/>
    </row>
    <row r="38" spans="1:101" s="7" customFormat="1" ht="36">
      <c r="A38" s="223"/>
      <c r="B38" s="636"/>
      <c r="C38" s="6" t="s">
        <v>35</v>
      </c>
      <c r="D38" t="s">
        <v>346</v>
      </c>
      <c r="E38"/>
      <c r="F38" s="601">
        <f>F37/F10</f>
        <v>0.58619264158743278</v>
      </c>
      <c r="G38" s="602"/>
      <c r="H38" s="603"/>
      <c r="I38" s="604">
        <f t="shared" ref="I38" si="6">I37/I10</f>
        <v>0.61862115579587695</v>
      </c>
      <c r="J38" s="605"/>
      <c r="K38" s="606"/>
      <c r="L38" s="601">
        <f t="shared" ref="L38" si="7">L37/L10</f>
        <v>0.63650091773736028</v>
      </c>
      <c r="M38" s="602"/>
      <c r="N38" s="603"/>
      <c r="O38" s="604">
        <f t="shared" ref="O38" si="8">O37/O10</f>
        <v>0.7040026086247656</v>
      </c>
      <c r="P38" s="605"/>
      <c r="Q38" s="605"/>
      <c r="R38" s="580">
        <v>0.77719112988384376</v>
      </c>
      <c r="S38" s="581"/>
      <c r="T38" s="582"/>
      <c r="U38" s="583">
        <v>0.90497737556561086</v>
      </c>
      <c r="V38" s="584"/>
      <c r="W38" s="585"/>
      <c r="X38" s="586">
        <v>0.93220338983050843</v>
      </c>
      <c r="Y38" s="581"/>
      <c r="Z38" s="582"/>
      <c r="AA38" s="583">
        <v>0.92629482071713143</v>
      </c>
      <c r="AB38" s="584"/>
      <c r="AC38" s="587"/>
      <c r="AD38" s="564">
        <v>0.97</v>
      </c>
      <c r="AE38" s="565"/>
      <c r="AF38" s="566"/>
      <c r="AG38" s="567">
        <v>0.97</v>
      </c>
      <c r="AH38" s="568"/>
      <c r="AI38" s="569"/>
      <c r="AJ38" s="570">
        <v>0.97</v>
      </c>
      <c r="AK38" s="565"/>
      <c r="AL38" s="566"/>
      <c r="AM38" s="567">
        <v>0.97</v>
      </c>
      <c r="AN38" s="568"/>
      <c r="AO38" s="571"/>
      <c r="AP38" s="572">
        <v>0.5</v>
      </c>
      <c r="AQ38" s="573"/>
      <c r="AR38" s="574"/>
      <c r="AS38" s="575">
        <v>0.51</v>
      </c>
      <c r="AT38" s="576"/>
      <c r="AU38" s="577"/>
      <c r="AV38" s="578">
        <v>0.54</v>
      </c>
      <c r="AW38" s="573"/>
      <c r="AX38" s="574"/>
      <c r="AY38" s="575">
        <v>0.56999999999999995</v>
      </c>
      <c r="AZ38" s="576"/>
      <c r="BA38" s="579"/>
      <c r="BB38" s="564">
        <v>0.58859470468431774</v>
      </c>
      <c r="BC38" s="565"/>
      <c r="BD38" s="566"/>
      <c r="BE38" s="567">
        <v>0.6</v>
      </c>
      <c r="BF38" s="568"/>
      <c r="BG38" s="569"/>
      <c r="BH38" s="570">
        <v>0.63</v>
      </c>
      <c r="BI38" s="565"/>
      <c r="BJ38" s="566"/>
      <c r="BK38" s="567">
        <v>0.68</v>
      </c>
      <c r="BL38" s="568"/>
      <c r="BM38" s="571"/>
      <c r="BN38" s="548">
        <v>0.59</v>
      </c>
      <c r="BO38" s="549"/>
      <c r="BP38" s="550"/>
      <c r="BQ38" s="551">
        <v>0.6</v>
      </c>
      <c r="BR38" s="552"/>
      <c r="BS38" s="553"/>
      <c r="BT38" s="554">
        <v>0.65</v>
      </c>
      <c r="BU38" s="549"/>
      <c r="BV38" s="550"/>
      <c r="BW38" s="551">
        <v>0.7</v>
      </c>
      <c r="BX38" s="552"/>
      <c r="BY38" s="555"/>
      <c r="BZ38" s="564">
        <v>0.55927230046948362</v>
      </c>
      <c r="CA38" s="565"/>
      <c r="CB38" s="566"/>
      <c r="CC38" s="567">
        <v>0.71009036144578308</v>
      </c>
      <c r="CD38" s="568"/>
      <c r="CE38" s="569"/>
      <c r="CF38" s="570">
        <v>0.71640508221225707</v>
      </c>
      <c r="CG38" s="565"/>
      <c r="CH38" s="566"/>
      <c r="CI38" s="567">
        <v>0.91543026706231456</v>
      </c>
      <c r="CJ38" s="568"/>
      <c r="CK38" s="571"/>
      <c r="CL38" s="548">
        <v>0.55000000000000004</v>
      </c>
      <c r="CM38" s="549"/>
      <c r="CN38" s="550"/>
      <c r="CO38" s="551">
        <v>0.6</v>
      </c>
      <c r="CP38" s="552"/>
      <c r="CQ38" s="553"/>
      <c r="CR38" s="554">
        <v>0.7</v>
      </c>
      <c r="CS38" s="549"/>
      <c r="CT38" s="550"/>
      <c r="CU38" s="551">
        <v>0.9</v>
      </c>
      <c r="CV38" s="552"/>
      <c r="CW38" s="555"/>
    </row>
    <row r="39" spans="1:101" s="372" customFormat="1" ht="24">
      <c r="A39" s="421"/>
      <c r="B39" s="636"/>
      <c r="C39" s="428" t="s">
        <v>36</v>
      </c>
      <c r="D39" s="372" t="s">
        <v>298</v>
      </c>
      <c r="F39" s="537">
        <f>SUM(R39,AD39,AP39,BB39,BN39,BZ39,CL39)</f>
        <v>1938</v>
      </c>
      <c r="G39" s="526"/>
      <c r="H39" s="527"/>
      <c r="I39" s="537">
        <f>SUM(U39,AG39,AS39,BE39,BQ39,CC39,CO39)</f>
        <v>2753</v>
      </c>
      <c r="J39" s="526"/>
      <c r="K39" s="527"/>
      <c r="L39" s="537">
        <f>SUM(X39,AJ39,AV39,BH39,BT39,CF39,CR39)</f>
        <v>3337</v>
      </c>
      <c r="M39" s="526"/>
      <c r="N39" s="527"/>
      <c r="O39" s="537">
        <f>SUM(AA39,AM39,AY39,BK39,BW39,CI39,CU39)</f>
        <v>3508</v>
      </c>
      <c r="P39" s="526"/>
      <c r="Q39" s="526"/>
      <c r="R39" s="547">
        <v>123</v>
      </c>
      <c r="S39" s="526"/>
      <c r="T39" s="527"/>
      <c r="U39" s="537">
        <v>150</v>
      </c>
      <c r="V39" s="526"/>
      <c r="W39" s="527"/>
      <c r="X39" s="537">
        <v>180</v>
      </c>
      <c r="Y39" s="526"/>
      <c r="Z39" s="527"/>
      <c r="AA39" s="537">
        <v>190</v>
      </c>
      <c r="AB39" s="526"/>
      <c r="AC39" s="914"/>
      <c r="AD39" s="547">
        <v>453</v>
      </c>
      <c r="AE39" s="526"/>
      <c r="AF39" s="527"/>
      <c r="AG39" s="537">
        <v>504</v>
      </c>
      <c r="AH39" s="526"/>
      <c r="AI39" s="527"/>
      <c r="AJ39" s="537">
        <v>551</v>
      </c>
      <c r="AK39" s="526"/>
      <c r="AL39" s="527"/>
      <c r="AM39" s="537">
        <v>701</v>
      </c>
      <c r="AN39" s="526"/>
      <c r="AO39" s="914"/>
      <c r="AP39" s="918">
        <v>102</v>
      </c>
      <c r="AQ39" s="912"/>
      <c r="AR39" s="919"/>
      <c r="AS39" s="911">
        <v>300</v>
      </c>
      <c r="AT39" s="912"/>
      <c r="AU39" s="919"/>
      <c r="AV39" s="911">
        <v>410</v>
      </c>
      <c r="AW39" s="912"/>
      <c r="AX39" s="919"/>
      <c r="AY39" s="911">
        <v>590</v>
      </c>
      <c r="AZ39" s="912"/>
      <c r="BA39" s="913"/>
      <c r="BB39" s="547">
        <v>106</v>
      </c>
      <c r="BC39" s="526"/>
      <c r="BD39" s="527"/>
      <c r="BE39" s="537">
        <v>254</v>
      </c>
      <c r="BF39" s="526"/>
      <c r="BG39" s="527"/>
      <c r="BH39" s="537">
        <v>256</v>
      </c>
      <c r="BI39" s="526"/>
      <c r="BJ39" s="527"/>
      <c r="BK39" s="537">
        <v>256</v>
      </c>
      <c r="BL39" s="526"/>
      <c r="BM39" s="914"/>
      <c r="BN39" s="547">
        <v>129</v>
      </c>
      <c r="BO39" s="526"/>
      <c r="BP39" s="527"/>
      <c r="BQ39" s="537">
        <v>144</v>
      </c>
      <c r="BR39" s="526"/>
      <c r="BS39" s="527"/>
      <c r="BT39" s="537">
        <v>152</v>
      </c>
      <c r="BU39" s="526"/>
      <c r="BV39" s="527"/>
      <c r="BW39" s="537">
        <v>159</v>
      </c>
      <c r="BX39" s="526"/>
      <c r="BY39" s="914"/>
      <c r="BZ39" s="525">
        <v>635</v>
      </c>
      <c r="CA39" s="526"/>
      <c r="CB39" s="527"/>
      <c r="CC39" s="531">
        <v>973</v>
      </c>
      <c r="CD39" s="915"/>
      <c r="CE39" s="916"/>
      <c r="CF39" s="531">
        <v>1188</v>
      </c>
      <c r="CG39" s="526"/>
      <c r="CH39" s="527"/>
      <c r="CI39" s="531">
        <v>1277</v>
      </c>
      <c r="CJ39" s="915"/>
      <c r="CK39" s="917"/>
      <c r="CL39" s="547">
        <v>390</v>
      </c>
      <c r="CM39" s="526"/>
      <c r="CN39" s="527"/>
      <c r="CO39" s="537">
        <v>428</v>
      </c>
      <c r="CP39" s="526"/>
      <c r="CQ39" s="527"/>
      <c r="CR39" s="537">
        <v>600</v>
      </c>
      <c r="CS39" s="526"/>
      <c r="CT39" s="527"/>
      <c r="CU39" s="537">
        <v>335</v>
      </c>
      <c r="CV39" s="526"/>
      <c r="CW39" s="914"/>
    </row>
    <row r="40" spans="1:101" s="432" customFormat="1" ht="24.75" thickBot="1">
      <c r="A40" s="429"/>
      <c r="B40" s="637"/>
      <c r="C40" s="430" t="s">
        <v>37</v>
      </c>
      <c r="D40" s="431" t="s">
        <v>299</v>
      </c>
      <c r="E40" s="372"/>
      <c r="F40" s="498">
        <f>F39/F10</f>
        <v>0.16023150062009095</v>
      </c>
      <c r="G40" s="493"/>
      <c r="H40" s="494"/>
      <c r="I40" s="498">
        <f t="shared" ref="I40" si="9">I39/I10</f>
        <v>0.23259547144305509</v>
      </c>
      <c r="J40" s="493"/>
      <c r="K40" s="494"/>
      <c r="L40" s="498">
        <f t="shared" ref="L40" si="10">L39/L10</f>
        <v>0.27840814283330551</v>
      </c>
      <c r="M40" s="493"/>
      <c r="N40" s="494"/>
      <c r="O40" s="498">
        <f t="shared" ref="O40" si="11">O39/O10</f>
        <v>0.28597048993233881</v>
      </c>
      <c r="P40" s="493"/>
      <c r="Q40" s="493"/>
      <c r="R40" s="492">
        <v>0.12988384371700107</v>
      </c>
      <c r="S40" s="493"/>
      <c r="T40" s="494"/>
      <c r="U40" s="498">
        <v>0.16968325791855204</v>
      </c>
      <c r="V40" s="493"/>
      <c r="W40" s="494"/>
      <c r="X40" s="498">
        <v>0.19067796610169491</v>
      </c>
      <c r="Y40" s="493"/>
      <c r="Z40" s="494"/>
      <c r="AA40" s="498">
        <v>0.18924302788844621</v>
      </c>
      <c r="AB40" s="493"/>
      <c r="AC40" s="920"/>
      <c r="AD40" s="492">
        <v>0.28000000000000003</v>
      </c>
      <c r="AE40" s="493"/>
      <c r="AF40" s="494"/>
      <c r="AG40" s="498">
        <v>0.3</v>
      </c>
      <c r="AH40" s="493"/>
      <c r="AI40" s="494"/>
      <c r="AJ40" s="498">
        <v>0.33</v>
      </c>
      <c r="AK40" s="493"/>
      <c r="AL40" s="494"/>
      <c r="AM40" s="498">
        <v>0.35</v>
      </c>
      <c r="AN40" s="493"/>
      <c r="AO40" s="920"/>
      <c r="AP40" s="921">
        <v>0.17</v>
      </c>
      <c r="AQ40" s="922"/>
      <c r="AR40" s="923"/>
      <c r="AS40" s="924">
        <v>0.17</v>
      </c>
      <c r="AT40" s="922"/>
      <c r="AU40" s="923"/>
      <c r="AV40" s="924">
        <v>0.22</v>
      </c>
      <c r="AW40" s="922"/>
      <c r="AX40" s="923"/>
      <c r="AY40" s="924">
        <v>0.3</v>
      </c>
      <c r="AZ40" s="922"/>
      <c r="BA40" s="925"/>
      <c r="BB40" s="492">
        <v>0.21588594704684319</v>
      </c>
      <c r="BC40" s="493"/>
      <c r="BD40" s="494"/>
      <c r="BE40" s="498">
        <v>0.4</v>
      </c>
      <c r="BF40" s="493"/>
      <c r="BG40" s="494"/>
      <c r="BH40" s="498">
        <v>0.17</v>
      </c>
      <c r="BI40" s="493"/>
      <c r="BJ40" s="494"/>
      <c r="BK40" s="498">
        <v>0.32</v>
      </c>
      <c r="BL40" s="493"/>
      <c r="BM40" s="920"/>
      <c r="BN40" s="492">
        <v>0.11</v>
      </c>
      <c r="BO40" s="493"/>
      <c r="BP40" s="494"/>
      <c r="BQ40" s="498">
        <v>0.13</v>
      </c>
      <c r="BR40" s="493"/>
      <c r="BS40" s="494"/>
      <c r="BT40" s="498">
        <v>0.14000000000000001</v>
      </c>
      <c r="BU40" s="493"/>
      <c r="BV40" s="494"/>
      <c r="BW40" s="498">
        <v>0.15</v>
      </c>
      <c r="BX40" s="493"/>
      <c r="BY40" s="920"/>
      <c r="BZ40" s="492">
        <v>0.18632629107981222</v>
      </c>
      <c r="CA40" s="493"/>
      <c r="CB40" s="494"/>
      <c r="CC40" s="498">
        <v>0.36634036144578314</v>
      </c>
      <c r="CD40" s="493"/>
      <c r="CE40" s="494"/>
      <c r="CF40" s="498">
        <v>0.44394618834080718</v>
      </c>
      <c r="CG40" s="493"/>
      <c r="CH40" s="494"/>
      <c r="CI40" s="498">
        <v>0.4736646884272997</v>
      </c>
      <c r="CJ40" s="493"/>
      <c r="CK40" s="920"/>
      <c r="CL40" s="492">
        <v>0.2</v>
      </c>
      <c r="CM40" s="493"/>
      <c r="CN40" s="494"/>
      <c r="CO40" s="498">
        <v>0.25</v>
      </c>
      <c r="CP40" s="493"/>
      <c r="CQ40" s="494"/>
      <c r="CR40" s="498">
        <v>0.3</v>
      </c>
      <c r="CS40" s="493"/>
      <c r="CT40" s="494"/>
      <c r="CU40" s="498">
        <v>0.35</v>
      </c>
      <c r="CV40" s="493"/>
      <c r="CW40" s="920"/>
    </row>
    <row r="41" spans="1:101" ht="72.75" thickBot="1">
      <c r="A41" s="2" t="s">
        <v>38</v>
      </c>
      <c r="B41" s="3"/>
      <c r="C41" s="4" t="s">
        <v>39</v>
      </c>
      <c r="F41" s="484"/>
      <c r="G41" s="485"/>
      <c r="H41" s="486"/>
      <c r="I41" s="487"/>
      <c r="J41" s="488"/>
      <c r="K41" s="489"/>
      <c r="L41" s="484"/>
      <c r="M41" s="485"/>
      <c r="N41" s="486"/>
      <c r="O41" s="487"/>
      <c r="P41" s="488"/>
      <c r="Q41" s="488"/>
      <c r="R41" s="457"/>
      <c r="S41" s="458"/>
      <c r="T41" s="459"/>
      <c r="U41" s="472"/>
      <c r="V41" s="473"/>
      <c r="W41" s="490"/>
      <c r="X41" s="491"/>
      <c r="Y41" s="458"/>
      <c r="Z41" s="459"/>
      <c r="AA41" s="472"/>
      <c r="AB41" s="473"/>
      <c r="AC41" s="474"/>
      <c r="AD41" s="464"/>
      <c r="AE41" s="454"/>
      <c r="AF41" s="455"/>
      <c r="AG41" s="450"/>
      <c r="AH41" s="451"/>
      <c r="AI41" s="452"/>
      <c r="AJ41" s="453"/>
      <c r="AK41" s="454"/>
      <c r="AL41" s="455"/>
      <c r="AM41" s="450"/>
      <c r="AN41" s="451"/>
      <c r="AO41" s="456"/>
      <c r="AP41" s="475"/>
      <c r="AQ41" s="469"/>
      <c r="AR41" s="470"/>
      <c r="AS41" s="465"/>
      <c r="AT41" s="466"/>
      <c r="AU41" s="467"/>
      <c r="AV41" s="468"/>
      <c r="AW41" s="469"/>
      <c r="AX41" s="470"/>
      <c r="AY41" s="465"/>
      <c r="AZ41" s="466"/>
      <c r="BA41" s="471"/>
      <c r="BB41" s="464"/>
      <c r="BC41" s="454"/>
      <c r="BD41" s="455"/>
      <c r="BE41" s="450"/>
      <c r="BF41" s="451"/>
      <c r="BG41" s="452"/>
      <c r="BH41" s="453" t="s">
        <v>66</v>
      </c>
      <c r="BI41" s="454"/>
      <c r="BJ41" s="455"/>
      <c r="BK41" s="450"/>
      <c r="BL41" s="451"/>
      <c r="BM41" s="456"/>
      <c r="BN41" s="457"/>
      <c r="BO41" s="458"/>
      <c r="BP41" s="459"/>
      <c r="BQ41" s="447">
        <v>1</v>
      </c>
      <c r="BR41" s="448"/>
      <c r="BS41" s="460"/>
      <c r="BT41" s="461">
        <v>1</v>
      </c>
      <c r="BU41" s="462"/>
      <c r="BV41" s="463"/>
      <c r="BW41" s="447">
        <v>1</v>
      </c>
      <c r="BX41" s="448"/>
      <c r="BY41" s="449"/>
      <c r="BZ41" s="464"/>
      <c r="CA41" s="454"/>
      <c r="CB41" s="455"/>
      <c r="CC41" s="450"/>
      <c r="CD41" s="451"/>
      <c r="CE41" s="452"/>
      <c r="CF41" s="453"/>
      <c r="CG41" s="454"/>
      <c r="CH41" s="455"/>
      <c r="CI41" s="450"/>
      <c r="CJ41" s="451"/>
      <c r="CK41" s="456"/>
      <c r="CL41" s="457"/>
      <c r="CM41" s="458"/>
      <c r="CN41" s="459"/>
      <c r="CO41" s="447"/>
      <c r="CP41" s="448"/>
      <c r="CQ41" s="460"/>
      <c r="CR41" s="461"/>
      <c r="CS41" s="462"/>
      <c r="CT41" s="463"/>
      <c r="CU41" s="447"/>
      <c r="CV41" s="448"/>
      <c r="CW41" s="449"/>
    </row>
  </sheetData>
  <mergeCells count="532">
    <mergeCell ref="CF41:CH41"/>
    <mergeCell ref="CI41:CK41"/>
    <mergeCell ref="CL41:CN41"/>
    <mergeCell ref="CO41:CQ41"/>
    <mergeCell ref="CR41:CT41"/>
    <mergeCell ref="CU41:CW41"/>
    <mergeCell ref="BN41:BP41"/>
    <mergeCell ref="BQ41:BS41"/>
    <mergeCell ref="BT41:BV41"/>
    <mergeCell ref="BW41:BY41"/>
    <mergeCell ref="BZ41:CB41"/>
    <mergeCell ref="CC41:CE41"/>
    <mergeCell ref="AV41:AX41"/>
    <mergeCell ref="AY41:BA41"/>
    <mergeCell ref="BB41:BD41"/>
    <mergeCell ref="BE41:BG41"/>
    <mergeCell ref="BH41:BJ41"/>
    <mergeCell ref="BK41:BM41"/>
    <mergeCell ref="AD41:AF41"/>
    <mergeCell ref="AG41:AI41"/>
    <mergeCell ref="AJ41:AL41"/>
    <mergeCell ref="AM41:AO41"/>
    <mergeCell ref="AP41:AR41"/>
    <mergeCell ref="AS41:AU41"/>
    <mergeCell ref="CU40:CW40"/>
    <mergeCell ref="F41:H41"/>
    <mergeCell ref="I41:K41"/>
    <mergeCell ref="L41:N41"/>
    <mergeCell ref="O41:Q41"/>
    <mergeCell ref="R41:T41"/>
    <mergeCell ref="U41:W41"/>
    <mergeCell ref="X41:Z41"/>
    <mergeCell ref="AA41:AC41"/>
    <mergeCell ref="CC40:CE40"/>
    <mergeCell ref="CF40:CH40"/>
    <mergeCell ref="CI40:CK40"/>
    <mergeCell ref="CL40:CN40"/>
    <mergeCell ref="CO40:CQ40"/>
    <mergeCell ref="CR40:CT40"/>
    <mergeCell ref="BK40:BM40"/>
    <mergeCell ref="BN40:BP40"/>
    <mergeCell ref="BQ40:BS40"/>
    <mergeCell ref="BT40:BV40"/>
    <mergeCell ref="BW40:BY40"/>
    <mergeCell ref="BZ40:CB40"/>
    <mergeCell ref="AS40:AU40"/>
    <mergeCell ref="AV40:AX40"/>
    <mergeCell ref="AY40:BA40"/>
    <mergeCell ref="BB40:BD40"/>
    <mergeCell ref="BE40:BG40"/>
    <mergeCell ref="BH40:BJ40"/>
    <mergeCell ref="AA40:AC40"/>
    <mergeCell ref="AD40:AF40"/>
    <mergeCell ref="AG40:AI40"/>
    <mergeCell ref="AJ40:AL40"/>
    <mergeCell ref="AM40:AO40"/>
    <mergeCell ref="AP40:AR40"/>
    <mergeCell ref="CR39:CT39"/>
    <mergeCell ref="CU39:CW39"/>
    <mergeCell ref="F40:H40"/>
    <mergeCell ref="I40:K40"/>
    <mergeCell ref="L40:N40"/>
    <mergeCell ref="O40:Q40"/>
    <mergeCell ref="R40:T40"/>
    <mergeCell ref="U40:W40"/>
    <mergeCell ref="X40:Z40"/>
    <mergeCell ref="BZ39:CB39"/>
    <mergeCell ref="CC39:CE39"/>
    <mergeCell ref="CF39:CH39"/>
    <mergeCell ref="CI39:CK39"/>
    <mergeCell ref="CL39:CN39"/>
    <mergeCell ref="CO39:CQ39"/>
    <mergeCell ref="BH39:BJ39"/>
    <mergeCell ref="BK39:BM39"/>
    <mergeCell ref="BN39:BP39"/>
    <mergeCell ref="BQ39:BS39"/>
    <mergeCell ref="BT39:BV39"/>
    <mergeCell ref="BW39:BY39"/>
    <mergeCell ref="AP39:AR39"/>
    <mergeCell ref="AS39:AU39"/>
    <mergeCell ref="AV39:AX39"/>
    <mergeCell ref="AY39:BA39"/>
    <mergeCell ref="BB39:BD39"/>
    <mergeCell ref="BE39:BG39"/>
    <mergeCell ref="X39:Z39"/>
    <mergeCell ref="AA39:AC39"/>
    <mergeCell ref="AD39:AF39"/>
    <mergeCell ref="AG39:AI39"/>
    <mergeCell ref="AJ39:AL39"/>
    <mergeCell ref="AM39:AO39"/>
    <mergeCell ref="CO38:CQ38"/>
    <mergeCell ref="CR38:CT38"/>
    <mergeCell ref="CU38:CW38"/>
    <mergeCell ref="F39:H39"/>
    <mergeCell ref="I39:K39"/>
    <mergeCell ref="L39:N39"/>
    <mergeCell ref="O39:Q39"/>
    <mergeCell ref="R39:T39"/>
    <mergeCell ref="U39:W39"/>
    <mergeCell ref="BW38:BY38"/>
    <mergeCell ref="BZ38:CB38"/>
    <mergeCell ref="CC38:CE38"/>
    <mergeCell ref="CF38:CH38"/>
    <mergeCell ref="CI38:CK38"/>
    <mergeCell ref="CL38:CN38"/>
    <mergeCell ref="BE38:BG38"/>
    <mergeCell ref="BH38:BJ38"/>
    <mergeCell ref="BK38:BM38"/>
    <mergeCell ref="BN38:BP38"/>
    <mergeCell ref="BQ38:BS38"/>
    <mergeCell ref="BT38:BV38"/>
    <mergeCell ref="AM38:AO38"/>
    <mergeCell ref="AP38:AR38"/>
    <mergeCell ref="AS38:AU38"/>
    <mergeCell ref="AV38:AX38"/>
    <mergeCell ref="AY38:BA38"/>
    <mergeCell ref="BB38:BD38"/>
    <mergeCell ref="U38:W38"/>
    <mergeCell ref="X38:Z38"/>
    <mergeCell ref="AA38:AC38"/>
    <mergeCell ref="AD38:AF38"/>
    <mergeCell ref="AG38:AI38"/>
    <mergeCell ref="AJ38:AL38"/>
    <mergeCell ref="CL37:CN37"/>
    <mergeCell ref="CO37:CQ37"/>
    <mergeCell ref="CR37:CT37"/>
    <mergeCell ref="CU37:CW37"/>
    <mergeCell ref="F38:H38"/>
    <mergeCell ref="I38:K38"/>
    <mergeCell ref="L38:N38"/>
    <mergeCell ref="O38:Q38"/>
    <mergeCell ref="R38:T38"/>
    <mergeCell ref="BT37:BV37"/>
    <mergeCell ref="BW37:BY37"/>
    <mergeCell ref="BZ37:CB37"/>
    <mergeCell ref="CC37:CE37"/>
    <mergeCell ref="CF37:CH37"/>
    <mergeCell ref="CI37:CK37"/>
    <mergeCell ref="BB37:BD37"/>
    <mergeCell ref="BE37:BG37"/>
    <mergeCell ref="BH37:BJ37"/>
    <mergeCell ref="BK37:BM37"/>
    <mergeCell ref="BN37:BP37"/>
    <mergeCell ref="BQ37:BS37"/>
    <mergeCell ref="AJ37:AL37"/>
    <mergeCell ref="AM37:AO37"/>
    <mergeCell ref="AP37:AR37"/>
    <mergeCell ref="AS37:AU37"/>
    <mergeCell ref="AV37:AX37"/>
    <mergeCell ref="AY37:BA37"/>
    <mergeCell ref="R37:T37"/>
    <mergeCell ref="U37:W37"/>
    <mergeCell ref="X37:Z37"/>
    <mergeCell ref="AA37:AC37"/>
    <mergeCell ref="AD37:AF37"/>
    <mergeCell ref="AG37:AI37"/>
    <mergeCell ref="CL36:CN36"/>
    <mergeCell ref="CO36:CQ36"/>
    <mergeCell ref="CR36:CT36"/>
    <mergeCell ref="CU36:CW36"/>
    <mergeCell ref="B37:B40"/>
    <mergeCell ref="F37:H37"/>
    <mergeCell ref="I37:K37"/>
    <mergeCell ref="L37:N37"/>
    <mergeCell ref="O37:Q37"/>
    <mergeCell ref="BT36:BV36"/>
    <mergeCell ref="BW36:BY36"/>
    <mergeCell ref="BZ36:CB36"/>
    <mergeCell ref="CC36:CE36"/>
    <mergeCell ref="CF36:CH36"/>
    <mergeCell ref="CI36:CK36"/>
    <mergeCell ref="BB36:BD36"/>
    <mergeCell ref="BE36:BG36"/>
    <mergeCell ref="BH36:BJ36"/>
    <mergeCell ref="BK36:BM36"/>
    <mergeCell ref="BN36:BP36"/>
    <mergeCell ref="BQ36:BS36"/>
    <mergeCell ref="AJ36:AL36"/>
    <mergeCell ref="AM36:AO36"/>
    <mergeCell ref="AP36:AR36"/>
    <mergeCell ref="AS36:AU36"/>
    <mergeCell ref="AV36:AX36"/>
    <mergeCell ref="AY36:BA36"/>
    <mergeCell ref="R36:T36"/>
    <mergeCell ref="U36:W36"/>
    <mergeCell ref="X36:Z36"/>
    <mergeCell ref="AA36:AC36"/>
    <mergeCell ref="AD36:AF36"/>
    <mergeCell ref="AG36:AI36"/>
    <mergeCell ref="CL34:CN34"/>
    <mergeCell ref="CO34:CQ34"/>
    <mergeCell ref="CR34:CT34"/>
    <mergeCell ref="CU34:CW34"/>
    <mergeCell ref="B35:B36"/>
    <mergeCell ref="F36:H36"/>
    <mergeCell ref="I36:K36"/>
    <mergeCell ref="L36:N36"/>
    <mergeCell ref="O36:Q36"/>
    <mergeCell ref="BT34:BV34"/>
    <mergeCell ref="BW34:BY34"/>
    <mergeCell ref="BZ34:CB34"/>
    <mergeCell ref="CC34:CE34"/>
    <mergeCell ref="CF34:CH34"/>
    <mergeCell ref="CI34:CK34"/>
    <mergeCell ref="BB34:BD34"/>
    <mergeCell ref="BE34:BG34"/>
    <mergeCell ref="BH34:BJ34"/>
    <mergeCell ref="BK34:BM34"/>
    <mergeCell ref="BN34:BP34"/>
    <mergeCell ref="BQ34:BS34"/>
    <mergeCell ref="U34:W34"/>
    <mergeCell ref="X34:Z34"/>
    <mergeCell ref="AA34:AC34"/>
    <mergeCell ref="AD34:AF34"/>
    <mergeCell ref="AG34:AI34"/>
    <mergeCell ref="AJ34:AL34"/>
    <mergeCell ref="CL33:CN33"/>
    <mergeCell ref="CO33:CQ33"/>
    <mergeCell ref="CR33:CT33"/>
    <mergeCell ref="CU33:CW33"/>
    <mergeCell ref="F34:H34"/>
    <mergeCell ref="I34:K34"/>
    <mergeCell ref="L34:N34"/>
    <mergeCell ref="O34:Q34"/>
    <mergeCell ref="R34:T34"/>
    <mergeCell ref="BT33:BV33"/>
    <mergeCell ref="BW33:BY33"/>
    <mergeCell ref="BZ33:CB33"/>
    <mergeCell ref="CC33:CE33"/>
    <mergeCell ref="CF33:CH33"/>
    <mergeCell ref="CI33:CK33"/>
    <mergeCell ref="BB33:BD33"/>
    <mergeCell ref="BE33:BG33"/>
    <mergeCell ref="BH33:BJ33"/>
    <mergeCell ref="BK33:BM33"/>
    <mergeCell ref="BN33:BP33"/>
    <mergeCell ref="BQ33:BS33"/>
    <mergeCell ref="AJ33:AL33"/>
    <mergeCell ref="AM33:AO33"/>
    <mergeCell ref="AP33:AR34"/>
    <mergeCell ref="AS33:AU33"/>
    <mergeCell ref="AV33:AX33"/>
    <mergeCell ref="AY33:BA33"/>
    <mergeCell ref="AM34:AO34"/>
    <mergeCell ref="AS34:AU34"/>
    <mergeCell ref="AV34:AX34"/>
    <mergeCell ref="AY34:BA34"/>
    <mergeCell ref="R33:T33"/>
    <mergeCell ref="U33:W33"/>
    <mergeCell ref="X33:Z33"/>
    <mergeCell ref="AA33:AC33"/>
    <mergeCell ref="AD33:AF33"/>
    <mergeCell ref="AG33:AI33"/>
    <mergeCell ref="B31:B32"/>
    <mergeCell ref="F33:H33"/>
    <mergeCell ref="I33:K33"/>
    <mergeCell ref="L33:N33"/>
    <mergeCell ref="O33:Q33"/>
    <mergeCell ref="AM29:AO29"/>
    <mergeCell ref="AP29:AR29"/>
    <mergeCell ref="AS29:AU29"/>
    <mergeCell ref="CF29:CH29"/>
    <mergeCell ref="CI29:CK29"/>
    <mergeCell ref="CL29:CN29"/>
    <mergeCell ref="CO29:CQ29"/>
    <mergeCell ref="CR29:CT29"/>
    <mergeCell ref="CU29:CW29"/>
    <mergeCell ref="BN29:BP29"/>
    <mergeCell ref="BQ29:BS29"/>
    <mergeCell ref="BT29:BV29"/>
    <mergeCell ref="BW29:BY29"/>
    <mergeCell ref="BZ29:CB29"/>
    <mergeCell ref="CC29:CE29"/>
    <mergeCell ref="L29:N29"/>
    <mergeCell ref="O29:Q29"/>
    <mergeCell ref="R29:T29"/>
    <mergeCell ref="U29:W29"/>
    <mergeCell ref="X29:Z29"/>
    <mergeCell ref="AA29:AC29"/>
    <mergeCell ref="CL18:CN18"/>
    <mergeCell ref="CO18:CQ18"/>
    <mergeCell ref="CR18:CT18"/>
    <mergeCell ref="R18:T18"/>
    <mergeCell ref="U18:W18"/>
    <mergeCell ref="X18:Z18"/>
    <mergeCell ref="AA18:AC18"/>
    <mergeCell ref="AD18:AF18"/>
    <mergeCell ref="AG18:AI18"/>
    <mergeCell ref="AV29:AX29"/>
    <mergeCell ref="AY29:BA29"/>
    <mergeCell ref="BB29:BD29"/>
    <mergeCell ref="BE29:BG29"/>
    <mergeCell ref="BH29:BJ29"/>
    <mergeCell ref="BK29:BM29"/>
    <mergeCell ref="AD29:AF29"/>
    <mergeCell ref="AG29:AI29"/>
    <mergeCell ref="AJ29:AL29"/>
    <mergeCell ref="CU18:CW18"/>
    <mergeCell ref="A21:A29"/>
    <mergeCell ref="B21:B26"/>
    <mergeCell ref="B27:B28"/>
    <mergeCell ref="F29:H29"/>
    <mergeCell ref="I29:K29"/>
    <mergeCell ref="BT18:BV18"/>
    <mergeCell ref="BW18:BY18"/>
    <mergeCell ref="BZ18:CB18"/>
    <mergeCell ref="CC18:CE18"/>
    <mergeCell ref="CF18:CH18"/>
    <mergeCell ref="CI18:CK18"/>
    <mergeCell ref="BB18:BD18"/>
    <mergeCell ref="BE18:BG18"/>
    <mergeCell ref="BH18:BJ18"/>
    <mergeCell ref="BK18:BM18"/>
    <mergeCell ref="BN18:BP18"/>
    <mergeCell ref="BQ18:BS18"/>
    <mergeCell ref="AJ18:AL18"/>
    <mergeCell ref="AM18:AO18"/>
    <mergeCell ref="AP18:AR18"/>
    <mergeCell ref="AS18:AU18"/>
    <mergeCell ref="AV18:AX18"/>
    <mergeCell ref="AY18:BA18"/>
    <mergeCell ref="CL14:CN14"/>
    <mergeCell ref="CO14:CQ14"/>
    <mergeCell ref="CR14:CT14"/>
    <mergeCell ref="CU14:CW14"/>
    <mergeCell ref="B18:B20"/>
    <mergeCell ref="F18:H18"/>
    <mergeCell ref="I18:K18"/>
    <mergeCell ref="L18:N18"/>
    <mergeCell ref="O18:Q18"/>
    <mergeCell ref="BT14:BV14"/>
    <mergeCell ref="BW14:BY14"/>
    <mergeCell ref="BZ14:CB14"/>
    <mergeCell ref="CC14:CE14"/>
    <mergeCell ref="CF14:CH14"/>
    <mergeCell ref="CI14:CK14"/>
    <mergeCell ref="BB14:BD14"/>
    <mergeCell ref="BE14:BG14"/>
    <mergeCell ref="BH14:BJ14"/>
    <mergeCell ref="BK14:BM14"/>
    <mergeCell ref="BN14:BP14"/>
    <mergeCell ref="BQ14:BS14"/>
    <mergeCell ref="AJ14:AL14"/>
    <mergeCell ref="AM14:AO14"/>
    <mergeCell ref="AP14:AR14"/>
    <mergeCell ref="B14:B15"/>
    <mergeCell ref="F14:H14"/>
    <mergeCell ref="I14:K14"/>
    <mergeCell ref="L14:N14"/>
    <mergeCell ref="O14:Q14"/>
    <mergeCell ref="CF12:CH12"/>
    <mergeCell ref="CI12:CK12"/>
    <mergeCell ref="CL12:CN12"/>
    <mergeCell ref="CO12:CQ12"/>
    <mergeCell ref="AD12:AF12"/>
    <mergeCell ref="AG12:AI12"/>
    <mergeCell ref="AJ12:AL12"/>
    <mergeCell ref="AM12:AO12"/>
    <mergeCell ref="AP12:AR12"/>
    <mergeCell ref="AS12:AU12"/>
    <mergeCell ref="AS14:AU14"/>
    <mergeCell ref="AV14:AX14"/>
    <mergeCell ref="AY14:BA14"/>
    <mergeCell ref="R14:T14"/>
    <mergeCell ref="U14:W14"/>
    <mergeCell ref="X14:Z14"/>
    <mergeCell ref="AA14:AC14"/>
    <mergeCell ref="AD14:AF14"/>
    <mergeCell ref="AG14:AI14"/>
    <mergeCell ref="CR12:CT12"/>
    <mergeCell ref="CU12:CW12"/>
    <mergeCell ref="BN12:BP12"/>
    <mergeCell ref="BQ12:BS12"/>
    <mergeCell ref="BT12:BV12"/>
    <mergeCell ref="BW12:BY12"/>
    <mergeCell ref="BZ12:CB12"/>
    <mergeCell ref="CC12:CE12"/>
    <mergeCell ref="AV12:AX12"/>
    <mergeCell ref="AY12:BA12"/>
    <mergeCell ref="BB12:BD12"/>
    <mergeCell ref="BE12:BG12"/>
    <mergeCell ref="BH12:BJ12"/>
    <mergeCell ref="BK12:BM12"/>
    <mergeCell ref="CU10:CW10"/>
    <mergeCell ref="F12:H12"/>
    <mergeCell ref="I12:K12"/>
    <mergeCell ref="L12:N12"/>
    <mergeCell ref="O12:Q12"/>
    <mergeCell ref="R12:T12"/>
    <mergeCell ref="U12:W12"/>
    <mergeCell ref="X12:Z12"/>
    <mergeCell ref="AA12:AC12"/>
    <mergeCell ref="CC10:CE10"/>
    <mergeCell ref="CF10:CH10"/>
    <mergeCell ref="CI10:CK10"/>
    <mergeCell ref="CL10:CN10"/>
    <mergeCell ref="CO10:CQ10"/>
    <mergeCell ref="CR10:CT10"/>
    <mergeCell ref="BK10:BM10"/>
    <mergeCell ref="BN10:BP10"/>
    <mergeCell ref="BQ10:BS10"/>
    <mergeCell ref="BT10:BV10"/>
    <mergeCell ref="BW10:BY10"/>
    <mergeCell ref="BZ10:CB10"/>
    <mergeCell ref="AS10:AU10"/>
    <mergeCell ref="AV10:AX10"/>
    <mergeCell ref="AY10:BA10"/>
    <mergeCell ref="BB10:BD10"/>
    <mergeCell ref="BE10:BG10"/>
    <mergeCell ref="BH10:BJ10"/>
    <mergeCell ref="AA10:AC10"/>
    <mergeCell ref="AD10:AF10"/>
    <mergeCell ref="AG10:AI10"/>
    <mergeCell ref="AJ10:AL10"/>
    <mergeCell ref="AM10:AO10"/>
    <mergeCell ref="AP10:AR10"/>
    <mergeCell ref="CO8:CQ8"/>
    <mergeCell ref="CR8:CT8"/>
    <mergeCell ref="CU8:CW8"/>
    <mergeCell ref="F10:H10"/>
    <mergeCell ref="I10:K10"/>
    <mergeCell ref="L10:N10"/>
    <mergeCell ref="O10:Q10"/>
    <mergeCell ref="R10:T10"/>
    <mergeCell ref="U10:W10"/>
    <mergeCell ref="X10:Z10"/>
    <mergeCell ref="BW8:BY8"/>
    <mergeCell ref="BZ8:CB8"/>
    <mergeCell ref="CC8:CE8"/>
    <mergeCell ref="CF8:CH8"/>
    <mergeCell ref="CI8:CK8"/>
    <mergeCell ref="CL8:CN8"/>
    <mergeCell ref="BE8:BG8"/>
    <mergeCell ref="BH8:BJ8"/>
    <mergeCell ref="BK8:BM8"/>
    <mergeCell ref="BN8:BP8"/>
    <mergeCell ref="BQ8:BS8"/>
    <mergeCell ref="BT8:BV8"/>
    <mergeCell ref="AM8:AO8"/>
    <mergeCell ref="AP8:AR8"/>
    <mergeCell ref="AS8:AU8"/>
    <mergeCell ref="AV8:AX8"/>
    <mergeCell ref="AY8:BA8"/>
    <mergeCell ref="BB8:BD8"/>
    <mergeCell ref="U8:W8"/>
    <mergeCell ref="X8:Z8"/>
    <mergeCell ref="AA8:AC8"/>
    <mergeCell ref="AD8:AF8"/>
    <mergeCell ref="AG8:AI8"/>
    <mergeCell ref="AJ8:AL8"/>
    <mergeCell ref="CI4:CK4"/>
    <mergeCell ref="CL4:CN4"/>
    <mergeCell ref="CO4:CQ4"/>
    <mergeCell ref="CR4:CT4"/>
    <mergeCell ref="CU4:CW4"/>
    <mergeCell ref="F8:H8"/>
    <mergeCell ref="I8:K8"/>
    <mergeCell ref="L8:N8"/>
    <mergeCell ref="O8:Q8"/>
    <mergeCell ref="R8:T8"/>
    <mergeCell ref="BQ4:BS4"/>
    <mergeCell ref="BT4:BV4"/>
    <mergeCell ref="BW4:BY4"/>
    <mergeCell ref="BZ4:CB4"/>
    <mergeCell ref="CC4:CE4"/>
    <mergeCell ref="CF4:CH4"/>
    <mergeCell ref="AY4:BA4"/>
    <mergeCell ref="BB4:BD4"/>
    <mergeCell ref="BE4:BG4"/>
    <mergeCell ref="BH4:BJ4"/>
    <mergeCell ref="BK4:BM4"/>
    <mergeCell ref="BN4:BP4"/>
    <mergeCell ref="AG4:AI4"/>
    <mergeCell ref="AJ4:AL4"/>
    <mergeCell ref="AM4:AO4"/>
    <mergeCell ref="AP4:AR4"/>
    <mergeCell ref="AS4:AU4"/>
    <mergeCell ref="AV4:AX4"/>
    <mergeCell ref="O4:Q4"/>
    <mergeCell ref="R4:T4"/>
    <mergeCell ref="U4:W4"/>
    <mergeCell ref="X4:Z4"/>
    <mergeCell ref="AA4:AC4"/>
    <mergeCell ref="AD4:AF4"/>
    <mergeCell ref="CL2:CN2"/>
    <mergeCell ref="CO2:CQ2"/>
    <mergeCell ref="CR2:CT2"/>
    <mergeCell ref="CU2:CW2"/>
    <mergeCell ref="A4:A20"/>
    <mergeCell ref="B4:B13"/>
    <mergeCell ref="F4:H4"/>
    <mergeCell ref="I4:K4"/>
    <mergeCell ref="L4:N4"/>
    <mergeCell ref="BT2:BV2"/>
    <mergeCell ref="BW2:BY2"/>
    <mergeCell ref="BZ2:CB2"/>
    <mergeCell ref="CC2:CE2"/>
    <mergeCell ref="CF2:CH2"/>
    <mergeCell ref="CI2:CK2"/>
    <mergeCell ref="BB2:BD2"/>
    <mergeCell ref="BE2:BG2"/>
    <mergeCell ref="BH2:BJ2"/>
    <mergeCell ref="BK2:BM2"/>
    <mergeCell ref="BN2:BP2"/>
    <mergeCell ref="BQ2:BS2"/>
    <mergeCell ref="AJ2:AL2"/>
    <mergeCell ref="AM2:AO2"/>
    <mergeCell ref="AP2:AR2"/>
    <mergeCell ref="BZ1:CK1"/>
    <mergeCell ref="CL1:CW1"/>
    <mergeCell ref="A2:A3"/>
    <mergeCell ref="B2:B3"/>
    <mergeCell ref="C2:C3"/>
    <mergeCell ref="F2:H2"/>
    <mergeCell ref="I2:K2"/>
    <mergeCell ref="L2:N2"/>
    <mergeCell ref="O2:Q2"/>
    <mergeCell ref="F1:Q1"/>
    <mergeCell ref="R1:AC1"/>
    <mergeCell ref="AD1:AO1"/>
    <mergeCell ref="AP1:BA1"/>
    <mergeCell ref="BB1:BM1"/>
    <mergeCell ref="BN1:BY1"/>
    <mergeCell ref="AS2:AU2"/>
    <mergeCell ref="AV2:AX2"/>
    <mergeCell ref="AY2:BA2"/>
    <mergeCell ref="R2:T2"/>
    <mergeCell ref="U2:W2"/>
    <mergeCell ref="X2:Z2"/>
    <mergeCell ref="AA2:AC2"/>
    <mergeCell ref="AD2:AF2"/>
    <mergeCell ref="AG2:AI2"/>
  </mergeCells>
  <pageMargins left="0.70866141732283472" right="0.70866141732283472" top="0.74803149606299213" bottom="0.74803149606299213" header="0.31496062992125984" footer="0.31496062992125984"/>
  <pageSetup paperSize="9" scale="95" fitToHeight="0"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U41"/>
  <sheetViews>
    <sheetView topLeftCell="A22" zoomScale="115" zoomScaleNormal="115" workbookViewId="0">
      <pane xSplit="3" topLeftCell="D1" activePane="topRight" state="frozen"/>
      <selection pane="topRight" activeCell="C48" sqref="C48"/>
    </sheetView>
  </sheetViews>
  <sheetFormatPr baseColWidth="10" defaultRowHeight="15.75"/>
  <cols>
    <col min="1" max="1" width="8.25" style="13" customWidth="1"/>
    <col min="2" max="2" width="4.125" style="13" bestFit="1" customWidth="1"/>
    <col min="3" max="3" width="50.125" customWidth="1"/>
    <col min="4" max="4" width="6.625" bestFit="1" customWidth="1"/>
    <col min="5" max="5" width="6.375" bestFit="1" customWidth="1"/>
    <col min="6" max="6" width="6.875" bestFit="1" customWidth="1"/>
    <col min="7" max="7" width="6.625" bestFit="1" customWidth="1"/>
    <col min="8" max="8" width="6.375" bestFit="1" customWidth="1"/>
    <col min="9" max="9" width="6.875" bestFit="1" customWidth="1"/>
    <col min="10" max="10" width="6.625" bestFit="1" customWidth="1"/>
    <col min="11" max="11" width="6.375" bestFit="1" customWidth="1"/>
    <col min="12" max="15" width="6.875" bestFit="1" customWidth="1"/>
    <col min="16" max="16" width="6.625" hidden="1" customWidth="1"/>
    <col min="17" max="17" width="6.375" hidden="1" customWidth="1"/>
    <col min="18" max="18" width="6" hidden="1" customWidth="1"/>
    <col min="19" max="19" width="6.625" hidden="1" customWidth="1"/>
    <col min="20" max="20" width="6.375" hidden="1" customWidth="1"/>
    <col min="21" max="21" width="6" hidden="1" customWidth="1"/>
    <col min="22" max="22" width="6.625" hidden="1" customWidth="1"/>
    <col min="23" max="23" width="6.375" hidden="1" customWidth="1"/>
    <col min="24" max="24" width="6" hidden="1" customWidth="1"/>
    <col min="25" max="25" width="6.625" hidden="1" customWidth="1"/>
    <col min="26" max="26" width="6.375" hidden="1" customWidth="1"/>
    <col min="27" max="27" width="6" hidden="1" customWidth="1"/>
    <col min="28" max="28" width="6.625" hidden="1" customWidth="1"/>
    <col min="29" max="29" width="6.375" hidden="1" customWidth="1"/>
    <col min="30" max="30" width="6" hidden="1" customWidth="1"/>
    <col min="31" max="31" width="6.625" hidden="1" customWidth="1"/>
    <col min="32" max="32" width="6.375" hidden="1" customWidth="1"/>
    <col min="33" max="33" width="6" hidden="1" customWidth="1"/>
    <col min="34" max="34" width="6.625" hidden="1" customWidth="1"/>
    <col min="35" max="35" width="6.375" hidden="1" customWidth="1"/>
    <col min="36" max="36" width="6" hidden="1" customWidth="1"/>
    <col min="37" max="37" width="6.625" hidden="1" customWidth="1"/>
    <col min="38" max="38" width="6.375" hidden="1" customWidth="1"/>
    <col min="39" max="39" width="6" hidden="1" customWidth="1"/>
    <col min="40" max="40" width="6.625" hidden="1" customWidth="1"/>
    <col min="41" max="41" width="6.375" hidden="1" customWidth="1"/>
    <col min="42" max="42" width="6" hidden="1" customWidth="1"/>
    <col min="43" max="43" width="6.625" hidden="1" customWidth="1"/>
    <col min="44" max="44" width="6.375" hidden="1" customWidth="1"/>
    <col min="45" max="45" width="6" hidden="1" customWidth="1"/>
    <col min="46" max="46" width="6.625" hidden="1" customWidth="1"/>
    <col min="47" max="47" width="6.375" hidden="1" customWidth="1"/>
    <col min="48" max="48" width="6" hidden="1" customWidth="1"/>
    <col min="49" max="49" width="6.625" hidden="1" customWidth="1"/>
    <col min="50" max="50" width="6.375" hidden="1" customWidth="1"/>
    <col min="51" max="51" width="6" hidden="1" customWidth="1"/>
    <col min="52" max="52" width="6.625" hidden="1" customWidth="1"/>
    <col min="53" max="53" width="6.375" hidden="1" customWidth="1"/>
    <col min="54" max="54" width="5.125" hidden="1" customWidth="1"/>
    <col min="55" max="55" width="6.625" hidden="1" customWidth="1"/>
    <col min="56" max="56" width="6.375" hidden="1" customWidth="1"/>
    <col min="57" max="57" width="6" hidden="1" customWidth="1"/>
    <col min="58" max="58" width="6.625" hidden="1" customWidth="1"/>
    <col min="59" max="59" width="6.375" hidden="1" customWidth="1"/>
    <col min="60" max="60" width="6" hidden="1" customWidth="1"/>
    <col min="61" max="61" width="6.625" hidden="1" customWidth="1"/>
    <col min="62" max="62" width="6.375" hidden="1" customWidth="1"/>
    <col min="63" max="63" width="6" hidden="1" customWidth="1"/>
    <col min="64" max="64" width="6.625" hidden="1" customWidth="1"/>
    <col min="65" max="65" width="6.375" hidden="1" customWidth="1"/>
    <col min="66" max="66" width="6" hidden="1" customWidth="1"/>
    <col min="67" max="67" width="6.625" hidden="1" customWidth="1"/>
    <col min="68" max="68" width="6.375" hidden="1" customWidth="1"/>
    <col min="69" max="69" width="6" hidden="1" customWidth="1"/>
    <col min="70" max="70" width="6.625" hidden="1" customWidth="1"/>
    <col min="71" max="71" width="6.375" hidden="1" customWidth="1"/>
    <col min="72" max="72" width="6" hidden="1" customWidth="1"/>
    <col min="73" max="73" width="6.625" hidden="1" customWidth="1"/>
    <col min="74" max="74" width="6.375" hidden="1" customWidth="1"/>
    <col min="75" max="75" width="6" hidden="1" customWidth="1"/>
    <col min="76" max="76" width="6.625" hidden="1" customWidth="1"/>
    <col min="77" max="77" width="6.375" hidden="1" customWidth="1"/>
    <col min="78" max="78" width="5.625" hidden="1" customWidth="1"/>
    <col min="79" max="79" width="6.625" hidden="1" customWidth="1"/>
    <col min="80" max="80" width="6.375" hidden="1" customWidth="1"/>
    <col min="81" max="81" width="5.625" hidden="1" customWidth="1"/>
    <col min="82" max="82" width="6.625" hidden="1" customWidth="1"/>
    <col min="83" max="83" width="6.375" hidden="1" customWidth="1"/>
    <col min="84" max="84" width="5.625" hidden="1" customWidth="1"/>
    <col min="85" max="85" width="6.625" hidden="1" customWidth="1"/>
    <col min="86" max="86" width="6.375" hidden="1" customWidth="1"/>
    <col min="87" max="87" width="5.625" hidden="1" customWidth="1"/>
    <col min="88" max="88" width="6.625" hidden="1" customWidth="1"/>
    <col min="89" max="89" width="6.375" hidden="1" customWidth="1"/>
    <col min="90" max="90" width="6" hidden="1" customWidth="1"/>
    <col min="91" max="91" width="6.625" hidden="1" customWidth="1"/>
    <col min="92" max="92" width="6.375" hidden="1" customWidth="1"/>
    <col min="93" max="93" width="6" hidden="1" customWidth="1"/>
    <col min="94" max="94" width="6.625" hidden="1" customWidth="1"/>
    <col min="95" max="95" width="6.375" hidden="1" customWidth="1"/>
    <col min="96" max="96" width="6" hidden="1" customWidth="1"/>
    <col min="97" max="97" width="6.625" hidden="1" customWidth="1"/>
    <col min="98" max="98" width="6.375" hidden="1" customWidth="1"/>
    <col min="99" max="99" width="6" hidden="1" customWidth="1"/>
    <col min="100" max="101" width="0" hidden="1" customWidth="1"/>
  </cols>
  <sheetData>
    <row r="1" spans="1:99" s="11" customFormat="1" ht="16.5" thickBot="1">
      <c r="A1" s="13"/>
      <c r="B1" s="13"/>
      <c r="D1" s="1021" t="s">
        <v>60</v>
      </c>
      <c r="E1" s="1022"/>
      <c r="F1" s="1022"/>
      <c r="G1" s="1022"/>
      <c r="H1" s="1022"/>
      <c r="I1" s="1022"/>
      <c r="J1" s="1022"/>
      <c r="K1" s="1022"/>
      <c r="L1" s="1022"/>
      <c r="M1" s="1022"/>
      <c r="N1" s="1022"/>
      <c r="O1" s="1023"/>
      <c r="P1" s="829" t="s">
        <v>53</v>
      </c>
      <c r="Q1" s="830"/>
      <c r="R1" s="830"/>
      <c r="S1" s="830"/>
      <c r="T1" s="830"/>
      <c r="U1" s="830"/>
      <c r="V1" s="830"/>
      <c r="W1" s="830"/>
      <c r="X1" s="830"/>
      <c r="Y1" s="830"/>
      <c r="Z1" s="830"/>
      <c r="AA1" s="831"/>
      <c r="AB1" s="829" t="s">
        <v>54</v>
      </c>
      <c r="AC1" s="830"/>
      <c r="AD1" s="830"/>
      <c r="AE1" s="830"/>
      <c r="AF1" s="830"/>
      <c r="AG1" s="830"/>
      <c r="AH1" s="830"/>
      <c r="AI1" s="830"/>
      <c r="AJ1" s="830"/>
      <c r="AK1" s="830"/>
      <c r="AL1" s="830"/>
      <c r="AM1" s="831"/>
      <c r="AN1" s="838" t="s">
        <v>55</v>
      </c>
      <c r="AO1" s="839"/>
      <c r="AP1" s="839"/>
      <c r="AQ1" s="839"/>
      <c r="AR1" s="839"/>
      <c r="AS1" s="839"/>
      <c r="AT1" s="839"/>
      <c r="AU1" s="839"/>
      <c r="AV1" s="839"/>
      <c r="AW1" s="839"/>
      <c r="AX1" s="839"/>
      <c r="AY1" s="840"/>
      <c r="AZ1" s="829" t="s">
        <v>56</v>
      </c>
      <c r="BA1" s="830"/>
      <c r="BB1" s="830"/>
      <c r="BC1" s="830"/>
      <c r="BD1" s="830"/>
      <c r="BE1" s="830"/>
      <c r="BF1" s="830"/>
      <c r="BG1" s="830"/>
      <c r="BH1" s="830"/>
      <c r="BI1" s="830"/>
      <c r="BJ1" s="830"/>
      <c r="BK1" s="831"/>
      <c r="BL1" s="829" t="s">
        <v>57</v>
      </c>
      <c r="BM1" s="830"/>
      <c r="BN1" s="830"/>
      <c r="BO1" s="830"/>
      <c r="BP1" s="830"/>
      <c r="BQ1" s="830"/>
      <c r="BR1" s="830"/>
      <c r="BS1" s="830"/>
      <c r="BT1" s="830"/>
      <c r="BU1" s="830"/>
      <c r="BV1" s="830"/>
      <c r="BW1" s="831"/>
      <c r="BX1" s="829" t="s">
        <v>58</v>
      </c>
      <c r="BY1" s="830"/>
      <c r="BZ1" s="830"/>
      <c r="CA1" s="830"/>
      <c r="CB1" s="830"/>
      <c r="CC1" s="830"/>
      <c r="CD1" s="830"/>
      <c r="CE1" s="830"/>
      <c r="CF1" s="830"/>
      <c r="CG1" s="830"/>
      <c r="CH1" s="830"/>
      <c r="CI1" s="831"/>
      <c r="CJ1" s="829" t="s">
        <v>59</v>
      </c>
      <c r="CK1" s="830"/>
      <c r="CL1" s="830"/>
      <c r="CM1" s="830"/>
      <c r="CN1" s="830"/>
      <c r="CO1" s="830"/>
      <c r="CP1" s="830"/>
      <c r="CQ1" s="830"/>
      <c r="CR1" s="830"/>
      <c r="CS1" s="830"/>
      <c r="CT1" s="830"/>
      <c r="CU1" s="831"/>
    </row>
    <row r="2" spans="1:99" ht="16.5" thickBot="1">
      <c r="C2" s="1019" t="s">
        <v>5</v>
      </c>
      <c r="D2" s="1020" t="s">
        <v>1</v>
      </c>
      <c r="E2" s="1020"/>
      <c r="F2" s="1020"/>
      <c r="G2" s="1020" t="s">
        <v>63</v>
      </c>
      <c r="H2" s="1020"/>
      <c r="I2" s="1020"/>
      <c r="J2" s="1020" t="s">
        <v>64</v>
      </c>
      <c r="K2" s="1020"/>
      <c r="L2" s="1020"/>
      <c r="M2" s="1020" t="s">
        <v>2</v>
      </c>
      <c r="N2" s="1020"/>
      <c r="O2" s="1020"/>
      <c r="P2" s="788" t="s">
        <v>1</v>
      </c>
      <c r="Q2" s="788"/>
      <c r="R2" s="789"/>
      <c r="S2" s="790" t="s">
        <v>63</v>
      </c>
      <c r="T2" s="788"/>
      <c r="U2" s="789"/>
      <c r="V2" s="790" t="s">
        <v>64</v>
      </c>
      <c r="W2" s="788"/>
      <c r="X2" s="789"/>
      <c r="Y2" s="790" t="s">
        <v>2</v>
      </c>
      <c r="Z2" s="788"/>
      <c r="AA2" s="822"/>
      <c r="AB2" s="787" t="s">
        <v>1</v>
      </c>
      <c r="AC2" s="788"/>
      <c r="AD2" s="789"/>
      <c r="AE2" s="790" t="s">
        <v>63</v>
      </c>
      <c r="AF2" s="788"/>
      <c r="AG2" s="789"/>
      <c r="AH2" s="790" t="s">
        <v>64</v>
      </c>
      <c r="AI2" s="788"/>
      <c r="AJ2" s="789"/>
      <c r="AK2" s="790" t="s">
        <v>2</v>
      </c>
      <c r="AL2" s="788"/>
      <c r="AM2" s="822"/>
      <c r="AN2" s="787" t="s">
        <v>1</v>
      </c>
      <c r="AO2" s="788"/>
      <c r="AP2" s="789"/>
      <c r="AQ2" s="790" t="s">
        <v>63</v>
      </c>
      <c r="AR2" s="788"/>
      <c r="AS2" s="789"/>
      <c r="AT2" s="790" t="s">
        <v>64</v>
      </c>
      <c r="AU2" s="788"/>
      <c r="AV2" s="789"/>
      <c r="AW2" s="790" t="s">
        <v>2</v>
      </c>
      <c r="AX2" s="788"/>
      <c r="AY2" s="822"/>
      <c r="AZ2" s="787" t="s">
        <v>1</v>
      </c>
      <c r="BA2" s="788"/>
      <c r="BB2" s="789"/>
      <c r="BC2" s="790" t="s">
        <v>63</v>
      </c>
      <c r="BD2" s="788"/>
      <c r="BE2" s="789"/>
      <c r="BF2" s="790" t="s">
        <v>64</v>
      </c>
      <c r="BG2" s="788"/>
      <c r="BH2" s="789"/>
      <c r="BI2" s="790" t="s">
        <v>2</v>
      </c>
      <c r="BJ2" s="788"/>
      <c r="BK2" s="822"/>
      <c r="BL2" s="787" t="s">
        <v>1</v>
      </c>
      <c r="BM2" s="788"/>
      <c r="BN2" s="789"/>
      <c r="BO2" s="790" t="s">
        <v>63</v>
      </c>
      <c r="BP2" s="788"/>
      <c r="BQ2" s="789"/>
      <c r="BR2" s="790" t="s">
        <v>64</v>
      </c>
      <c r="BS2" s="788"/>
      <c r="BT2" s="789"/>
      <c r="BU2" s="790" t="s">
        <v>2</v>
      </c>
      <c r="BV2" s="788"/>
      <c r="BW2" s="822"/>
      <c r="BX2" s="787" t="s">
        <v>1</v>
      </c>
      <c r="BY2" s="788"/>
      <c r="BZ2" s="789"/>
      <c r="CA2" s="790" t="s">
        <v>63</v>
      </c>
      <c r="CB2" s="788"/>
      <c r="CC2" s="789"/>
      <c r="CD2" s="790" t="s">
        <v>64</v>
      </c>
      <c r="CE2" s="788"/>
      <c r="CF2" s="789"/>
      <c r="CG2" s="790" t="s">
        <v>2</v>
      </c>
      <c r="CH2" s="788"/>
      <c r="CI2" s="822"/>
      <c r="CJ2" s="787" t="s">
        <v>1</v>
      </c>
      <c r="CK2" s="788"/>
      <c r="CL2" s="789"/>
      <c r="CM2" s="790" t="s">
        <v>63</v>
      </c>
      <c r="CN2" s="788"/>
      <c r="CO2" s="789"/>
      <c r="CP2" s="790" t="s">
        <v>64</v>
      </c>
      <c r="CQ2" s="788"/>
      <c r="CR2" s="789"/>
      <c r="CS2" s="790" t="s">
        <v>2</v>
      </c>
      <c r="CT2" s="788"/>
      <c r="CU2" s="822"/>
    </row>
    <row r="3" spans="1:99" ht="16.5" thickBot="1">
      <c r="C3" s="1019"/>
      <c r="D3" s="367" t="s">
        <v>6</v>
      </c>
      <c r="E3" s="367" t="s">
        <v>7</v>
      </c>
      <c r="F3" s="367" t="s">
        <v>40</v>
      </c>
      <c r="G3" s="367" t="s">
        <v>6</v>
      </c>
      <c r="H3" s="367" t="s">
        <v>7</v>
      </c>
      <c r="I3" s="367" t="s">
        <v>40</v>
      </c>
      <c r="J3" s="367" t="s">
        <v>6</v>
      </c>
      <c r="K3" s="367" t="s">
        <v>7</v>
      </c>
      <c r="L3" s="367" t="s">
        <v>40</v>
      </c>
      <c r="M3" s="367" t="s">
        <v>6</v>
      </c>
      <c r="N3" s="367" t="s">
        <v>7</v>
      </c>
      <c r="O3" s="367" t="s">
        <v>40</v>
      </c>
      <c r="P3" s="1" t="s">
        <v>6</v>
      </c>
      <c r="Q3" s="1" t="s">
        <v>7</v>
      </c>
      <c r="R3" s="1" t="s">
        <v>40</v>
      </c>
      <c r="S3" s="1" t="s">
        <v>6</v>
      </c>
      <c r="T3" s="1" t="s">
        <v>7</v>
      </c>
      <c r="U3" s="1" t="s">
        <v>40</v>
      </c>
      <c r="V3" s="1" t="s">
        <v>6</v>
      </c>
      <c r="W3" s="1" t="s">
        <v>7</v>
      </c>
      <c r="X3" s="1" t="s">
        <v>40</v>
      </c>
      <c r="Y3" s="1" t="s">
        <v>6</v>
      </c>
      <c r="Z3" s="1" t="s">
        <v>7</v>
      </c>
      <c r="AA3" s="10" t="s">
        <v>40</v>
      </c>
      <c r="AB3" s="9" t="s">
        <v>6</v>
      </c>
      <c r="AC3" s="1" t="s">
        <v>7</v>
      </c>
      <c r="AD3" s="1" t="s">
        <v>40</v>
      </c>
      <c r="AE3" s="1" t="s">
        <v>6</v>
      </c>
      <c r="AF3" s="1" t="s">
        <v>7</v>
      </c>
      <c r="AG3" s="1" t="s">
        <v>40</v>
      </c>
      <c r="AH3" s="1" t="s">
        <v>6</v>
      </c>
      <c r="AI3" s="1" t="s">
        <v>7</v>
      </c>
      <c r="AJ3" s="1" t="s">
        <v>40</v>
      </c>
      <c r="AK3" s="1" t="s">
        <v>6</v>
      </c>
      <c r="AL3" s="1" t="s">
        <v>7</v>
      </c>
      <c r="AM3" s="10" t="s">
        <v>40</v>
      </c>
      <c r="AN3" s="91" t="s">
        <v>6</v>
      </c>
      <c r="AO3" s="92" t="s">
        <v>7</v>
      </c>
      <c r="AP3" s="92" t="s">
        <v>40</v>
      </c>
      <c r="AQ3" s="92" t="s">
        <v>6</v>
      </c>
      <c r="AR3" s="92" t="s">
        <v>7</v>
      </c>
      <c r="AS3" s="92" t="s">
        <v>40</v>
      </c>
      <c r="AT3" s="92" t="s">
        <v>6</v>
      </c>
      <c r="AU3" s="92" t="s">
        <v>7</v>
      </c>
      <c r="AV3" s="92" t="s">
        <v>40</v>
      </c>
      <c r="AW3" s="92" t="s">
        <v>6</v>
      </c>
      <c r="AX3" s="92" t="s">
        <v>7</v>
      </c>
      <c r="AY3" s="93" t="s">
        <v>40</v>
      </c>
      <c r="AZ3" s="9" t="s">
        <v>6</v>
      </c>
      <c r="BA3" s="1" t="s">
        <v>7</v>
      </c>
      <c r="BB3" s="1" t="s">
        <v>40</v>
      </c>
      <c r="BC3" s="1" t="s">
        <v>6</v>
      </c>
      <c r="BD3" s="1" t="s">
        <v>7</v>
      </c>
      <c r="BE3" s="1" t="s">
        <v>40</v>
      </c>
      <c r="BF3" s="1" t="s">
        <v>6</v>
      </c>
      <c r="BG3" s="1" t="s">
        <v>7</v>
      </c>
      <c r="BH3" s="1" t="s">
        <v>40</v>
      </c>
      <c r="BI3" s="1" t="s">
        <v>6</v>
      </c>
      <c r="BJ3" s="1" t="s">
        <v>7</v>
      </c>
      <c r="BK3" s="10" t="s">
        <v>40</v>
      </c>
      <c r="BL3" s="9" t="s">
        <v>6</v>
      </c>
      <c r="BM3" s="1" t="s">
        <v>7</v>
      </c>
      <c r="BN3" s="1" t="s">
        <v>40</v>
      </c>
      <c r="BO3" s="1" t="s">
        <v>6</v>
      </c>
      <c r="BP3" s="1" t="s">
        <v>7</v>
      </c>
      <c r="BQ3" s="1" t="s">
        <v>40</v>
      </c>
      <c r="BR3" s="1" t="s">
        <v>6</v>
      </c>
      <c r="BS3" s="1" t="s">
        <v>7</v>
      </c>
      <c r="BT3" s="1" t="s">
        <v>40</v>
      </c>
      <c r="BU3" s="1" t="s">
        <v>6</v>
      </c>
      <c r="BV3" s="1" t="s">
        <v>7</v>
      </c>
      <c r="BW3" s="10" t="s">
        <v>40</v>
      </c>
      <c r="BX3" s="9" t="s">
        <v>6</v>
      </c>
      <c r="BY3" s="1" t="s">
        <v>7</v>
      </c>
      <c r="BZ3" s="1" t="s">
        <v>40</v>
      </c>
      <c r="CA3" s="1" t="s">
        <v>6</v>
      </c>
      <c r="CB3" s="1" t="s">
        <v>7</v>
      </c>
      <c r="CC3" s="1" t="s">
        <v>40</v>
      </c>
      <c r="CD3" s="1" t="s">
        <v>6</v>
      </c>
      <c r="CE3" s="1" t="s">
        <v>7</v>
      </c>
      <c r="CF3" s="1" t="s">
        <v>40</v>
      </c>
      <c r="CG3" s="1" t="s">
        <v>6</v>
      </c>
      <c r="CH3" s="1" t="s">
        <v>7</v>
      </c>
      <c r="CI3" s="10" t="s">
        <v>40</v>
      </c>
      <c r="CJ3" s="9" t="s">
        <v>6</v>
      </c>
      <c r="CK3" s="1" t="s">
        <v>7</v>
      </c>
      <c r="CL3" s="1" t="s">
        <v>40</v>
      </c>
      <c r="CM3" s="1" t="s">
        <v>6</v>
      </c>
      <c r="CN3" s="1" t="s">
        <v>7</v>
      </c>
      <c r="CO3" s="1" t="s">
        <v>40</v>
      </c>
      <c r="CP3" s="1" t="s">
        <v>6</v>
      </c>
      <c r="CQ3" s="1" t="s">
        <v>7</v>
      </c>
      <c r="CR3" s="1" t="s">
        <v>40</v>
      </c>
      <c r="CS3" s="1" t="s">
        <v>6</v>
      </c>
      <c r="CT3" s="1" t="s">
        <v>7</v>
      </c>
      <c r="CU3" s="10" t="s">
        <v>40</v>
      </c>
    </row>
    <row r="4" spans="1:99" s="13" customFormat="1">
      <c r="B4" s="13">
        <v>1</v>
      </c>
      <c r="C4" s="362" t="s">
        <v>70</v>
      </c>
      <c r="D4" s="1006">
        <f>SUM(P4,AB4,AN4,AZ4,BL4,BX4,CJ4)</f>
        <v>3979</v>
      </c>
      <c r="E4" s="1006"/>
      <c r="F4" s="1006"/>
      <c r="G4" s="1007">
        <f>SUM(S4,AE4,AQ4,BC4,BO4,CA4,CM4)</f>
        <v>5306</v>
      </c>
      <c r="H4" s="1007"/>
      <c r="I4" s="1007"/>
      <c r="J4" s="1006">
        <f>SUM(V4,AH4,AT4,BF4,BR4,CD4,CP4)</f>
        <v>6697</v>
      </c>
      <c r="K4" s="1006"/>
      <c r="L4" s="1006"/>
      <c r="M4" s="1007">
        <f>SUM(Y4,AK4,AW4,BI4,BU4,CG4,CS4)</f>
        <v>8194</v>
      </c>
      <c r="N4" s="1007"/>
      <c r="O4" s="1007"/>
      <c r="P4" s="795">
        <v>745</v>
      </c>
      <c r="Q4" s="795"/>
      <c r="R4" s="796"/>
      <c r="S4" s="797">
        <v>955</v>
      </c>
      <c r="T4" s="798"/>
      <c r="U4" s="799"/>
      <c r="V4" s="800">
        <v>1165</v>
      </c>
      <c r="W4" s="795"/>
      <c r="X4" s="796"/>
      <c r="Y4" s="797">
        <v>1375</v>
      </c>
      <c r="Z4" s="798"/>
      <c r="AA4" s="801"/>
      <c r="AB4" s="802">
        <v>502</v>
      </c>
      <c r="AC4" s="810"/>
      <c r="AD4" s="811"/>
      <c r="AE4" s="791">
        <v>687</v>
      </c>
      <c r="AF4" s="812"/>
      <c r="AG4" s="813"/>
      <c r="AH4" s="806">
        <v>872</v>
      </c>
      <c r="AI4" s="810"/>
      <c r="AJ4" s="811"/>
      <c r="AK4" s="791">
        <v>1057</v>
      </c>
      <c r="AL4" s="812"/>
      <c r="AM4" s="814"/>
      <c r="AN4" s="815">
        <v>626</v>
      </c>
      <c r="AO4" s="816"/>
      <c r="AP4" s="817"/>
      <c r="AQ4" s="807">
        <v>876</v>
      </c>
      <c r="AR4" s="808"/>
      <c r="AS4" s="818"/>
      <c r="AT4" s="819">
        <v>1128</v>
      </c>
      <c r="AU4" s="816"/>
      <c r="AV4" s="817"/>
      <c r="AW4" s="807">
        <v>1458</v>
      </c>
      <c r="AX4" s="808"/>
      <c r="AY4" s="809"/>
      <c r="AZ4" s="802">
        <v>369</v>
      </c>
      <c r="BA4" s="810"/>
      <c r="BB4" s="811"/>
      <c r="BC4" s="791">
        <v>479</v>
      </c>
      <c r="BD4" s="812"/>
      <c r="BE4" s="813"/>
      <c r="BF4" s="806">
        <v>589</v>
      </c>
      <c r="BG4" s="810"/>
      <c r="BH4" s="811"/>
      <c r="BI4" s="791">
        <v>699</v>
      </c>
      <c r="BJ4" s="812"/>
      <c r="BK4" s="814"/>
      <c r="BL4" s="794">
        <v>484</v>
      </c>
      <c r="BM4" s="795"/>
      <c r="BN4" s="796"/>
      <c r="BO4" s="797">
        <v>692</v>
      </c>
      <c r="BP4" s="798"/>
      <c r="BQ4" s="799"/>
      <c r="BR4" s="800">
        <v>900</v>
      </c>
      <c r="BS4" s="795"/>
      <c r="BT4" s="796"/>
      <c r="BU4" s="797">
        <v>1108</v>
      </c>
      <c r="BV4" s="798"/>
      <c r="BW4" s="801"/>
      <c r="BX4" s="802">
        <v>117</v>
      </c>
      <c r="BY4" s="810"/>
      <c r="BZ4" s="811"/>
      <c r="CA4" s="791">
        <v>137</v>
      </c>
      <c r="CB4" s="812"/>
      <c r="CC4" s="813"/>
      <c r="CD4" s="806">
        <v>143</v>
      </c>
      <c r="CE4" s="810"/>
      <c r="CF4" s="811"/>
      <c r="CG4" s="791">
        <v>177</v>
      </c>
      <c r="CH4" s="812"/>
      <c r="CI4" s="814"/>
      <c r="CJ4" s="794">
        <v>1136</v>
      </c>
      <c r="CK4" s="795"/>
      <c r="CL4" s="796"/>
      <c r="CM4" s="797">
        <v>1480</v>
      </c>
      <c r="CN4" s="798"/>
      <c r="CO4" s="799"/>
      <c r="CP4" s="800">
        <v>1900</v>
      </c>
      <c r="CQ4" s="795"/>
      <c r="CR4" s="796"/>
      <c r="CS4" s="797">
        <v>2320</v>
      </c>
      <c r="CT4" s="798"/>
      <c r="CU4" s="801"/>
    </row>
    <row r="5" spans="1:99" s="13" customFormat="1">
      <c r="B5" s="13">
        <v>2</v>
      </c>
      <c r="C5" s="362" t="s">
        <v>71</v>
      </c>
      <c r="D5" s="368">
        <f>SUM(P5,AB5,AN5,AZ5,BL5,BX5,CJ5)</f>
        <v>26097</v>
      </c>
      <c r="E5" s="368">
        <f>SUM(Q5,AC5,AO5,BA5,BM5,BY5,CK5)</f>
        <v>28906</v>
      </c>
      <c r="F5" s="368">
        <f>SUM(R5,AD5,AP5,BB5,BN5,BZ5,CL5)</f>
        <v>55003</v>
      </c>
      <c r="G5" s="369">
        <f>SUM(S5,AE5,AQ5,BC5,BO5,CA5,CM5)</f>
        <v>38024</v>
      </c>
      <c r="H5" s="369">
        <f>SUM(T5,AF5,AR5,BD5,BP5,CB5,CN5)</f>
        <v>41242</v>
      </c>
      <c r="I5" s="369">
        <f>SUM(U5,AG5,AS5,BE5,BQ5,CC5,CO5)</f>
        <v>79266</v>
      </c>
      <c r="J5" s="368">
        <f>SUM(V5,AH5,AT5,BF5,BR5,CD5,CP5)</f>
        <v>47187</v>
      </c>
      <c r="K5" s="368">
        <f>SUM(W5,AI5,AU5,BG5,BS5,CE5,CQ5)</f>
        <v>51404</v>
      </c>
      <c r="L5" s="368">
        <f>SUM(X5,AJ5,AV5,BH5,BT5,CF5,CR5)</f>
        <v>98591</v>
      </c>
      <c r="M5" s="369">
        <f>SUM(Y5,AK5,AW5,BI5,BU5,CG5,CS5)</f>
        <v>56945</v>
      </c>
      <c r="N5" s="369">
        <f>SUM(Z5,AL5,AX5,BJ5,BV5,CH5,CT5)</f>
        <v>62121</v>
      </c>
      <c r="O5" s="369">
        <f>SUM(AA5,AM5,AY5,BK5,BW5,CI5,CU5)</f>
        <v>119066</v>
      </c>
      <c r="P5" s="332">
        <v>3455</v>
      </c>
      <c r="Q5" s="332">
        <v>4447</v>
      </c>
      <c r="R5" s="332">
        <v>7902</v>
      </c>
      <c r="S5" s="333">
        <v>4431</v>
      </c>
      <c r="T5" s="333">
        <v>5688</v>
      </c>
      <c r="U5" s="333">
        <v>10119</v>
      </c>
      <c r="V5" s="332">
        <v>5407</v>
      </c>
      <c r="W5" s="332">
        <v>6929</v>
      </c>
      <c r="X5" s="332">
        <v>12336</v>
      </c>
      <c r="Y5" s="333">
        <v>6383</v>
      </c>
      <c r="Z5" s="333">
        <v>8170</v>
      </c>
      <c r="AA5" s="334">
        <v>14553</v>
      </c>
      <c r="AB5" s="45">
        <v>3198</v>
      </c>
      <c r="AC5" s="338">
        <v>3328</v>
      </c>
      <c r="AD5" s="338">
        <v>6526</v>
      </c>
      <c r="AE5" s="339">
        <v>4376</v>
      </c>
      <c r="AF5" s="339">
        <v>4555</v>
      </c>
      <c r="AG5" s="339">
        <v>8931</v>
      </c>
      <c r="AH5" s="338">
        <v>5554</v>
      </c>
      <c r="AI5" s="338">
        <v>5782</v>
      </c>
      <c r="AJ5" s="338">
        <v>11336</v>
      </c>
      <c r="AK5" s="339">
        <v>6732</v>
      </c>
      <c r="AL5" s="339">
        <v>7009</v>
      </c>
      <c r="AM5" s="340">
        <v>13741</v>
      </c>
      <c r="AN5" s="94">
        <v>3652</v>
      </c>
      <c r="AO5" s="343">
        <v>4289</v>
      </c>
      <c r="AP5" s="343">
        <v>7941</v>
      </c>
      <c r="AQ5" s="344">
        <v>5052</v>
      </c>
      <c r="AR5" s="344">
        <v>5789</v>
      </c>
      <c r="AS5" s="344">
        <v>10841</v>
      </c>
      <c r="AT5" s="343">
        <v>6452</v>
      </c>
      <c r="AU5" s="343">
        <v>7289</v>
      </c>
      <c r="AV5" s="343">
        <v>13741</v>
      </c>
      <c r="AW5" s="344">
        <v>8450</v>
      </c>
      <c r="AX5" s="344">
        <v>9340</v>
      </c>
      <c r="AY5" s="337">
        <v>17790</v>
      </c>
      <c r="AZ5" s="45">
        <v>2363</v>
      </c>
      <c r="BA5" s="338">
        <v>2846</v>
      </c>
      <c r="BB5" s="338">
        <v>5209</v>
      </c>
      <c r="BC5" s="339">
        <v>2913</v>
      </c>
      <c r="BD5" s="339">
        <v>3946</v>
      </c>
      <c r="BE5" s="339">
        <v>6859</v>
      </c>
      <c r="BF5" s="338">
        <v>3463</v>
      </c>
      <c r="BG5" s="338">
        <v>5046</v>
      </c>
      <c r="BH5" s="338">
        <v>8509</v>
      </c>
      <c r="BI5" s="339">
        <v>4013</v>
      </c>
      <c r="BJ5" s="339">
        <v>6146</v>
      </c>
      <c r="BK5" s="340">
        <v>10159</v>
      </c>
      <c r="BL5" s="41">
        <v>3234</v>
      </c>
      <c r="BM5" s="332">
        <v>2589</v>
      </c>
      <c r="BN5" s="332">
        <v>5823</v>
      </c>
      <c r="BO5" s="333">
        <v>4794</v>
      </c>
      <c r="BP5" s="333">
        <v>4149</v>
      </c>
      <c r="BQ5" s="333">
        <v>8943</v>
      </c>
      <c r="BR5" s="332">
        <v>6354</v>
      </c>
      <c r="BS5" s="332">
        <v>5709</v>
      </c>
      <c r="BT5" s="332">
        <v>12063</v>
      </c>
      <c r="BU5" s="333">
        <v>7914</v>
      </c>
      <c r="BV5" s="333">
        <v>7269</v>
      </c>
      <c r="BW5" s="334">
        <v>15183</v>
      </c>
      <c r="BX5" s="169">
        <v>952</v>
      </c>
      <c r="BY5" s="170">
        <v>1338</v>
      </c>
      <c r="BZ5" s="170">
        <v>2290</v>
      </c>
      <c r="CA5" s="171">
        <v>4050</v>
      </c>
      <c r="CB5" s="171">
        <v>4707</v>
      </c>
      <c r="CC5" s="171">
        <v>8757</v>
      </c>
      <c r="CD5" s="170">
        <v>4189</v>
      </c>
      <c r="CE5" s="170">
        <v>4881</v>
      </c>
      <c r="CF5" s="170">
        <v>9070</v>
      </c>
      <c r="CG5" s="171">
        <v>4325</v>
      </c>
      <c r="CH5" s="171">
        <v>5059</v>
      </c>
      <c r="CI5" s="172">
        <v>9384</v>
      </c>
      <c r="CJ5" s="41">
        <v>9243</v>
      </c>
      <c r="CK5" s="332">
        <v>10069</v>
      </c>
      <c r="CL5" s="332">
        <v>19312</v>
      </c>
      <c r="CM5" s="333">
        <v>12408</v>
      </c>
      <c r="CN5" s="333">
        <v>12408</v>
      </c>
      <c r="CO5" s="333">
        <v>24816</v>
      </c>
      <c r="CP5" s="332">
        <v>15768</v>
      </c>
      <c r="CQ5" s="332">
        <v>15768</v>
      </c>
      <c r="CR5" s="332">
        <v>31536</v>
      </c>
      <c r="CS5" s="333">
        <v>19128</v>
      </c>
      <c r="CT5" s="333">
        <v>19128</v>
      </c>
      <c r="CU5" s="334">
        <v>38256</v>
      </c>
    </row>
    <row r="6" spans="1:99" s="13" customFormat="1">
      <c r="B6" s="13">
        <v>3</v>
      </c>
      <c r="C6" s="362" t="s">
        <v>275</v>
      </c>
      <c r="D6" s="368"/>
      <c r="E6" s="368"/>
      <c r="F6" s="368"/>
      <c r="G6" s="369"/>
      <c r="H6" s="369"/>
      <c r="I6" s="369"/>
      <c r="J6" s="368"/>
      <c r="K6" s="368"/>
      <c r="L6" s="368"/>
      <c r="M6" s="369"/>
      <c r="N6" s="369"/>
      <c r="O6" s="369"/>
      <c r="P6" s="291"/>
      <c r="Q6" s="291"/>
      <c r="R6" s="292"/>
      <c r="S6" s="293"/>
      <c r="T6" s="293"/>
      <c r="U6" s="294"/>
      <c r="V6" s="291"/>
      <c r="W6" s="291"/>
      <c r="X6" s="292"/>
      <c r="Y6" s="293"/>
      <c r="Z6" s="293"/>
      <c r="AA6" s="295"/>
      <c r="AB6" s="296"/>
      <c r="AC6" s="297"/>
      <c r="AD6" s="298"/>
      <c r="AE6" s="299"/>
      <c r="AF6" s="299"/>
      <c r="AG6" s="300"/>
      <c r="AH6" s="297"/>
      <c r="AI6" s="297"/>
      <c r="AJ6" s="298"/>
      <c r="AK6" s="299"/>
      <c r="AL6" s="299"/>
      <c r="AM6" s="301"/>
      <c r="AN6" s="302"/>
      <c r="AO6" s="303"/>
      <c r="AP6" s="101"/>
      <c r="AQ6" s="304"/>
      <c r="AR6" s="304"/>
      <c r="AS6" s="305"/>
      <c r="AT6" s="303"/>
      <c r="AU6" s="303"/>
      <c r="AV6" s="101"/>
      <c r="AW6" s="304"/>
      <c r="AX6" s="304"/>
      <c r="AY6" s="306"/>
      <c r="AZ6" s="296"/>
      <c r="BA6" s="297"/>
      <c r="BB6" s="298"/>
      <c r="BC6" s="299"/>
      <c r="BD6" s="299"/>
      <c r="BE6" s="300"/>
      <c r="BF6" s="297"/>
      <c r="BG6" s="297"/>
      <c r="BH6" s="298"/>
      <c r="BI6" s="299"/>
      <c r="BJ6" s="299"/>
      <c r="BK6" s="301"/>
      <c r="BL6" s="290"/>
      <c r="BM6" s="291"/>
      <c r="BN6" s="292"/>
      <c r="BO6" s="293"/>
      <c r="BP6" s="293"/>
      <c r="BQ6" s="294"/>
      <c r="BR6" s="291"/>
      <c r="BS6" s="291"/>
      <c r="BT6" s="292"/>
      <c r="BU6" s="293"/>
      <c r="BV6" s="293"/>
      <c r="BW6" s="295"/>
      <c r="BX6" s="307"/>
      <c r="BY6" s="308"/>
      <c r="BZ6" s="309"/>
      <c r="CA6" s="310"/>
      <c r="CB6" s="310"/>
      <c r="CC6" s="311"/>
      <c r="CD6" s="308"/>
      <c r="CE6" s="308"/>
      <c r="CF6" s="309"/>
      <c r="CG6" s="310"/>
      <c r="CH6" s="310"/>
      <c r="CI6" s="312"/>
      <c r="CJ6" s="290"/>
      <c r="CK6" s="291"/>
      <c r="CL6" s="292"/>
      <c r="CM6" s="293"/>
      <c r="CN6" s="293"/>
      <c r="CO6" s="294"/>
      <c r="CP6" s="291"/>
      <c r="CQ6" s="291"/>
      <c r="CR6" s="292"/>
      <c r="CS6" s="293"/>
      <c r="CT6" s="293"/>
      <c r="CU6" s="295"/>
    </row>
    <row r="7" spans="1:99" s="13" customFormat="1">
      <c r="B7" s="13">
        <v>4</v>
      </c>
      <c r="C7" s="362" t="s">
        <v>276</v>
      </c>
      <c r="D7" s="368"/>
      <c r="E7" s="368"/>
      <c r="F7" s="368"/>
      <c r="G7" s="369"/>
      <c r="H7" s="369"/>
      <c r="I7" s="369"/>
      <c r="J7" s="368"/>
      <c r="K7" s="368"/>
      <c r="L7" s="368"/>
      <c r="M7" s="369"/>
      <c r="N7" s="369"/>
      <c r="O7" s="369"/>
      <c r="P7" s="291"/>
      <c r="Q7" s="291"/>
      <c r="R7" s="292"/>
      <c r="S7" s="293"/>
      <c r="T7" s="293"/>
      <c r="U7" s="294"/>
      <c r="V7" s="291"/>
      <c r="W7" s="291"/>
      <c r="X7" s="292"/>
      <c r="Y7" s="293"/>
      <c r="Z7" s="293"/>
      <c r="AA7" s="295"/>
      <c r="AB7" s="296"/>
      <c r="AC7" s="297"/>
      <c r="AD7" s="298"/>
      <c r="AE7" s="299"/>
      <c r="AF7" s="299"/>
      <c r="AG7" s="300"/>
      <c r="AH7" s="297"/>
      <c r="AI7" s="297"/>
      <c r="AJ7" s="298"/>
      <c r="AK7" s="299"/>
      <c r="AL7" s="299"/>
      <c r="AM7" s="301"/>
      <c r="AN7" s="302"/>
      <c r="AO7" s="303"/>
      <c r="AP7" s="101"/>
      <c r="AQ7" s="304"/>
      <c r="AR7" s="304"/>
      <c r="AS7" s="305"/>
      <c r="AT7" s="303"/>
      <c r="AU7" s="303"/>
      <c r="AV7" s="101"/>
      <c r="AW7" s="304"/>
      <c r="AX7" s="304"/>
      <c r="AY7" s="306"/>
      <c r="AZ7" s="296"/>
      <c r="BA7" s="297"/>
      <c r="BB7" s="298"/>
      <c r="BC7" s="299"/>
      <c r="BD7" s="299"/>
      <c r="BE7" s="300"/>
      <c r="BF7" s="297"/>
      <c r="BG7" s="297"/>
      <c r="BH7" s="298"/>
      <c r="BI7" s="299"/>
      <c r="BJ7" s="299"/>
      <c r="BK7" s="301"/>
      <c r="BL7" s="290"/>
      <c r="BM7" s="291"/>
      <c r="BN7" s="292"/>
      <c r="BO7" s="293"/>
      <c r="BP7" s="293"/>
      <c r="BQ7" s="294"/>
      <c r="BR7" s="291"/>
      <c r="BS7" s="291"/>
      <c r="BT7" s="292"/>
      <c r="BU7" s="293"/>
      <c r="BV7" s="293"/>
      <c r="BW7" s="295"/>
      <c r="BX7" s="307"/>
      <c r="BY7" s="308"/>
      <c r="BZ7" s="309"/>
      <c r="CA7" s="310"/>
      <c r="CB7" s="310"/>
      <c r="CC7" s="311"/>
      <c r="CD7" s="308"/>
      <c r="CE7" s="308"/>
      <c r="CF7" s="309"/>
      <c r="CG7" s="310"/>
      <c r="CH7" s="310"/>
      <c r="CI7" s="312"/>
      <c r="CJ7" s="290"/>
      <c r="CK7" s="291"/>
      <c r="CL7" s="292"/>
      <c r="CM7" s="293"/>
      <c r="CN7" s="293"/>
      <c r="CO7" s="294"/>
      <c r="CP7" s="291"/>
      <c r="CQ7" s="291"/>
      <c r="CR7" s="292"/>
      <c r="CS7" s="293"/>
      <c r="CT7" s="293"/>
      <c r="CU7" s="295"/>
    </row>
    <row r="8" spans="1:99" s="13" customFormat="1">
      <c r="B8" s="13">
        <v>5</v>
      </c>
      <c r="C8" s="370" t="s">
        <v>51</v>
      </c>
      <c r="D8" s="1006">
        <f t="shared" ref="D8:D15" si="0">SUM(P8,AB8,AN8,AZ8,BL8,BX8,CJ8)</f>
        <v>83</v>
      </c>
      <c r="E8" s="1006"/>
      <c r="F8" s="1006"/>
      <c r="G8" s="1007">
        <f t="shared" ref="G8:G15" si="1">SUM(S8,AE8,AQ8,BC8,BO8,CA8,CM8)</f>
        <v>126</v>
      </c>
      <c r="H8" s="1007"/>
      <c r="I8" s="1007"/>
      <c r="J8" s="1006">
        <f t="shared" ref="J8:J15" si="2">SUM(V8,AH8,AT8,BF8,BR8,CD8,CP8)</f>
        <v>0</v>
      </c>
      <c r="K8" s="1006"/>
      <c r="L8" s="1006"/>
      <c r="M8" s="1007">
        <f t="shared" ref="M8:M15" si="3">SUM(Y8,AK8,AW8,BI8,BU8,CG8,CS8)</f>
        <v>0</v>
      </c>
      <c r="N8" s="1007"/>
      <c r="O8" s="1007"/>
      <c r="P8" s="592"/>
      <c r="Q8" s="592"/>
      <c r="R8" s="593"/>
      <c r="S8" s="594">
        <v>126</v>
      </c>
      <c r="T8" s="595"/>
      <c r="U8" s="596"/>
      <c r="V8" s="597">
        <v>0</v>
      </c>
      <c r="W8" s="592"/>
      <c r="X8" s="593"/>
      <c r="Y8" s="594">
        <v>0</v>
      </c>
      <c r="Z8" s="595"/>
      <c r="AA8" s="598"/>
      <c r="AB8" s="607">
        <v>13</v>
      </c>
      <c r="AC8" s="615"/>
      <c r="AD8" s="616"/>
      <c r="AE8" s="588">
        <v>0</v>
      </c>
      <c r="AF8" s="589"/>
      <c r="AG8" s="610"/>
      <c r="AH8" s="611">
        <v>0</v>
      </c>
      <c r="AI8" s="615"/>
      <c r="AJ8" s="616"/>
      <c r="AK8" s="588">
        <v>0</v>
      </c>
      <c r="AL8" s="589"/>
      <c r="AM8" s="590"/>
      <c r="AN8" s="617">
        <v>15</v>
      </c>
      <c r="AO8" s="618"/>
      <c r="AP8" s="619"/>
      <c r="AQ8" s="612">
        <v>0</v>
      </c>
      <c r="AR8" s="613"/>
      <c r="AS8" s="620"/>
      <c r="AT8" s="621">
        <v>0</v>
      </c>
      <c r="AU8" s="618"/>
      <c r="AV8" s="619"/>
      <c r="AW8" s="612">
        <v>0</v>
      </c>
      <c r="AX8" s="613"/>
      <c r="AY8" s="614"/>
      <c r="AZ8" s="607">
        <v>0</v>
      </c>
      <c r="BA8" s="615"/>
      <c r="BB8" s="616"/>
      <c r="BC8" s="588">
        <v>0</v>
      </c>
      <c r="BD8" s="589"/>
      <c r="BE8" s="610"/>
      <c r="BF8" s="611">
        <v>0</v>
      </c>
      <c r="BG8" s="615"/>
      <c r="BH8" s="616"/>
      <c r="BI8" s="588">
        <v>0</v>
      </c>
      <c r="BJ8" s="589"/>
      <c r="BK8" s="590"/>
      <c r="BL8" s="591">
        <v>8</v>
      </c>
      <c r="BM8" s="592"/>
      <c r="BN8" s="593"/>
      <c r="BO8" s="594">
        <v>0</v>
      </c>
      <c r="BP8" s="595"/>
      <c r="BQ8" s="596"/>
      <c r="BR8" s="597">
        <v>0</v>
      </c>
      <c r="BS8" s="592"/>
      <c r="BT8" s="593"/>
      <c r="BU8" s="594">
        <v>0</v>
      </c>
      <c r="BV8" s="595"/>
      <c r="BW8" s="598"/>
      <c r="BX8" s="607">
        <v>47</v>
      </c>
      <c r="BY8" s="615"/>
      <c r="BZ8" s="616"/>
      <c r="CA8" s="588">
        <v>0</v>
      </c>
      <c r="CB8" s="589"/>
      <c r="CC8" s="610"/>
      <c r="CD8" s="611">
        <v>0</v>
      </c>
      <c r="CE8" s="615"/>
      <c r="CF8" s="616"/>
      <c r="CG8" s="588">
        <v>0</v>
      </c>
      <c r="CH8" s="589"/>
      <c r="CI8" s="590"/>
      <c r="CJ8" s="591">
        <v>0</v>
      </c>
      <c r="CK8" s="592"/>
      <c r="CL8" s="593"/>
      <c r="CM8" s="594">
        <v>0</v>
      </c>
      <c r="CN8" s="595"/>
      <c r="CO8" s="596"/>
      <c r="CP8" s="597">
        <v>0</v>
      </c>
      <c r="CQ8" s="592"/>
      <c r="CR8" s="593"/>
      <c r="CS8" s="594">
        <v>0</v>
      </c>
      <c r="CT8" s="595"/>
      <c r="CU8" s="598"/>
    </row>
    <row r="9" spans="1:99" s="13" customFormat="1" ht="24">
      <c r="B9" s="13">
        <v>6</v>
      </c>
      <c r="C9" s="370" t="s">
        <v>52</v>
      </c>
      <c r="D9" s="368">
        <f t="shared" si="0"/>
        <v>550</v>
      </c>
      <c r="E9" s="368">
        <f>SUM(Q9,AC9,AO9,BA9,BM9,BY9,CK9)</f>
        <v>565</v>
      </c>
      <c r="F9" s="368">
        <f>SUM(R9,AD9,AP9,BB9,BN9,BZ9,CL9)</f>
        <v>1115</v>
      </c>
      <c r="G9" s="369">
        <f t="shared" si="1"/>
        <v>611</v>
      </c>
      <c r="H9" s="369">
        <f>SUM(T9,AF9,AR9,BD9,BP9,CB9,CN9)</f>
        <v>664</v>
      </c>
      <c r="I9" s="369">
        <f>SUM(U9,AG9,AS9,BE9,BQ9,CC9,CO9)</f>
        <v>1275</v>
      </c>
      <c r="J9" s="368">
        <f t="shared" si="2"/>
        <v>0</v>
      </c>
      <c r="K9" s="368">
        <f>SUM(W9,AI9,AU9,BG9,BS9,CE9,CQ9)</f>
        <v>0</v>
      </c>
      <c r="L9" s="368">
        <f>SUM(X9,AJ9,AV9,BH9,BT9,CF9,CR9)</f>
        <v>0</v>
      </c>
      <c r="M9" s="369">
        <f t="shared" si="3"/>
        <v>0</v>
      </c>
      <c r="N9" s="369">
        <f>SUM(Z9,AL9,AX9,BJ9,BV9,CH9,CT9)</f>
        <v>0</v>
      </c>
      <c r="O9" s="369">
        <f>SUM(AA9,AM9,AY9,BK9,BW9,CI9,CU9)</f>
        <v>0</v>
      </c>
      <c r="P9" s="332"/>
      <c r="Q9" s="332"/>
      <c r="R9" s="332">
        <v>0</v>
      </c>
      <c r="S9" s="333">
        <v>611</v>
      </c>
      <c r="T9" s="333">
        <v>664</v>
      </c>
      <c r="U9" s="333">
        <v>1275</v>
      </c>
      <c r="V9" s="332">
        <v>0</v>
      </c>
      <c r="W9" s="332">
        <v>0</v>
      </c>
      <c r="X9" s="332">
        <v>0</v>
      </c>
      <c r="Y9" s="333">
        <v>0</v>
      </c>
      <c r="Z9" s="333">
        <v>0</v>
      </c>
      <c r="AA9" s="334">
        <v>0</v>
      </c>
      <c r="AB9" s="45">
        <v>105</v>
      </c>
      <c r="AC9" s="338">
        <v>66</v>
      </c>
      <c r="AD9" s="338">
        <v>171</v>
      </c>
      <c r="AE9" s="339">
        <v>0</v>
      </c>
      <c r="AF9" s="339">
        <v>0</v>
      </c>
      <c r="AG9" s="339">
        <v>0</v>
      </c>
      <c r="AH9" s="338">
        <v>0</v>
      </c>
      <c r="AI9" s="338">
        <v>0</v>
      </c>
      <c r="AJ9" s="338">
        <v>0</v>
      </c>
      <c r="AK9" s="339">
        <v>0</v>
      </c>
      <c r="AL9" s="339">
        <v>0</v>
      </c>
      <c r="AM9" s="340">
        <v>0</v>
      </c>
      <c r="AN9" s="94">
        <v>90</v>
      </c>
      <c r="AO9" s="343">
        <v>99</v>
      </c>
      <c r="AP9" s="343">
        <v>189</v>
      </c>
      <c r="AQ9" s="344">
        <v>0</v>
      </c>
      <c r="AR9" s="344">
        <v>0</v>
      </c>
      <c r="AS9" s="344">
        <v>0</v>
      </c>
      <c r="AT9" s="343">
        <v>0</v>
      </c>
      <c r="AU9" s="343">
        <v>0</v>
      </c>
      <c r="AV9" s="343">
        <v>0</v>
      </c>
      <c r="AW9" s="344">
        <v>0</v>
      </c>
      <c r="AX9" s="344">
        <v>0</v>
      </c>
      <c r="AY9" s="337">
        <v>0</v>
      </c>
      <c r="AZ9" s="45">
        <v>0</v>
      </c>
      <c r="BA9" s="338">
        <v>0</v>
      </c>
      <c r="BB9" s="338">
        <v>0</v>
      </c>
      <c r="BC9" s="339">
        <v>0</v>
      </c>
      <c r="BD9" s="339">
        <v>0</v>
      </c>
      <c r="BE9" s="339">
        <v>0</v>
      </c>
      <c r="BF9" s="338">
        <v>0</v>
      </c>
      <c r="BG9" s="338">
        <v>0</v>
      </c>
      <c r="BH9" s="338">
        <v>0</v>
      </c>
      <c r="BI9" s="339">
        <v>0</v>
      </c>
      <c r="BJ9" s="339">
        <v>0</v>
      </c>
      <c r="BK9" s="340">
        <v>0</v>
      </c>
      <c r="BL9" s="41">
        <v>38</v>
      </c>
      <c r="BM9" s="332">
        <v>59</v>
      </c>
      <c r="BN9" s="332">
        <v>97</v>
      </c>
      <c r="BO9" s="333">
        <v>0</v>
      </c>
      <c r="BP9" s="333">
        <v>0</v>
      </c>
      <c r="BQ9" s="333">
        <v>0</v>
      </c>
      <c r="BR9" s="332">
        <v>0</v>
      </c>
      <c r="BS9" s="332">
        <v>0</v>
      </c>
      <c r="BT9" s="332">
        <v>0</v>
      </c>
      <c r="BU9" s="333">
        <v>0</v>
      </c>
      <c r="BV9" s="333">
        <v>0</v>
      </c>
      <c r="BW9" s="334">
        <v>0</v>
      </c>
      <c r="BX9" s="169">
        <v>317</v>
      </c>
      <c r="BY9" s="170">
        <v>341</v>
      </c>
      <c r="BZ9" s="170">
        <v>658</v>
      </c>
      <c r="CA9" s="171">
        <v>0</v>
      </c>
      <c r="CB9" s="171">
        <v>0</v>
      </c>
      <c r="CC9" s="171">
        <v>0</v>
      </c>
      <c r="CD9" s="170">
        <v>0</v>
      </c>
      <c r="CE9" s="170">
        <v>0</v>
      </c>
      <c r="CF9" s="170">
        <v>0</v>
      </c>
      <c r="CG9" s="171">
        <v>0</v>
      </c>
      <c r="CH9" s="171">
        <v>0</v>
      </c>
      <c r="CI9" s="172">
        <v>0</v>
      </c>
      <c r="CJ9" s="41">
        <v>0</v>
      </c>
      <c r="CK9" s="332">
        <v>0</v>
      </c>
      <c r="CL9" s="332">
        <v>0</v>
      </c>
      <c r="CM9" s="333">
        <v>0</v>
      </c>
      <c r="CN9" s="333">
        <v>0</v>
      </c>
      <c r="CO9" s="333">
        <v>0</v>
      </c>
      <c r="CP9" s="332">
        <v>0</v>
      </c>
      <c r="CQ9" s="332">
        <v>0</v>
      </c>
      <c r="CR9" s="332">
        <v>0</v>
      </c>
      <c r="CS9" s="333">
        <v>0</v>
      </c>
      <c r="CT9" s="333">
        <v>0</v>
      </c>
      <c r="CU9" s="334">
        <v>0</v>
      </c>
    </row>
    <row r="10" spans="1:99" s="13" customFormat="1" ht="24">
      <c r="B10" s="13">
        <v>7</v>
      </c>
      <c r="C10" s="370" t="s">
        <v>47</v>
      </c>
      <c r="D10" s="1006">
        <f t="shared" si="0"/>
        <v>12095</v>
      </c>
      <c r="E10" s="1006"/>
      <c r="F10" s="1006"/>
      <c r="G10" s="1007">
        <f t="shared" si="1"/>
        <v>11836</v>
      </c>
      <c r="H10" s="1007"/>
      <c r="I10" s="1007"/>
      <c r="J10" s="1006">
        <f t="shared" si="2"/>
        <v>11986</v>
      </c>
      <c r="K10" s="1006"/>
      <c r="L10" s="1006"/>
      <c r="M10" s="1007">
        <f t="shared" si="3"/>
        <v>12267</v>
      </c>
      <c r="N10" s="1007"/>
      <c r="O10" s="1007"/>
      <c r="P10" s="927">
        <v>947</v>
      </c>
      <c r="Q10" s="927"/>
      <c r="R10" s="928"/>
      <c r="S10" s="935">
        <v>884</v>
      </c>
      <c r="T10" s="936"/>
      <c r="U10" s="937"/>
      <c r="V10" s="938">
        <v>944</v>
      </c>
      <c r="W10" s="927"/>
      <c r="X10" s="928"/>
      <c r="Y10" s="935">
        <v>1004</v>
      </c>
      <c r="Z10" s="936"/>
      <c r="AA10" s="939"/>
      <c r="AB10" s="940">
        <v>1859</v>
      </c>
      <c r="AC10" s="933"/>
      <c r="AD10" s="934"/>
      <c r="AE10" s="941">
        <v>1790</v>
      </c>
      <c r="AF10" s="942"/>
      <c r="AG10" s="943"/>
      <c r="AH10" s="932">
        <v>1827</v>
      </c>
      <c r="AI10" s="933"/>
      <c r="AJ10" s="934"/>
      <c r="AK10" s="941">
        <v>1864</v>
      </c>
      <c r="AL10" s="942"/>
      <c r="AM10" s="944"/>
      <c r="AN10" s="929">
        <v>1843</v>
      </c>
      <c r="AO10" s="930"/>
      <c r="AP10" s="931"/>
      <c r="AQ10" s="945">
        <v>1973</v>
      </c>
      <c r="AR10" s="946"/>
      <c r="AS10" s="947"/>
      <c r="AT10" s="948">
        <v>2045</v>
      </c>
      <c r="AU10" s="930"/>
      <c r="AV10" s="931"/>
      <c r="AW10" s="945">
        <v>2175</v>
      </c>
      <c r="AX10" s="946"/>
      <c r="AY10" s="949"/>
      <c r="AZ10" s="940">
        <v>737</v>
      </c>
      <c r="BA10" s="933"/>
      <c r="BB10" s="934"/>
      <c r="BC10" s="941">
        <v>891</v>
      </c>
      <c r="BD10" s="942"/>
      <c r="BE10" s="943"/>
      <c r="BF10" s="932">
        <v>1045</v>
      </c>
      <c r="BG10" s="933"/>
      <c r="BH10" s="934"/>
      <c r="BI10" s="941">
        <v>1199</v>
      </c>
      <c r="BJ10" s="942"/>
      <c r="BK10" s="944"/>
      <c r="BL10" s="926">
        <v>1194</v>
      </c>
      <c r="BM10" s="927"/>
      <c r="BN10" s="928"/>
      <c r="BO10" s="935">
        <v>1343</v>
      </c>
      <c r="BP10" s="936"/>
      <c r="BQ10" s="937"/>
      <c r="BR10" s="938">
        <v>1317</v>
      </c>
      <c r="BS10" s="927"/>
      <c r="BT10" s="928"/>
      <c r="BU10" s="935">
        <v>1291</v>
      </c>
      <c r="BV10" s="936"/>
      <c r="BW10" s="939"/>
      <c r="BX10" s="940">
        <v>3408</v>
      </c>
      <c r="BY10" s="933"/>
      <c r="BZ10" s="934"/>
      <c r="CA10" s="941">
        <v>2656</v>
      </c>
      <c r="CB10" s="942"/>
      <c r="CC10" s="943"/>
      <c r="CD10" s="932">
        <v>2676</v>
      </c>
      <c r="CE10" s="933"/>
      <c r="CF10" s="934"/>
      <c r="CG10" s="941">
        <v>2696</v>
      </c>
      <c r="CH10" s="942"/>
      <c r="CI10" s="944"/>
      <c r="CJ10" s="926">
        <v>2107</v>
      </c>
      <c r="CK10" s="927"/>
      <c r="CL10" s="928"/>
      <c r="CM10" s="935">
        <v>2299</v>
      </c>
      <c r="CN10" s="936"/>
      <c r="CO10" s="937"/>
      <c r="CP10" s="938">
        <v>2132</v>
      </c>
      <c r="CQ10" s="927"/>
      <c r="CR10" s="928"/>
      <c r="CS10" s="935">
        <v>2038</v>
      </c>
      <c r="CT10" s="936"/>
      <c r="CU10" s="939"/>
    </row>
    <row r="11" spans="1:99" s="13" customFormat="1" ht="24">
      <c r="B11" s="13">
        <v>8</v>
      </c>
      <c r="C11" s="370" t="s">
        <v>48</v>
      </c>
      <c r="D11" s="368">
        <f t="shared" si="0"/>
        <v>86637</v>
      </c>
      <c r="E11" s="368">
        <f>SUM(Q11,AC11,AO11,BA11,BM11,BY11,CK11)</f>
        <v>96474</v>
      </c>
      <c r="F11" s="368">
        <f>SUM(R11,AD11,AP11,BB11,BN11,BZ11,CL11)</f>
        <v>183111</v>
      </c>
      <c r="G11" s="369">
        <f t="shared" si="1"/>
        <v>80096</v>
      </c>
      <c r="H11" s="369">
        <f>SUM(T11,AF11,AR11,BD11,BP11,CB11,CN11)</f>
        <v>94637</v>
      </c>
      <c r="I11" s="369">
        <f>SUM(U11,AG11,AS11,BE11,BQ11,CC11,CO11)</f>
        <v>174733</v>
      </c>
      <c r="J11" s="368">
        <f t="shared" si="2"/>
        <v>82518</v>
      </c>
      <c r="K11" s="368">
        <f>SUM(W11,AI11,AU11,BG11,BS11,CE11,CQ11)</f>
        <v>96565</v>
      </c>
      <c r="L11" s="368">
        <f>SUM(X11,AJ11,AV11,BH11,BT11,CF11,CR11)</f>
        <v>179083</v>
      </c>
      <c r="M11" s="369">
        <f t="shared" si="3"/>
        <v>85761</v>
      </c>
      <c r="N11" s="369">
        <f>SUM(Z11,AL11,AX11,BJ11,BV11,CH11,CT11)</f>
        <v>101970</v>
      </c>
      <c r="O11" s="369">
        <f>SUM(AA11,AM11,AY11,BK11,BW11,CI11,CU11)</f>
        <v>187731</v>
      </c>
      <c r="P11" s="332">
        <v>4329</v>
      </c>
      <c r="Q11" s="332">
        <v>5516</v>
      </c>
      <c r="R11" s="332">
        <v>9845</v>
      </c>
      <c r="S11" s="333">
        <v>3981</v>
      </c>
      <c r="T11" s="333">
        <v>5277</v>
      </c>
      <c r="U11" s="333">
        <v>9258</v>
      </c>
      <c r="V11" s="332">
        <v>4957</v>
      </c>
      <c r="W11" s="332">
        <v>6518</v>
      </c>
      <c r="X11" s="332">
        <v>11475</v>
      </c>
      <c r="Y11" s="333">
        <v>5207</v>
      </c>
      <c r="Z11" s="333">
        <v>6835</v>
      </c>
      <c r="AA11" s="334">
        <v>12042</v>
      </c>
      <c r="AB11" s="45">
        <v>12221</v>
      </c>
      <c r="AC11" s="338">
        <v>13329</v>
      </c>
      <c r="AD11" s="338">
        <v>25550</v>
      </c>
      <c r="AE11" s="339">
        <v>11803</v>
      </c>
      <c r="AF11" s="339">
        <v>12855</v>
      </c>
      <c r="AG11" s="339">
        <v>24658</v>
      </c>
      <c r="AH11" s="338">
        <v>12981</v>
      </c>
      <c r="AI11" s="338">
        <v>14082</v>
      </c>
      <c r="AJ11" s="338">
        <v>27063</v>
      </c>
      <c r="AK11" s="339">
        <v>14159</v>
      </c>
      <c r="AL11" s="339">
        <v>15309</v>
      </c>
      <c r="AM11" s="340">
        <v>29468</v>
      </c>
      <c r="AN11" s="94">
        <v>10737</v>
      </c>
      <c r="AO11" s="343">
        <v>13343</v>
      </c>
      <c r="AP11" s="343">
        <v>24080</v>
      </c>
      <c r="AQ11" s="344">
        <v>11423</v>
      </c>
      <c r="AR11" s="344">
        <v>14043</v>
      </c>
      <c r="AS11" s="344">
        <v>25466</v>
      </c>
      <c r="AT11" s="343">
        <v>11723</v>
      </c>
      <c r="AU11" s="343">
        <v>14343</v>
      </c>
      <c r="AV11" s="343">
        <v>26066</v>
      </c>
      <c r="AW11" s="344">
        <v>12521</v>
      </c>
      <c r="AX11" s="344">
        <v>15094</v>
      </c>
      <c r="AY11" s="337">
        <v>27615</v>
      </c>
      <c r="AZ11" s="45">
        <v>3835</v>
      </c>
      <c r="BA11" s="338">
        <v>6096</v>
      </c>
      <c r="BB11" s="338">
        <v>9931</v>
      </c>
      <c r="BC11" s="339">
        <v>4605</v>
      </c>
      <c r="BD11" s="339">
        <v>7636</v>
      </c>
      <c r="BE11" s="339">
        <v>12241</v>
      </c>
      <c r="BF11" s="338">
        <v>5375</v>
      </c>
      <c r="BG11" s="338">
        <v>9176</v>
      </c>
      <c r="BH11" s="338">
        <v>14551</v>
      </c>
      <c r="BI11" s="339">
        <v>6145</v>
      </c>
      <c r="BJ11" s="339">
        <v>10716</v>
      </c>
      <c r="BK11" s="340">
        <v>16861</v>
      </c>
      <c r="BL11" s="41">
        <v>8189</v>
      </c>
      <c r="BM11" s="332">
        <v>9845</v>
      </c>
      <c r="BN11" s="332">
        <v>18034</v>
      </c>
      <c r="BO11" s="333">
        <v>9324</v>
      </c>
      <c r="BP11" s="333">
        <v>10811</v>
      </c>
      <c r="BQ11" s="333">
        <v>20135</v>
      </c>
      <c r="BR11" s="332">
        <v>9443</v>
      </c>
      <c r="BS11" s="332">
        <v>10536</v>
      </c>
      <c r="BT11" s="332">
        <v>19979</v>
      </c>
      <c r="BU11" s="333">
        <v>9496</v>
      </c>
      <c r="BV11" s="333">
        <v>10327</v>
      </c>
      <c r="BW11" s="334">
        <v>19823</v>
      </c>
      <c r="BX11" s="169">
        <v>30379</v>
      </c>
      <c r="BY11" s="170">
        <v>29892</v>
      </c>
      <c r="BZ11" s="170">
        <v>60271</v>
      </c>
      <c r="CA11" s="171">
        <v>19412</v>
      </c>
      <c r="CB11" s="171">
        <v>24394</v>
      </c>
      <c r="CC11" s="171">
        <v>43806</v>
      </c>
      <c r="CD11" s="170">
        <v>20123</v>
      </c>
      <c r="CE11" s="170">
        <v>23994</v>
      </c>
      <c r="CF11" s="170">
        <v>44117</v>
      </c>
      <c r="CG11" s="171">
        <v>20989</v>
      </c>
      <c r="CH11" s="171">
        <v>26445</v>
      </c>
      <c r="CI11" s="172">
        <v>47434</v>
      </c>
      <c r="CJ11" s="41">
        <v>16947</v>
      </c>
      <c r="CK11" s="332">
        <v>18453</v>
      </c>
      <c r="CL11" s="332">
        <v>35400</v>
      </c>
      <c r="CM11" s="333">
        <v>19548</v>
      </c>
      <c r="CN11" s="333">
        <v>19621</v>
      </c>
      <c r="CO11" s="333">
        <v>39169</v>
      </c>
      <c r="CP11" s="332">
        <v>17916</v>
      </c>
      <c r="CQ11" s="332">
        <v>17916</v>
      </c>
      <c r="CR11" s="332">
        <v>35832</v>
      </c>
      <c r="CS11" s="333">
        <v>17244</v>
      </c>
      <c r="CT11" s="333">
        <v>17244</v>
      </c>
      <c r="CU11" s="334">
        <v>34488</v>
      </c>
    </row>
    <row r="12" spans="1:99" s="13" customFormat="1">
      <c r="B12" s="13">
        <v>9</v>
      </c>
      <c r="C12" s="370" t="s">
        <v>49</v>
      </c>
      <c r="D12" s="1006">
        <f t="shared" si="0"/>
        <v>10345</v>
      </c>
      <c r="E12" s="1006"/>
      <c r="F12" s="1006"/>
      <c r="G12" s="1007">
        <f t="shared" si="1"/>
        <v>9981</v>
      </c>
      <c r="H12" s="1007"/>
      <c r="I12" s="1007"/>
      <c r="J12" s="1006">
        <f t="shared" si="2"/>
        <v>10138</v>
      </c>
      <c r="K12" s="1006"/>
      <c r="L12" s="1006"/>
      <c r="M12" s="1007">
        <f t="shared" si="3"/>
        <v>10270</v>
      </c>
      <c r="N12" s="1007"/>
      <c r="O12" s="1007"/>
      <c r="P12" s="927">
        <v>800</v>
      </c>
      <c r="Q12" s="927"/>
      <c r="R12" s="928"/>
      <c r="S12" s="935">
        <v>734</v>
      </c>
      <c r="T12" s="936"/>
      <c r="U12" s="937"/>
      <c r="V12" s="938">
        <v>794</v>
      </c>
      <c r="W12" s="927"/>
      <c r="X12" s="928"/>
      <c r="Y12" s="935">
        <v>854</v>
      </c>
      <c r="Z12" s="936"/>
      <c r="AA12" s="939"/>
      <c r="AB12" s="940">
        <v>1605</v>
      </c>
      <c r="AC12" s="933"/>
      <c r="AD12" s="934"/>
      <c r="AE12" s="941">
        <v>1642</v>
      </c>
      <c r="AF12" s="942"/>
      <c r="AG12" s="943"/>
      <c r="AH12" s="932">
        <v>1679</v>
      </c>
      <c r="AI12" s="933"/>
      <c r="AJ12" s="934"/>
      <c r="AK12" s="941">
        <v>1716</v>
      </c>
      <c r="AL12" s="942"/>
      <c r="AM12" s="944"/>
      <c r="AN12" s="929">
        <v>1723</v>
      </c>
      <c r="AO12" s="930"/>
      <c r="AP12" s="931"/>
      <c r="AQ12" s="945">
        <v>1793</v>
      </c>
      <c r="AR12" s="946"/>
      <c r="AS12" s="947"/>
      <c r="AT12" s="948">
        <v>1845</v>
      </c>
      <c r="AU12" s="930"/>
      <c r="AV12" s="931"/>
      <c r="AW12" s="945">
        <v>1923</v>
      </c>
      <c r="AX12" s="946"/>
      <c r="AY12" s="949"/>
      <c r="AZ12" s="940">
        <v>491</v>
      </c>
      <c r="BA12" s="933"/>
      <c r="BB12" s="934"/>
      <c r="BC12" s="941">
        <v>601</v>
      </c>
      <c r="BD12" s="942"/>
      <c r="BE12" s="943"/>
      <c r="BF12" s="932">
        <v>711</v>
      </c>
      <c r="BG12" s="933"/>
      <c r="BH12" s="934"/>
      <c r="BI12" s="941">
        <v>821</v>
      </c>
      <c r="BJ12" s="942"/>
      <c r="BK12" s="944"/>
      <c r="BL12" s="926">
        <v>1135</v>
      </c>
      <c r="BM12" s="927"/>
      <c r="BN12" s="928"/>
      <c r="BO12" s="935">
        <v>1109</v>
      </c>
      <c r="BP12" s="936"/>
      <c r="BQ12" s="937"/>
      <c r="BR12" s="938">
        <v>1083</v>
      </c>
      <c r="BS12" s="927"/>
      <c r="BT12" s="928"/>
      <c r="BU12" s="935">
        <v>1057</v>
      </c>
      <c r="BV12" s="936"/>
      <c r="BW12" s="939"/>
      <c r="BX12" s="940">
        <v>2636</v>
      </c>
      <c r="BY12" s="933"/>
      <c r="BZ12" s="934"/>
      <c r="CA12" s="941">
        <v>2390</v>
      </c>
      <c r="CB12" s="942"/>
      <c r="CC12" s="943"/>
      <c r="CD12" s="932">
        <v>2408</v>
      </c>
      <c r="CE12" s="933"/>
      <c r="CF12" s="934"/>
      <c r="CG12" s="941">
        <v>2427</v>
      </c>
      <c r="CH12" s="942"/>
      <c r="CI12" s="944"/>
      <c r="CJ12" s="926">
        <v>1955</v>
      </c>
      <c r="CK12" s="927"/>
      <c r="CL12" s="928"/>
      <c r="CM12" s="935">
        <v>1712</v>
      </c>
      <c r="CN12" s="936"/>
      <c r="CO12" s="937"/>
      <c r="CP12" s="938">
        <v>1618</v>
      </c>
      <c r="CQ12" s="927"/>
      <c r="CR12" s="928"/>
      <c r="CS12" s="935">
        <v>1472</v>
      </c>
      <c r="CT12" s="936"/>
      <c r="CU12" s="939"/>
    </row>
    <row r="13" spans="1:99" s="13" customFormat="1" ht="24">
      <c r="B13" s="13">
        <v>10</v>
      </c>
      <c r="C13" s="370" t="s">
        <v>50</v>
      </c>
      <c r="D13" s="368">
        <f t="shared" si="0"/>
        <v>71765</v>
      </c>
      <c r="E13" s="368">
        <f>SUM(Q13,AC13,AO13,BA13,BM13,BY13,CK13)</f>
        <v>86519</v>
      </c>
      <c r="F13" s="368">
        <f>SUM(R13,AD13,AP13,BB13,BN13,BZ13,CL13)</f>
        <v>158284</v>
      </c>
      <c r="G13" s="369">
        <f t="shared" si="1"/>
        <v>70091</v>
      </c>
      <c r="H13" s="369">
        <f>SUM(T13,AF13,AR13,BD13,BP13,CB13,CN13)</f>
        <v>77598</v>
      </c>
      <c r="I13" s="369">
        <f>SUM(U13,AG13,AS13,BE13,BQ13,CC13,CO13)</f>
        <v>147689</v>
      </c>
      <c r="J13" s="368">
        <f t="shared" si="2"/>
        <v>71646</v>
      </c>
      <c r="K13" s="368">
        <f>SUM(W13,AI13,AU13,BG13,BS13,CE13,CQ13)</f>
        <v>79724</v>
      </c>
      <c r="L13" s="368">
        <f>SUM(X13,AJ13,AV13,BH13,BT13,CF13,CR13)</f>
        <v>151370</v>
      </c>
      <c r="M13" s="369">
        <f t="shared" si="3"/>
        <v>70854</v>
      </c>
      <c r="N13" s="369">
        <f>SUM(Z13,AL13,AX13,BJ13,BV13,CH13,CT13)</f>
        <v>79448</v>
      </c>
      <c r="O13" s="369">
        <f>SUM(AA13,AM13,AY13,BK13,BW13,CI13,CU13)</f>
        <v>150302</v>
      </c>
      <c r="P13" s="332">
        <v>3600</v>
      </c>
      <c r="Q13" s="332">
        <v>4728</v>
      </c>
      <c r="R13" s="332">
        <v>8328</v>
      </c>
      <c r="S13" s="333">
        <v>3255</v>
      </c>
      <c r="T13" s="333">
        <v>4353</v>
      </c>
      <c r="U13" s="333">
        <v>7608</v>
      </c>
      <c r="V13" s="332">
        <v>4231</v>
      </c>
      <c r="W13" s="332">
        <v>5594</v>
      </c>
      <c r="X13" s="332">
        <v>9825</v>
      </c>
      <c r="Y13" s="333">
        <v>4481</v>
      </c>
      <c r="Z13" s="333">
        <v>5911</v>
      </c>
      <c r="AA13" s="334">
        <v>10392</v>
      </c>
      <c r="AB13" s="45">
        <v>10625</v>
      </c>
      <c r="AC13" s="338">
        <v>11628</v>
      </c>
      <c r="AD13" s="338">
        <v>22253</v>
      </c>
      <c r="AE13" s="339">
        <v>10933</v>
      </c>
      <c r="AF13" s="339">
        <v>11949</v>
      </c>
      <c r="AG13" s="339">
        <v>22882</v>
      </c>
      <c r="AH13" s="338">
        <v>11241</v>
      </c>
      <c r="AI13" s="338">
        <v>12270</v>
      </c>
      <c r="AJ13" s="338">
        <v>23511</v>
      </c>
      <c r="AK13" s="339">
        <v>11549</v>
      </c>
      <c r="AL13" s="339">
        <v>12591</v>
      </c>
      <c r="AM13" s="340">
        <v>24140</v>
      </c>
      <c r="AN13" s="94">
        <v>10023</v>
      </c>
      <c r="AO13" s="343">
        <v>12543</v>
      </c>
      <c r="AP13" s="343">
        <v>22566</v>
      </c>
      <c r="AQ13" s="344">
        <v>10323</v>
      </c>
      <c r="AR13" s="344">
        <v>12843</v>
      </c>
      <c r="AS13" s="344">
        <v>23166</v>
      </c>
      <c r="AT13" s="343">
        <v>10523</v>
      </c>
      <c r="AU13" s="343">
        <v>13043</v>
      </c>
      <c r="AV13" s="343">
        <v>23566</v>
      </c>
      <c r="AW13" s="344">
        <v>9705</v>
      </c>
      <c r="AX13" s="344">
        <v>12193</v>
      </c>
      <c r="AY13" s="337">
        <v>21898</v>
      </c>
      <c r="AZ13" s="45">
        <v>3318</v>
      </c>
      <c r="BA13" s="338">
        <v>4278</v>
      </c>
      <c r="BB13" s="338">
        <v>7596</v>
      </c>
      <c r="BC13" s="339">
        <v>3868</v>
      </c>
      <c r="BD13" s="339">
        <v>5378</v>
      </c>
      <c r="BE13" s="339">
        <v>9246</v>
      </c>
      <c r="BF13" s="338">
        <v>4418</v>
      </c>
      <c r="BG13" s="338">
        <v>6478</v>
      </c>
      <c r="BH13" s="338">
        <v>10896</v>
      </c>
      <c r="BI13" s="339">
        <v>4968</v>
      </c>
      <c r="BJ13" s="339">
        <v>7578</v>
      </c>
      <c r="BK13" s="340">
        <v>12546</v>
      </c>
      <c r="BL13" s="41">
        <v>7764</v>
      </c>
      <c r="BM13" s="332">
        <v>9251</v>
      </c>
      <c r="BN13" s="332">
        <v>17015</v>
      </c>
      <c r="BO13" s="333">
        <v>7883</v>
      </c>
      <c r="BP13" s="333">
        <v>8976</v>
      </c>
      <c r="BQ13" s="333">
        <v>16859</v>
      </c>
      <c r="BR13" s="332">
        <v>7936</v>
      </c>
      <c r="BS13" s="332">
        <v>8767</v>
      </c>
      <c r="BT13" s="332">
        <v>16703</v>
      </c>
      <c r="BU13" s="333">
        <v>7870</v>
      </c>
      <c r="BV13" s="333">
        <v>8624</v>
      </c>
      <c r="BW13" s="334">
        <v>16494</v>
      </c>
      <c r="BX13" s="169">
        <v>20498</v>
      </c>
      <c r="BY13" s="170">
        <v>26731</v>
      </c>
      <c r="BZ13" s="170">
        <v>47229</v>
      </c>
      <c r="CA13" s="171">
        <v>19273</v>
      </c>
      <c r="CB13" s="171">
        <v>19543</v>
      </c>
      <c r="CC13" s="171">
        <v>38816</v>
      </c>
      <c r="CD13" s="170">
        <v>19413</v>
      </c>
      <c r="CE13" s="170">
        <v>19688</v>
      </c>
      <c r="CF13" s="170">
        <v>39101</v>
      </c>
      <c r="CG13" s="171">
        <v>19565</v>
      </c>
      <c r="CH13" s="171">
        <v>19835</v>
      </c>
      <c r="CI13" s="172">
        <v>39400</v>
      </c>
      <c r="CJ13" s="41">
        <v>15937</v>
      </c>
      <c r="CK13" s="332">
        <v>17360</v>
      </c>
      <c r="CL13" s="332">
        <v>33297</v>
      </c>
      <c r="CM13" s="333">
        <v>14556</v>
      </c>
      <c r="CN13" s="333">
        <v>14556</v>
      </c>
      <c r="CO13" s="333">
        <v>29112</v>
      </c>
      <c r="CP13" s="332">
        <v>13884</v>
      </c>
      <c r="CQ13" s="332">
        <v>13884</v>
      </c>
      <c r="CR13" s="332">
        <v>27768</v>
      </c>
      <c r="CS13" s="333">
        <v>12716</v>
      </c>
      <c r="CT13" s="333">
        <v>12716</v>
      </c>
      <c r="CU13" s="334">
        <v>25432</v>
      </c>
    </row>
    <row r="14" spans="1:99" s="186" customFormat="1">
      <c r="A14" s="13"/>
      <c r="B14" s="13">
        <v>11</v>
      </c>
      <c r="C14" s="313" t="s">
        <v>72</v>
      </c>
      <c r="D14" s="1017">
        <f t="shared" si="0"/>
        <v>3756</v>
      </c>
      <c r="E14" s="1017"/>
      <c r="F14" s="1017"/>
      <c r="G14" s="1018">
        <f t="shared" si="1"/>
        <v>5365</v>
      </c>
      <c r="H14" s="1018"/>
      <c r="I14" s="1018"/>
      <c r="J14" s="1017">
        <f t="shared" si="2"/>
        <v>6922.6</v>
      </c>
      <c r="K14" s="1017"/>
      <c r="L14" s="1017"/>
      <c r="M14" s="1018">
        <f t="shared" si="3"/>
        <v>8586.0400000000009</v>
      </c>
      <c r="N14" s="1018"/>
      <c r="O14" s="1018"/>
      <c r="P14" s="992">
        <v>472</v>
      </c>
      <c r="Q14" s="992"/>
      <c r="R14" s="993"/>
      <c r="S14" s="994">
        <v>622</v>
      </c>
      <c r="T14" s="995"/>
      <c r="U14" s="1004"/>
      <c r="V14" s="991">
        <v>772</v>
      </c>
      <c r="W14" s="992"/>
      <c r="X14" s="993"/>
      <c r="Y14" s="994">
        <v>922</v>
      </c>
      <c r="Z14" s="995"/>
      <c r="AA14" s="996"/>
      <c r="AB14" s="1008">
        <v>783</v>
      </c>
      <c r="AC14" s="998"/>
      <c r="AD14" s="999"/>
      <c r="AE14" s="1000">
        <v>931</v>
      </c>
      <c r="AF14" s="1001"/>
      <c r="AG14" s="1005"/>
      <c r="AH14" s="997">
        <v>1079</v>
      </c>
      <c r="AI14" s="998"/>
      <c r="AJ14" s="999"/>
      <c r="AK14" s="1000">
        <v>1227</v>
      </c>
      <c r="AL14" s="1001"/>
      <c r="AM14" s="1002"/>
      <c r="AN14" s="1009">
        <v>442</v>
      </c>
      <c r="AO14" s="1010"/>
      <c r="AP14" s="1011"/>
      <c r="AQ14" s="1012">
        <v>622</v>
      </c>
      <c r="AR14" s="1013"/>
      <c r="AS14" s="1014"/>
      <c r="AT14" s="1015">
        <v>822</v>
      </c>
      <c r="AU14" s="1010"/>
      <c r="AV14" s="1011"/>
      <c r="AW14" s="1012">
        <v>1074</v>
      </c>
      <c r="AX14" s="1013"/>
      <c r="AY14" s="1016"/>
      <c r="AZ14" s="1008">
        <v>246</v>
      </c>
      <c r="BA14" s="998"/>
      <c r="BB14" s="999"/>
      <c r="BC14" s="1000">
        <v>290</v>
      </c>
      <c r="BD14" s="1001"/>
      <c r="BE14" s="1005"/>
      <c r="BF14" s="997">
        <v>334</v>
      </c>
      <c r="BG14" s="998"/>
      <c r="BH14" s="999"/>
      <c r="BI14" s="1000">
        <v>378</v>
      </c>
      <c r="BJ14" s="1001"/>
      <c r="BK14" s="1002"/>
      <c r="BL14" s="1003">
        <v>355</v>
      </c>
      <c r="BM14" s="992"/>
      <c r="BN14" s="993"/>
      <c r="BO14" s="994">
        <v>589</v>
      </c>
      <c r="BP14" s="995"/>
      <c r="BQ14" s="1004"/>
      <c r="BR14" s="991">
        <v>823</v>
      </c>
      <c r="BS14" s="992"/>
      <c r="BT14" s="993"/>
      <c r="BU14" s="994">
        <v>1057</v>
      </c>
      <c r="BV14" s="995"/>
      <c r="BW14" s="996"/>
      <c r="BX14" s="1008">
        <v>819</v>
      </c>
      <c r="BY14" s="998"/>
      <c r="BZ14" s="999"/>
      <c r="CA14" s="1000">
        <v>1085</v>
      </c>
      <c r="CB14" s="1001"/>
      <c r="CC14" s="1005"/>
      <c r="CD14" s="997">
        <v>1353</v>
      </c>
      <c r="CE14" s="998"/>
      <c r="CF14" s="999"/>
      <c r="CG14" s="1000">
        <v>1622</v>
      </c>
      <c r="CH14" s="1001"/>
      <c r="CI14" s="1002"/>
      <c r="CJ14" s="1003">
        <v>639</v>
      </c>
      <c r="CK14" s="992"/>
      <c r="CL14" s="993"/>
      <c r="CM14" s="994">
        <v>1226</v>
      </c>
      <c r="CN14" s="995"/>
      <c r="CO14" s="1004"/>
      <c r="CP14" s="991">
        <v>1739.6</v>
      </c>
      <c r="CQ14" s="992"/>
      <c r="CR14" s="993"/>
      <c r="CS14" s="994">
        <v>2306.04</v>
      </c>
      <c r="CT14" s="995"/>
      <c r="CU14" s="996"/>
    </row>
    <row r="15" spans="1:99" s="13" customFormat="1">
      <c r="B15" s="13">
        <v>12</v>
      </c>
      <c r="C15" s="362" t="s">
        <v>277</v>
      </c>
      <c r="D15" s="368">
        <f t="shared" si="0"/>
        <v>22360</v>
      </c>
      <c r="E15" s="368">
        <f>SUM(Q15,AC15,AO15,BA15,BM15,BY15,CK15)</f>
        <v>25182</v>
      </c>
      <c r="F15" s="368">
        <f>SUM(R15,AD15,AP15,BB15,BN15,BZ15,CL15)</f>
        <v>47542</v>
      </c>
      <c r="G15" s="369">
        <f t="shared" si="1"/>
        <v>35042</v>
      </c>
      <c r="H15" s="369">
        <f>SUM(T15,AF15,AR15,BD15,BP15,CB15,CN15)</f>
        <v>39215</v>
      </c>
      <c r="I15" s="369">
        <f>SUM(U15,AG15,AS15,BE15,BQ15,CC15,CO15)</f>
        <v>74257</v>
      </c>
      <c r="J15" s="368">
        <f t="shared" si="2"/>
        <v>45684</v>
      </c>
      <c r="K15" s="368">
        <f>SUM(W15,AI15,AU15,BG15,BS15,CE15,CQ15)</f>
        <v>50851</v>
      </c>
      <c r="L15" s="368">
        <f>SUM(X15,AJ15,AV15,BH15,BT15,CF15,CR15)</f>
        <v>96535</v>
      </c>
      <c r="M15" s="369">
        <f t="shared" si="3"/>
        <v>58584</v>
      </c>
      <c r="N15" s="369">
        <f>SUM(Z15,AL15,AX15,BJ15,BV15,CH15,CT15)</f>
        <v>64452</v>
      </c>
      <c r="O15" s="369">
        <f>SUM(AA15,AM15,AY15,BK15,BW15,CI15,CU15)</f>
        <v>123036</v>
      </c>
      <c r="P15" s="332">
        <v>2446</v>
      </c>
      <c r="Q15" s="332">
        <v>2995</v>
      </c>
      <c r="R15" s="332">
        <v>5441</v>
      </c>
      <c r="S15" s="333">
        <v>3172</v>
      </c>
      <c r="T15" s="333">
        <v>3783</v>
      </c>
      <c r="U15" s="333">
        <v>6955</v>
      </c>
      <c r="V15" s="332">
        <v>3898</v>
      </c>
      <c r="W15" s="332">
        <v>4707</v>
      </c>
      <c r="X15" s="332">
        <v>8605</v>
      </c>
      <c r="Y15" s="333">
        <v>4624</v>
      </c>
      <c r="Z15" s="333">
        <v>5631</v>
      </c>
      <c r="AA15" s="334">
        <v>10255</v>
      </c>
      <c r="AB15" s="45">
        <v>5295</v>
      </c>
      <c r="AC15" s="338">
        <v>5510</v>
      </c>
      <c r="AD15" s="338">
        <v>10805</v>
      </c>
      <c r="AE15" s="339">
        <v>6165</v>
      </c>
      <c r="AF15" s="339">
        <v>6416</v>
      </c>
      <c r="AG15" s="339">
        <v>12581</v>
      </c>
      <c r="AH15" s="338">
        <v>7035</v>
      </c>
      <c r="AI15" s="338">
        <v>7322</v>
      </c>
      <c r="AJ15" s="338">
        <v>14357</v>
      </c>
      <c r="AK15" s="339">
        <v>7905</v>
      </c>
      <c r="AL15" s="339">
        <v>8228</v>
      </c>
      <c r="AM15" s="340">
        <v>16133</v>
      </c>
      <c r="AN15" s="94">
        <v>1584</v>
      </c>
      <c r="AO15" s="343">
        <v>1800</v>
      </c>
      <c r="AP15" s="343">
        <v>3384</v>
      </c>
      <c r="AQ15" s="344">
        <v>2684</v>
      </c>
      <c r="AR15" s="344">
        <v>3000</v>
      </c>
      <c r="AS15" s="344">
        <v>5684</v>
      </c>
      <c r="AT15" s="343">
        <v>3884</v>
      </c>
      <c r="AU15" s="343">
        <v>4300</v>
      </c>
      <c r="AV15" s="343">
        <v>8184</v>
      </c>
      <c r="AW15" s="344">
        <v>6700</v>
      </c>
      <c r="AX15" s="344">
        <v>7200</v>
      </c>
      <c r="AY15" s="337">
        <v>13900</v>
      </c>
      <c r="AZ15" s="45">
        <v>517</v>
      </c>
      <c r="BA15" s="338">
        <v>1818</v>
      </c>
      <c r="BB15" s="338">
        <v>2335</v>
      </c>
      <c r="BC15" s="339">
        <v>737</v>
      </c>
      <c r="BD15" s="339">
        <v>2258</v>
      </c>
      <c r="BE15" s="339">
        <v>2995</v>
      </c>
      <c r="BF15" s="338">
        <v>957</v>
      </c>
      <c r="BG15" s="338">
        <v>2698</v>
      </c>
      <c r="BH15" s="338">
        <v>3655</v>
      </c>
      <c r="BI15" s="339">
        <v>1177</v>
      </c>
      <c r="BJ15" s="339">
        <v>3138</v>
      </c>
      <c r="BK15" s="340">
        <v>4315</v>
      </c>
      <c r="BL15" s="41">
        <v>2609</v>
      </c>
      <c r="BM15" s="332">
        <v>3493</v>
      </c>
      <c r="BN15" s="332">
        <v>6102</v>
      </c>
      <c r="BO15" s="333">
        <v>4050</v>
      </c>
      <c r="BP15" s="333">
        <v>5328</v>
      </c>
      <c r="BQ15" s="333">
        <v>9378</v>
      </c>
      <c r="BR15" s="332">
        <v>5557</v>
      </c>
      <c r="BS15" s="332">
        <v>7097</v>
      </c>
      <c r="BT15" s="332">
        <v>12654</v>
      </c>
      <c r="BU15" s="333">
        <v>7130</v>
      </c>
      <c r="BV15" s="333">
        <v>8800</v>
      </c>
      <c r="BW15" s="334">
        <v>15930</v>
      </c>
      <c r="BX15" s="169">
        <v>5097</v>
      </c>
      <c r="BY15" s="170">
        <v>4827</v>
      </c>
      <c r="BZ15" s="170">
        <v>9924</v>
      </c>
      <c r="CA15" s="171">
        <v>8430</v>
      </c>
      <c r="CB15" s="171">
        <v>8626</v>
      </c>
      <c r="CC15" s="171">
        <v>17056</v>
      </c>
      <c r="CD15" s="170">
        <v>10517</v>
      </c>
      <c r="CE15" s="170">
        <v>10891</v>
      </c>
      <c r="CF15" s="170">
        <v>21408</v>
      </c>
      <c r="CG15" s="171">
        <v>12684</v>
      </c>
      <c r="CH15" s="171">
        <v>13091</v>
      </c>
      <c r="CI15" s="172">
        <v>25775</v>
      </c>
      <c r="CJ15" s="41">
        <v>4812</v>
      </c>
      <c r="CK15" s="332">
        <v>4739</v>
      </c>
      <c r="CL15" s="332">
        <v>9551</v>
      </c>
      <c r="CM15" s="333">
        <v>9804</v>
      </c>
      <c r="CN15" s="333">
        <v>9804</v>
      </c>
      <c r="CO15" s="333">
        <v>19608</v>
      </c>
      <c r="CP15" s="332">
        <v>13836</v>
      </c>
      <c r="CQ15" s="332">
        <v>13836</v>
      </c>
      <c r="CR15" s="332">
        <v>27672</v>
      </c>
      <c r="CS15" s="333">
        <v>18364</v>
      </c>
      <c r="CT15" s="333">
        <v>18364</v>
      </c>
      <c r="CU15" s="334">
        <v>36728</v>
      </c>
    </row>
    <row r="16" spans="1:99" s="13" customFormat="1">
      <c r="B16" s="13">
        <v>13</v>
      </c>
      <c r="C16" s="362" t="s">
        <v>288</v>
      </c>
      <c r="D16" s="368"/>
      <c r="E16" s="368"/>
      <c r="F16" s="368"/>
      <c r="G16" s="369"/>
      <c r="H16" s="369"/>
      <c r="I16" s="369"/>
      <c r="J16" s="368"/>
      <c r="K16" s="368"/>
      <c r="L16" s="368"/>
      <c r="M16" s="369"/>
      <c r="N16" s="369"/>
      <c r="O16" s="369"/>
      <c r="P16" s="291"/>
      <c r="Q16" s="291"/>
      <c r="R16" s="292"/>
      <c r="S16" s="293"/>
      <c r="T16" s="293"/>
      <c r="U16" s="294"/>
      <c r="V16" s="291"/>
      <c r="W16" s="291"/>
      <c r="X16" s="292"/>
      <c r="Y16" s="293"/>
      <c r="Z16" s="293"/>
      <c r="AA16" s="295"/>
      <c r="AB16" s="296"/>
      <c r="AC16" s="297"/>
      <c r="AD16" s="298"/>
      <c r="AE16" s="299"/>
      <c r="AF16" s="299"/>
      <c r="AG16" s="300"/>
      <c r="AH16" s="297"/>
      <c r="AI16" s="297"/>
      <c r="AJ16" s="298"/>
      <c r="AK16" s="299"/>
      <c r="AL16" s="299"/>
      <c r="AM16" s="301"/>
      <c r="AN16" s="302"/>
      <c r="AO16" s="303"/>
      <c r="AP16" s="101"/>
      <c r="AQ16" s="304"/>
      <c r="AR16" s="304"/>
      <c r="AS16" s="305"/>
      <c r="AT16" s="303"/>
      <c r="AU16" s="303"/>
      <c r="AV16" s="101"/>
      <c r="AW16" s="304"/>
      <c r="AX16" s="304"/>
      <c r="AY16" s="306"/>
      <c r="AZ16" s="296"/>
      <c r="BA16" s="297"/>
      <c r="BB16" s="298"/>
      <c r="BC16" s="299"/>
      <c r="BD16" s="299"/>
      <c r="BE16" s="300"/>
      <c r="BF16" s="297"/>
      <c r="BG16" s="297"/>
      <c r="BH16" s="298"/>
      <c r="BI16" s="299"/>
      <c r="BJ16" s="299"/>
      <c r="BK16" s="301"/>
      <c r="BL16" s="290"/>
      <c r="BM16" s="291"/>
      <c r="BN16" s="292"/>
      <c r="BO16" s="293"/>
      <c r="BP16" s="293"/>
      <c r="BQ16" s="294"/>
      <c r="BR16" s="291"/>
      <c r="BS16" s="291"/>
      <c r="BT16" s="292"/>
      <c r="BU16" s="293"/>
      <c r="BV16" s="293"/>
      <c r="BW16" s="295"/>
      <c r="BX16" s="307"/>
      <c r="BY16" s="308"/>
      <c r="BZ16" s="309"/>
      <c r="CA16" s="310"/>
      <c r="CB16" s="310"/>
      <c r="CC16" s="311"/>
      <c r="CD16" s="308"/>
      <c r="CE16" s="308"/>
      <c r="CF16" s="309"/>
      <c r="CG16" s="310"/>
      <c r="CH16" s="310"/>
      <c r="CI16" s="312"/>
      <c r="CJ16" s="290"/>
      <c r="CK16" s="291"/>
      <c r="CL16" s="292"/>
      <c r="CM16" s="293"/>
      <c r="CN16" s="293"/>
      <c r="CO16" s="294"/>
      <c r="CP16" s="291"/>
      <c r="CQ16" s="291"/>
      <c r="CR16" s="292"/>
      <c r="CS16" s="293"/>
      <c r="CT16" s="293"/>
      <c r="CU16" s="295"/>
    </row>
    <row r="17" spans="1:99" s="13" customFormat="1">
      <c r="B17" s="13">
        <v>14</v>
      </c>
      <c r="C17" s="362" t="s">
        <v>289</v>
      </c>
      <c r="D17" s="368"/>
      <c r="E17" s="368"/>
      <c r="F17" s="368"/>
      <c r="G17" s="369"/>
      <c r="H17" s="369"/>
      <c r="I17" s="369"/>
      <c r="J17" s="368"/>
      <c r="K17" s="368"/>
      <c r="L17" s="368"/>
      <c r="M17" s="369"/>
      <c r="N17" s="369"/>
      <c r="O17" s="369"/>
      <c r="P17" s="291"/>
      <c r="Q17" s="291"/>
      <c r="R17" s="292"/>
      <c r="S17" s="293"/>
      <c r="T17" s="293"/>
      <c r="U17" s="294"/>
      <c r="V17" s="291"/>
      <c r="W17" s="291"/>
      <c r="X17" s="292"/>
      <c r="Y17" s="293"/>
      <c r="Z17" s="293"/>
      <c r="AA17" s="295"/>
      <c r="AB17" s="296"/>
      <c r="AC17" s="297"/>
      <c r="AD17" s="298"/>
      <c r="AE17" s="299"/>
      <c r="AF17" s="299"/>
      <c r="AG17" s="300"/>
      <c r="AH17" s="297"/>
      <c r="AI17" s="297"/>
      <c r="AJ17" s="298"/>
      <c r="AK17" s="299"/>
      <c r="AL17" s="299"/>
      <c r="AM17" s="301"/>
      <c r="AN17" s="302"/>
      <c r="AO17" s="303"/>
      <c r="AP17" s="101"/>
      <c r="AQ17" s="304"/>
      <c r="AR17" s="304"/>
      <c r="AS17" s="305"/>
      <c r="AT17" s="303"/>
      <c r="AU17" s="303"/>
      <c r="AV17" s="101"/>
      <c r="AW17" s="304"/>
      <c r="AX17" s="304"/>
      <c r="AY17" s="306"/>
      <c r="AZ17" s="296"/>
      <c r="BA17" s="297"/>
      <c r="BB17" s="298"/>
      <c r="BC17" s="299"/>
      <c r="BD17" s="299"/>
      <c r="BE17" s="300"/>
      <c r="BF17" s="297"/>
      <c r="BG17" s="297"/>
      <c r="BH17" s="298"/>
      <c r="BI17" s="299"/>
      <c r="BJ17" s="299"/>
      <c r="BK17" s="301"/>
      <c r="BL17" s="290"/>
      <c r="BM17" s="291"/>
      <c r="BN17" s="292"/>
      <c r="BO17" s="293"/>
      <c r="BP17" s="293"/>
      <c r="BQ17" s="294"/>
      <c r="BR17" s="291"/>
      <c r="BS17" s="291"/>
      <c r="BT17" s="292"/>
      <c r="BU17" s="293"/>
      <c r="BV17" s="293"/>
      <c r="BW17" s="295"/>
      <c r="BX17" s="307"/>
      <c r="BY17" s="308"/>
      <c r="BZ17" s="309"/>
      <c r="CA17" s="310"/>
      <c r="CB17" s="310"/>
      <c r="CC17" s="311"/>
      <c r="CD17" s="308"/>
      <c r="CE17" s="308"/>
      <c r="CF17" s="309"/>
      <c r="CG17" s="310"/>
      <c r="CH17" s="310"/>
      <c r="CI17" s="312"/>
      <c r="CJ17" s="290"/>
      <c r="CK17" s="291"/>
      <c r="CL17" s="292"/>
      <c r="CM17" s="293"/>
      <c r="CN17" s="293"/>
      <c r="CO17" s="294"/>
      <c r="CP17" s="291"/>
      <c r="CQ17" s="291"/>
      <c r="CR17" s="292"/>
      <c r="CS17" s="293"/>
      <c r="CT17" s="293"/>
      <c r="CU17" s="295"/>
    </row>
    <row r="18" spans="1:99" s="13" customFormat="1">
      <c r="B18" s="13">
        <v>15</v>
      </c>
      <c r="C18" s="362" t="s">
        <v>16</v>
      </c>
      <c r="D18" s="1006">
        <f t="shared" ref="D18:D25" si="4">SUM(P18,AB18,AN18,AZ18,BL18,BX18,CJ18)</f>
        <v>3148</v>
      </c>
      <c r="E18" s="1006"/>
      <c r="F18" s="1006"/>
      <c r="G18" s="1007">
        <f t="shared" ref="G18:G25" si="5">SUM(S18,AE18,AQ18,BC18,BO18,CA18,CM18)</f>
        <v>3548</v>
      </c>
      <c r="H18" s="1007"/>
      <c r="I18" s="1007"/>
      <c r="J18" s="1006">
        <f t="shared" ref="J18:J25" si="6">SUM(V18,AH18,AT18,BF18,BR18,CD18,CP18)</f>
        <v>3888</v>
      </c>
      <c r="K18" s="1006"/>
      <c r="L18" s="1006"/>
      <c r="M18" s="1007">
        <f t="shared" ref="M18:M25" si="7">SUM(Y18,AK18,AW18,BI18,BU18,CG18,CS18)</f>
        <v>4363</v>
      </c>
      <c r="N18" s="1007"/>
      <c r="O18" s="1007"/>
      <c r="P18" s="592">
        <v>162</v>
      </c>
      <c r="Q18" s="592"/>
      <c r="R18" s="593"/>
      <c r="S18" s="594">
        <v>165</v>
      </c>
      <c r="T18" s="595"/>
      <c r="U18" s="596"/>
      <c r="V18" s="597">
        <v>180</v>
      </c>
      <c r="W18" s="592"/>
      <c r="X18" s="593"/>
      <c r="Y18" s="594">
        <v>190</v>
      </c>
      <c r="Z18" s="595"/>
      <c r="AA18" s="598"/>
      <c r="AB18" s="607">
        <v>567</v>
      </c>
      <c r="AC18" s="615"/>
      <c r="AD18" s="616"/>
      <c r="AE18" s="588">
        <v>641</v>
      </c>
      <c r="AF18" s="589"/>
      <c r="AG18" s="610"/>
      <c r="AH18" s="611">
        <v>715</v>
      </c>
      <c r="AI18" s="615"/>
      <c r="AJ18" s="616"/>
      <c r="AK18" s="588">
        <v>789</v>
      </c>
      <c r="AL18" s="589"/>
      <c r="AM18" s="590"/>
      <c r="AN18" s="617">
        <v>459</v>
      </c>
      <c r="AO18" s="618"/>
      <c r="AP18" s="619"/>
      <c r="AQ18" s="612">
        <v>559</v>
      </c>
      <c r="AR18" s="613"/>
      <c r="AS18" s="620"/>
      <c r="AT18" s="621">
        <v>653</v>
      </c>
      <c r="AU18" s="618"/>
      <c r="AV18" s="619"/>
      <c r="AW18" s="612">
        <v>740</v>
      </c>
      <c r="AX18" s="613"/>
      <c r="AY18" s="614"/>
      <c r="AZ18" s="607">
        <v>118</v>
      </c>
      <c r="BA18" s="615"/>
      <c r="BB18" s="616"/>
      <c r="BC18" s="588">
        <v>151</v>
      </c>
      <c r="BD18" s="589"/>
      <c r="BE18" s="610"/>
      <c r="BF18" s="611">
        <v>184</v>
      </c>
      <c r="BG18" s="615"/>
      <c r="BH18" s="616"/>
      <c r="BI18" s="588">
        <v>217</v>
      </c>
      <c r="BJ18" s="589"/>
      <c r="BK18" s="590"/>
      <c r="BL18" s="591">
        <v>189</v>
      </c>
      <c r="BM18" s="592"/>
      <c r="BN18" s="593"/>
      <c r="BO18" s="594">
        <v>214</v>
      </c>
      <c r="BP18" s="595"/>
      <c r="BQ18" s="596"/>
      <c r="BR18" s="597">
        <v>239</v>
      </c>
      <c r="BS18" s="592"/>
      <c r="BT18" s="593"/>
      <c r="BU18" s="594">
        <v>264</v>
      </c>
      <c r="BV18" s="595"/>
      <c r="BW18" s="598"/>
      <c r="BX18" s="607">
        <v>1003</v>
      </c>
      <c r="BY18" s="615"/>
      <c r="BZ18" s="616"/>
      <c r="CA18" s="588">
        <v>1028</v>
      </c>
      <c r="CB18" s="589"/>
      <c r="CC18" s="610"/>
      <c r="CD18" s="611">
        <v>1043</v>
      </c>
      <c r="CE18" s="615"/>
      <c r="CF18" s="616"/>
      <c r="CG18" s="588">
        <v>1109</v>
      </c>
      <c r="CH18" s="589"/>
      <c r="CI18" s="590"/>
      <c r="CJ18" s="591">
        <v>650</v>
      </c>
      <c r="CK18" s="592"/>
      <c r="CL18" s="593"/>
      <c r="CM18" s="594">
        <v>790</v>
      </c>
      <c r="CN18" s="595"/>
      <c r="CO18" s="596"/>
      <c r="CP18" s="597">
        <v>874</v>
      </c>
      <c r="CQ18" s="592"/>
      <c r="CR18" s="593"/>
      <c r="CS18" s="594">
        <v>1054</v>
      </c>
      <c r="CT18" s="595"/>
      <c r="CU18" s="598"/>
    </row>
    <row r="19" spans="1:99" s="13" customFormat="1">
      <c r="B19" s="13">
        <v>16</v>
      </c>
      <c r="C19" s="362" t="s">
        <v>74</v>
      </c>
      <c r="D19" s="368">
        <f t="shared" si="4"/>
        <v>77960</v>
      </c>
      <c r="E19" s="368">
        <f t="shared" ref="E19:F25" si="8">SUM(Q19,AC19,AO19,BA19,BM19,BY19,CK19)</f>
        <v>81895</v>
      </c>
      <c r="F19" s="368">
        <f t="shared" si="8"/>
        <v>159855</v>
      </c>
      <c r="G19" s="369">
        <f t="shared" si="5"/>
        <v>86976</v>
      </c>
      <c r="H19" s="369">
        <f t="shared" ref="H19:I25" si="9">SUM(T19,AF19,AR19,BD19,BP19,CB19,CN19)</f>
        <v>91582</v>
      </c>
      <c r="I19" s="369">
        <f t="shared" si="9"/>
        <v>178558</v>
      </c>
      <c r="J19" s="368">
        <f t="shared" si="6"/>
        <v>91165</v>
      </c>
      <c r="K19" s="368">
        <f t="shared" ref="K19:L25" si="10">SUM(W19,AI19,AU19,BG19,BS19,CE19,CQ19)</f>
        <v>97615</v>
      </c>
      <c r="L19" s="368">
        <f t="shared" si="10"/>
        <v>188780</v>
      </c>
      <c r="M19" s="369">
        <f t="shared" si="7"/>
        <v>103610</v>
      </c>
      <c r="N19" s="369">
        <f t="shared" ref="N19:O25" si="11">SUM(Z19,AL19,AX19,BJ19,BV19,CH19,CT19)</f>
        <v>106693</v>
      </c>
      <c r="O19" s="369">
        <f t="shared" si="11"/>
        <v>210333</v>
      </c>
      <c r="P19" s="322">
        <v>4911</v>
      </c>
      <c r="Q19" s="322">
        <v>5806</v>
      </c>
      <c r="R19" s="322">
        <v>10717</v>
      </c>
      <c r="S19" s="323">
        <v>5100</v>
      </c>
      <c r="T19" s="323">
        <v>5900</v>
      </c>
      <c r="U19" s="323">
        <v>11000</v>
      </c>
      <c r="V19" s="322">
        <v>5390</v>
      </c>
      <c r="W19" s="322">
        <v>6270</v>
      </c>
      <c r="X19" s="322">
        <v>11660</v>
      </c>
      <c r="Y19" s="323">
        <v>5584</v>
      </c>
      <c r="Z19" s="323">
        <v>6516</v>
      </c>
      <c r="AA19" s="324">
        <v>12100</v>
      </c>
      <c r="AB19" s="48">
        <v>13518</v>
      </c>
      <c r="AC19" s="327">
        <v>14260</v>
      </c>
      <c r="AD19" s="327">
        <v>27778</v>
      </c>
      <c r="AE19" s="325">
        <v>14678</v>
      </c>
      <c r="AF19" s="325">
        <v>15468</v>
      </c>
      <c r="AG19" s="325">
        <v>30146</v>
      </c>
      <c r="AH19" s="327">
        <v>15838</v>
      </c>
      <c r="AI19" s="327">
        <v>16676</v>
      </c>
      <c r="AJ19" s="327">
        <v>32514</v>
      </c>
      <c r="AK19" s="325">
        <v>16998</v>
      </c>
      <c r="AL19" s="325">
        <v>17884</v>
      </c>
      <c r="AM19" s="321">
        <v>34882</v>
      </c>
      <c r="AN19" s="98">
        <v>12910</v>
      </c>
      <c r="AO19" s="329">
        <v>13715</v>
      </c>
      <c r="AP19" s="329">
        <v>26625</v>
      </c>
      <c r="AQ19" s="330">
        <v>14895</v>
      </c>
      <c r="AR19" s="330">
        <v>15908</v>
      </c>
      <c r="AS19" s="330">
        <v>30803</v>
      </c>
      <c r="AT19" s="329">
        <v>16795</v>
      </c>
      <c r="AU19" s="329">
        <v>17908</v>
      </c>
      <c r="AV19" s="101">
        <v>34703</v>
      </c>
      <c r="AW19" s="330">
        <v>19500</v>
      </c>
      <c r="AX19" s="330">
        <v>20600</v>
      </c>
      <c r="AY19" s="326">
        <v>40100</v>
      </c>
      <c r="AZ19" s="48">
        <v>2787</v>
      </c>
      <c r="BA19" s="327">
        <v>3462</v>
      </c>
      <c r="BB19" s="327">
        <v>6249</v>
      </c>
      <c r="BC19" s="325">
        <v>2952</v>
      </c>
      <c r="BD19" s="325">
        <v>3792</v>
      </c>
      <c r="BE19" s="325">
        <v>6744</v>
      </c>
      <c r="BF19" s="327">
        <v>3117</v>
      </c>
      <c r="BG19" s="327">
        <v>4122</v>
      </c>
      <c r="BH19" s="327">
        <v>7239</v>
      </c>
      <c r="BI19" s="325">
        <v>3282</v>
      </c>
      <c r="BJ19" s="325">
        <v>4452</v>
      </c>
      <c r="BK19" s="321">
        <v>7734</v>
      </c>
      <c r="BL19" s="47">
        <v>4367</v>
      </c>
      <c r="BM19" s="322">
        <v>6019</v>
      </c>
      <c r="BN19" s="322">
        <v>10386</v>
      </c>
      <c r="BO19" s="323">
        <v>4978</v>
      </c>
      <c r="BP19" s="323">
        <v>6922</v>
      </c>
      <c r="BQ19" s="323">
        <v>11900</v>
      </c>
      <c r="BR19" s="322">
        <v>5675</v>
      </c>
      <c r="BS19" s="322">
        <v>7960</v>
      </c>
      <c r="BT19" s="322">
        <v>13635</v>
      </c>
      <c r="BU19" s="323">
        <v>6470</v>
      </c>
      <c r="BV19" s="323">
        <v>9154</v>
      </c>
      <c r="BW19" s="324">
        <v>15624</v>
      </c>
      <c r="BX19" s="173">
        <v>25828</v>
      </c>
      <c r="BY19" s="174">
        <v>24719</v>
      </c>
      <c r="BZ19" s="174">
        <v>50547</v>
      </c>
      <c r="CA19" s="175">
        <v>25413</v>
      </c>
      <c r="CB19" s="175">
        <v>24632</v>
      </c>
      <c r="CC19" s="175">
        <v>50045</v>
      </c>
      <c r="CD19" s="174">
        <v>24718</v>
      </c>
      <c r="CE19" s="174">
        <v>25047</v>
      </c>
      <c r="CF19" s="174">
        <v>49765</v>
      </c>
      <c r="CG19" s="175">
        <v>30719</v>
      </c>
      <c r="CH19" s="175">
        <v>27030</v>
      </c>
      <c r="CI19" s="176">
        <v>57749</v>
      </c>
      <c r="CJ19" s="47">
        <v>13639</v>
      </c>
      <c r="CK19" s="322">
        <v>13914</v>
      </c>
      <c r="CL19" s="322">
        <v>27553</v>
      </c>
      <c r="CM19" s="323">
        <v>18960</v>
      </c>
      <c r="CN19" s="323">
        <v>18960</v>
      </c>
      <c r="CO19" s="323">
        <v>37920</v>
      </c>
      <c r="CP19" s="322">
        <v>19632</v>
      </c>
      <c r="CQ19" s="322">
        <v>19632</v>
      </c>
      <c r="CR19" s="322">
        <v>39264</v>
      </c>
      <c r="CS19" s="323">
        <v>21057</v>
      </c>
      <c r="CT19" s="323">
        <v>21057</v>
      </c>
      <c r="CU19" s="324">
        <v>42144</v>
      </c>
    </row>
    <row r="20" spans="1:99" s="13" customFormat="1" ht="28.5" customHeight="1" thickBot="1">
      <c r="B20" s="13">
        <v>17</v>
      </c>
      <c r="C20" s="362" t="s">
        <v>75</v>
      </c>
      <c r="D20" s="368">
        <f t="shared" si="4"/>
        <v>36717</v>
      </c>
      <c r="E20" s="368">
        <f t="shared" si="8"/>
        <v>40516</v>
      </c>
      <c r="F20" s="368">
        <f t="shared" si="8"/>
        <v>77233</v>
      </c>
      <c r="G20" s="369">
        <f t="shared" si="5"/>
        <v>42918.32</v>
      </c>
      <c r="H20" s="369">
        <f t="shared" si="9"/>
        <v>47204.04</v>
      </c>
      <c r="I20" s="369">
        <f t="shared" si="9"/>
        <v>90122.36</v>
      </c>
      <c r="J20" s="368">
        <f t="shared" si="6"/>
        <v>46194.25</v>
      </c>
      <c r="K20" s="368">
        <f t="shared" si="10"/>
        <v>50168.17</v>
      </c>
      <c r="L20" s="368">
        <f t="shared" si="10"/>
        <v>96362.42</v>
      </c>
      <c r="M20" s="369">
        <f t="shared" si="7"/>
        <v>54508</v>
      </c>
      <c r="N20" s="369">
        <f t="shared" si="11"/>
        <v>59633</v>
      </c>
      <c r="O20" s="369">
        <f t="shared" si="11"/>
        <v>114141</v>
      </c>
      <c r="P20" s="54">
        <v>3936</v>
      </c>
      <c r="Q20" s="54">
        <v>5096</v>
      </c>
      <c r="R20" s="54">
        <v>9032</v>
      </c>
      <c r="S20" s="55">
        <v>2805</v>
      </c>
      <c r="T20" s="55">
        <v>3597</v>
      </c>
      <c r="U20" s="55">
        <v>6402</v>
      </c>
      <c r="V20" s="54">
        <v>2900</v>
      </c>
      <c r="W20" s="54">
        <v>3780</v>
      </c>
      <c r="X20" s="54">
        <v>6680</v>
      </c>
      <c r="Y20" s="55">
        <v>3700</v>
      </c>
      <c r="Z20" s="55">
        <v>4600</v>
      </c>
      <c r="AA20" s="56">
        <v>8300</v>
      </c>
      <c r="AB20" s="57">
        <v>5274</v>
      </c>
      <c r="AC20" s="58">
        <v>5773</v>
      </c>
      <c r="AD20" s="58">
        <v>11047</v>
      </c>
      <c r="AE20" s="59">
        <v>6217</v>
      </c>
      <c r="AF20" s="59">
        <v>6754</v>
      </c>
      <c r="AG20" s="59">
        <v>12971</v>
      </c>
      <c r="AH20" s="58">
        <v>7160</v>
      </c>
      <c r="AI20" s="58">
        <v>7735</v>
      </c>
      <c r="AJ20" s="58">
        <v>14895</v>
      </c>
      <c r="AK20" s="59">
        <v>8103</v>
      </c>
      <c r="AL20" s="59">
        <v>8716</v>
      </c>
      <c r="AM20" s="60">
        <v>16819</v>
      </c>
      <c r="AN20" s="103">
        <v>3282</v>
      </c>
      <c r="AO20" s="104">
        <v>3741</v>
      </c>
      <c r="AP20" s="104">
        <v>7023</v>
      </c>
      <c r="AQ20" s="105">
        <v>5000</v>
      </c>
      <c r="AR20" s="105">
        <v>6400</v>
      </c>
      <c r="AS20" s="105">
        <v>11400</v>
      </c>
      <c r="AT20" s="104">
        <v>5800</v>
      </c>
      <c r="AU20" s="104">
        <v>7000</v>
      </c>
      <c r="AV20" s="106">
        <v>12800</v>
      </c>
      <c r="AW20" s="105">
        <v>5900</v>
      </c>
      <c r="AX20" s="105">
        <v>7900</v>
      </c>
      <c r="AY20" s="107">
        <v>13800</v>
      </c>
      <c r="AZ20" s="57">
        <v>1994</v>
      </c>
      <c r="BA20" s="58">
        <v>2623</v>
      </c>
      <c r="BB20" s="58">
        <v>4617</v>
      </c>
      <c r="BC20" s="59">
        <v>3383</v>
      </c>
      <c r="BD20" s="59">
        <v>4022</v>
      </c>
      <c r="BE20" s="59">
        <v>7405</v>
      </c>
      <c r="BF20" s="58">
        <v>3537</v>
      </c>
      <c r="BG20" s="58">
        <v>4321</v>
      </c>
      <c r="BH20" s="58">
        <v>7858</v>
      </c>
      <c r="BI20" s="59">
        <v>3867</v>
      </c>
      <c r="BJ20" s="59">
        <v>4651</v>
      </c>
      <c r="BK20" s="60">
        <v>8518</v>
      </c>
      <c r="BL20" s="53">
        <v>3304</v>
      </c>
      <c r="BM20" s="54">
        <v>4268</v>
      </c>
      <c r="BN20" s="322">
        <v>7572</v>
      </c>
      <c r="BO20" s="55">
        <v>3354</v>
      </c>
      <c r="BP20" s="55">
        <v>4141</v>
      </c>
      <c r="BQ20" s="55">
        <v>7495</v>
      </c>
      <c r="BR20" s="54">
        <v>3377</v>
      </c>
      <c r="BS20" s="54">
        <v>4045</v>
      </c>
      <c r="BT20" s="54">
        <v>7422</v>
      </c>
      <c r="BU20" s="55">
        <v>3349</v>
      </c>
      <c r="BV20" s="55">
        <v>3979</v>
      </c>
      <c r="BW20" s="56">
        <v>7328</v>
      </c>
      <c r="BX20" s="177">
        <v>11225</v>
      </c>
      <c r="BY20" s="178">
        <v>11172</v>
      </c>
      <c r="BZ20" s="178">
        <v>22397</v>
      </c>
      <c r="CA20" s="179">
        <v>12459.32</v>
      </c>
      <c r="CB20" s="179">
        <v>12590.04</v>
      </c>
      <c r="CC20" s="179">
        <v>25049.360000000001</v>
      </c>
      <c r="CD20" s="178">
        <v>12313.25</v>
      </c>
      <c r="CE20" s="178">
        <v>12180.17</v>
      </c>
      <c r="CF20" s="178">
        <v>24493.42</v>
      </c>
      <c r="CG20" s="179">
        <v>14287</v>
      </c>
      <c r="CH20" s="179">
        <v>14485</v>
      </c>
      <c r="CI20" s="180">
        <v>28772</v>
      </c>
      <c r="CJ20" s="53">
        <v>7702</v>
      </c>
      <c r="CK20" s="54">
        <v>7843</v>
      </c>
      <c r="CL20" s="322">
        <v>15545</v>
      </c>
      <c r="CM20" s="55">
        <v>9700</v>
      </c>
      <c r="CN20" s="55">
        <v>9700</v>
      </c>
      <c r="CO20" s="55">
        <v>19400</v>
      </c>
      <c r="CP20" s="54">
        <v>11107</v>
      </c>
      <c r="CQ20" s="54">
        <v>11107</v>
      </c>
      <c r="CR20" s="54">
        <v>22214</v>
      </c>
      <c r="CS20" s="55">
        <v>15302</v>
      </c>
      <c r="CT20" s="55">
        <v>15302</v>
      </c>
      <c r="CU20" s="56">
        <v>30604</v>
      </c>
    </row>
    <row r="21" spans="1:99" s="13" customFormat="1">
      <c r="B21" s="13">
        <v>18</v>
      </c>
      <c r="C21" s="28" t="s">
        <v>21</v>
      </c>
      <c r="D21" s="335">
        <f t="shared" si="4"/>
        <v>131</v>
      </c>
      <c r="E21" s="335">
        <f t="shared" si="8"/>
        <v>122</v>
      </c>
      <c r="F21" s="335">
        <f t="shared" si="8"/>
        <v>253</v>
      </c>
      <c r="G21" s="336">
        <f t="shared" si="5"/>
        <v>246</v>
      </c>
      <c r="H21" s="336">
        <f t="shared" si="9"/>
        <v>262</v>
      </c>
      <c r="I21" s="336">
        <f t="shared" si="9"/>
        <v>508</v>
      </c>
      <c r="J21" s="335">
        <f t="shared" si="6"/>
        <v>386</v>
      </c>
      <c r="K21" s="335">
        <f t="shared" si="10"/>
        <v>400</v>
      </c>
      <c r="L21" s="335">
        <f t="shared" si="10"/>
        <v>786</v>
      </c>
      <c r="M21" s="336">
        <f t="shared" si="7"/>
        <v>508</v>
      </c>
      <c r="N21" s="336">
        <f t="shared" si="11"/>
        <v>545</v>
      </c>
      <c r="O21" s="331">
        <f t="shared" si="11"/>
        <v>1053</v>
      </c>
      <c r="P21" s="64">
        <v>4</v>
      </c>
      <c r="Q21" s="352">
        <v>2</v>
      </c>
      <c r="R21" s="352">
        <v>6</v>
      </c>
      <c r="S21" s="353">
        <v>6</v>
      </c>
      <c r="T21" s="353">
        <v>9</v>
      </c>
      <c r="U21" s="353">
        <v>15</v>
      </c>
      <c r="V21" s="352">
        <v>15</v>
      </c>
      <c r="W21" s="352">
        <v>20</v>
      </c>
      <c r="X21" s="352">
        <v>35</v>
      </c>
      <c r="Y21" s="353">
        <v>25</v>
      </c>
      <c r="Z21" s="353">
        <v>35</v>
      </c>
      <c r="AA21" s="354">
        <v>60</v>
      </c>
      <c r="AB21" s="68">
        <v>31</v>
      </c>
      <c r="AC21" s="356">
        <v>36</v>
      </c>
      <c r="AD21" s="356">
        <v>67</v>
      </c>
      <c r="AE21" s="357">
        <v>61</v>
      </c>
      <c r="AF21" s="357">
        <v>66</v>
      </c>
      <c r="AG21" s="357">
        <v>127</v>
      </c>
      <c r="AH21" s="356">
        <v>70</v>
      </c>
      <c r="AI21" s="356">
        <v>73</v>
      </c>
      <c r="AJ21" s="356">
        <v>143</v>
      </c>
      <c r="AK21" s="357">
        <v>73</v>
      </c>
      <c r="AL21" s="357">
        <v>77</v>
      </c>
      <c r="AM21" s="358">
        <v>150</v>
      </c>
      <c r="AN21" s="360">
        <v>0</v>
      </c>
      <c r="AO21" s="359">
        <v>0</v>
      </c>
      <c r="AP21" s="109">
        <v>0</v>
      </c>
      <c r="AQ21" s="361">
        <v>10</v>
      </c>
      <c r="AR21" s="361">
        <v>26</v>
      </c>
      <c r="AS21" s="361">
        <v>36</v>
      </c>
      <c r="AT21" s="360">
        <v>41</v>
      </c>
      <c r="AU21" s="359">
        <v>51</v>
      </c>
      <c r="AV21" s="109">
        <v>92</v>
      </c>
      <c r="AW21" s="361">
        <v>65</v>
      </c>
      <c r="AX21" s="361">
        <v>88</v>
      </c>
      <c r="AY21" s="355">
        <v>153</v>
      </c>
      <c r="AZ21" s="68">
        <v>0</v>
      </c>
      <c r="BA21" s="356">
        <v>0</v>
      </c>
      <c r="BB21" s="356">
        <v>0</v>
      </c>
      <c r="BC21" s="357">
        <v>0</v>
      </c>
      <c r="BD21" s="357">
        <v>0</v>
      </c>
      <c r="BE21" s="357">
        <v>0</v>
      </c>
      <c r="BF21" s="356">
        <v>0</v>
      </c>
      <c r="BG21" s="356">
        <v>0</v>
      </c>
      <c r="BH21" s="356">
        <v>0</v>
      </c>
      <c r="BI21" s="357">
        <v>0</v>
      </c>
      <c r="BJ21" s="357">
        <v>0</v>
      </c>
      <c r="BK21" s="357">
        <v>0</v>
      </c>
      <c r="BL21" s="64">
        <v>7</v>
      </c>
      <c r="BM21" s="352">
        <v>4</v>
      </c>
      <c r="BN21" s="352">
        <v>11</v>
      </c>
      <c r="BO21" s="353">
        <v>37</v>
      </c>
      <c r="BP21" s="353">
        <v>34</v>
      </c>
      <c r="BQ21" s="353">
        <v>71</v>
      </c>
      <c r="BR21" s="352">
        <v>67</v>
      </c>
      <c r="BS21" s="352">
        <v>64</v>
      </c>
      <c r="BT21" s="352">
        <v>131</v>
      </c>
      <c r="BU21" s="353">
        <v>98</v>
      </c>
      <c r="BV21" s="353">
        <v>97</v>
      </c>
      <c r="BW21" s="354">
        <v>195</v>
      </c>
      <c r="BX21" s="181">
        <v>41</v>
      </c>
      <c r="BY21" s="182">
        <v>35</v>
      </c>
      <c r="BZ21" s="182">
        <v>76</v>
      </c>
      <c r="CA21" s="183">
        <v>72</v>
      </c>
      <c r="CB21" s="183">
        <v>67</v>
      </c>
      <c r="CC21" s="183">
        <v>139</v>
      </c>
      <c r="CD21" s="182">
        <v>113</v>
      </c>
      <c r="CE21" s="182">
        <v>112</v>
      </c>
      <c r="CF21" s="182">
        <v>225</v>
      </c>
      <c r="CG21" s="183">
        <v>154</v>
      </c>
      <c r="CH21" s="183">
        <v>151</v>
      </c>
      <c r="CI21" s="184">
        <v>305</v>
      </c>
      <c r="CJ21" s="64">
        <v>48</v>
      </c>
      <c r="CK21" s="352">
        <v>45</v>
      </c>
      <c r="CL21" s="352">
        <v>93</v>
      </c>
      <c r="CM21" s="353">
        <v>60</v>
      </c>
      <c r="CN21" s="353">
        <v>60</v>
      </c>
      <c r="CO21" s="353">
        <v>120</v>
      </c>
      <c r="CP21" s="352">
        <v>80</v>
      </c>
      <c r="CQ21" s="352">
        <v>80</v>
      </c>
      <c r="CR21" s="352">
        <v>160</v>
      </c>
      <c r="CS21" s="353">
        <v>93</v>
      </c>
      <c r="CT21" s="353">
        <v>97</v>
      </c>
      <c r="CU21" s="354">
        <v>190</v>
      </c>
    </row>
    <row r="22" spans="1:99" s="13" customFormat="1">
      <c r="B22" s="13">
        <v>19</v>
      </c>
      <c r="C22" s="28" t="s">
        <v>22</v>
      </c>
      <c r="D22" s="335">
        <f t="shared" si="4"/>
        <v>309</v>
      </c>
      <c r="E22" s="335">
        <f t="shared" si="8"/>
        <v>332</v>
      </c>
      <c r="F22" s="335">
        <f t="shared" si="8"/>
        <v>641</v>
      </c>
      <c r="G22" s="336">
        <f t="shared" si="5"/>
        <v>471</v>
      </c>
      <c r="H22" s="336">
        <f t="shared" si="9"/>
        <v>522</v>
      </c>
      <c r="I22" s="336">
        <f t="shared" si="9"/>
        <v>993</v>
      </c>
      <c r="J22" s="335">
        <f t="shared" si="6"/>
        <v>477</v>
      </c>
      <c r="K22" s="335">
        <f t="shared" si="10"/>
        <v>557</v>
      </c>
      <c r="L22" s="335">
        <f t="shared" si="10"/>
        <v>1014</v>
      </c>
      <c r="M22" s="336">
        <f t="shared" si="7"/>
        <v>578</v>
      </c>
      <c r="N22" s="336">
        <f t="shared" si="11"/>
        <v>653</v>
      </c>
      <c r="O22" s="331">
        <f t="shared" si="11"/>
        <v>1231</v>
      </c>
      <c r="P22" s="47">
        <v>6</v>
      </c>
      <c r="Q22" s="322">
        <v>12</v>
      </c>
      <c r="R22" s="322">
        <v>18</v>
      </c>
      <c r="S22" s="323">
        <v>17</v>
      </c>
      <c r="T22" s="323">
        <v>23</v>
      </c>
      <c r="U22" s="323">
        <v>40</v>
      </c>
      <c r="V22" s="322">
        <v>19</v>
      </c>
      <c r="W22" s="322">
        <v>21</v>
      </c>
      <c r="X22" s="322">
        <v>40</v>
      </c>
      <c r="Y22" s="323">
        <v>17</v>
      </c>
      <c r="Z22" s="323">
        <v>18</v>
      </c>
      <c r="AA22" s="324">
        <v>35</v>
      </c>
      <c r="AB22" s="48">
        <v>18</v>
      </c>
      <c r="AC22" s="327">
        <v>18</v>
      </c>
      <c r="AD22" s="327">
        <v>36</v>
      </c>
      <c r="AE22" s="325">
        <v>38</v>
      </c>
      <c r="AF22" s="325">
        <v>46</v>
      </c>
      <c r="AG22" s="325">
        <v>84</v>
      </c>
      <c r="AH22" s="327">
        <v>42</v>
      </c>
      <c r="AI22" s="327">
        <v>53</v>
      </c>
      <c r="AJ22" s="327">
        <v>95</v>
      </c>
      <c r="AK22" s="325">
        <v>45</v>
      </c>
      <c r="AL22" s="325">
        <v>70</v>
      </c>
      <c r="AM22" s="321">
        <v>115</v>
      </c>
      <c r="AN22" s="329">
        <v>42</v>
      </c>
      <c r="AO22" s="328">
        <v>50</v>
      </c>
      <c r="AP22" s="112">
        <v>92</v>
      </c>
      <c r="AQ22" s="330">
        <v>109</v>
      </c>
      <c r="AR22" s="330">
        <v>142</v>
      </c>
      <c r="AS22" s="330">
        <v>251</v>
      </c>
      <c r="AT22" s="187">
        <v>108</v>
      </c>
      <c r="AU22" s="188">
        <v>172</v>
      </c>
      <c r="AV22" s="112">
        <v>260</v>
      </c>
      <c r="AW22" s="330">
        <v>230</v>
      </c>
      <c r="AX22" s="330">
        <v>260</v>
      </c>
      <c r="AY22" s="326">
        <v>490</v>
      </c>
      <c r="AZ22" s="48">
        <v>36</v>
      </c>
      <c r="BA22" s="327">
        <v>38</v>
      </c>
      <c r="BB22" s="327">
        <v>74</v>
      </c>
      <c r="BC22" s="325">
        <v>34</v>
      </c>
      <c r="BD22" s="325">
        <v>36</v>
      </c>
      <c r="BE22" s="325">
        <v>70</v>
      </c>
      <c r="BF22" s="327">
        <v>34</v>
      </c>
      <c r="BG22" s="327">
        <v>34</v>
      </c>
      <c r="BH22" s="327">
        <v>68</v>
      </c>
      <c r="BI22" s="325">
        <v>37</v>
      </c>
      <c r="BJ22" s="325">
        <v>35</v>
      </c>
      <c r="BK22" s="325">
        <v>72</v>
      </c>
      <c r="BL22" s="47">
        <v>36</v>
      </c>
      <c r="BM22" s="322">
        <v>34</v>
      </c>
      <c r="BN22" s="322">
        <v>70</v>
      </c>
      <c r="BO22" s="323">
        <v>29</v>
      </c>
      <c r="BP22" s="323">
        <v>29</v>
      </c>
      <c r="BQ22" s="323">
        <v>58</v>
      </c>
      <c r="BR22" s="322">
        <v>21</v>
      </c>
      <c r="BS22" s="322">
        <v>23</v>
      </c>
      <c r="BT22" s="322">
        <v>44</v>
      </c>
      <c r="BU22" s="323">
        <v>14</v>
      </c>
      <c r="BV22" s="323">
        <v>16</v>
      </c>
      <c r="BW22" s="324">
        <v>30</v>
      </c>
      <c r="BX22" s="173">
        <v>28</v>
      </c>
      <c r="BY22" s="174">
        <v>31</v>
      </c>
      <c r="BZ22" s="174">
        <v>59</v>
      </c>
      <c r="CA22" s="175">
        <v>83</v>
      </c>
      <c r="CB22" s="175">
        <v>85</v>
      </c>
      <c r="CC22" s="175">
        <v>168</v>
      </c>
      <c r="CD22" s="174">
        <v>73</v>
      </c>
      <c r="CE22" s="174">
        <v>74</v>
      </c>
      <c r="CF22" s="174">
        <v>147</v>
      </c>
      <c r="CG22" s="175">
        <v>68</v>
      </c>
      <c r="CH22" s="175">
        <v>79</v>
      </c>
      <c r="CI22" s="176">
        <v>147</v>
      </c>
      <c r="CJ22" s="47">
        <v>143</v>
      </c>
      <c r="CK22" s="322">
        <v>149</v>
      </c>
      <c r="CL22" s="322">
        <v>292</v>
      </c>
      <c r="CM22" s="323">
        <v>161</v>
      </c>
      <c r="CN22" s="323">
        <v>161</v>
      </c>
      <c r="CO22" s="323">
        <v>322</v>
      </c>
      <c r="CP22" s="322">
        <v>180</v>
      </c>
      <c r="CQ22" s="322">
        <v>180</v>
      </c>
      <c r="CR22" s="322">
        <v>360</v>
      </c>
      <c r="CS22" s="323">
        <v>167</v>
      </c>
      <c r="CT22" s="323">
        <v>175</v>
      </c>
      <c r="CU22" s="324">
        <v>342</v>
      </c>
    </row>
    <row r="23" spans="1:99" s="13" customFormat="1">
      <c r="B23" s="13">
        <v>20</v>
      </c>
      <c r="C23" s="28" t="s">
        <v>23</v>
      </c>
      <c r="D23" s="335">
        <f t="shared" si="4"/>
        <v>411</v>
      </c>
      <c r="E23" s="335">
        <f t="shared" si="8"/>
        <v>509</v>
      </c>
      <c r="F23" s="335">
        <f t="shared" si="8"/>
        <v>920</v>
      </c>
      <c r="G23" s="336">
        <f t="shared" si="5"/>
        <v>499</v>
      </c>
      <c r="H23" s="336">
        <f t="shared" si="9"/>
        <v>506</v>
      </c>
      <c r="I23" s="336">
        <f t="shared" si="9"/>
        <v>1005</v>
      </c>
      <c r="J23" s="335">
        <f t="shared" si="6"/>
        <v>465</v>
      </c>
      <c r="K23" s="335">
        <f t="shared" si="10"/>
        <v>494</v>
      </c>
      <c r="L23" s="335">
        <f t="shared" si="10"/>
        <v>979</v>
      </c>
      <c r="M23" s="336">
        <f t="shared" si="7"/>
        <v>410</v>
      </c>
      <c r="N23" s="336">
        <f t="shared" si="11"/>
        <v>421</v>
      </c>
      <c r="O23" s="331">
        <f t="shared" si="11"/>
        <v>819</v>
      </c>
      <c r="P23" s="47">
        <v>1</v>
      </c>
      <c r="Q23" s="322">
        <v>3</v>
      </c>
      <c r="R23" s="322">
        <v>4</v>
      </c>
      <c r="S23" s="323">
        <v>15</v>
      </c>
      <c r="T23" s="323">
        <v>18</v>
      </c>
      <c r="U23" s="323">
        <v>33</v>
      </c>
      <c r="V23" s="322">
        <v>20</v>
      </c>
      <c r="W23" s="322">
        <v>20</v>
      </c>
      <c r="X23" s="322">
        <v>40</v>
      </c>
      <c r="Y23" s="323">
        <v>22</v>
      </c>
      <c r="Z23" s="323">
        <v>23</v>
      </c>
      <c r="AA23" s="324">
        <v>45</v>
      </c>
      <c r="AB23" s="48">
        <v>20</v>
      </c>
      <c r="AC23" s="327">
        <v>28</v>
      </c>
      <c r="AD23" s="327">
        <v>48</v>
      </c>
      <c r="AE23" s="325">
        <v>43</v>
      </c>
      <c r="AF23" s="325">
        <v>44</v>
      </c>
      <c r="AG23" s="325">
        <v>87</v>
      </c>
      <c r="AH23" s="327">
        <v>50</v>
      </c>
      <c r="AI23" s="327">
        <v>68</v>
      </c>
      <c r="AJ23" s="327">
        <v>118</v>
      </c>
      <c r="AK23" s="325">
        <v>55</v>
      </c>
      <c r="AL23" s="325">
        <v>62</v>
      </c>
      <c r="AM23" s="321">
        <v>117</v>
      </c>
      <c r="AN23" s="329">
        <v>102</v>
      </c>
      <c r="AO23" s="328">
        <v>166</v>
      </c>
      <c r="AP23" s="112">
        <v>268</v>
      </c>
      <c r="AQ23" s="330">
        <v>178</v>
      </c>
      <c r="AR23" s="330">
        <v>171</v>
      </c>
      <c r="AS23" s="330">
        <v>349</v>
      </c>
      <c r="AT23" s="187">
        <v>163</v>
      </c>
      <c r="AU23" s="188">
        <v>161</v>
      </c>
      <c r="AV23" s="112">
        <v>344</v>
      </c>
      <c r="AW23" s="330">
        <v>112</v>
      </c>
      <c r="AX23" s="330">
        <v>111</v>
      </c>
      <c r="AY23" s="326">
        <v>211</v>
      </c>
      <c r="AZ23" s="48">
        <v>22</v>
      </c>
      <c r="BA23" s="327">
        <v>23</v>
      </c>
      <c r="BB23" s="327">
        <v>45</v>
      </c>
      <c r="BC23" s="325">
        <v>23</v>
      </c>
      <c r="BD23" s="325">
        <v>26</v>
      </c>
      <c r="BE23" s="325">
        <v>49</v>
      </c>
      <c r="BF23" s="327">
        <v>21</v>
      </c>
      <c r="BG23" s="327">
        <v>28</v>
      </c>
      <c r="BH23" s="327">
        <v>49</v>
      </c>
      <c r="BI23" s="325">
        <v>25</v>
      </c>
      <c r="BJ23" s="325">
        <v>22</v>
      </c>
      <c r="BK23" s="325">
        <v>47</v>
      </c>
      <c r="BL23" s="47">
        <v>50</v>
      </c>
      <c r="BM23" s="322">
        <v>64</v>
      </c>
      <c r="BN23" s="322">
        <v>114</v>
      </c>
      <c r="BO23" s="323">
        <v>42</v>
      </c>
      <c r="BP23" s="323">
        <v>53</v>
      </c>
      <c r="BQ23" s="323">
        <v>95</v>
      </c>
      <c r="BR23" s="322">
        <v>35</v>
      </c>
      <c r="BS23" s="322">
        <v>42</v>
      </c>
      <c r="BT23" s="322">
        <v>77</v>
      </c>
      <c r="BU23" s="323">
        <v>28</v>
      </c>
      <c r="BV23" s="323">
        <v>30</v>
      </c>
      <c r="BW23" s="324">
        <v>58</v>
      </c>
      <c r="BX23" s="173">
        <v>71</v>
      </c>
      <c r="BY23" s="174">
        <v>68</v>
      </c>
      <c r="BZ23" s="174">
        <v>139</v>
      </c>
      <c r="CA23" s="175">
        <v>60</v>
      </c>
      <c r="CB23" s="175">
        <v>56</v>
      </c>
      <c r="CC23" s="175">
        <v>116</v>
      </c>
      <c r="CD23" s="174">
        <v>53</v>
      </c>
      <c r="CE23" s="174">
        <v>52</v>
      </c>
      <c r="CF23" s="174">
        <v>105</v>
      </c>
      <c r="CG23" s="175">
        <v>33</v>
      </c>
      <c r="CH23" s="175">
        <v>39</v>
      </c>
      <c r="CI23" s="176">
        <v>72</v>
      </c>
      <c r="CJ23" s="47">
        <v>145</v>
      </c>
      <c r="CK23" s="322">
        <v>157</v>
      </c>
      <c r="CL23" s="322">
        <v>302</v>
      </c>
      <c r="CM23" s="323">
        <v>138</v>
      </c>
      <c r="CN23" s="323">
        <v>138</v>
      </c>
      <c r="CO23" s="323">
        <v>276</v>
      </c>
      <c r="CP23" s="322">
        <v>123</v>
      </c>
      <c r="CQ23" s="322">
        <v>123</v>
      </c>
      <c r="CR23" s="322">
        <v>246</v>
      </c>
      <c r="CS23" s="323">
        <v>135</v>
      </c>
      <c r="CT23" s="323">
        <v>134</v>
      </c>
      <c r="CU23" s="324">
        <v>269</v>
      </c>
    </row>
    <row r="24" spans="1:99" s="13" customFormat="1">
      <c r="B24" s="13">
        <v>21</v>
      </c>
      <c r="C24" s="28" t="s">
        <v>24</v>
      </c>
      <c r="D24" s="335">
        <f t="shared" si="4"/>
        <v>708</v>
      </c>
      <c r="E24" s="335">
        <f t="shared" si="8"/>
        <v>803</v>
      </c>
      <c r="F24" s="335">
        <f t="shared" si="8"/>
        <v>1511</v>
      </c>
      <c r="G24" s="336">
        <f t="shared" si="5"/>
        <v>420</v>
      </c>
      <c r="H24" s="336">
        <f t="shared" si="9"/>
        <v>485</v>
      </c>
      <c r="I24" s="336">
        <f t="shared" si="9"/>
        <v>905</v>
      </c>
      <c r="J24" s="335">
        <f t="shared" si="6"/>
        <v>345</v>
      </c>
      <c r="K24" s="335">
        <f t="shared" si="10"/>
        <v>368</v>
      </c>
      <c r="L24" s="335">
        <f t="shared" si="10"/>
        <v>713</v>
      </c>
      <c r="M24" s="336">
        <f t="shared" si="7"/>
        <v>197</v>
      </c>
      <c r="N24" s="336">
        <f t="shared" si="11"/>
        <v>231</v>
      </c>
      <c r="O24" s="331">
        <f t="shared" si="11"/>
        <v>440</v>
      </c>
      <c r="P24" s="47">
        <v>52</v>
      </c>
      <c r="Q24" s="322">
        <v>59</v>
      </c>
      <c r="R24" s="322">
        <v>111</v>
      </c>
      <c r="S24" s="323">
        <v>25</v>
      </c>
      <c r="T24" s="323">
        <v>22</v>
      </c>
      <c r="U24" s="323">
        <v>47</v>
      </c>
      <c r="V24" s="322">
        <v>23</v>
      </c>
      <c r="W24" s="322">
        <v>17</v>
      </c>
      <c r="X24" s="322">
        <v>40</v>
      </c>
      <c r="Y24" s="323">
        <v>12</v>
      </c>
      <c r="Z24" s="323">
        <v>10</v>
      </c>
      <c r="AA24" s="324">
        <v>22</v>
      </c>
      <c r="AB24" s="48">
        <v>143</v>
      </c>
      <c r="AC24" s="327">
        <v>184</v>
      </c>
      <c r="AD24" s="327">
        <v>327</v>
      </c>
      <c r="AE24" s="325">
        <v>78</v>
      </c>
      <c r="AF24" s="325">
        <v>116</v>
      </c>
      <c r="AG24" s="325">
        <v>194</v>
      </c>
      <c r="AH24" s="327">
        <v>60</v>
      </c>
      <c r="AI24" s="327">
        <v>78</v>
      </c>
      <c r="AJ24" s="327">
        <v>138</v>
      </c>
      <c r="AK24" s="325">
        <v>51</v>
      </c>
      <c r="AL24" s="325">
        <v>64</v>
      </c>
      <c r="AM24" s="321">
        <v>115</v>
      </c>
      <c r="AN24" s="329">
        <v>286</v>
      </c>
      <c r="AO24" s="328">
        <v>290</v>
      </c>
      <c r="AP24" s="112">
        <v>576</v>
      </c>
      <c r="AQ24" s="330">
        <v>152</v>
      </c>
      <c r="AR24" s="330">
        <v>173</v>
      </c>
      <c r="AS24" s="330">
        <v>325</v>
      </c>
      <c r="AT24" s="187">
        <v>148</v>
      </c>
      <c r="AU24" s="188">
        <v>148</v>
      </c>
      <c r="AV24" s="112">
        <v>296</v>
      </c>
      <c r="AW24" s="330">
        <v>63</v>
      </c>
      <c r="AX24" s="330">
        <v>83</v>
      </c>
      <c r="AY24" s="326">
        <v>158</v>
      </c>
      <c r="AZ24" s="48">
        <v>1</v>
      </c>
      <c r="BA24" s="327">
        <v>2</v>
      </c>
      <c r="BB24" s="327">
        <v>3</v>
      </c>
      <c r="BC24" s="325">
        <v>2</v>
      </c>
      <c r="BD24" s="325">
        <v>2</v>
      </c>
      <c r="BE24" s="325">
        <v>4</v>
      </c>
      <c r="BF24" s="327">
        <v>1</v>
      </c>
      <c r="BG24" s="327">
        <v>3</v>
      </c>
      <c r="BH24" s="327">
        <v>4</v>
      </c>
      <c r="BI24" s="325">
        <v>3</v>
      </c>
      <c r="BJ24" s="325">
        <v>2</v>
      </c>
      <c r="BK24" s="325">
        <v>5</v>
      </c>
      <c r="BL24" s="47">
        <v>42</v>
      </c>
      <c r="BM24" s="322">
        <v>37</v>
      </c>
      <c r="BN24" s="322">
        <v>79</v>
      </c>
      <c r="BO24" s="323">
        <v>28</v>
      </c>
      <c r="BP24" s="323">
        <v>24</v>
      </c>
      <c r="BQ24" s="323">
        <v>52</v>
      </c>
      <c r="BR24" s="322">
        <v>14</v>
      </c>
      <c r="BS24" s="322">
        <v>13</v>
      </c>
      <c r="BT24" s="322">
        <v>27</v>
      </c>
      <c r="BU24" s="323">
        <v>0</v>
      </c>
      <c r="BV24" s="323">
        <v>0</v>
      </c>
      <c r="BW24" s="324">
        <v>0</v>
      </c>
      <c r="BX24" s="173">
        <v>94</v>
      </c>
      <c r="BY24" s="174">
        <v>103</v>
      </c>
      <c r="BZ24" s="174">
        <v>197</v>
      </c>
      <c r="CA24" s="175">
        <v>43</v>
      </c>
      <c r="CB24" s="175">
        <v>56</v>
      </c>
      <c r="CC24" s="175">
        <v>99</v>
      </c>
      <c r="CD24" s="174">
        <v>27</v>
      </c>
      <c r="CE24" s="174">
        <v>37</v>
      </c>
      <c r="CF24" s="174">
        <v>64</v>
      </c>
      <c r="CG24" s="175">
        <v>13</v>
      </c>
      <c r="CH24" s="175">
        <v>8</v>
      </c>
      <c r="CI24" s="176">
        <v>21</v>
      </c>
      <c r="CJ24" s="47">
        <v>90</v>
      </c>
      <c r="CK24" s="322">
        <v>128</v>
      </c>
      <c r="CL24" s="322">
        <v>218</v>
      </c>
      <c r="CM24" s="323">
        <v>92</v>
      </c>
      <c r="CN24" s="323">
        <v>92</v>
      </c>
      <c r="CO24" s="323">
        <v>184</v>
      </c>
      <c r="CP24" s="322">
        <v>72</v>
      </c>
      <c r="CQ24" s="322">
        <v>72</v>
      </c>
      <c r="CR24" s="322">
        <v>144</v>
      </c>
      <c r="CS24" s="323">
        <v>55</v>
      </c>
      <c r="CT24" s="323">
        <v>64</v>
      </c>
      <c r="CU24" s="324">
        <v>119</v>
      </c>
    </row>
    <row r="25" spans="1:99" s="13" customFormat="1">
      <c r="B25" s="13">
        <v>22</v>
      </c>
      <c r="C25" s="28" t="s">
        <v>61</v>
      </c>
      <c r="D25" s="335">
        <f t="shared" si="4"/>
        <v>166</v>
      </c>
      <c r="E25" s="335">
        <f t="shared" si="8"/>
        <v>157</v>
      </c>
      <c r="F25" s="335">
        <f t="shared" si="8"/>
        <v>323</v>
      </c>
      <c r="G25" s="336">
        <f t="shared" si="5"/>
        <v>74</v>
      </c>
      <c r="H25" s="336">
        <f t="shared" si="9"/>
        <v>71</v>
      </c>
      <c r="I25" s="336">
        <f t="shared" si="9"/>
        <v>145</v>
      </c>
      <c r="J25" s="335">
        <f t="shared" si="6"/>
        <v>37</v>
      </c>
      <c r="K25" s="335">
        <f t="shared" si="10"/>
        <v>27</v>
      </c>
      <c r="L25" s="335">
        <f t="shared" si="10"/>
        <v>64</v>
      </c>
      <c r="M25" s="336">
        <f t="shared" si="7"/>
        <v>10</v>
      </c>
      <c r="N25" s="336">
        <f t="shared" si="11"/>
        <v>3</v>
      </c>
      <c r="O25" s="331">
        <f t="shared" si="11"/>
        <v>13</v>
      </c>
      <c r="P25" s="47">
        <v>53</v>
      </c>
      <c r="Q25" s="322">
        <v>44</v>
      </c>
      <c r="R25" s="322">
        <v>97</v>
      </c>
      <c r="S25" s="323">
        <v>15</v>
      </c>
      <c r="T25" s="323">
        <v>12</v>
      </c>
      <c r="U25" s="323">
        <v>27</v>
      </c>
      <c r="V25" s="322">
        <v>4</v>
      </c>
      <c r="W25" s="322">
        <v>3</v>
      </c>
      <c r="X25" s="322">
        <v>7</v>
      </c>
      <c r="Y25" s="323">
        <v>0</v>
      </c>
      <c r="Z25" s="323">
        <v>0</v>
      </c>
      <c r="AA25" s="324">
        <v>0</v>
      </c>
      <c r="AB25" s="48">
        <v>16</v>
      </c>
      <c r="AC25" s="327">
        <v>7</v>
      </c>
      <c r="AD25" s="327">
        <v>23</v>
      </c>
      <c r="AE25" s="325">
        <v>8</v>
      </c>
      <c r="AF25" s="325">
        <v>1</v>
      </c>
      <c r="AG25" s="325">
        <v>9</v>
      </c>
      <c r="AH25" s="327">
        <v>6</v>
      </c>
      <c r="AI25" s="327">
        <v>1</v>
      </c>
      <c r="AJ25" s="327">
        <v>7</v>
      </c>
      <c r="AK25" s="325">
        <v>4</v>
      </c>
      <c r="AL25" s="325">
        <v>0</v>
      </c>
      <c r="AM25" s="321">
        <v>4</v>
      </c>
      <c r="AN25" s="329">
        <v>44</v>
      </c>
      <c r="AO25" s="328">
        <v>38</v>
      </c>
      <c r="AP25" s="112">
        <v>82</v>
      </c>
      <c r="AQ25" s="330">
        <v>25</v>
      </c>
      <c r="AR25" s="330">
        <v>32</v>
      </c>
      <c r="AS25" s="330">
        <v>57</v>
      </c>
      <c r="AT25" s="329">
        <v>14</v>
      </c>
      <c r="AU25" s="328">
        <v>12</v>
      </c>
      <c r="AV25" s="112">
        <v>26</v>
      </c>
      <c r="AW25" s="330">
        <v>4</v>
      </c>
      <c r="AX25" s="330">
        <v>2</v>
      </c>
      <c r="AY25" s="326">
        <v>6</v>
      </c>
      <c r="AZ25" s="48">
        <v>0</v>
      </c>
      <c r="BA25" s="327">
        <v>2</v>
      </c>
      <c r="BB25" s="327">
        <v>2</v>
      </c>
      <c r="BC25" s="325">
        <v>1</v>
      </c>
      <c r="BD25" s="325">
        <v>0</v>
      </c>
      <c r="BE25" s="325">
        <v>1</v>
      </c>
      <c r="BF25" s="327">
        <v>1</v>
      </c>
      <c r="BG25" s="327">
        <v>2</v>
      </c>
      <c r="BH25" s="327">
        <v>3</v>
      </c>
      <c r="BI25" s="325">
        <v>0</v>
      </c>
      <c r="BJ25" s="325">
        <v>0</v>
      </c>
      <c r="BK25" s="325">
        <v>0</v>
      </c>
      <c r="BL25" s="47">
        <v>5</v>
      </c>
      <c r="BM25" s="322">
        <v>4</v>
      </c>
      <c r="BN25" s="322">
        <v>9</v>
      </c>
      <c r="BO25" s="323">
        <v>4</v>
      </c>
      <c r="BP25" s="323">
        <v>3</v>
      </c>
      <c r="BQ25" s="323">
        <v>7</v>
      </c>
      <c r="BR25" s="322">
        <v>3</v>
      </c>
      <c r="BS25" s="322">
        <v>1</v>
      </c>
      <c r="BT25" s="322">
        <v>4</v>
      </c>
      <c r="BU25" s="323">
        <v>0</v>
      </c>
      <c r="BV25" s="323">
        <v>0</v>
      </c>
      <c r="BW25" s="324">
        <v>0</v>
      </c>
      <c r="BX25" s="173">
        <v>36</v>
      </c>
      <c r="BY25" s="174">
        <v>41</v>
      </c>
      <c r="BZ25" s="174">
        <v>77</v>
      </c>
      <c r="CA25" s="175">
        <v>12</v>
      </c>
      <c r="CB25" s="175">
        <v>14</v>
      </c>
      <c r="CC25" s="175">
        <v>26</v>
      </c>
      <c r="CD25" s="174">
        <v>4</v>
      </c>
      <c r="CE25" s="174">
        <v>3</v>
      </c>
      <c r="CF25" s="174">
        <v>7</v>
      </c>
      <c r="CG25" s="175">
        <v>2</v>
      </c>
      <c r="CH25" s="175">
        <v>1</v>
      </c>
      <c r="CI25" s="176">
        <v>3</v>
      </c>
      <c r="CJ25" s="47">
        <v>12</v>
      </c>
      <c r="CK25" s="322">
        <v>21</v>
      </c>
      <c r="CL25" s="322">
        <v>33</v>
      </c>
      <c r="CM25" s="323">
        <v>9</v>
      </c>
      <c r="CN25" s="323">
        <v>9</v>
      </c>
      <c r="CO25" s="323">
        <v>18</v>
      </c>
      <c r="CP25" s="322">
        <v>5</v>
      </c>
      <c r="CQ25" s="322">
        <v>5</v>
      </c>
      <c r="CR25" s="322">
        <v>10</v>
      </c>
      <c r="CS25" s="323">
        <v>0</v>
      </c>
      <c r="CT25" s="323">
        <v>0</v>
      </c>
      <c r="CU25" s="324">
        <v>0</v>
      </c>
    </row>
    <row r="26" spans="1:99" s="13" customFormat="1" ht="16.5" thickBot="1">
      <c r="B26" s="13">
        <v>23</v>
      </c>
      <c r="C26" s="29" t="s">
        <v>62</v>
      </c>
      <c r="D26" s="37">
        <f>SUM(D21:D25)</f>
        <v>1725</v>
      </c>
      <c r="E26" s="37">
        <f t="shared" ref="E26:O26" si="12">SUM(E21:E25)</f>
        <v>1923</v>
      </c>
      <c r="F26" s="37">
        <f t="shared" si="12"/>
        <v>3648</v>
      </c>
      <c r="G26" s="351">
        <f t="shared" si="12"/>
        <v>1710</v>
      </c>
      <c r="H26" s="351">
        <f t="shared" si="12"/>
        <v>1846</v>
      </c>
      <c r="I26" s="351">
        <f t="shared" si="12"/>
        <v>3556</v>
      </c>
      <c r="J26" s="341">
        <f t="shared" si="12"/>
        <v>1710</v>
      </c>
      <c r="K26" s="341">
        <f t="shared" si="12"/>
        <v>1846</v>
      </c>
      <c r="L26" s="341">
        <f t="shared" si="12"/>
        <v>3556</v>
      </c>
      <c r="M26" s="351">
        <f t="shared" si="12"/>
        <v>1703</v>
      </c>
      <c r="N26" s="351">
        <f t="shared" si="12"/>
        <v>1853</v>
      </c>
      <c r="O26" s="345">
        <f t="shared" si="12"/>
        <v>3556</v>
      </c>
      <c r="P26" s="53">
        <v>116</v>
      </c>
      <c r="Q26" s="54">
        <v>120</v>
      </c>
      <c r="R26" s="54">
        <v>236</v>
      </c>
      <c r="S26" s="333">
        <v>78</v>
      </c>
      <c r="T26" s="333">
        <v>84</v>
      </c>
      <c r="U26" s="333">
        <v>162</v>
      </c>
      <c r="V26" s="332">
        <v>81</v>
      </c>
      <c r="W26" s="332">
        <v>81</v>
      </c>
      <c r="X26" s="332">
        <v>162</v>
      </c>
      <c r="Y26" s="333">
        <v>76</v>
      </c>
      <c r="Z26" s="333">
        <v>86</v>
      </c>
      <c r="AA26" s="334">
        <v>162</v>
      </c>
      <c r="AB26" s="57">
        <v>228</v>
      </c>
      <c r="AC26" s="58">
        <v>273</v>
      </c>
      <c r="AD26" s="58">
        <v>501</v>
      </c>
      <c r="AE26" s="59">
        <v>228</v>
      </c>
      <c r="AF26" s="59">
        <v>273</v>
      </c>
      <c r="AG26" s="59">
        <v>501</v>
      </c>
      <c r="AH26" s="58">
        <v>228</v>
      </c>
      <c r="AI26" s="58">
        <v>273</v>
      </c>
      <c r="AJ26" s="58">
        <v>501</v>
      </c>
      <c r="AK26" s="59">
        <v>228</v>
      </c>
      <c r="AL26" s="59">
        <v>273</v>
      </c>
      <c r="AM26" s="60">
        <v>501</v>
      </c>
      <c r="AN26" s="343">
        <v>474</v>
      </c>
      <c r="AO26" s="342">
        <v>544</v>
      </c>
      <c r="AP26" s="342">
        <v>1018</v>
      </c>
      <c r="AQ26" s="344">
        <v>474</v>
      </c>
      <c r="AR26" s="344">
        <v>544</v>
      </c>
      <c r="AS26" s="344">
        <v>1018</v>
      </c>
      <c r="AT26" s="343">
        <v>474</v>
      </c>
      <c r="AU26" s="342">
        <v>544</v>
      </c>
      <c r="AV26" s="342">
        <v>1018</v>
      </c>
      <c r="AW26" s="344">
        <v>474</v>
      </c>
      <c r="AX26" s="344">
        <v>544</v>
      </c>
      <c r="AY26" s="337">
        <v>1018</v>
      </c>
      <c r="AZ26" s="45">
        <v>59</v>
      </c>
      <c r="BA26" s="338">
        <v>65</v>
      </c>
      <c r="BB26" s="338">
        <v>124</v>
      </c>
      <c r="BC26" s="339">
        <v>60</v>
      </c>
      <c r="BD26" s="339">
        <v>64</v>
      </c>
      <c r="BE26" s="339">
        <v>124</v>
      </c>
      <c r="BF26" s="338">
        <v>57</v>
      </c>
      <c r="BG26" s="338">
        <v>67</v>
      </c>
      <c r="BH26" s="338">
        <v>124</v>
      </c>
      <c r="BI26" s="339">
        <v>65</v>
      </c>
      <c r="BJ26" s="339">
        <v>59</v>
      </c>
      <c r="BK26" s="340">
        <v>124</v>
      </c>
      <c r="BL26" s="41">
        <v>140</v>
      </c>
      <c r="BM26" s="332">
        <v>143</v>
      </c>
      <c r="BN26" s="332">
        <v>283</v>
      </c>
      <c r="BO26" s="333">
        <v>140</v>
      </c>
      <c r="BP26" s="333">
        <v>143</v>
      </c>
      <c r="BQ26" s="333">
        <v>283</v>
      </c>
      <c r="BR26" s="332">
        <v>140</v>
      </c>
      <c r="BS26" s="332">
        <v>143</v>
      </c>
      <c r="BT26" s="332">
        <v>283</v>
      </c>
      <c r="BU26" s="333">
        <v>140</v>
      </c>
      <c r="BV26" s="333">
        <v>143</v>
      </c>
      <c r="BW26" s="334">
        <v>283</v>
      </c>
      <c r="BX26" s="169">
        <v>270</v>
      </c>
      <c r="BY26" s="170">
        <v>278</v>
      </c>
      <c r="BZ26" s="170">
        <v>548</v>
      </c>
      <c r="CA26" s="171">
        <v>270</v>
      </c>
      <c r="CB26" s="171">
        <v>278</v>
      </c>
      <c r="CC26" s="171">
        <v>548</v>
      </c>
      <c r="CD26" s="170">
        <v>270</v>
      </c>
      <c r="CE26" s="170">
        <v>278</v>
      </c>
      <c r="CF26" s="170">
        <v>548</v>
      </c>
      <c r="CG26" s="171">
        <v>270</v>
      </c>
      <c r="CH26" s="171">
        <v>278</v>
      </c>
      <c r="CI26" s="172">
        <v>548</v>
      </c>
      <c r="CJ26" s="41">
        <v>438</v>
      </c>
      <c r="CK26" s="332">
        <v>500</v>
      </c>
      <c r="CL26" s="332">
        <v>938</v>
      </c>
      <c r="CM26" s="333">
        <v>460</v>
      </c>
      <c r="CN26" s="333">
        <v>460</v>
      </c>
      <c r="CO26" s="333">
        <v>920</v>
      </c>
      <c r="CP26" s="332">
        <v>460</v>
      </c>
      <c r="CQ26" s="332">
        <v>460</v>
      </c>
      <c r="CR26" s="332">
        <v>920</v>
      </c>
      <c r="CS26" s="333">
        <v>450</v>
      </c>
      <c r="CT26" s="333">
        <v>470</v>
      </c>
      <c r="CU26" s="334">
        <v>920</v>
      </c>
    </row>
    <row r="27" spans="1:99" s="251" customFormat="1" ht="24">
      <c r="A27" s="13"/>
      <c r="B27" s="13">
        <v>24</v>
      </c>
      <c r="C27" s="238" t="s">
        <v>26</v>
      </c>
      <c r="D27" s="240">
        <f t="shared" ref="D27:O28" si="13">SUM(P27,AB27,AN27,AZ27,BL27,BX27,CJ27)</f>
        <v>2412</v>
      </c>
      <c r="E27" s="240">
        <f t="shared" si="13"/>
        <v>3133</v>
      </c>
      <c r="F27" s="240">
        <f t="shared" si="13"/>
        <v>5545</v>
      </c>
      <c r="G27" s="240">
        <f t="shared" si="13"/>
        <v>18992</v>
      </c>
      <c r="H27" s="240">
        <f t="shared" si="13"/>
        <v>20552</v>
      </c>
      <c r="I27" s="240">
        <f t="shared" si="13"/>
        <v>39544</v>
      </c>
      <c r="J27" s="240">
        <f t="shared" si="13"/>
        <v>19124</v>
      </c>
      <c r="K27" s="240">
        <f t="shared" si="13"/>
        <v>20895</v>
      </c>
      <c r="L27" s="240">
        <f t="shared" si="13"/>
        <v>40019</v>
      </c>
      <c r="M27" s="240">
        <f t="shared" si="13"/>
        <v>19784</v>
      </c>
      <c r="N27" s="240">
        <f t="shared" si="13"/>
        <v>20423</v>
      </c>
      <c r="O27" s="241">
        <f t="shared" si="13"/>
        <v>40207</v>
      </c>
      <c r="P27" s="242">
        <v>2412</v>
      </c>
      <c r="Q27" s="240">
        <v>3133</v>
      </c>
      <c r="R27" s="240">
        <v>5545</v>
      </c>
      <c r="S27" s="240">
        <v>1260</v>
      </c>
      <c r="T27" s="240">
        <v>1800</v>
      </c>
      <c r="U27" s="240">
        <v>3060</v>
      </c>
      <c r="V27" s="240">
        <v>1000</v>
      </c>
      <c r="W27" s="240">
        <v>1300</v>
      </c>
      <c r="X27" s="240">
        <v>2300</v>
      </c>
      <c r="Y27" s="240">
        <v>1000</v>
      </c>
      <c r="Z27" s="240">
        <v>1200</v>
      </c>
      <c r="AA27" s="243">
        <v>2200</v>
      </c>
      <c r="AB27" s="244" t="s">
        <v>65</v>
      </c>
      <c r="AC27" s="245" t="s">
        <v>65</v>
      </c>
      <c r="AD27" s="245" t="s">
        <v>65</v>
      </c>
      <c r="AE27" s="240">
        <v>980</v>
      </c>
      <c r="AF27" s="240">
        <v>1020</v>
      </c>
      <c r="AG27" s="240">
        <v>2000</v>
      </c>
      <c r="AH27" s="240">
        <v>980</v>
      </c>
      <c r="AI27" s="240">
        <v>1020</v>
      </c>
      <c r="AJ27" s="240">
        <v>2000</v>
      </c>
      <c r="AK27" s="240">
        <v>980</v>
      </c>
      <c r="AL27" s="240">
        <v>1020</v>
      </c>
      <c r="AM27" s="243">
        <v>2000</v>
      </c>
      <c r="AN27" s="246">
        <v>0</v>
      </c>
      <c r="AO27" s="246">
        <v>0</v>
      </c>
      <c r="AP27" s="246">
        <v>0</v>
      </c>
      <c r="AQ27" s="246">
        <v>1480</v>
      </c>
      <c r="AR27" s="246">
        <v>1550</v>
      </c>
      <c r="AS27" s="246">
        <v>3030</v>
      </c>
      <c r="AT27" s="246">
        <v>1500</v>
      </c>
      <c r="AU27" s="246">
        <v>1680</v>
      </c>
      <c r="AV27" s="246">
        <v>3180</v>
      </c>
      <c r="AW27" s="246">
        <v>1570</v>
      </c>
      <c r="AX27" s="246">
        <v>1620</v>
      </c>
      <c r="AY27" s="247">
        <v>3190</v>
      </c>
      <c r="AZ27" s="244">
        <v>0</v>
      </c>
      <c r="BA27" s="245">
        <v>0</v>
      </c>
      <c r="BB27" s="245">
        <v>0</v>
      </c>
      <c r="BC27" s="240">
        <v>440</v>
      </c>
      <c r="BD27" s="240">
        <v>880</v>
      </c>
      <c r="BE27" s="240">
        <v>1320</v>
      </c>
      <c r="BF27" s="240">
        <v>550</v>
      </c>
      <c r="BG27" s="240">
        <v>1100</v>
      </c>
      <c r="BH27" s="240">
        <v>1650</v>
      </c>
      <c r="BI27" s="240">
        <v>550</v>
      </c>
      <c r="BJ27" s="240">
        <v>1100</v>
      </c>
      <c r="BK27" s="243">
        <v>1650</v>
      </c>
      <c r="BL27" s="242">
        <v>0</v>
      </c>
      <c r="BM27" s="240">
        <v>0</v>
      </c>
      <c r="BN27" s="240">
        <v>0</v>
      </c>
      <c r="BO27" s="240">
        <v>631</v>
      </c>
      <c r="BP27" s="240">
        <v>1436</v>
      </c>
      <c r="BQ27" s="240">
        <v>2067</v>
      </c>
      <c r="BR27" s="240">
        <v>714</v>
      </c>
      <c r="BS27" s="240">
        <v>1490</v>
      </c>
      <c r="BT27" s="240">
        <v>2204</v>
      </c>
      <c r="BU27" s="240">
        <v>708</v>
      </c>
      <c r="BV27" s="240">
        <v>1552</v>
      </c>
      <c r="BW27" s="243">
        <v>2260</v>
      </c>
      <c r="BX27" s="248">
        <v>0</v>
      </c>
      <c r="BY27" s="249">
        <v>0</v>
      </c>
      <c r="BZ27" s="249">
        <v>0</v>
      </c>
      <c r="CA27" s="249">
        <v>9834</v>
      </c>
      <c r="CB27" s="249">
        <v>9499</v>
      </c>
      <c r="CC27" s="249">
        <v>19333</v>
      </c>
      <c r="CD27" s="249">
        <v>10215</v>
      </c>
      <c r="CE27" s="249">
        <v>10140</v>
      </c>
      <c r="CF27" s="249">
        <v>20355</v>
      </c>
      <c r="CG27" s="249">
        <v>11161</v>
      </c>
      <c r="CH27" s="249">
        <v>10116</v>
      </c>
      <c r="CI27" s="250">
        <v>21277</v>
      </c>
      <c r="CJ27" s="242">
        <v>0</v>
      </c>
      <c r="CK27" s="240">
        <v>0</v>
      </c>
      <c r="CL27" s="240">
        <v>0</v>
      </c>
      <c r="CM27" s="240">
        <v>4367</v>
      </c>
      <c r="CN27" s="240">
        <v>4367</v>
      </c>
      <c r="CO27" s="240">
        <v>8734</v>
      </c>
      <c r="CP27" s="240">
        <v>4165</v>
      </c>
      <c r="CQ27" s="240">
        <v>4165</v>
      </c>
      <c r="CR27" s="240">
        <v>8330</v>
      </c>
      <c r="CS27" s="240">
        <v>3815</v>
      </c>
      <c r="CT27" s="240">
        <v>3815</v>
      </c>
      <c r="CU27" s="243">
        <v>7630</v>
      </c>
    </row>
    <row r="28" spans="1:99" s="251" customFormat="1" ht="24.75" thickBot="1">
      <c r="A28" s="13"/>
      <c r="B28" s="13">
        <v>25</v>
      </c>
      <c r="C28" s="252" t="s">
        <v>41</v>
      </c>
      <c r="D28" s="253">
        <f t="shared" si="13"/>
        <v>2412</v>
      </c>
      <c r="E28" s="254">
        <f t="shared" si="13"/>
        <v>3133</v>
      </c>
      <c r="F28" s="254">
        <f t="shared" si="13"/>
        <v>5545</v>
      </c>
      <c r="G28" s="254">
        <f t="shared" si="13"/>
        <v>26316</v>
      </c>
      <c r="H28" s="254">
        <f t="shared" si="13"/>
        <v>31877</v>
      </c>
      <c r="I28" s="254">
        <f t="shared" si="13"/>
        <v>58193</v>
      </c>
      <c r="J28" s="254">
        <f t="shared" si="13"/>
        <v>38945</v>
      </c>
      <c r="K28" s="254">
        <f t="shared" si="13"/>
        <v>46612</v>
      </c>
      <c r="L28" s="254">
        <f t="shared" si="13"/>
        <v>85557</v>
      </c>
      <c r="M28" s="254">
        <f t="shared" si="13"/>
        <v>45178</v>
      </c>
      <c r="N28" s="254">
        <f t="shared" si="13"/>
        <v>56506</v>
      </c>
      <c r="O28" s="255">
        <f t="shared" si="13"/>
        <v>101684</v>
      </c>
      <c r="P28" s="256">
        <v>2412</v>
      </c>
      <c r="Q28" s="254">
        <v>3133</v>
      </c>
      <c r="R28" s="254">
        <v>5545</v>
      </c>
      <c r="S28" s="254">
        <v>3672</v>
      </c>
      <c r="T28" s="254">
        <v>4933</v>
      </c>
      <c r="U28" s="254">
        <v>8605</v>
      </c>
      <c r="V28" s="254">
        <v>4672</v>
      </c>
      <c r="W28" s="254">
        <v>6233</v>
      </c>
      <c r="X28" s="254">
        <v>10905</v>
      </c>
      <c r="Y28" s="254">
        <v>5672</v>
      </c>
      <c r="Z28" s="254">
        <v>7433</v>
      </c>
      <c r="AA28" s="257">
        <v>13105</v>
      </c>
      <c r="AB28" s="256">
        <v>0</v>
      </c>
      <c r="AC28" s="254">
        <v>0</v>
      </c>
      <c r="AD28" s="254">
        <v>0</v>
      </c>
      <c r="AE28" s="254">
        <v>980</v>
      </c>
      <c r="AF28" s="254">
        <v>1020</v>
      </c>
      <c r="AG28" s="254">
        <v>2000</v>
      </c>
      <c r="AH28" s="254">
        <v>980</v>
      </c>
      <c r="AI28" s="254">
        <v>1020</v>
      </c>
      <c r="AJ28" s="254">
        <v>2000</v>
      </c>
      <c r="AK28" s="254">
        <v>980</v>
      </c>
      <c r="AL28" s="254">
        <v>1020</v>
      </c>
      <c r="AM28" s="257">
        <v>2000</v>
      </c>
      <c r="AN28" s="258">
        <v>0</v>
      </c>
      <c r="AO28" s="258">
        <v>0</v>
      </c>
      <c r="AP28" s="258">
        <v>0</v>
      </c>
      <c r="AQ28" s="258">
        <v>10940</v>
      </c>
      <c r="AR28" s="258">
        <v>12493</v>
      </c>
      <c r="AS28" s="258">
        <v>23433</v>
      </c>
      <c r="AT28" s="258">
        <v>12440</v>
      </c>
      <c r="AU28" s="258">
        <v>14173</v>
      </c>
      <c r="AV28" s="258">
        <v>26613</v>
      </c>
      <c r="AW28" s="258">
        <v>7300</v>
      </c>
      <c r="AX28" s="258">
        <v>10500</v>
      </c>
      <c r="AY28" s="259">
        <v>17800</v>
      </c>
      <c r="AZ28" s="256">
        <v>0</v>
      </c>
      <c r="BA28" s="254">
        <v>0</v>
      </c>
      <c r="BB28" s="254">
        <v>0</v>
      </c>
      <c r="BC28" s="254">
        <v>440</v>
      </c>
      <c r="BD28" s="254">
        <v>880</v>
      </c>
      <c r="BE28" s="254">
        <v>1320</v>
      </c>
      <c r="BF28" s="254">
        <v>990</v>
      </c>
      <c r="BG28" s="254">
        <v>1980</v>
      </c>
      <c r="BH28" s="254">
        <v>2970</v>
      </c>
      <c r="BI28" s="254">
        <v>1540</v>
      </c>
      <c r="BJ28" s="254">
        <v>3080</v>
      </c>
      <c r="BK28" s="257">
        <v>4620</v>
      </c>
      <c r="BL28" s="256">
        <v>0</v>
      </c>
      <c r="BM28" s="254">
        <v>0</v>
      </c>
      <c r="BN28" s="254">
        <v>0</v>
      </c>
      <c r="BO28" s="254">
        <v>631</v>
      </c>
      <c r="BP28" s="254">
        <v>1436</v>
      </c>
      <c r="BQ28" s="240">
        <v>2067</v>
      </c>
      <c r="BR28" s="254">
        <v>1345</v>
      </c>
      <c r="BS28" s="254">
        <v>2926</v>
      </c>
      <c r="BT28" s="240">
        <v>4271</v>
      </c>
      <c r="BU28" s="254">
        <v>2053</v>
      </c>
      <c r="BV28" s="254">
        <v>4478</v>
      </c>
      <c r="BW28" s="257">
        <v>6531</v>
      </c>
      <c r="BX28" s="260">
        <v>0</v>
      </c>
      <c r="BY28" s="261">
        <v>0</v>
      </c>
      <c r="BZ28" s="261">
        <v>0</v>
      </c>
      <c r="CA28" s="261">
        <v>5286</v>
      </c>
      <c r="CB28" s="261">
        <v>6748</v>
      </c>
      <c r="CC28" s="261">
        <v>12034</v>
      </c>
      <c r="CD28" s="261">
        <v>9986</v>
      </c>
      <c r="CE28" s="261">
        <v>11748</v>
      </c>
      <c r="CF28" s="261">
        <v>21734</v>
      </c>
      <c r="CG28" s="261">
        <v>15286</v>
      </c>
      <c r="CH28" s="261">
        <v>17648</v>
      </c>
      <c r="CI28" s="262">
        <v>32934</v>
      </c>
      <c r="CJ28" s="256">
        <v>0</v>
      </c>
      <c r="CK28" s="254">
        <v>0</v>
      </c>
      <c r="CL28" s="254">
        <v>0</v>
      </c>
      <c r="CM28" s="254">
        <v>4367</v>
      </c>
      <c r="CN28" s="254">
        <v>4367</v>
      </c>
      <c r="CO28" s="254">
        <v>8734</v>
      </c>
      <c r="CP28" s="254">
        <v>8532</v>
      </c>
      <c r="CQ28" s="254">
        <v>8532</v>
      </c>
      <c r="CR28" s="254">
        <v>17064</v>
      </c>
      <c r="CS28" s="254">
        <v>12347</v>
      </c>
      <c r="CT28" s="254">
        <v>12347</v>
      </c>
      <c r="CU28" s="257">
        <v>24694</v>
      </c>
    </row>
    <row r="29" spans="1:99" s="13" customFormat="1" ht="24.75" thickBot="1">
      <c r="B29" s="13">
        <v>26</v>
      </c>
      <c r="C29" s="30" t="s">
        <v>42</v>
      </c>
      <c r="D29" s="740">
        <f>SUM(P29,AB29,AN29,AZ29,BL29,BX29,CJ29)</f>
        <v>1089</v>
      </c>
      <c r="E29" s="741"/>
      <c r="F29" s="742"/>
      <c r="G29" s="743">
        <f>SUM(S29,AE29,AQ29,BC29,BO29,CA29,CM29)</f>
        <v>1272</v>
      </c>
      <c r="H29" s="744"/>
      <c r="I29" s="745"/>
      <c r="J29" s="740">
        <f>SUM(V29,AH29,AT29,BF29,BR29,CD29,CP29)</f>
        <v>1434</v>
      </c>
      <c r="K29" s="741"/>
      <c r="L29" s="742"/>
      <c r="M29" s="743">
        <f>SUM(Y29,AK29,AW29,BI29,BU29,CG29,CS29)</f>
        <v>1505</v>
      </c>
      <c r="N29" s="744"/>
      <c r="O29" s="744"/>
      <c r="P29" s="988">
        <v>4</v>
      </c>
      <c r="Q29" s="982"/>
      <c r="R29" s="983"/>
      <c r="S29" s="959">
        <v>20</v>
      </c>
      <c r="T29" s="960"/>
      <c r="U29" s="989"/>
      <c r="V29" s="981">
        <v>10</v>
      </c>
      <c r="W29" s="982"/>
      <c r="X29" s="983"/>
      <c r="Y29" s="959">
        <v>12</v>
      </c>
      <c r="Z29" s="960"/>
      <c r="AA29" s="961"/>
      <c r="AB29" s="973">
        <v>185</v>
      </c>
      <c r="AC29" s="974"/>
      <c r="AD29" s="975"/>
      <c r="AE29" s="976">
        <v>285</v>
      </c>
      <c r="AF29" s="977"/>
      <c r="AG29" s="978"/>
      <c r="AH29" s="979">
        <v>385</v>
      </c>
      <c r="AI29" s="974"/>
      <c r="AJ29" s="975"/>
      <c r="AK29" s="976">
        <v>485</v>
      </c>
      <c r="AL29" s="977"/>
      <c r="AM29" s="980"/>
      <c r="AN29" s="962">
        <v>302</v>
      </c>
      <c r="AO29" s="963"/>
      <c r="AP29" s="964"/>
      <c r="AQ29" s="965">
        <v>200</v>
      </c>
      <c r="AR29" s="966"/>
      <c r="AS29" s="967"/>
      <c r="AT29" s="968">
        <v>150</v>
      </c>
      <c r="AU29" s="963"/>
      <c r="AV29" s="964"/>
      <c r="AW29" s="965">
        <v>88</v>
      </c>
      <c r="AX29" s="966"/>
      <c r="AY29" s="990"/>
      <c r="AZ29" s="973">
        <v>23</v>
      </c>
      <c r="BA29" s="974"/>
      <c r="BB29" s="975"/>
      <c r="BC29" s="976">
        <v>64</v>
      </c>
      <c r="BD29" s="977"/>
      <c r="BE29" s="978"/>
      <c r="BF29" s="979">
        <v>76</v>
      </c>
      <c r="BG29" s="974"/>
      <c r="BH29" s="975"/>
      <c r="BI29" s="976">
        <v>90</v>
      </c>
      <c r="BJ29" s="977"/>
      <c r="BK29" s="980"/>
      <c r="BL29" s="988">
        <v>0</v>
      </c>
      <c r="BM29" s="982"/>
      <c r="BN29" s="983"/>
      <c r="BO29" s="725">
        <v>50</v>
      </c>
      <c r="BP29" s="726"/>
      <c r="BQ29" s="727"/>
      <c r="BR29" s="728">
        <v>60</v>
      </c>
      <c r="BS29" s="723"/>
      <c r="BT29" s="724"/>
      <c r="BU29" s="959">
        <v>60</v>
      </c>
      <c r="BV29" s="960"/>
      <c r="BW29" s="961"/>
      <c r="BX29" s="973">
        <v>443</v>
      </c>
      <c r="BY29" s="974"/>
      <c r="BZ29" s="975"/>
      <c r="CA29" s="984">
        <v>473</v>
      </c>
      <c r="CB29" s="985"/>
      <c r="CC29" s="986"/>
      <c r="CD29" s="979">
        <v>573</v>
      </c>
      <c r="CE29" s="974"/>
      <c r="CF29" s="975"/>
      <c r="CG29" s="984">
        <v>589</v>
      </c>
      <c r="CH29" s="985"/>
      <c r="CI29" s="987"/>
      <c r="CJ29" s="988">
        <v>132</v>
      </c>
      <c r="CK29" s="982"/>
      <c r="CL29" s="983"/>
      <c r="CM29" s="959">
        <v>180</v>
      </c>
      <c r="CN29" s="960"/>
      <c r="CO29" s="989"/>
      <c r="CP29" s="981">
        <v>180</v>
      </c>
      <c r="CQ29" s="982"/>
      <c r="CR29" s="983"/>
      <c r="CS29" s="959">
        <v>181</v>
      </c>
      <c r="CT29" s="960"/>
      <c r="CU29" s="961"/>
    </row>
    <row r="30" spans="1:99" s="13" customFormat="1">
      <c r="B30" s="13">
        <v>27</v>
      </c>
      <c r="C30" s="320" t="s">
        <v>293</v>
      </c>
      <c r="D30" s="286"/>
      <c r="E30" s="286"/>
      <c r="F30" s="287"/>
      <c r="G30" s="288"/>
      <c r="H30" s="288"/>
      <c r="I30" s="289"/>
      <c r="J30" s="286"/>
      <c r="K30" s="286"/>
      <c r="L30" s="287"/>
      <c r="M30" s="288"/>
      <c r="N30" s="288"/>
      <c r="O30" s="288"/>
      <c r="P30" s="290"/>
      <c r="Q30" s="291"/>
      <c r="R30" s="292"/>
      <c r="S30" s="293"/>
      <c r="T30" s="293"/>
      <c r="U30" s="294"/>
      <c r="V30" s="291"/>
      <c r="W30" s="291"/>
      <c r="X30" s="292"/>
      <c r="Y30" s="293"/>
      <c r="Z30" s="293"/>
      <c r="AA30" s="295"/>
      <c r="AB30" s="296"/>
      <c r="AC30" s="297"/>
      <c r="AD30" s="298"/>
      <c r="AE30" s="299"/>
      <c r="AF30" s="299"/>
      <c r="AG30" s="300"/>
      <c r="AH30" s="297"/>
      <c r="AI30" s="297"/>
      <c r="AJ30" s="298"/>
      <c r="AK30" s="299"/>
      <c r="AL30" s="299"/>
      <c r="AM30" s="301"/>
      <c r="AN30" s="303"/>
      <c r="AO30" s="303"/>
      <c r="AP30" s="101"/>
      <c r="AQ30" s="304"/>
      <c r="AR30" s="304"/>
      <c r="AS30" s="305"/>
      <c r="AT30" s="303"/>
      <c r="AU30" s="303"/>
      <c r="AV30" s="101"/>
      <c r="AW30" s="304"/>
      <c r="AX30" s="304"/>
      <c r="AY30" s="306"/>
      <c r="AZ30" s="296"/>
      <c r="BA30" s="297"/>
      <c r="BB30" s="298"/>
      <c r="BC30" s="299"/>
      <c r="BD30" s="299"/>
      <c r="BE30" s="300"/>
      <c r="BF30" s="297"/>
      <c r="BG30" s="297"/>
      <c r="BH30" s="298"/>
      <c r="BI30" s="299"/>
      <c r="BJ30" s="299"/>
      <c r="BK30" s="301"/>
      <c r="BL30" s="290"/>
      <c r="BM30" s="291"/>
      <c r="BN30" s="292"/>
      <c r="BO30" s="293"/>
      <c r="BP30" s="293"/>
      <c r="BQ30" s="294"/>
      <c r="BR30" s="291"/>
      <c r="BS30" s="291"/>
      <c r="BT30" s="292"/>
      <c r="BU30" s="293"/>
      <c r="BV30" s="293"/>
      <c r="BW30" s="295"/>
      <c r="BX30" s="296"/>
      <c r="BY30" s="315"/>
      <c r="BZ30" s="316"/>
      <c r="CA30" s="317"/>
      <c r="CB30" s="317"/>
      <c r="CC30" s="318"/>
      <c r="CD30" s="297"/>
      <c r="CE30" s="315"/>
      <c r="CF30" s="316"/>
      <c r="CG30" s="317"/>
      <c r="CH30" s="317"/>
      <c r="CI30" s="319"/>
      <c r="CJ30" s="290"/>
      <c r="CK30" s="291"/>
      <c r="CL30" s="292"/>
      <c r="CM30" s="293"/>
      <c r="CN30" s="293"/>
      <c r="CO30" s="294"/>
      <c r="CP30" s="291"/>
      <c r="CQ30" s="291"/>
      <c r="CR30" s="292"/>
      <c r="CS30" s="293"/>
      <c r="CT30" s="293"/>
      <c r="CU30" s="295"/>
    </row>
    <row r="31" spans="1:99" s="275" customFormat="1" ht="24" customHeight="1">
      <c r="A31" s="13"/>
      <c r="B31" s="13">
        <v>28</v>
      </c>
      <c r="C31" s="263" t="s">
        <v>67</v>
      </c>
      <c r="D31" s="347">
        <f t="shared" ref="D31:O32" si="14">SUM(P31,AB31,AN31,AZ31,BL31,BX31,CJ31)</f>
        <v>28156</v>
      </c>
      <c r="E31" s="347">
        <f t="shared" si="14"/>
        <v>29726</v>
      </c>
      <c r="F31" s="347">
        <f t="shared" si="14"/>
        <v>57882</v>
      </c>
      <c r="G31" s="347">
        <f t="shared" si="14"/>
        <v>25827</v>
      </c>
      <c r="H31" s="347">
        <f t="shared" si="14"/>
        <v>27526</v>
      </c>
      <c r="I31" s="347">
        <f t="shared" si="14"/>
        <v>53353</v>
      </c>
      <c r="J31" s="347">
        <f t="shared" si="14"/>
        <v>24858</v>
      </c>
      <c r="K31" s="347">
        <f t="shared" si="14"/>
        <v>26896</v>
      </c>
      <c r="L31" s="347">
        <f t="shared" si="14"/>
        <v>51754</v>
      </c>
      <c r="M31" s="347">
        <f t="shared" si="14"/>
        <v>26309</v>
      </c>
      <c r="N31" s="347">
        <f t="shared" si="14"/>
        <v>29837</v>
      </c>
      <c r="O31" s="346">
        <f t="shared" si="14"/>
        <v>57130</v>
      </c>
      <c r="P31" s="267">
        <v>2219</v>
      </c>
      <c r="Q31" s="347">
        <v>2785</v>
      </c>
      <c r="R31" s="347">
        <v>5004</v>
      </c>
      <c r="S31" s="347">
        <v>2300</v>
      </c>
      <c r="T31" s="347">
        <v>2860</v>
      </c>
      <c r="U31" s="347">
        <v>5160</v>
      </c>
      <c r="V31" s="347">
        <v>2320</v>
      </c>
      <c r="W31" s="347">
        <v>2880</v>
      </c>
      <c r="X31" s="347">
        <v>5200</v>
      </c>
      <c r="Y31" s="347">
        <v>2350</v>
      </c>
      <c r="Z31" s="347">
        <v>2950</v>
      </c>
      <c r="AA31" s="348">
        <v>5300</v>
      </c>
      <c r="AB31" s="267">
        <v>3574</v>
      </c>
      <c r="AC31" s="347">
        <v>3898</v>
      </c>
      <c r="AD31" s="347">
        <v>7472</v>
      </c>
      <c r="AE31" s="347">
        <v>4309</v>
      </c>
      <c r="AF31" s="347">
        <v>4663</v>
      </c>
      <c r="AG31" s="347">
        <v>8972</v>
      </c>
      <c r="AH31" s="347">
        <v>5044</v>
      </c>
      <c r="AI31" s="347">
        <v>5428</v>
      </c>
      <c r="AJ31" s="347">
        <v>10472</v>
      </c>
      <c r="AK31" s="347">
        <v>5779</v>
      </c>
      <c r="AL31" s="347">
        <v>6193</v>
      </c>
      <c r="AM31" s="348">
        <v>11972</v>
      </c>
      <c r="AN31" s="269">
        <v>4103</v>
      </c>
      <c r="AO31" s="350">
        <v>4800</v>
      </c>
      <c r="AP31" s="350">
        <v>8903</v>
      </c>
      <c r="AQ31" s="350">
        <v>6000</v>
      </c>
      <c r="AR31" s="350">
        <v>6500</v>
      </c>
      <c r="AS31" s="350">
        <v>12500</v>
      </c>
      <c r="AT31" s="350">
        <v>6500</v>
      </c>
      <c r="AU31" s="350">
        <v>7300</v>
      </c>
      <c r="AV31" s="350">
        <v>13800</v>
      </c>
      <c r="AW31" s="350">
        <v>7900</v>
      </c>
      <c r="AX31" s="350">
        <v>8600</v>
      </c>
      <c r="AY31" s="349">
        <v>16500</v>
      </c>
      <c r="AZ31" s="267">
        <v>984</v>
      </c>
      <c r="BA31" s="347">
        <v>1211</v>
      </c>
      <c r="BB31" s="347">
        <v>2195</v>
      </c>
      <c r="BC31" s="347">
        <v>1049</v>
      </c>
      <c r="BD31" s="347">
        <v>1341</v>
      </c>
      <c r="BE31" s="347">
        <v>2390</v>
      </c>
      <c r="BF31" s="347">
        <v>1114</v>
      </c>
      <c r="BG31" s="347">
        <v>1471</v>
      </c>
      <c r="BH31" s="347">
        <v>2585</v>
      </c>
      <c r="BI31" s="347">
        <v>1179</v>
      </c>
      <c r="BJ31" s="347">
        <v>1601</v>
      </c>
      <c r="BK31" s="348">
        <v>3764</v>
      </c>
      <c r="BL31" s="267">
        <v>1228</v>
      </c>
      <c r="BM31" s="347">
        <v>1927</v>
      </c>
      <c r="BN31" s="347">
        <v>3155</v>
      </c>
      <c r="BO31" s="347">
        <v>1265</v>
      </c>
      <c r="BP31" s="347">
        <v>1985</v>
      </c>
      <c r="BQ31" s="347">
        <f>BO31+BP31</f>
        <v>3250</v>
      </c>
      <c r="BR31" s="347">
        <v>1316</v>
      </c>
      <c r="BS31" s="347">
        <v>2064</v>
      </c>
      <c r="BT31" s="347">
        <v>3380</v>
      </c>
      <c r="BU31" s="347">
        <v>1381</v>
      </c>
      <c r="BV31" s="347">
        <v>2168</v>
      </c>
      <c r="BW31" s="348">
        <v>3549</v>
      </c>
      <c r="BX31" s="272">
        <v>12666</v>
      </c>
      <c r="BY31" s="273">
        <v>11110</v>
      </c>
      <c r="BZ31" s="273">
        <v>23776</v>
      </c>
      <c r="CA31" s="273">
        <v>5595</v>
      </c>
      <c r="CB31" s="273">
        <v>4868</v>
      </c>
      <c r="CC31" s="273">
        <v>10463</v>
      </c>
      <c r="CD31" s="273">
        <v>2194</v>
      </c>
      <c r="CE31" s="273">
        <v>1383</v>
      </c>
      <c r="CF31" s="273">
        <v>3577</v>
      </c>
      <c r="CG31" s="273">
        <v>2199</v>
      </c>
      <c r="CH31" s="273">
        <v>2344</v>
      </c>
      <c r="CI31" s="274">
        <v>4543</v>
      </c>
      <c r="CJ31" s="267">
        <v>3382</v>
      </c>
      <c r="CK31" s="347">
        <v>3995</v>
      </c>
      <c r="CL31" s="347">
        <v>7377</v>
      </c>
      <c r="CM31" s="347">
        <v>5309</v>
      </c>
      <c r="CN31" s="347">
        <v>5309</v>
      </c>
      <c r="CO31" s="347">
        <v>10618</v>
      </c>
      <c r="CP31" s="347">
        <v>6370</v>
      </c>
      <c r="CQ31" s="347">
        <v>6370</v>
      </c>
      <c r="CR31" s="347">
        <v>12740</v>
      </c>
      <c r="CS31" s="347">
        <v>5521</v>
      </c>
      <c r="CT31" s="347">
        <v>5981</v>
      </c>
      <c r="CU31" s="348">
        <v>11502</v>
      </c>
    </row>
    <row r="32" spans="1:99" s="13" customFormat="1" ht="36.75" thickBot="1">
      <c r="B32" s="13">
        <v>29</v>
      </c>
      <c r="C32" s="33" t="s">
        <v>43</v>
      </c>
      <c r="D32" s="37">
        <f t="shared" si="14"/>
        <v>37384</v>
      </c>
      <c r="E32" s="341">
        <f t="shared" si="14"/>
        <v>42030</v>
      </c>
      <c r="F32" s="341">
        <f t="shared" si="14"/>
        <v>79414</v>
      </c>
      <c r="G32" s="351">
        <f t="shared" si="14"/>
        <v>40614</v>
      </c>
      <c r="H32" s="351">
        <f t="shared" si="14"/>
        <v>42998</v>
      </c>
      <c r="I32" s="351">
        <f t="shared" si="14"/>
        <v>83612</v>
      </c>
      <c r="J32" s="341">
        <f t="shared" si="14"/>
        <v>47434</v>
      </c>
      <c r="K32" s="341">
        <f t="shared" si="14"/>
        <v>50598</v>
      </c>
      <c r="L32" s="341">
        <f t="shared" si="14"/>
        <v>98032</v>
      </c>
      <c r="M32" s="351">
        <f t="shared" si="14"/>
        <v>43079</v>
      </c>
      <c r="N32" s="351">
        <f t="shared" si="14"/>
        <v>46340</v>
      </c>
      <c r="O32" s="345">
        <f t="shared" si="14"/>
        <v>89419</v>
      </c>
      <c r="P32" s="41">
        <v>1857</v>
      </c>
      <c r="Q32" s="332">
        <v>2014</v>
      </c>
      <c r="R32" s="332">
        <v>3871</v>
      </c>
      <c r="S32" s="333">
        <v>2400</v>
      </c>
      <c r="T32" s="333">
        <v>3150</v>
      </c>
      <c r="U32" s="333">
        <v>5550</v>
      </c>
      <c r="V32" s="332">
        <v>2650</v>
      </c>
      <c r="W32" s="332">
        <v>3200</v>
      </c>
      <c r="X32" s="332">
        <v>5850</v>
      </c>
      <c r="Y32" s="333">
        <v>2700</v>
      </c>
      <c r="Z32" s="333">
        <v>3300</v>
      </c>
      <c r="AA32" s="334">
        <v>6000</v>
      </c>
      <c r="AB32" s="45">
        <v>7812</v>
      </c>
      <c r="AC32" s="338">
        <v>8344</v>
      </c>
      <c r="AD32" s="338">
        <v>16156</v>
      </c>
      <c r="AE32" s="339">
        <v>8281</v>
      </c>
      <c r="AF32" s="339">
        <v>9490</v>
      </c>
      <c r="AG32" s="339">
        <v>17771</v>
      </c>
      <c r="AH32" s="338">
        <v>8750</v>
      </c>
      <c r="AI32" s="338">
        <v>10636</v>
      </c>
      <c r="AJ32" s="338">
        <v>19386</v>
      </c>
      <c r="AK32" s="339">
        <v>9219</v>
      </c>
      <c r="AL32" s="339">
        <v>11782</v>
      </c>
      <c r="AM32" s="340">
        <v>21001</v>
      </c>
      <c r="AN32" s="94">
        <v>5809</v>
      </c>
      <c r="AO32" s="343">
        <v>7001</v>
      </c>
      <c r="AP32" s="343">
        <v>12810</v>
      </c>
      <c r="AQ32" s="344">
        <v>7200</v>
      </c>
      <c r="AR32" s="344">
        <v>7800</v>
      </c>
      <c r="AS32" s="344">
        <v>15000</v>
      </c>
      <c r="AT32" s="343">
        <v>10000</v>
      </c>
      <c r="AU32" s="343">
        <v>10700</v>
      </c>
      <c r="AV32" s="343">
        <v>20700</v>
      </c>
      <c r="AW32" s="344">
        <v>11500</v>
      </c>
      <c r="AX32" s="344">
        <v>12000</v>
      </c>
      <c r="AY32" s="337">
        <v>23500</v>
      </c>
      <c r="AZ32" s="45">
        <v>816</v>
      </c>
      <c r="BA32" s="338">
        <v>1091</v>
      </c>
      <c r="BB32" s="338">
        <v>1907</v>
      </c>
      <c r="BC32" s="339">
        <v>916</v>
      </c>
      <c r="BD32" s="339">
        <v>1291</v>
      </c>
      <c r="BE32" s="339">
        <v>2207</v>
      </c>
      <c r="BF32" s="338">
        <v>1016</v>
      </c>
      <c r="BG32" s="338">
        <v>1491</v>
      </c>
      <c r="BH32" s="338">
        <v>2507</v>
      </c>
      <c r="BI32" s="339">
        <v>1116</v>
      </c>
      <c r="BJ32" s="339">
        <v>1691</v>
      </c>
      <c r="BK32" s="340">
        <v>2807</v>
      </c>
      <c r="BL32" s="41">
        <v>3548</v>
      </c>
      <c r="BM32" s="332">
        <v>4828</v>
      </c>
      <c r="BN32" s="332">
        <v>8376</v>
      </c>
      <c r="BO32" s="333">
        <v>3640</v>
      </c>
      <c r="BP32" s="333">
        <v>3845</v>
      </c>
      <c r="BQ32" s="333">
        <v>7485</v>
      </c>
      <c r="BR32" s="332">
        <v>3641</v>
      </c>
      <c r="BS32" s="332">
        <v>3687</v>
      </c>
      <c r="BT32" s="332">
        <v>7328</v>
      </c>
      <c r="BU32" s="333">
        <v>3569</v>
      </c>
      <c r="BV32" s="333">
        <v>3551</v>
      </c>
      <c r="BW32" s="334">
        <v>7120</v>
      </c>
      <c r="BX32" s="169">
        <v>8502</v>
      </c>
      <c r="BY32" s="170">
        <v>8529</v>
      </c>
      <c r="BZ32" s="170">
        <v>17031</v>
      </c>
      <c r="CA32" s="171">
        <v>9443</v>
      </c>
      <c r="CB32" s="171">
        <v>8688</v>
      </c>
      <c r="CC32" s="171">
        <v>18131</v>
      </c>
      <c r="CD32" s="170">
        <v>10897</v>
      </c>
      <c r="CE32" s="170">
        <v>10404</v>
      </c>
      <c r="CF32" s="170">
        <v>21301</v>
      </c>
      <c r="CG32" s="171">
        <v>12049</v>
      </c>
      <c r="CH32" s="171">
        <v>10847</v>
      </c>
      <c r="CI32" s="172">
        <v>22896</v>
      </c>
      <c r="CJ32" s="41">
        <v>9040</v>
      </c>
      <c r="CK32" s="332">
        <v>10223</v>
      </c>
      <c r="CL32" s="332">
        <v>19263</v>
      </c>
      <c r="CM32" s="333">
        <v>8734</v>
      </c>
      <c r="CN32" s="333">
        <v>8734</v>
      </c>
      <c r="CO32" s="333">
        <v>17468</v>
      </c>
      <c r="CP32" s="332">
        <v>10480</v>
      </c>
      <c r="CQ32" s="332">
        <v>10480</v>
      </c>
      <c r="CR32" s="332">
        <v>20960</v>
      </c>
      <c r="CS32" s="333">
        <v>2926</v>
      </c>
      <c r="CT32" s="333">
        <v>3169</v>
      </c>
      <c r="CU32" s="334">
        <v>6095</v>
      </c>
    </row>
    <row r="33" spans="1:99" s="275" customFormat="1" ht="84" customHeight="1">
      <c r="A33" s="13"/>
      <c r="B33" s="13">
        <v>30</v>
      </c>
      <c r="C33" s="263" t="s">
        <v>44</v>
      </c>
      <c r="D33" s="685">
        <f>SUM(P33,AB33,AN33,AZ33,BL33,BX33,CJ33)</f>
        <v>1739</v>
      </c>
      <c r="E33" s="683"/>
      <c r="F33" s="684"/>
      <c r="G33" s="685">
        <f>SUM(S33,AE33,AQ33,BC33,BO33,CA33,CM33)</f>
        <v>1750</v>
      </c>
      <c r="H33" s="683"/>
      <c r="I33" s="684"/>
      <c r="J33" s="685">
        <f>SUM(V33,AH33,AT33,BF33,BR33,CD33,CP33)</f>
        <v>2094</v>
      </c>
      <c r="K33" s="683"/>
      <c r="L33" s="684"/>
      <c r="M33" s="685">
        <f>SUM(Y33,AK33,AW33,BI33,BU33,CG33,CS33)</f>
        <v>2731</v>
      </c>
      <c r="N33" s="683"/>
      <c r="O33" s="683"/>
      <c r="P33" s="958">
        <v>59</v>
      </c>
      <c r="Q33" s="951"/>
      <c r="R33" s="956"/>
      <c r="S33" s="950">
        <v>80</v>
      </c>
      <c r="T33" s="951"/>
      <c r="U33" s="956"/>
      <c r="V33" s="950">
        <v>90</v>
      </c>
      <c r="W33" s="951"/>
      <c r="X33" s="956"/>
      <c r="Y33" s="950">
        <v>100</v>
      </c>
      <c r="Z33" s="951"/>
      <c r="AA33" s="952"/>
      <c r="AB33" s="958">
        <v>222</v>
      </c>
      <c r="AC33" s="951"/>
      <c r="AD33" s="956"/>
      <c r="AE33" s="950">
        <v>272</v>
      </c>
      <c r="AF33" s="951"/>
      <c r="AG33" s="956"/>
      <c r="AH33" s="950">
        <v>322</v>
      </c>
      <c r="AI33" s="951"/>
      <c r="AJ33" s="956"/>
      <c r="AK33" s="950">
        <v>372</v>
      </c>
      <c r="AL33" s="951"/>
      <c r="AM33" s="952"/>
      <c r="AN33" s="693">
        <v>351</v>
      </c>
      <c r="AO33" s="694"/>
      <c r="AP33" s="695"/>
      <c r="AQ33" s="969">
        <v>85</v>
      </c>
      <c r="AR33" s="970"/>
      <c r="AS33" s="971"/>
      <c r="AT33" s="969">
        <v>115</v>
      </c>
      <c r="AU33" s="970"/>
      <c r="AV33" s="971"/>
      <c r="AW33" s="969">
        <v>200</v>
      </c>
      <c r="AX33" s="970"/>
      <c r="AY33" s="972"/>
      <c r="AZ33" s="958">
        <v>67</v>
      </c>
      <c r="BA33" s="951"/>
      <c r="BB33" s="956"/>
      <c r="BC33" s="950">
        <v>96</v>
      </c>
      <c r="BD33" s="951"/>
      <c r="BE33" s="956"/>
      <c r="BF33" s="950">
        <v>105</v>
      </c>
      <c r="BG33" s="951"/>
      <c r="BH33" s="956"/>
      <c r="BI33" s="950">
        <v>144</v>
      </c>
      <c r="BJ33" s="951"/>
      <c r="BK33" s="952"/>
      <c r="BL33" s="958">
        <v>52</v>
      </c>
      <c r="BM33" s="951"/>
      <c r="BN33" s="956"/>
      <c r="BO33" s="950">
        <v>54</v>
      </c>
      <c r="BP33" s="951"/>
      <c r="BQ33" s="956"/>
      <c r="BR33" s="950">
        <v>60</v>
      </c>
      <c r="BS33" s="951"/>
      <c r="BT33" s="956"/>
      <c r="BU33" s="950">
        <v>66</v>
      </c>
      <c r="BV33" s="951"/>
      <c r="BW33" s="952"/>
      <c r="BX33" s="958">
        <v>591</v>
      </c>
      <c r="BY33" s="951"/>
      <c r="BZ33" s="956"/>
      <c r="CA33" s="953">
        <v>663</v>
      </c>
      <c r="CB33" s="954"/>
      <c r="CC33" s="955"/>
      <c r="CD33" s="950">
        <v>732</v>
      </c>
      <c r="CE33" s="951"/>
      <c r="CF33" s="956"/>
      <c r="CG33" s="953">
        <v>900</v>
      </c>
      <c r="CH33" s="954"/>
      <c r="CI33" s="957"/>
      <c r="CJ33" s="958">
        <v>397</v>
      </c>
      <c r="CK33" s="951"/>
      <c r="CL33" s="956"/>
      <c r="CM33" s="950">
        <v>500</v>
      </c>
      <c r="CN33" s="951"/>
      <c r="CO33" s="956"/>
      <c r="CP33" s="950">
        <v>670</v>
      </c>
      <c r="CQ33" s="951"/>
      <c r="CR33" s="956"/>
      <c r="CS33" s="950">
        <v>949</v>
      </c>
      <c r="CT33" s="951"/>
      <c r="CU33" s="952"/>
    </row>
    <row r="34" spans="1:99" s="275" customFormat="1" ht="84.75" customHeight="1" thickBot="1">
      <c r="A34" s="13"/>
      <c r="B34" s="13">
        <v>31</v>
      </c>
      <c r="C34" s="283" t="s">
        <v>45</v>
      </c>
      <c r="D34" s="661">
        <f>SUM(P34,AB34,AN34,AZ34,BL34,BX34,CJ34)</f>
        <v>1446</v>
      </c>
      <c r="E34" s="662"/>
      <c r="F34" s="663"/>
      <c r="G34" s="661">
        <f>SUM(S34,AE34,AQ34,BC34,BO34,CA34,CM34)</f>
        <v>1923</v>
      </c>
      <c r="H34" s="662"/>
      <c r="I34" s="663"/>
      <c r="J34" s="661">
        <f>SUM(V34,AH34,AT34,BF34,BR34,CD34,CP34)</f>
        <v>1950</v>
      </c>
      <c r="K34" s="662"/>
      <c r="L34" s="663"/>
      <c r="M34" s="661">
        <f>SUM(Y34,AK34,AW34,BI34,BU34,CG34,CS34)</f>
        <v>2203</v>
      </c>
      <c r="N34" s="662"/>
      <c r="O34" s="662"/>
      <c r="P34" s="665">
        <v>10</v>
      </c>
      <c r="Q34" s="662"/>
      <c r="R34" s="663"/>
      <c r="S34" s="661">
        <v>50</v>
      </c>
      <c r="T34" s="662"/>
      <c r="U34" s="663"/>
      <c r="V34" s="661">
        <v>50</v>
      </c>
      <c r="W34" s="662"/>
      <c r="X34" s="663"/>
      <c r="Y34" s="661">
        <v>55</v>
      </c>
      <c r="Z34" s="662"/>
      <c r="AA34" s="664"/>
      <c r="AB34" s="665">
        <v>522</v>
      </c>
      <c r="AC34" s="662"/>
      <c r="AD34" s="663"/>
      <c r="AE34" s="661">
        <v>567</v>
      </c>
      <c r="AF34" s="662"/>
      <c r="AG34" s="663"/>
      <c r="AH34" s="661">
        <v>612</v>
      </c>
      <c r="AI34" s="662"/>
      <c r="AJ34" s="663"/>
      <c r="AK34" s="661">
        <v>650</v>
      </c>
      <c r="AL34" s="662"/>
      <c r="AM34" s="664"/>
      <c r="AN34" s="696"/>
      <c r="AO34" s="697"/>
      <c r="AP34" s="698"/>
      <c r="AQ34" s="669">
        <v>350</v>
      </c>
      <c r="AR34" s="670"/>
      <c r="AS34" s="688"/>
      <c r="AT34" s="669">
        <v>402</v>
      </c>
      <c r="AU34" s="670"/>
      <c r="AV34" s="688"/>
      <c r="AW34" s="669">
        <v>500</v>
      </c>
      <c r="AX34" s="670"/>
      <c r="AY34" s="671"/>
      <c r="AZ34" s="665">
        <v>70</v>
      </c>
      <c r="BA34" s="662"/>
      <c r="BB34" s="663"/>
      <c r="BC34" s="661">
        <v>96</v>
      </c>
      <c r="BD34" s="662"/>
      <c r="BE34" s="663"/>
      <c r="BF34" s="661">
        <v>108</v>
      </c>
      <c r="BG34" s="662"/>
      <c r="BH34" s="663"/>
      <c r="BI34" s="661">
        <v>145</v>
      </c>
      <c r="BJ34" s="662"/>
      <c r="BK34" s="664"/>
      <c r="BL34" s="665"/>
      <c r="BM34" s="662"/>
      <c r="BN34" s="663"/>
      <c r="BO34" s="661">
        <v>25</v>
      </c>
      <c r="BP34" s="662"/>
      <c r="BQ34" s="663"/>
      <c r="BR34" s="661">
        <v>25</v>
      </c>
      <c r="BS34" s="662"/>
      <c r="BT34" s="663"/>
      <c r="BU34" s="661">
        <v>25</v>
      </c>
      <c r="BV34" s="662"/>
      <c r="BW34" s="664"/>
      <c r="BX34" s="665">
        <v>591</v>
      </c>
      <c r="BY34" s="662"/>
      <c r="BZ34" s="663"/>
      <c r="CA34" s="668">
        <v>535</v>
      </c>
      <c r="CB34" s="666"/>
      <c r="CC34" s="667"/>
      <c r="CD34" s="661">
        <v>549</v>
      </c>
      <c r="CE34" s="662"/>
      <c r="CF34" s="663"/>
      <c r="CG34" s="668">
        <v>723</v>
      </c>
      <c r="CH34" s="666"/>
      <c r="CI34" s="689"/>
      <c r="CJ34" s="665">
        <v>253</v>
      </c>
      <c r="CK34" s="662"/>
      <c r="CL34" s="663"/>
      <c r="CM34" s="661">
        <v>300</v>
      </c>
      <c r="CN34" s="662"/>
      <c r="CO34" s="663"/>
      <c r="CP34" s="661">
        <v>204</v>
      </c>
      <c r="CQ34" s="662"/>
      <c r="CR34" s="663"/>
      <c r="CS34" s="661">
        <v>105</v>
      </c>
      <c r="CT34" s="662"/>
      <c r="CU34" s="664"/>
    </row>
    <row r="35" spans="1:99" s="13" customFormat="1" ht="36">
      <c r="B35" s="13">
        <v>32</v>
      </c>
      <c r="C35" s="32" t="s">
        <v>46</v>
      </c>
      <c r="D35" s="335">
        <f>SUM(P35,AB35,AN35,AZ35,BL35,BX35,CJ35)</f>
        <v>35953</v>
      </c>
      <c r="E35" s="335">
        <f>SUM(Q35,AC35,AO35,BA35,BM35,BY35,CK35)</f>
        <v>39452</v>
      </c>
      <c r="F35" s="335">
        <f>SUM(R35,AD35,AP35,BB35,BN35,BZ35,CL35)</f>
        <v>75405</v>
      </c>
      <c r="G35" s="336">
        <f>SUM(S35,AE35,AQ35,BC35,BO35,CA35,CM35)</f>
        <v>60347.896000000001</v>
      </c>
      <c r="H35" s="336">
        <f>SUM(T35,AF35,AR35,BD35,BP35,CB35,CN35)</f>
        <v>68143.754000000001</v>
      </c>
      <c r="I35" s="336">
        <f>SUM(U35,AG35,AS35,BE35,BQ35,CC35,CO35)</f>
        <v>128491.65</v>
      </c>
      <c r="J35" s="335">
        <f>SUM(V35,AH35,AT35,BF35,BR35,CD35,CP35)</f>
        <v>56516.46</v>
      </c>
      <c r="K35" s="335">
        <f>SUM(W35,AI35,AU35,BG35,BS35,CE35,CQ35)</f>
        <v>63596.59</v>
      </c>
      <c r="L35" s="335">
        <f>SUM(X35,AJ35,AV35,BH35,BT35,CF35,CR35)</f>
        <v>120113.05</v>
      </c>
      <c r="M35" s="336">
        <f>SUM(Y35,AK35,AW35,BI35,BU35,CG35,CS35)</f>
        <v>68914.527999999991</v>
      </c>
      <c r="N35" s="336">
        <f>SUM(Z35,AL35,AX35,BJ35,BV35,CH35,CT35)</f>
        <v>76223.358000000007</v>
      </c>
      <c r="O35" s="331">
        <f>SUM(AA35,AM35,AY35,BK35,BW35,CI35,CU35)</f>
        <v>145137.886</v>
      </c>
      <c r="P35" s="47"/>
      <c r="Q35" s="322"/>
      <c r="R35" s="322"/>
      <c r="S35" s="323">
        <v>440</v>
      </c>
      <c r="T35" s="323">
        <v>560</v>
      </c>
      <c r="U35" s="323">
        <v>1000</v>
      </c>
      <c r="V35" s="322">
        <v>528</v>
      </c>
      <c r="W35" s="322">
        <v>672</v>
      </c>
      <c r="X35" s="322">
        <v>1200</v>
      </c>
      <c r="Y35" s="323">
        <v>572</v>
      </c>
      <c r="Z35" s="323">
        <v>728</v>
      </c>
      <c r="AA35" s="324">
        <v>1300</v>
      </c>
      <c r="AB35" s="48">
        <v>10625</v>
      </c>
      <c r="AC35" s="327">
        <v>11628</v>
      </c>
      <c r="AD35" s="327">
        <v>22253</v>
      </c>
      <c r="AE35" s="325">
        <v>10933</v>
      </c>
      <c r="AF35" s="325">
        <v>11949</v>
      </c>
      <c r="AG35" s="325">
        <v>22882</v>
      </c>
      <c r="AH35" s="327">
        <v>11241</v>
      </c>
      <c r="AI35" s="327">
        <v>12270</v>
      </c>
      <c r="AJ35" s="327">
        <v>23511</v>
      </c>
      <c r="AK35" s="325">
        <v>11549</v>
      </c>
      <c r="AL35" s="325">
        <v>12591</v>
      </c>
      <c r="AM35" s="321">
        <v>24140</v>
      </c>
      <c r="AN35" s="98"/>
      <c r="AO35" s="329"/>
      <c r="AP35" s="329"/>
      <c r="AQ35" s="330">
        <v>12200</v>
      </c>
      <c r="AR35" s="330">
        <v>14000</v>
      </c>
      <c r="AS35" s="330">
        <v>26200</v>
      </c>
      <c r="AT35" s="329">
        <v>13800</v>
      </c>
      <c r="AU35" s="329">
        <v>15200</v>
      </c>
      <c r="AV35" s="329">
        <v>29000</v>
      </c>
      <c r="AW35" s="330">
        <v>19000</v>
      </c>
      <c r="AX35" s="330">
        <v>20000</v>
      </c>
      <c r="AY35" s="326">
        <v>39000</v>
      </c>
      <c r="AZ35" s="48"/>
      <c r="BA35" s="327"/>
      <c r="BB35" s="327"/>
      <c r="BC35" s="325">
        <v>4324</v>
      </c>
      <c r="BD35" s="325">
        <v>5378</v>
      </c>
      <c r="BE35" s="325">
        <v>9702</v>
      </c>
      <c r="BF35" s="327">
        <v>4142</v>
      </c>
      <c r="BG35" s="327">
        <v>5065</v>
      </c>
      <c r="BH35" s="327">
        <v>9207</v>
      </c>
      <c r="BI35" s="325">
        <v>4968</v>
      </c>
      <c r="BJ35" s="325">
        <v>7578</v>
      </c>
      <c r="BK35" s="321">
        <v>12546</v>
      </c>
      <c r="BL35" s="47"/>
      <c r="BM35" s="322"/>
      <c r="BN35" s="322"/>
      <c r="BO35" s="323">
        <v>2758.8959999999997</v>
      </c>
      <c r="BP35" s="323">
        <v>3141.7539999999999</v>
      </c>
      <c r="BQ35" s="323">
        <v>5900.65</v>
      </c>
      <c r="BR35" s="322">
        <v>2777.4599999999996</v>
      </c>
      <c r="BS35" s="322">
        <v>3068.5899999999997</v>
      </c>
      <c r="BT35" s="322">
        <v>5846.0499999999993</v>
      </c>
      <c r="BU35" s="323">
        <v>2754.5279999999998</v>
      </c>
      <c r="BV35" s="323">
        <v>3018.3579999999997</v>
      </c>
      <c r="BW35" s="324">
        <v>5772.8859999999995</v>
      </c>
      <c r="BX35" s="173">
        <v>9391</v>
      </c>
      <c r="BY35" s="174">
        <v>10464</v>
      </c>
      <c r="BZ35" s="174">
        <v>19855</v>
      </c>
      <c r="CA35" s="175">
        <v>14392</v>
      </c>
      <c r="CB35" s="175">
        <v>17815</v>
      </c>
      <c r="CC35" s="175">
        <v>32207</v>
      </c>
      <c r="CD35" s="174">
        <v>13430</v>
      </c>
      <c r="CE35" s="174">
        <v>16723</v>
      </c>
      <c r="CF35" s="174">
        <v>30153</v>
      </c>
      <c r="CG35" s="175">
        <v>14771</v>
      </c>
      <c r="CH35" s="175">
        <v>17008</v>
      </c>
      <c r="CI35" s="176">
        <v>31779</v>
      </c>
      <c r="CJ35" s="47">
        <v>15937</v>
      </c>
      <c r="CK35" s="322">
        <v>17360</v>
      </c>
      <c r="CL35" s="322">
        <v>33297</v>
      </c>
      <c r="CM35" s="323">
        <v>15300</v>
      </c>
      <c r="CN35" s="323">
        <v>15300</v>
      </c>
      <c r="CO35" s="323">
        <v>30600</v>
      </c>
      <c r="CP35" s="322">
        <v>10598</v>
      </c>
      <c r="CQ35" s="322">
        <v>10598</v>
      </c>
      <c r="CR35" s="322">
        <v>21196</v>
      </c>
      <c r="CS35" s="323">
        <v>15300</v>
      </c>
      <c r="CT35" s="323">
        <v>15300</v>
      </c>
      <c r="CU35" s="324">
        <v>30600</v>
      </c>
    </row>
    <row r="36" spans="1:99" s="13" customFormat="1" ht="24.75" thickBot="1">
      <c r="B36" s="13">
        <v>33</v>
      </c>
      <c r="C36" s="33" t="s">
        <v>32</v>
      </c>
      <c r="D36" s="658">
        <f>SUM(P36,AB36,AN36,AZ36,BL36,BX36,CJ36)</f>
        <v>909</v>
      </c>
      <c r="E36" s="659"/>
      <c r="F36" s="660"/>
      <c r="G36" s="677">
        <f>SUM(S36,AE36,AQ36,BC36,BO36,CA36,CM36)</f>
        <v>940</v>
      </c>
      <c r="H36" s="678"/>
      <c r="I36" s="706"/>
      <c r="J36" s="658">
        <f>SUM(V36,AH36,AT36,BF36,BR36,CD36,CP36)</f>
        <v>995</v>
      </c>
      <c r="K36" s="659"/>
      <c r="L36" s="660"/>
      <c r="M36" s="677">
        <f>SUM(Y36,AK36,AW36,BI36,BU36,CG36,CS36)</f>
        <v>1201</v>
      </c>
      <c r="N36" s="678"/>
      <c r="O36" s="678"/>
      <c r="P36" s="627">
        <v>104</v>
      </c>
      <c r="Q36" s="628"/>
      <c r="R36" s="629"/>
      <c r="S36" s="630">
        <v>42</v>
      </c>
      <c r="T36" s="631"/>
      <c r="U36" s="632"/>
      <c r="V36" s="633">
        <v>47</v>
      </c>
      <c r="W36" s="628"/>
      <c r="X36" s="629"/>
      <c r="Y36" s="630">
        <v>52</v>
      </c>
      <c r="Z36" s="631"/>
      <c r="AA36" s="634"/>
      <c r="AB36" s="644">
        <v>162</v>
      </c>
      <c r="AC36" s="653"/>
      <c r="AD36" s="654"/>
      <c r="AE36" s="624">
        <v>182</v>
      </c>
      <c r="AF36" s="655"/>
      <c r="AG36" s="656"/>
      <c r="AH36" s="649">
        <v>191</v>
      </c>
      <c r="AI36" s="653"/>
      <c r="AJ36" s="654"/>
      <c r="AK36" s="624">
        <v>200</v>
      </c>
      <c r="AL36" s="655"/>
      <c r="AM36" s="657"/>
      <c r="AN36" s="672">
        <v>33</v>
      </c>
      <c r="AO36" s="673"/>
      <c r="AP36" s="674"/>
      <c r="AQ36" s="650">
        <v>71</v>
      </c>
      <c r="AR36" s="651"/>
      <c r="AS36" s="675"/>
      <c r="AT36" s="676">
        <v>80</v>
      </c>
      <c r="AU36" s="673"/>
      <c r="AV36" s="674"/>
      <c r="AW36" s="650">
        <v>175</v>
      </c>
      <c r="AX36" s="651"/>
      <c r="AY36" s="652"/>
      <c r="AZ36" s="644"/>
      <c r="BA36" s="653"/>
      <c r="BB36" s="654"/>
      <c r="BC36" s="624">
        <v>70</v>
      </c>
      <c r="BD36" s="655"/>
      <c r="BE36" s="656"/>
      <c r="BF36" s="649">
        <v>73</v>
      </c>
      <c r="BG36" s="653"/>
      <c r="BH36" s="654"/>
      <c r="BI36" s="624">
        <v>140</v>
      </c>
      <c r="BJ36" s="655"/>
      <c r="BK36" s="657"/>
      <c r="BL36" s="627">
        <v>0</v>
      </c>
      <c r="BM36" s="628"/>
      <c r="BN36" s="629"/>
      <c r="BO36" s="630">
        <v>20</v>
      </c>
      <c r="BP36" s="631"/>
      <c r="BQ36" s="632"/>
      <c r="BR36" s="633">
        <v>25</v>
      </c>
      <c r="BS36" s="628"/>
      <c r="BT36" s="629"/>
      <c r="BU36" s="630">
        <v>30</v>
      </c>
      <c r="BV36" s="631"/>
      <c r="BW36" s="634"/>
      <c r="BX36" s="644">
        <v>320</v>
      </c>
      <c r="BY36" s="653"/>
      <c r="BZ36" s="654"/>
      <c r="CA36" s="647">
        <v>255</v>
      </c>
      <c r="CB36" s="625"/>
      <c r="CC36" s="648"/>
      <c r="CD36" s="649">
        <v>254</v>
      </c>
      <c r="CE36" s="653"/>
      <c r="CF36" s="654"/>
      <c r="CG36" s="624">
        <v>304</v>
      </c>
      <c r="CH36" s="655"/>
      <c r="CI36" s="657"/>
      <c r="CJ36" s="627">
        <v>290</v>
      </c>
      <c r="CK36" s="628"/>
      <c r="CL36" s="629"/>
      <c r="CM36" s="630">
        <v>300</v>
      </c>
      <c r="CN36" s="631"/>
      <c r="CO36" s="632"/>
      <c r="CP36" s="633">
        <v>325</v>
      </c>
      <c r="CQ36" s="628"/>
      <c r="CR36" s="629"/>
      <c r="CS36" s="630">
        <v>300</v>
      </c>
      <c r="CT36" s="631"/>
      <c r="CU36" s="634"/>
    </row>
    <row r="37" spans="1:99" s="13" customFormat="1" ht="24">
      <c r="B37" s="13">
        <v>34</v>
      </c>
      <c r="C37" s="32" t="s">
        <v>34</v>
      </c>
      <c r="D37" s="640">
        <f>SUM(P37,AB37,AN37,AZ37,BL37,BX37,CJ37)</f>
        <v>7090</v>
      </c>
      <c r="E37" s="641"/>
      <c r="F37" s="642"/>
      <c r="G37" s="622">
        <f>SUM(S37,AE37,AQ37,BC37,BO37,CA37,CM37)</f>
        <v>7322</v>
      </c>
      <c r="H37" s="623"/>
      <c r="I37" s="643"/>
      <c r="J37" s="640">
        <f>SUM(V37,AH37,AT37,BF37,BR37,CD37,CP37)</f>
        <v>7629.1</v>
      </c>
      <c r="K37" s="641"/>
      <c r="L37" s="642"/>
      <c r="M37" s="622">
        <f>SUM(Y37,AK37,AW37,BI37,BU37,CG37,CS37)</f>
        <v>8636</v>
      </c>
      <c r="N37" s="623"/>
      <c r="O37" s="623"/>
      <c r="P37" s="926">
        <v>736</v>
      </c>
      <c r="Q37" s="927"/>
      <c r="R37" s="928"/>
      <c r="S37" s="935">
        <v>800</v>
      </c>
      <c r="T37" s="936"/>
      <c r="U37" s="937"/>
      <c r="V37" s="938">
        <v>880</v>
      </c>
      <c r="W37" s="927"/>
      <c r="X37" s="928"/>
      <c r="Y37" s="935">
        <v>930</v>
      </c>
      <c r="Z37" s="936"/>
      <c r="AA37" s="939"/>
      <c r="AB37" s="940">
        <v>1559</v>
      </c>
      <c r="AC37" s="933"/>
      <c r="AD37" s="934"/>
      <c r="AE37" s="941">
        <v>1628</v>
      </c>
      <c r="AF37" s="942"/>
      <c r="AG37" s="943"/>
      <c r="AH37" s="932">
        <v>1662</v>
      </c>
      <c r="AI37" s="933"/>
      <c r="AJ37" s="934"/>
      <c r="AK37" s="941">
        <v>1992</v>
      </c>
      <c r="AL37" s="942"/>
      <c r="AM37" s="944"/>
      <c r="AN37" s="929">
        <v>861</v>
      </c>
      <c r="AO37" s="930"/>
      <c r="AP37" s="931"/>
      <c r="AQ37" s="945">
        <v>934</v>
      </c>
      <c r="AR37" s="946"/>
      <c r="AS37" s="947"/>
      <c r="AT37" s="948">
        <v>1000</v>
      </c>
      <c r="AU37" s="930"/>
      <c r="AV37" s="931"/>
      <c r="AW37" s="945">
        <v>1100</v>
      </c>
      <c r="AX37" s="946"/>
      <c r="AY37" s="949"/>
      <c r="AZ37" s="940">
        <v>289</v>
      </c>
      <c r="BA37" s="933"/>
      <c r="BB37" s="934"/>
      <c r="BC37" s="941">
        <v>381</v>
      </c>
      <c r="BD37" s="942"/>
      <c r="BE37" s="943"/>
      <c r="BF37" s="932">
        <v>436</v>
      </c>
      <c r="BG37" s="933"/>
      <c r="BH37" s="934"/>
      <c r="BI37" s="941">
        <v>546</v>
      </c>
      <c r="BJ37" s="942"/>
      <c r="BK37" s="944"/>
      <c r="BL37" s="926">
        <v>664</v>
      </c>
      <c r="BM37" s="927"/>
      <c r="BN37" s="928"/>
      <c r="BO37" s="935">
        <v>665</v>
      </c>
      <c r="BP37" s="936"/>
      <c r="BQ37" s="937"/>
      <c r="BR37" s="938">
        <v>704</v>
      </c>
      <c r="BS37" s="927"/>
      <c r="BT37" s="928"/>
      <c r="BU37" s="935">
        <v>740</v>
      </c>
      <c r="BV37" s="936"/>
      <c r="BW37" s="939"/>
      <c r="BX37" s="940">
        <v>1906</v>
      </c>
      <c r="BY37" s="933"/>
      <c r="BZ37" s="934"/>
      <c r="CA37" s="941">
        <v>1886</v>
      </c>
      <c r="CB37" s="942"/>
      <c r="CC37" s="943"/>
      <c r="CD37" s="932">
        <v>1917.1</v>
      </c>
      <c r="CE37" s="933"/>
      <c r="CF37" s="934"/>
      <c r="CG37" s="941">
        <v>2468</v>
      </c>
      <c r="CH37" s="942"/>
      <c r="CI37" s="944"/>
      <c r="CJ37" s="926">
        <v>1075</v>
      </c>
      <c r="CK37" s="927"/>
      <c r="CL37" s="928"/>
      <c r="CM37" s="935">
        <v>1028</v>
      </c>
      <c r="CN37" s="936"/>
      <c r="CO37" s="937"/>
      <c r="CP37" s="938">
        <v>1030</v>
      </c>
      <c r="CQ37" s="927"/>
      <c r="CR37" s="928"/>
      <c r="CS37" s="935">
        <v>860</v>
      </c>
      <c r="CT37" s="936"/>
      <c r="CU37" s="939"/>
    </row>
    <row r="38" spans="1:99" s="7" customFormat="1" ht="24">
      <c r="A38" s="13"/>
      <c r="B38" s="13">
        <v>35</v>
      </c>
      <c r="C38" s="6" t="s">
        <v>35</v>
      </c>
      <c r="D38" s="601">
        <f>D37/D10</f>
        <v>0.58619264158743278</v>
      </c>
      <c r="E38" s="602"/>
      <c r="F38" s="603"/>
      <c r="G38" s="604">
        <f t="shared" ref="G38" si="15">G37/G10</f>
        <v>0.61862115579587695</v>
      </c>
      <c r="H38" s="605"/>
      <c r="I38" s="606"/>
      <c r="J38" s="601">
        <f t="shared" ref="J38" si="16">J37/J10</f>
        <v>0.63650091773736028</v>
      </c>
      <c r="K38" s="602"/>
      <c r="L38" s="603"/>
      <c r="M38" s="604">
        <f t="shared" ref="M38" si="17">M37/M10</f>
        <v>0.7040026086247656</v>
      </c>
      <c r="N38" s="605"/>
      <c r="O38" s="605"/>
      <c r="P38" s="580">
        <v>0.77719112988384376</v>
      </c>
      <c r="Q38" s="581"/>
      <c r="R38" s="582"/>
      <c r="S38" s="583">
        <v>0.90497737556561086</v>
      </c>
      <c r="T38" s="584"/>
      <c r="U38" s="585"/>
      <c r="V38" s="586">
        <v>0.93220338983050843</v>
      </c>
      <c r="W38" s="581"/>
      <c r="X38" s="582"/>
      <c r="Y38" s="583">
        <v>0.92629482071713143</v>
      </c>
      <c r="Z38" s="584"/>
      <c r="AA38" s="587"/>
      <c r="AB38" s="564">
        <v>0.97</v>
      </c>
      <c r="AC38" s="565"/>
      <c r="AD38" s="566"/>
      <c r="AE38" s="567">
        <v>0.97</v>
      </c>
      <c r="AF38" s="568"/>
      <c r="AG38" s="569"/>
      <c r="AH38" s="570">
        <v>0.97</v>
      </c>
      <c r="AI38" s="565"/>
      <c r="AJ38" s="566"/>
      <c r="AK38" s="567">
        <v>0.97</v>
      </c>
      <c r="AL38" s="568"/>
      <c r="AM38" s="571"/>
      <c r="AN38" s="572">
        <v>0.5</v>
      </c>
      <c r="AO38" s="573"/>
      <c r="AP38" s="574"/>
      <c r="AQ38" s="575">
        <v>0.51</v>
      </c>
      <c r="AR38" s="576"/>
      <c r="AS38" s="577"/>
      <c r="AT38" s="578">
        <v>0.54</v>
      </c>
      <c r="AU38" s="573"/>
      <c r="AV38" s="574"/>
      <c r="AW38" s="575">
        <v>0.56999999999999995</v>
      </c>
      <c r="AX38" s="576"/>
      <c r="AY38" s="579"/>
      <c r="AZ38" s="564">
        <v>0.58859470468431774</v>
      </c>
      <c r="BA38" s="565"/>
      <c r="BB38" s="566"/>
      <c r="BC38" s="567">
        <v>0.6</v>
      </c>
      <c r="BD38" s="568"/>
      <c r="BE38" s="569"/>
      <c r="BF38" s="570">
        <v>0.63</v>
      </c>
      <c r="BG38" s="565"/>
      <c r="BH38" s="566"/>
      <c r="BI38" s="567">
        <v>0.68</v>
      </c>
      <c r="BJ38" s="568"/>
      <c r="BK38" s="571"/>
      <c r="BL38" s="548">
        <v>0.59</v>
      </c>
      <c r="BM38" s="549"/>
      <c r="BN38" s="550"/>
      <c r="BO38" s="551">
        <v>0.6</v>
      </c>
      <c r="BP38" s="552"/>
      <c r="BQ38" s="553"/>
      <c r="BR38" s="554">
        <v>0.65</v>
      </c>
      <c r="BS38" s="549"/>
      <c r="BT38" s="550"/>
      <c r="BU38" s="551">
        <v>0.7</v>
      </c>
      <c r="BV38" s="552"/>
      <c r="BW38" s="555"/>
      <c r="BX38" s="564">
        <v>0.55927230046948362</v>
      </c>
      <c r="BY38" s="565"/>
      <c r="BZ38" s="566"/>
      <c r="CA38" s="567">
        <v>0.71009036144578308</v>
      </c>
      <c r="CB38" s="568"/>
      <c r="CC38" s="569"/>
      <c r="CD38" s="570">
        <v>0.71640508221225707</v>
      </c>
      <c r="CE38" s="565"/>
      <c r="CF38" s="566"/>
      <c r="CG38" s="567">
        <v>0.91543026706231456</v>
      </c>
      <c r="CH38" s="568"/>
      <c r="CI38" s="571"/>
      <c r="CJ38" s="548">
        <v>0.55000000000000004</v>
      </c>
      <c r="CK38" s="549"/>
      <c r="CL38" s="550"/>
      <c r="CM38" s="551">
        <v>0.6</v>
      </c>
      <c r="CN38" s="552"/>
      <c r="CO38" s="553"/>
      <c r="CP38" s="554">
        <v>0.7</v>
      </c>
      <c r="CQ38" s="549"/>
      <c r="CR38" s="550"/>
      <c r="CS38" s="551">
        <v>0.9</v>
      </c>
      <c r="CT38" s="552"/>
      <c r="CU38" s="555"/>
    </row>
    <row r="39" spans="1:99" ht="24">
      <c r="B39" s="13">
        <v>36</v>
      </c>
      <c r="C39" s="5" t="s">
        <v>36</v>
      </c>
      <c r="D39" s="558">
        <f>SUM(P39,AB39,AN39,AZ39,BL39,BX39,CJ39)</f>
        <v>1938</v>
      </c>
      <c r="E39" s="559"/>
      <c r="F39" s="560"/>
      <c r="G39" s="561">
        <f>SUM(S39,AE39,AQ39,BC39,BO39,CA39,CM39)</f>
        <v>2753</v>
      </c>
      <c r="H39" s="562"/>
      <c r="I39" s="563"/>
      <c r="J39" s="558">
        <f>SUM(V39,AH39,AT39,BF39,BR39,CD39,CP39)</f>
        <v>3337</v>
      </c>
      <c r="K39" s="559"/>
      <c r="L39" s="560"/>
      <c r="M39" s="561">
        <f>SUM(Y39,AK39,AW39,BI39,BU39,CG39,CS39)</f>
        <v>3508</v>
      </c>
      <c r="N39" s="562"/>
      <c r="O39" s="562"/>
      <c r="P39" s="533">
        <v>123</v>
      </c>
      <c r="Q39" s="514"/>
      <c r="R39" s="515"/>
      <c r="S39" s="510">
        <v>150</v>
      </c>
      <c r="T39" s="511"/>
      <c r="U39" s="512"/>
      <c r="V39" s="513">
        <v>180</v>
      </c>
      <c r="W39" s="514"/>
      <c r="X39" s="515"/>
      <c r="Y39" s="510">
        <v>190</v>
      </c>
      <c r="Z39" s="511"/>
      <c r="AA39" s="516"/>
      <c r="AB39" s="547">
        <v>453</v>
      </c>
      <c r="AC39" s="526"/>
      <c r="AD39" s="527"/>
      <c r="AE39" s="534">
        <v>504</v>
      </c>
      <c r="AF39" s="535"/>
      <c r="AG39" s="536"/>
      <c r="AH39" s="537">
        <v>551</v>
      </c>
      <c r="AI39" s="526"/>
      <c r="AJ39" s="527"/>
      <c r="AK39" s="534">
        <v>701</v>
      </c>
      <c r="AL39" s="535"/>
      <c r="AM39" s="538"/>
      <c r="AN39" s="539">
        <v>102</v>
      </c>
      <c r="AO39" s="540"/>
      <c r="AP39" s="541"/>
      <c r="AQ39" s="542">
        <v>300</v>
      </c>
      <c r="AR39" s="543"/>
      <c r="AS39" s="544"/>
      <c r="AT39" s="545">
        <v>410</v>
      </c>
      <c r="AU39" s="540"/>
      <c r="AV39" s="541"/>
      <c r="AW39" s="542">
        <v>590</v>
      </c>
      <c r="AX39" s="543"/>
      <c r="AY39" s="546"/>
      <c r="AZ39" s="547">
        <v>106</v>
      </c>
      <c r="BA39" s="526"/>
      <c r="BB39" s="527"/>
      <c r="BC39" s="534">
        <v>254</v>
      </c>
      <c r="BD39" s="535"/>
      <c r="BE39" s="536"/>
      <c r="BF39" s="537">
        <v>256</v>
      </c>
      <c r="BG39" s="526"/>
      <c r="BH39" s="527"/>
      <c r="BI39" s="534">
        <v>256</v>
      </c>
      <c r="BJ39" s="535"/>
      <c r="BK39" s="538"/>
      <c r="BL39" s="533">
        <v>129</v>
      </c>
      <c r="BM39" s="514"/>
      <c r="BN39" s="515"/>
      <c r="BO39" s="510">
        <v>144</v>
      </c>
      <c r="BP39" s="511"/>
      <c r="BQ39" s="512"/>
      <c r="BR39" s="513">
        <v>152</v>
      </c>
      <c r="BS39" s="514"/>
      <c r="BT39" s="515"/>
      <c r="BU39" s="510">
        <v>159</v>
      </c>
      <c r="BV39" s="511"/>
      <c r="BW39" s="516"/>
      <c r="BX39" s="525">
        <v>635</v>
      </c>
      <c r="BY39" s="915"/>
      <c r="BZ39" s="916"/>
      <c r="CA39" s="528">
        <v>973</v>
      </c>
      <c r="CB39" s="529"/>
      <c r="CC39" s="530"/>
      <c r="CD39" s="531">
        <v>1188</v>
      </c>
      <c r="CE39" s="915"/>
      <c r="CF39" s="916"/>
      <c r="CG39" s="528">
        <v>1277</v>
      </c>
      <c r="CH39" s="529"/>
      <c r="CI39" s="532"/>
      <c r="CJ39" s="533">
        <v>390</v>
      </c>
      <c r="CK39" s="514"/>
      <c r="CL39" s="515"/>
      <c r="CM39" s="510">
        <v>428</v>
      </c>
      <c r="CN39" s="511"/>
      <c r="CO39" s="512"/>
      <c r="CP39" s="513">
        <v>600</v>
      </c>
      <c r="CQ39" s="514"/>
      <c r="CR39" s="515"/>
      <c r="CS39" s="510">
        <v>335</v>
      </c>
      <c r="CT39" s="511"/>
      <c r="CU39" s="516"/>
    </row>
    <row r="40" spans="1:99" s="7" customFormat="1" ht="24.75" thickBot="1">
      <c r="A40" s="13"/>
      <c r="B40" s="13">
        <v>37</v>
      </c>
      <c r="C40" s="8" t="s">
        <v>37</v>
      </c>
      <c r="D40" s="519">
        <f>D39/D10</f>
        <v>0.16023150062009095</v>
      </c>
      <c r="E40" s="520"/>
      <c r="F40" s="521"/>
      <c r="G40" s="522">
        <f t="shared" ref="G40" si="18">G39/G10</f>
        <v>0.23259547144305509</v>
      </c>
      <c r="H40" s="523"/>
      <c r="I40" s="524"/>
      <c r="J40" s="519">
        <f t="shared" ref="J40" si="19">J39/J10</f>
        <v>0.27840814283330551</v>
      </c>
      <c r="K40" s="520"/>
      <c r="L40" s="521"/>
      <c r="M40" s="522">
        <f t="shared" ref="M40" si="20">M39/M10</f>
        <v>0.28597048993233881</v>
      </c>
      <c r="N40" s="523"/>
      <c r="O40" s="523"/>
      <c r="P40" s="500">
        <v>0.12988384371700107</v>
      </c>
      <c r="Q40" s="477"/>
      <c r="R40" s="478"/>
      <c r="S40" s="479">
        <v>0.16968325791855204</v>
      </c>
      <c r="T40" s="480"/>
      <c r="U40" s="501"/>
      <c r="V40" s="476">
        <v>0.19067796610169491</v>
      </c>
      <c r="W40" s="477"/>
      <c r="X40" s="478"/>
      <c r="Y40" s="479">
        <v>0.18924302788844621</v>
      </c>
      <c r="Z40" s="480"/>
      <c r="AA40" s="481"/>
      <c r="AB40" s="492">
        <v>0.28000000000000003</v>
      </c>
      <c r="AC40" s="493"/>
      <c r="AD40" s="494"/>
      <c r="AE40" s="495">
        <v>0.3</v>
      </c>
      <c r="AF40" s="496"/>
      <c r="AG40" s="497"/>
      <c r="AH40" s="498">
        <v>0.33</v>
      </c>
      <c r="AI40" s="493"/>
      <c r="AJ40" s="494"/>
      <c r="AK40" s="495">
        <v>0.35</v>
      </c>
      <c r="AL40" s="496"/>
      <c r="AM40" s="499"/>
      <c r="AN40" s="502">
        <v>0.17</v>
      </c>
      <c r="AO40" s="503"/>
      <c r="AP40" s="504"/>
      <c r="AQ40" s="505">
        <v>0.17</v>
      </c>
      <c r="AR40" s="506"/>
      <c r="AS40" s="507"/>
      <c r="AT40" s="508">
        <v>0.22</v>
      </c>
      <c r="AU40" s="503"/>
      <c r="AV40" s="504"/>
      <c r="AW40" s="505">
        <v>0.3</v>
      </c>
      <c r="AX40" s="506"/>
      <c r="AY40" s="509"/>
      <c r="AZ40" s="492">
        <v>0.21588594704684319</v>
      </c>
      <c r="BA40" s="493"/>
      <c r="BB40" s="494"/>
      <c r="BC40" s="495">
        <v>0.4</v>
      </c>
      <c r="BD40" s="496"/>
      <c r="BE40" s="497"/>
      <c r="BF40" s="498">
        <v>0.17</v>
      </c>
      <c r="BG40" s="493"/>
      <c r="BH40" s="494"/>
      <c r="BI40" s="495">
        <v>0.32</v>
      </c>
      <c r="BJ40" s="496"/>
      <c r="BK40" s="499"/>
      <c r="BL40" s="500">
        <v>0.11</v>
      </c>
      <c r="BM40" s="477"/>
      <c r="BN40" s="478"/>
      <c r="BO40" s="479">
        <v>0.13</v>
      </c>
      <c r="BP40" s="480"/>
      <c r="BQ40" s="501"/>
      <c r="BR40" s="476">
        <v>0.14000000000000001</v>
      </c>
      <c r="BS40" s="477"/>
      <c r="BT40" s="478"/>
      <c r="BU40" s="479">
        <v>0.15</v>
      </c>
      <c r="BV40" s="480"/>
      <c r="BW40" s="481"/>
      <c r="BX40" s="492">
        <v>0.18632629107981222</v>
      </c>
      <c r="BY40" s="493"/>
      <c r="BZ40" s="494"/>
      <c r="CA40" s="495">
        <v>0.36634036144578314</v>
      </c>
      <c r="CB40" s="496"/>
      <c r="CC40" s="497"/>
      <c r="CD40" s="498">
        <v>0.44394618834080718</v>
      </c>
      <c r="CE40" s="493"/>
      <c r="CF40" s="494"/>
      <c r="CG40" s="495">
        <v>0.4736646884272997</v>
      </c>
      <c r="CH40" s="496"/>
      <c r="CI40" s="499"/>
      <c r="CJ40" s="500">
        <v>0.2</v>
      </c>
      <c r="CK40" s="477"/>
      <c r="CL40" s="478"/>
      <c r="CM40" s="479">
        <v>0.25</v>
      </c>
      <c r="CN40" s="480"/>
      <c r="CO40" s="501"/>
      <c r="CP40" s="476">
        <v>0.3</v>
      </c>
      <c r="CQ40" s="477"/>
      <c r="CR40" s="478"/>
      <c r="CS40" s="479">
        <v>0.35</v>
      </c>
      <c r="CT40" s="480"/>
      <c r="CU40" s="481"/>
    </row>
    <row r="41" spans="1:99" ht="60.75" thickBot="1">
      <c r="B41" s="13">
        <v>38</v>
      </c>
      <c r="C41" s="4" t="s">
        <v>39</v>
      </c>
      <c r="D41" s="484"/>
      <c r="E41" s="485"/>
      <c r="F41" s="486"/>
      <c r="G41" s="487"/>
      <c r="H41" s="488"/>
      <c r="I41" s="489"/>
      <c r="J41" s="484"/>
      <c r="K41" s="485"/>
      <c r="L41" s="486"/>
      <c r="M41" s="487"/>
      <c r="N41" s="488"/>
      <c r="O41" s="488"/>
      <c r="P41" s="457"/>
      <c r="Q41" s="458"/>
      <c r="R41" s="459"/>
      <c r="S41" s="472"/>
      <c r="T41" s="473"/>
      <c r="U41" s="490"/>
      <c r="V41" s="491"/>
      <c r="W41" s="458"/>
      <c r="X41" s="459"/>
      <c r="Y41" s="472"/>
      <c r="Z41" s="473"/>
      <c r="AA41" s="474"/>
      <c r="AB41" s="464"/>
      <c r="AC41" s="454"/>
      <c r="AD41" s="455"/>
      <c r="AE41" s="450"/>
      <c r="AF41" s="451"/>
      <c r="AG41" s="452"/>
      <c r="AH41" s="453"/>
      <c r="AI41" s="454"/>
      <c r="AJ41" s="455"/>
      <c r="AK41" s="450"/>
      <c r="AL41" s="451"/>
      <c r="AM41" s="456"/>
      <c r="AN41" s="475"/>
      <c r="AO41" s="469"/>
      <c r="AP41" s="470"/>
      <c r="AQ41" s="465"/>
      <c r="AR41" s="466"/>
      <c r="AS41" s="467"/>
      <c r="AT41" s="468"/>
      <c r="AU41" s="469"/>
      <c r="AV41" s="470"/>
      <c r="AW41" s="465"/>
      <c r="AX41" s="466"/>
      <c r="AY41" s="471"/>
      <c r="AZ41" s="464"/>
      <c r="BA41" s="454"/>
      <c r="BB41" s="455"/>
      <c r="BC41" s="450"/>
      <c r="BD41" s="451"/>
      <c r="BE41" s="452"/>
      <c r="BF41" s="453" t="s">
        <v>66</v>
      </c>
      <c r="BG41" s="454"/>
      <c r="BH41" s="455"/>
      <c r="BI41" s="450"/>
      <c r="BJ41" s="451"/>
      <c r="BK41" s="456"/>
      <c r="BL41" s="457"/>
      <c r="BM41" s="458"/>
      <c r="BN41" s="459"/>
      <c r="BO41" s="447">
        <v>1</v>
      </c>
      <c r="BP41" s="448"/>
      <c r="BQ41" s="460"/>
      <c r="BR41" s="461">
        <v>1</v>
      </c>
      <c r="BS41" s="462"/>
      <c r="BT41" s="463"/>
      <c r="BU41" s="447">
        <v>1</v>
      </c>
      <c r="BV41" s="448"/>
      <c r="BW41" s="449"/>
      <c r="BX41" s="464"/>
      <c r="BY41" s="454"/>
      <c r="BZ41" s="455"/>
      <c r="CA41" s="450"/>
      <c r="CB41" s="451"/>
      <c r="CC41" s="452"/>
      <c r="CD41" s="453"/>
      <c r="CE41" s="454"/>
      <c r="CF41" s="455"/>
      <c r="CG41" s="450"/>
      <c r="CH41" s="451"/>
      <c r="CI41" s="456"/>
      <c r="CJ41" s="457"/>
      <c r="CK41" s="458"/>
      <c r="CL41" s="459"/>
      <c r="CM41" s="447"/>
      <c r="CN41" s="448"/>
      <c r="CO41" s="460"/>
      <c r="CP41" s="461"/>
      <c r="CQ41" s="462"/>
      <c r="CR41" s="463"/>
      <c r="CS41" s="447"/>
      <c r="CT41" s="448"/>
      <c r="CU41" s="449"/>
    </row>
  </sheetData>
  <mergeCells count="520">
    <mergeCell ref="CJ1:CU1"/>
    <mergeCell ref="C2:C3"/>
    <mergeCell ref="D2:F2"/>
    <mergeCell ref="G2:I2"/>
    <mergeCell ref="J2:L2"/>
    <mergeCell ref="M2:O2"/>
    <mergeCell ref="P2:R2"/>
    <mergeCell ref="D1:O1"/>
    <mergeCell ref="AW2:AY2"/>
    <mergeCell ref="AZ2:BB2"/>
    <mergeCell ref="S2:U2"/>
    <mergeCell ref="V2:X2"/>
    <mergeCell ref="Y2:AA2"/>
    <mergeCell ref="AB2:AD2"/>
    <mergeCell ref="AE2:AG2"/>
    <mergeCell ref="AH2:AJ2"/>
    <mergeCell ref="BX1:CI1"/>
    <mergeCell ref="CM2:CO2"/>
    <mergeCell ref="CP2:CR2"/>
    <mergeCell ref="CS2:CU2"/>
    <mergeCell ref="CG2:CI2"/>
    <mergeCell ref="CJ2:CL2"/>
    <mergeCell ref="D4:F4"/>
    <mergeCell ref="G4:I4"/>
    <mergeCell ref="J4:L4"/>
    <mergeCell ref="M4:O4"/>
    <mergeCell ref="P4:R4"/>
    <mergeCell ref="BU2:BW2"/>
    <mergeCell ref="BX2:BZ2"/>
    <mergeCell ref="CA2:CC2"/>
    <mergeCell ref="CD2:CF2"/>
    <mergeCell ref="BC2:BE2"/>
    <mergeCell ref="BF2:BH2"/>
    <mergeCell ref="BI2:BK2"/>
    <mergeCell ref="BL2:BN2"/>
    <mergeCell ref="BO2:BQ2"/>
    <mergeCell ref="BR2:BT2"/>
    <mergeCell ref="AK2:AM2"/>
    <mergeCell ref="AN2:AP2"/>
    <mergeCell ref="AQ2:AS2"/>
    <mergeCell ref="AT2:AV2"/>
    <mergeCell ref="AQ4:AS4"/>
    <mergeCell ref="AT4:AV4"/>
    <mergeCell ref="AW4:AY4"/>
    <mergeCell ref="AZ4:BB4"/>
    <mergeCell ref="S4:U4"/>
    <mergeCell ref="V4:X4"/>
    <mergeCell ref="Y4:AA4"/>
    <mergeCell ref="AB4:AD4"/>
    <mergeCell ref="AE4:AG4"/>
    <mergeCell ref="AH4:AJ4"/>
    <mergeCell ref="CM4:CO4"/>
    <mergeCell ref="CP4:CR4"/>
    <mergeCell ref="CS4:CU4"/>
    <mergeCell ref="D8:F8"/>
    <mergeCell ref="G8:I8"/>
    <mergeCell ref="J8:L8"/>
    <mergeCell ref="M8:O8"/>
    <mergeCell ref="P8:R8"/>
    <mergeCell ref="S8:U8"/>
    <mergeCell ref="V8:X8"/>
    <mergeCell ref="BU4:BW4"/>
    <mergeCell ref="BX4:BZ4"/>
    <mergeCell ref="CA4:CC4"/>
    <mergeCell ref="CD4:CF4"/>
    <mergeCell ref="CG4:CI4"/>
    <mergeCell ref="CJ4:CL4"/>
    <mergeCell ref="BC4:BE4"/>
    <mergeCell ref="BF4:BH4"/>
    <mergeCell ref="BI4:BK4"/>
    <mergeCell ref="BL4:BN4"/>
    <mergeCell ref="BO4:BQ4"/>
    <mergeCell ref="BR4:BT4"/>
    <mergeCell ref="AK4:AM4"/>
    <mergeCell ref="AN4:AP4"/>
    <mergeCell ref="BU8:BW8"/>
    <mergeCell ref="BX8:BZ8"/>
    <mergeCell ref="AQ8:AS8"/>
    <mergeCell ref="AT8:AV8"/>
    <mergeCell ref="AW8:AY8"/>
    <mergeCell ref="AZ8:BB8"/>
    <mergeCell ref="BC8:BE8"/>
    <mergeCell ref="BF8:BH8"/>
    <mergeCell ref="BL8:BN8"/>
    <mergeCell ref="BO8:BQ8"/>
    <mergeCell ref="BR8:BT8"/>
    <mergeCell ref="CG10:CI10"/>
    <mergeCell ref="CJ10:CL10"/>
    <mergeCell ref="CM10:CO10"/>
    <mergeCell ref="Y8:AA8"/>
    <mergeCell ref="AB8:AD8"/>
    <mergeCell ref="AE8:AG8"/>
    <mergeCell ref="AH8:AJ8"/>
    <mergeCell ref="AK8:AM8"/>
    <mergeCell ref="AN8:AP8"/>
    <mergeCell ref="AK10:AM10"/>
    <mergeCell ref="AN10:AP10"/>
    <mergeCell ref="AQ10:AS10"/>
    <mergeCell ref="BL10:BN10"/>
    <mergeCell ref="AE10:AG10"/>
    <mergeCell ref="AH10:AJ10"/>
    <mergeCell ref="AT12:AV12"/>
    <mergeCell ref="AW12:AY12"/>
    <mergeCell ref="AZ12:BB12"/>
    <mergeCell ref="AT10:AV10"/>
    <mergeCell ref="CS8:CU8"/>
    <mergeCell ref="D10:F10"/>
    <mergeCell ref="G10:I10"/>
    <mergeCell ref="J10:L10"/>
    <mergeCell ref="M10:O10"/>
    <mergeCell ref="P10:R10"/>
    <mergeCell ref="S10:U10"/>
    <mergeCell ref="V10:X10"/>
    <mergeCell ref="Y10:AA10"/>
    <mergeCell ref="AB10:AD10"/>
    <mergeCell ref="CA8:CC8"/>
    <mergeCell ref="CD8:CF8"/>
    <mergeCell ref="CG8:CI8"/>
    <mergeCell ref="CJ8:CL8"/>
    <mergeCell ref="CM8:CO8"/>
    <mergeCell ref="CP8:CR8"/>
    <mergeCell ref="BI8:BK8"/>
    <mergeCell ref="CM12:CO12"/>
    <mergeCell ref="CP12:CR12"/>
    <mergeCell ref="CS12:CU12"/>
    <mergeCell ref="CD12:CF12"/>
    <mergeCell ref="CG12:CI12"/>
    <mergeCell ref="CJ12:CL12"/>
    <mergeCell ref="CP10:CR10"/>
    <mergeCell ref="CS10:CU10"/>
    <mergeCell ref="D12:F12"/>
    <mergeCell ref="G12:I12"/>
    <mergeCell ref="J12:L12"/>
    <mergeCell ref="M12:O12"/>
    <mergeCell ref="P12:R12"/>
    <mergeCell ref="BO10:BQ10"/>
    <mergeCell ref="BR10:BT10"/>
    <mergeCell ref="BU10:BW10"/>
    <mergeCell ref="BX10:BZ10"/>
    <mergeCell ref="CA10:CC10"/>
    <mergeCell ref="CD10:CF10"/>
    <mergeCell ref="AW10:AY10"/>
    <mergeCell ref="AZ10:BB10"/>
    <mergeCell ref="BC10:BE10"/>
    <mergeCell ref="BF10:BH10"/>
    <mergeCell ref="BI10:BK10"/>
    <mergeCell ref="D14:F14"/>
    <mergeCell ref="G14:I14"/>
    <mergeCell ref="J14:L14"/>
    <mergeCell ref="M14:O14"/>
    <mergeCell ref="P14:R14"/>
    <mergeCell ref="S14:U14"/>
    <mergeCell ref="BU12:BW12"/>
    <mergeCell ref="BX12:BZ12"/>
    <mergeCell ref="CA12:CC12"/>
    <mergeCell ref="BC12:BE12"/>
    <mergeCell ref="BF12:BH12"/>
    <mergeCell ref="BI12:BK12"/>
    <mergeCell ref="BL12:BN12"/>
    <mergeCell ref="BO12:BQ12"/>
    <mergeCell ref="BR12:BT12"/>
    <mergeCell ref="AK12:AM12"/>
    <mergeCell ref="AN12:AP12"/>
    <mergeCell ref="AQ12:AS12"/>
    <mergeCell ref="S12:U12"/>
    <mergeCell ref="V12:X12"/>
    <mergeCell ref="Y12:AA12"/>
    <mergeCell ref="AB12:AD12"/>
    <mergeCell ref="AE12:AG12"/>
    <mergeCell ref="AH12:AJ12"/>
    <mergeCell ref="D18:F18"/>
    <mergeCell ref="G18:I18"/>
    <mergeCell ref="J18:L18"/>
    <mergeCell ref="M18:O18"/>
    <mergeCell ref="P18:R18"/>
    <mergeCell ref="S18:U18"/>
    <mergeCell ref="V18:X18"/>
    <mergeCell ref="BX14:BZ14"/>
    <mergeCell ref="CA14:CC14"/>
    <mergeCell ref="BF14:BH14"/>
    <mergeCell ref="BI14:BK14"/>
    <mergeCell ref="BL14:BN14"/>
    <mergeCell ref="BO14:BQ14"/>
    <mergeCell ref="BR14:BT14"/>
    <mergeCell ref="BU14:BW14"/>
    <mergeCell ref="AN14:AP14"/>
    <mergeCell ref="AQ14:AS14"/>
    <mergeCell ref="AT14:AV14"/>
    <mergeCell ref="AW14:AY14"/>
    <mergeCell ref="AZ14:BB14"/>
    <mergeCell ref="BC14:BE14"/>
    <mergeCell ref="V14:X14"/>
    <mergeCell ref="Y14:AA14"/>
    <mergeCell ref="AB14:AD14"/>
    <mergeCell ref="BF18:BH18"/>
    <mergeCell ref="Y18:AA18"/>
    <mergeCell ref="AB18:AD18"/>
    <mergeCell ref="AE18:AG18"/>
    <mergeCell ref="AH18:AJ18"/>
    <mergeCell ref="AK18:AM18"/>
    <mergeCell ref="AN18:AP18"/>
    <mergeCell ref="CP14:CR14"/>
    <mergeCell ref="CS14:CU14"/>
    <mergeCell ref="CD14:CF14"/>
    <mergeCell ref="CG14:CI14"/>
    <mergeCell ref="CJ14:CL14"/>
    <mergeCell ref="CM14:CO14"/>
    <mergeCell ref="AE14:AG14"/>
    <mergeCell ref="AH14:AJ14"/>
    <mergeCell ref="AK14:AM14"/>
    <mergeCell ref="CS18:CU18"/>
    <mergeCell ref="CJ18:CL18"/>
    <mergeCell ref="CM18:CO18"/>
    <mergeCell ref="CP18:CR18"/>
    <mergeCell ref="D29:F29"/>
    <mergeCell ref="G29:I29"/>
    <mergeCell ref="J29:L29"/>
    <mergeCell ref="M29:O29"/>
    <mergeCell ref="P29:R29"/>
    <mergeCell ref="S29:U29"/>
    <mergeCell ref="CA18:CC18"/>
    <mergeCell ref="CD18:CF18"/>
    <mergeCell ref="CG18:CI18"/>
    <mergeCell ref="BI18:BK18"/>
    <mergeCell ref="BL18:BN18"/>
    <mergeCell ref="BO18:BQ18"/>
    <mergeCell ref="BR18:BT18"/>
    <mergeCell ref="BU18:BW18"/>
    <mergeCell ref="BX18:BZ18"/>
    <mergeCell ref="AQ18:AS18"/>
    <mergeCell ref="AT18:AV18"/>
    <mergeCell ref="AW18:AY18"/>
    <mergeCell ref="AZ18:BB18"/>
    <mergeCell ref="BC18:BE18"/>
    <mergeCell ref="AW29:AY29"/>
    <mergeCell ref="AZ29:BB29"/>
    <mergeCell ref="BC29:BE29"/>
    <mergeCell ref="V29:X29"/>
    <mergeCell ref="Y29:AA29"/>
    <mergeCell ref="AB29:AD29"/>
    <mergeCell ref="AE29:AG29"/>
    <mergeCell ref="AH29:AJ29"/>
    <mergeCell ref="AK29:AM29"/>
    <mergeCell ref="CP29:CR29"/>
    <mergeCell ref="CS29:CU29"/>
    <mergeCell ref="D33:F33"/>
    <mergeCell ref="G33:I33"/>
    <mergeCell ref="J33:L33"/>
    <mergeCell ref="M33:O33"/>
    <mergeCell ref="P33:R33"/>
    <mergeCell ref="S33:U33"/>
    <mergeCell ref="V33:X33"/>
    <mergeCell ref="BX29:BZ29"/>
    <mergeCell ref="CA29:CC29"/>
    <mergeCell ref="CD29:CF29"/>
    <mergeCell ref="CG29:CI29"/>
    <mergeCell ref="CJ29:CL29"/>
    <mergeCell ref="CM29:CO29"/>
    <mergeCell ref="BF29:BH29"/>
    <mergeCell ref="BI29:BK29"/>
    <mergeCell ref="BL29:BN29"/>
    <mergeCell ref="BO29:BQ29"/>
    <mergeCell ref="BR29:BT29"/>
    <mergeCell ref="BU29:BW29"/>
    <mergeCell ref="AN29:AP29"/>
    <mergeCell ref="AQ29:AS29"/>
    <mergeCell ref="AT29:AV29"/>
    <mergeCell ref="BX33:BZ33"/>
    <mergeCell ref="AQ33:AS33"/>
    <mergeCell ref="AT33:AV33"/>
    <mergeCell ref="AW33:AY33"/>
    <mergeCell ref="AZ33:BB33"/>
    <mergeCell ref="BC33:BE33"/>
    <mergeCell ref="BF33:BH33"/>
    <mergeCell ref="Y33:AA33"/>
    <mergeCell ref="AB33:AD33"/>
    <mergeCell ref="AE33:AG33"/>
    <mergeCell ref="AH33:AJ33"/>
    <mergeCell ref="AK33:AM33"/>
    <mergeCell ref="AN33:AP34"/>
    <mergeCell ref="AE34:AG34"/>
    <mergeCell ref="AH34:AJ34"/>
    <mergeCell ref="AK34:AM34"/>
    <mergeCell ref="AZ34:BB34"/>
    <mergeCell ref="BC34:BE34"/>
    <mergeCell ref="BF34:BH34"/>
    <mergeCell ref="CS33:CU33"/>
    <mergeCell ref="D34:F34"/>
    <mergeCell ref="G34:I34"/>
    <mergeCell ref="J34:L34"/>
    <mergeCell ref="M34:O34"/>
    <mergeCell ref="P34:R34"/>
    <mergeCell ref="S34:U34"/>
    <mergeCell ref="V34:X34"/>
    <mergeCell ref="Y34:AA34"/>
    <mergeCell ref="AB34:AD34"/>
    <mergeCell ref="CA33:CC33"/>
    <mergeCell ref="CD33:CF33"/>
    <mergeCell ref="CG33:CI33"/>
    <mergeCell ref="CJ33:CL33"/>
    <mergeCell ref="CM33:CO33"/>
    <mergeCell ref="CP33:CR33"/>
    <mergeCell ref="BI33:BK33"/>
    <mergeCell ref="BL33:BN33"/>
    <mergeCell ref="BO33:BQ33"/>
    <mergeCell ref="BR33:BT33"/>
    <mergeCell ref="BU33:BW33"/>
    <mergeCell ref="CS34:CU34"/>
    <mergeCell ref="D36:F36"/>
    <mergeCell ref="G36:I36"/>
    <mergeCell ref="J36:L36"/>
    <mergeCell ref="M36:O36"/>
    <mergeCell ref="P36:R36"/>
    <mergeCell ref="S36:U36"/>
    <mergeCell ref="V36:X36"/>
    <mergeCell ref="Y36:AA36"/>
    <mergeCell ref="CA34:CC34"/>
    <mergeCell ref="CD34:CF34"/>
    <mergeCell ref="CG34:CI34"/>
    <mergeCell ref="CJ34:CL34"/>
    <mergeCell ref="CM34:CO34"/>
    <mergeCell ref="CP34:CR34"/>
    <mergeCell ref="BI34:BK34"/>
    <mergeCell ref="BL34:BN34"/>
    <mergeCell ref="BO34:BQ34"/>
    <mergeCell ref="BR34:BT34"/>
    <mergeCell ref="BU34:BW34"/>
    <mergeCell ref="BX34:BZ34"/>
    <mergeCell ref="AQ34:AS34"/>
    <mergeCell ref="AT34:AV34"/>
    <mergeCell ref="AW34:AY34"/>
    <mergeCell ref="CS36:CU36"/>
    <mergeCell ref="BL36:BN36"/>
    <mergeCell ref="BO36:BQ36"/>
    <mergeCell ref="BR36:BT36"/>
    <mergeCell ref="BU36:BW36"/>
    <mergeCell ref="BX36:BZ36"/>
    <mergeCell ref="CA36:CC36"/>
    <mergeCell ref="AT36:AV36"/>
    <mergeCell ref="AW36:AY36"/>
    <mergeCell ref="AZ36:BB36"/>
    <mergeCell ref="BC36:BE36"/>
    <mergeCell ref="BF36:BH36"/>
    <mergeCell ref="BI36:BK36"/>
    <mergeCell ref="G37:I37"/>
    <mergeCell ref="J37:L37"/>
    <mergeCell ref="M37:O37"/>
    <mergeCell ref="CD36:CF36"/>
    <mergeCell ref="CG36:CI36"/>
    <mergeCell ref="CJ36:CL36"/>
    <mergeCell ref="CM36:CO36"/>
    <mergeCell ref="CP36:CR36"/>
    <mergeCell ref="AB36:AD36"/>
    <mergeCell ref="AE36:AG36"/>
    <mergeCell ref="AH36:AJ36"/>
    <mergeCell ref="AK36:AM36"/>
    <mergeCell ref="AN36:AP36"/>
    <mergeCell ref="AQ36:AS36"/>
    <mergeCell ref="AQ37:AS37"/>
    <mergeCell ref="AT37:AV37"/>
    <mergeCell ref="AW37:AY37"/>
    <mergeCell ref="AZ37:BB37"/>
    <mergeCell ref="S37:U37"/>
    <mergeCell ref="V37:X37"/>
    <mergeCell ref="Y37:AA37"/>
    <mergeCell ref="AB37:AD37"/>
    <mergeCell ref="AE37:AG37"/>
    <mergeCell ref="CM37:CO37"/>
    <mergeCell ref="CP37:CR37"/>
    <mergeCell ref="CS37:CU37"/>
    <mergeCell ref="D38:F38"/>
    <mergeCell ref="G38:I38"/>
    <mergeCell ref="J38:L38"/>
    <mergeCell ref="M38:O38"/>
    <mergeCell ref="P38:R38"/>
    <mergeCell ref="S38:U38"/>
    <mergeCell ref="V38:X38"/>
    <mergeCell ref="BU37:BW37"/>
    <mergeCell ref="BX37:BZ37"/>
    <mergeCell ref="CA37:CC37"/>
    <mergeCell ref="CD37:CF37"/>
    <mergeCell ref="CG37:CI37"/>
    <mergeCell ref="CJ37:CL37"/>
    <mergeCell ref="BC37:BE37"/>
    <mergeCell ref="BF37:BH37"/>
    <mergeCell ref="BI37:BK37"/>
    <mergeCell ref="BL37:BN37"/>
    <mergeCell ref="BO37:BQ37"/>
    <mergeCell ref="BR37:BT37"/>
    <mergeCell ref="AK37:AM37"/>
    <mergeCell ref="D37:F37"/>
    <mergeCell ref="AN37:AP37"/>
    <mergeCell ref="AW38:AY38"/>
    <mergeCell ref="AZ38:BB38"/>
    <mergeCell ref="BC38:BE38"/>
    <mergeCell ref="BF38:BH38"/>
    <mergeCell ref="Y38:AA38"/>
    <mergeCell ref="AB38:AD38"/>
    <mergeCell ref="AE38:AG38"/>
    <mergeCell ref="AH38:AJ38"/>
    <mergeCell ref="AK38:AM38"/>
    <mergeCell ref="AN38:AP38"/>
    <mergeCell ref="AH37:AJ37"/>
    <mergeCell ref="CS38:CU38"/>
    <mergeCell ref="D39:F39"/>
    <mergeCell ref="G39:I39"/>
    <mergeCell ref="J39:L39"/>
    <mergeCell ref="M39:O39"/>
    <mergeCell ref="P39:R39"/>
    <mergeCell ref="S39:U39"/>
    <mergeCell ref="V39:X39"/>
    <mergeCell ref="Y39:AA39"/>
    <mergeCell ref="AB39:AD39"/>
    <mergeCell ref="CA38:CC38"/>
    <mergeCell ref="CD38:CF38"/>
    <mergeCell ref="CG38:CI38"/>
    <mergeCell ref="CJ38:CL38"/>
    <mergeCell ref="CM38:CO38"/>
    <mergeCell ref="CP38:CR38"/>
    <mergeCell ref="BI38:BK38"/>
    <mergeCell ref="BL38:BN38"/>
    <mergeCell ref="BO38:BQ38"/>
    <mergeCell ref="BR38:BT38"/>
    <mergeCell ref="BU38:BW38"/>
    <mergeCell ref="BX38:BZ38"/>
    <mergeCell ref="AQ38:AS38"/>
    <mergeCell ref="AT38:AV38"/>
    <mergeCell ref="CP39:CR39"/>
    <mergeCell ref="CS39:CU39"/>
    <mergeCell ref="D40:F40"/>
    <mergeCell ref="G40:I40"/>
    <mergeCell ref="J40:L40"/>
    <mergeCell ref="M40:O40"/>
    <mergeCell ref="P40:R40"/>
    <mergeCell ref="BO39:BQ39"/>
    <mergeCell ref="BR39:BT39"/>
    <mergeCell ref="BU39:BW39"/>
    <mergeCell ref="BX39:BZ39"/>
    <mergeCell ref="CA39:CC39"/>
    <mergeCell ref="CD39:CF39"/>
    <mergeCell ref="AW39:AY39"/>
    <mergeCell ref="AZ39:BB39"/>
    <mergeCell ref="BC39:BE39"/>
    <mergeCell ref="BF39:BH39"/>
    <mergeCell ref="BI39:BK39"/>
    <mergeCell ref="BL39:BN39"/>
    <mergeCell ref="AE39:AG39"/>
    <mergeCell ref="AH39:AJ39"/>
    <mergeCell ref="AK39:AM39"/>
    <mergeCell ref="AN39:AP39"/>
    <mergeCell ref="AQ39:AS39"/>
    <mergeCell ref="S40:U40"/>
    <mergeCell ref="V40:X40"/>
    <mergeCell ref="Y40:AA40"/>
    <mergeCell ref="AB40:AD40"/>
    <mergeCell ref="AE40:AG40"/>
    <mergeCell ref="AH40:AJ40"/>
    <mergeCell ref="CG39:CI39"/>
    <mergeCell ref="CJ39:CL39"/>
    <mergeCell ref="CM39:CO39"/>
    <mergeCell ref="AT39:AV39"/>
    <mergeCell ref="CS40:CU40"/>
    <mergeCell ref="D41:F41"/>
    <mergeCell ref="G41:I41"/>
    <mergeCell ref="J41:L41"/>
    <mergeCell ref="M41:O41"/>
    <mergeCell ref="P41:R41"/>
    <mergeCell ref="S41:U41"/>
    <mergeCell ref="V41:X41"/>
    <mergeCell ref="BU40:BW40"/>
    <mergeCell ref="BX40:BZ40"/>
    <mergeCell ref="CA40:CC40"/>
    <mergeCell ref="CD40:CF40"/>
    <mergeCell ref="CG40:CI40"/>
    <mergeCell ref="CJ40:CL40"/>
    <mergeCell ref="BC40:BE40"/>
    <mergeCell ref="BF40:BH40"/>
    <mergeCell ref="BI40:BK40"/>
    <mergeCell ref="BL40:BN40"/>
    <mergeCell ref="BO40:BQ40"/>
    <mergeCell ref="BR40:BT40"/>
    <mergeCell ref="AK40:AM40"/>
    <mergeCell ref="AN40:AP40"/>
    <mergeCell ref="AQ40:AS40"/>
    <mergeCell ref="AT40:AV40"/>
    <mergeCell ref="BF41:BH41"/>
    <mergeCell ref="Y41:AA41"/>
    <mergeCell ref="AB41:AD41"/>
    <mergeCell ref="AE41:AG41"/>
    <mergeCell ref="AH41:AJ41"/>
    <mergeCell ref="AK41:AM41"/>
    <mergeCell ref="AN41:AP41"/>
    <mergeCell ref="CM40:CO40"/>
    <mergeCell ref="CP40:CR40"/>
    <mergeCell ref="AW40:AY40"/>
    <mergeCell ref="AZ40:BB40"/>
    <mergeCell ref="CS41:CU41"/>
    <mergeCell ref="P37:R37"/>
    <mergeCell ref="BL1:BW1"/>
    <mergeCell ref="AZ1:BK1"/>
    <mergeCell ref="AN1:AY1"/>
    <mergeCell ref="AB1:AM1"/>
    <mergeCell ref="P1:AA1"/>
    <mergeCell ref="CA41:CC41"/>
    <mergeCell ref="CD41:CF41"/>
    <mergeCell ref="CG41:CI41"/>
    <mergeCell ref="CJ41:CL41"/>
    <mergeCell ref="CM41:CO41"/>
    <mergeCell ref="CP41:CR41"/>
    <mergeCell ref="BI41:BK41"/>
    <mergeCell ref="BL41:BN41"/>
    <mergeCell ref="BO41:BQ41"/>
    <mergeCell ref="BR41:BT41"/>
    <mergeCell ref="BU41:BW41"/>
    <mergeCell ref="BX41:BZ41"/>
    <mergeCell ref="AQ41:AS41"/>
    <mergeCell ref="AT41:AV41"/>
    <mergeCell ref="AW41:AY41"/>
    <mergeCell ref="AZ41:BB41"/>
    <mergeCell ref="BC41:BE41"/>
  </mergeCells>
  <pageMargins left="0.70866141732283472" right="0.70866141732283472" top="0.74803149606299213" bottom="0.74803149606299213" header="0.31496062992125984" footer="0.31496062992125984"/>
  <pageSetup paperSize="9" scale="95"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4</vt:i4>
      </vt:variant>
    </vt:vector>
  </HeadingPairs>
  <TitlesOfParts>
    <vt:vector size="12" baseType="lpstr">
      <vt:lpstr>2020-2022</vt:lpstr>
      <vt:lpstr>Feuil1</vt:lpstr>
      <vt:lpstr>Feuil3</vt:lpstr>
      <vt:lpstr>Feuil8</vt:lpstr>
      <vt:lpstr>Feuil9</vt:lpstr>
      <vt:lpstr>2020-2022 (2)</vt:lpstr>
      <vt:lpstr>2020-2022_prisede_note</vt:lpstr>
      <vt:lpstr>2020-2022_prisede_note (2)</vt:lpstr>
      <vt:lpstr>'2020-2022'!Zone_d_impression</vt:lpstr>
      <vt:lpstr>'2020-2022 (2)'!Zone_d_impression</vt:lpstr>
      <vt:lpstr>'2020-2022_prisede_note'!Zone_d_impression</vt:lpstr>
      <vt:lpstr>'2020-2022_prisede_note (2)'!Zone_d_impression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Parany Rasamy</dc:creator>
  <cp:lastModifiedBy>Gaetan RANDRIANARIVELO</cp:lastModifiedBy>
  <cp:lastPrinted>2020-02-27T08:28:23Z</cp:lastPrinted>
  <dcterms:created xsi:type="dcterms:W3CDTF">2019-10-16T07:01:34Z</dcterms:created>
  <dcterms:modified xsi:type="dcterms:W3CDTF">2021-07-15T18:58:21Z</dcterms:modified>
</cp:coreProperties>
</file>