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20730" windowHeight="11760" activeTab="1"/>
  </bookViews>
  <sheets>
    <sheet name="READ THESE INSTIRUCTIONS" sheetId="4" r:id="rId1"/>
    <sheet name="Standard AB - 17 Tugs, 8 SuGs" sheetId="2" r:id="rId2"/>
  </sheets>
  <definedNames>
    <definedName name="_xlnm.Print_Area" localSheetId="1">'Standard AB - 17 Tugs, 8 SuGs'!$A$63:$R$125</definedName>
  </definedNam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76" i="2" l="1"/>
  <c r="BJ77" i="2"/>
  <c r="BJ78" i="2"/>
  <c r="BJ79" i="2"/>
  <c r="BJ80" i="2"/>
  <c r="BJ81" i="2"/>
  <c r="BJ82" i="2"/>
  <c r="BJ118" i="2"/>
  <c r="BJ117" i="2"/>
  <c r="BJ116" i="2"/>
  <c r="BJ115" i="2"/>
  <c r="BJ114" i="2"/>
  <c r="BJ113" i="2"/>
  <c r="BJ112" i="2"/>
  <c r="BJ111" i="2"/>
  <c r="BJ110" i="2"/>
  <c r="BJ109" i="2"/>
  <c r="BJ108" i="2"/>
  <c r="BJ107" i="2"/>
  <c r="BJ106" i="2"/>
  <c r="BJ105" i="2"/>
  <c r="BJ104" i="2"/>
  <c r="BJ103" i="2"/>
  <c r="BJ99" i="2"/>
  <c r="BJ98" i="2"/>
  <c r="BJ97" i="2"/>
  <c r="BJ96" i="2"/>
  <c r="BJ95" i="2"/>
  <c r="BJ94" i="2"/>
  <c r="BJ93" i="2"/>
  <c r="BJ92" i="2"/>
  <c r="BJ91" i="2"/>
  <c r="BJ90" i="2"/>
  <c r="BJ89" i="2"/>
  <c r="BJ88" i="2"/>
  <c r="BJ87" i="2"/>
  <c r="BJ86" i="2"/>
  <c r="BJ85" i="2"/>
  <c r="BJ84" i="2"/>
  <c r="BJ83" i="2"/>
  <c r="BK93" i="2"/>
  <c r="BM93" i="2"/>
  <c r="BL93" i="2"/>
  <c r="BN93" i="2"/>
  <c r="BO93" i="2"/>
  <c r="BP93" i="2"/>
  <c r="BQ93" i="2"/>
  <c r="BR93" i="2"/>
  <c r="BS93" i="2"/>
  <c r="BU93" i="2"/>
  <c r="BV93" i="2"/>
  <c r="BW93" i="2"/>
  <c r="BX93" i="2"/>
  <c r="P93" i="2"/>
  <c r="Q93" i="2"/>
  <c r="R93" i="2"/>
  <c r="BI93" i="2"/>
  <c r="CD93" i="2"/>
  <c r="CE93" i="2"/>
  <c r="CF93" i="2"/>
  <c r="CG93" i="2"/>
  <c r="CH93" i="2"/>
  <c r="CI93" i="2"/>
  <c r="CK93" i="2"/>
  <c r="CL93" i="2"/>
  <c r="CM93" i="2"/>
  <c r="CN93" i="2"/>
  <c r="BK94" i="2"/>
  <c r="BM94" i="2"/>
  <c r="BL94" i="2"/>
  <c r="BN94" i="2"/>
  <c r="BO94" i="2"/>
  <c r="BP94" i="2"/>
  <c r="BQ94" i="2"/>
  <c r="BR94" i="2"/>
  <c r="BS94" i="2"/>
  <c r="BU94" i="2"/>
  <c r="BV94" i="2"/>
  <c r="BW94" i="2"/>
  <c r="BX94" i="2"/>
  <c r="P94" i="2"/>
  <c r="Q94" i="2"/>
  <c r="R94" i="2"/>
  <c r="BI94" i="2"/>
  <c r="CD94" i="2"/>
  <c r="CE94" i="2"/>
  <c r="CF94" i="2"/>
  <c r="CG94" i="2"/>
  <c r="CH94" i="2"/>
  <c r="CI94" i="2"/>
  <c r="CK94" i="2"/>
  <c r="CL94" i="2"/>
  <c r="CM94" i="2"/>
  <c r="CN94" i="2"/>
  <c r="BK95" i="2"/>
  <c r="BM95" i="2"/>
  <c r="BL95" i="2"/>
  <c r="BN95" i="2"/>
  <c r="BO95" i="2"/>
  <c r="BP95" i="2"/>
  <c r="BQ95" i="2"/>
  <c r="BR95" i="2"/>
  <c r="BS95" i="2"/>
  <c r="BU95" i="2"/>
  <c r="BV95" i="2"/>
  <c r="BW95" i="2"/>
  <c r="BX95" i="2"/>
  <c r="P95" i="2"/>
  <c r="Q95" i="2"/>
  <c r="R95" i="2"/>
  <c r="BI95" i="2"/>
  <c r="CD95" i="2"/>
  <c r="CE95" i="2"/>
  <c r="CF95" i="2"/>
  <c r="CG95" i="2"/>
  <c r="CH95" i="2"/>
  <c r="CI95" i="2"/>
  <c r="CK95" i="2"/>
  <c r="CL95" i="2"/>
  <c r="CM95" i="2"/>
  <c r="CN95" i="2"/>
  <c r="BK96" i="2"/>
  <c r="BM96" i="2"/>
  <c r="BL96" i="2"/>
  <c r="BN96" i="2"/>
  <c r="BO96" i="2"/>
  <c r="BP96" i="2"/>
  <c r="BQ96" i="2"/>
  <c r="BR96" i="2"/>
  <c r="BS96" i="2"/>
  <c r="BU96" i="2"/>
  <c r="BV96" i="2"/>
  <c r="BW96" i="2"/>
  <c r="BX96" i="2"/>
  <c r="P96" i="2"/>
  <c r="Q96" i="2"/>
  <c r="R96" i="2"/>
  <c r="BI96" i="2"/>
  <c r="CD96" i="2"/>
  <c r="CE96" i="2"/>
  <c r="CF96" i="2"/>
  <c r="CG96" i="2"/>
  <c r="CH96" i="2"/>
  <c r="CI96" i="2"/>
  <c r="CK96" i="2"/>
  <c r="CL96" i="2"/>
  <c r="CM96" i="2"/>
  <c r="CN96" i="2"/>
  <c r="BK97" i="2"/>
  <c r="BM97" i="2"/>
  <c r="BL97" i="2"/>
  <c r="BN97" i="2"/>
  <c r="BO97" i="2"/>
  <c r="BP97" i="2"/>
  <c r="BQ97" i="2"/>
  <c r="BR97" i="2"/>
  <c r="BS97" i="2"/>
  <c r="BU97" i="2"/>
  <c r="BV97" i="2"/>
  <c r="BW97" i="2"/>
  <c r="BX97" i="2"/>
  <c r="P97" i="2"/>
  <c r="Q97" i="2"/>
  <c r="R97" i="2"/>
  <c r="BI97" i="2"/>
  <c r="CD97" i="2"/>
  <c r="CE97" i="2"/>
  <c r="CF97" i="2"/>
  <c r="CG97" i="2"/>
  <c r="CH97" i="2"/>
  <c r="CI97" i="2"/>
  <c r="CK97" i="2"/>
  <c r="CL97" i="2"/>
  <c r="CM97" i="2"/>
  <c r="CN97" i="2"/>
  <c r="BK98" i="2"/>
  <c r="BM98" i="2"/>
  <c r="BL98" i="2"/>
  <c r="BN98" i="2"/>
  <c r="BO98" i="2"/>
  <c r="BP98" i="2"/>
  <c r="BQ98" i="2"/>
  <c r="BR98" i="2"/>
  <c r="BS98" i="2"/>
  <c r="BU98" i="2"/>
  <c r="BV98" i="2"/>
  <c r="BW98" i="2"/>
  <c r="BX98" i="2"/>
  <c r="P98" i="2"/>
  <c r="Q98" i="2"/>
  <c r="R98" i="2"/>
  <c r="BI98" i="2"/>
  <c r="CD98" i="2"/>
  <c r="CE98" i="2"/>
  <c r="CF98" i="2"/>
  <c r="CG98" i="2"/>
  <c r="CH98" i="2"/>
  <c r="CI98" i="2"/>
  <c r="CK98" i="2"/>
  <c r="CL98" i="2"/>
  <c r="CM98" i="2"/>
  <c r="CN98" i="2"/>
  <c r="BK99" i="2"/>
  <c r="BM99" i="2"/>
  <c r="BL99" i="2"/>
  <c r="BN99" i="2"/>
  <c r="BO99" i="2"/>
  <c r="BP99" i="2"/>
  <c r="BQ99" i="2"/>
  <c r="BR99" i="2"/>
  <c r="BS99" i="2"/>
  <c r="BU99" i="2"/>
  <c r="BV99" i="2"/>
  <c r="BW99" i="2"/>
  <c r="BX99" i="2"/>
  <c r="P99" i="2"/>
  <c r="Q99" i="2"/>
  <c r="R99" i="2"/>
  <c r="BI99" i="2"/>
  <c r="CD99" i="2"/>
  <c r="CE99" i="2"/>
  <c r="CF99" i="2"/>
  <c r="CG99" i="2"/>
  <c r="CH99" i="2"/>
  <c r="CI99" i="2"/>
  <c r="CK99" i="2"/>
  <c r="CL99" i="2"/>
  <c r="CM99" i="2"/>
  <c r="CN99" i="2"/>
  <c r="BK105" i="2"/>
  <c r="BL105" i="2"/>
  <c r="BM105" i="2"/>
  <c r="BN105" i="2"/>
  <c r="BO105" i="2"/>
  <c r="BP105" i="2"/>
  <c r="BQ105" i="2"/>
  <c r="BR105" i="2"/>
  <c r="BS105" i="2"/>
  <c r="BU105" i="2"/>
  <c r="BV105" i="2"/>
  <c r="BW105" i="2"/>
  <c r="BX105" i="2"/>
  <c r="P105" i="2"/>
  <c r="Q105" i="2"/>
  <c r="P106" i="2"/>
  <c r="Q106" i="2"/>
  <c r="BK107" i="2"/>
  <c r="BM107" i="2"/>
  <c r="BL107" i="2"/>
  <c r="BN107" i="2"/>
  <c r="BO107" i="2"/>
  <c r="BP107" i="2"/>
  <c r="BQ107" i="2"/>
  <c r="BR107" i="2"/>
  <c r="BS107" i="2"/>
  <c r="BU107" i="2"/>
  <c r="BV107" i="2"/>
  <c r="BW107" i="2"/>
  <c r="BX107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BK104" i="2"/>
  <c r="BL104" i="2"/>
  <c r="BM104" i="2"/>
  <c r="BN104" i="2"/>
  <c r="BO104" i="2"/>
  <c r="BP104" i="2"/>
  <c r="BQ104" i="2"/>
  <c r="BR104" i="2"/>
  <c r="BS104" i="2"/>
  <c r="BU104" i="2"/>
  <c r="BV104" i="2"/>
  <c r="BW104" i="2"/>
  <c r="BX104" i="2"/>
  <c r="P104" i="2"/>
  <c r="Q104" i="2"/>
  <c r="BK103" i="2"/>
  <c r="BL103" i="2"/>
  <c r="BM103" i="2"/>
  <c r="BN103" i="2"/>
  <c r="BO103" i="2"/>
  <c r="BP103" i="2"/>
  <c r="BQ103" i="2"/>
  <c r="BR103" i="2"/>
  <c r="BS103" i="2"/>
  <c r="BU103" i="2"/>
  <c r="BV103" i="2"/>
  <c r="BW103" i="2"/>
  <c r="BX103" i="2"/>
  <c r="P103" i="2"/>
  <c r="Q103" i="2"/>
  <c r="P101" i="2"/>
  <c r="Q101" i="2"/>
  <c r="BK77" i="2"/>
  <c r="BL77" i="2"/>
  <c r="BM77" i="2"/>
  <c r="BN77" i="2"/>
  <c r="BO77" i="2"/>
  <c r="BP77" i="2"/>
  <c r="BQ77" i="2"/>
  <c r="BR77" i="2"/>
  <c r="BS77" i="2"/>
  <c r="BU77" i="2"/>
  <c r="BV77" i="2"/>
  <c r="BW77" i="2"/>
  <c r="BX77" i="2"/>
  <c r="P77" i="2"/>
  <c r="Q77" i="2"/>
  <c r="BK78" i="2"/>
  <c r="BL78" i="2"/>
  <c r="BM78" i="2"/>
  <c r="BN78" i="2"/>
  <c r="BO78" i="2"/>
  <c r="BP78" i="2"/>
  <c r="BQ78" i="2"/>
  <c r="BR78" i="2"/>
  <c r="BS78" i="2"/>
  <c r="BU78" i="2"/>
  <c r="BV78" i="2"/>
  <c r="BW78" i="2"/>
  <c r="BX78" i="2"/>
  <c r="P78" i="2"/>
  <c r="Q78" i="2"/>
  <c r="BK79" i="2"/>
  <c r="BL79" i="2"/>
  <c r="BM79" i="2"/>
  <c r="BN79" i="2"/>
  <c r="BO79" i="2"/>
  <c r="BP79" i="2"/>
  <c r="BQ79" i="2"/>
  <c r="BR79" i="2"/>
  <c r="BS79" i="2"/>
  <c r="BU79" i="2"/>
  <c r="BV79" i="2"/>
  <c r="BW79" i="2"/>
  <c r="BX79" i="2"/>
  <c r="P79" i="2"/>
  <c r="Q79" i="2"/>
  <c r="BK80" i="2"/>
  <c r="BL80" i="2"/>
  <c r="BM80" i="2"/>
  <c r="BN80" i="2"/>
  <c r="BO80" i="2"/>
  <c r="BP80" i="2"/>
  <c r="BQ80" i="2"/>
  <c r="BR80" i="2"/>
  <c r="BS80" i="2"/>
  <c r="BU80" i="2"/>
  <c r="BV80" i="2"/>
  <c r="BW80" i="2"/>
  <c r="BX80" i="2"/>
  <c r="P80" i="2"/>
  <c r="Q80" i="2"/>
  <c r="BK81" i="2"/>
  <c r="BL81" i="2"/>
  <c r="BM81" i="2"/>
  <c r="BN81" i="2"/>
  <c r="BO81" i="2"/>
  <c r="BP81" i="2"/>
  <c r="BQ81" i="2"/>
  <c r="BR81" i="2"/>
  <c r="BS81" i="2"/>
  <c r="BU81" i="2"/>
  <c r="BV81" i="2"/>
  <c r="BW81" i="2"/>
  <c r="BX81" i="2"/>
  <c r="P81" i="2"/>
  <c r="Q81" i="2"/>
  <c r="BK82" i="2"/>
  <c r="BL82" i="2"/>
  <c r="BM82" i="2"/>
  <c r="BN82" i="2"/>
  <c r="BO82" i="2"/>
  <c r="BP82" i="2"/>
  <c r="BQ82" i="2"/>
  <c r="BR82" i="2"/>
  <c r="BS82" i="2"/>
  <c r="BU82" i="2"/>
  <c r="BV82" i="2"/>
  <c r="BW82" i="2"/>
  <c r="BX82" i="2"/>
  <c r="P82" i="2"/>
  <c r="Q82" i="2"/>
  <c r="BK83" i="2"/>
  <c r="BL83" i="2"/>
  <c r="BM83" i="2"/>
  <c r="BN83" i="2"/>
  <c r="BO83" i="2"/>
  <c r="BP83" i="2"/>
  <c r="BQ83" i="2"/>
  <c r="BR83" i="2"/>
  <c r="BS83" i="2"/>
  <c r="BU83" i="2"/>
  <c r="BV83" i="2"/>
  <c r="BW83" i="2"/>
  <c r="BX83" i="2"/>
  <c r="P83" i="2"/>
  <c r="Q83" i="2"/>
  <c r="BK84" i="2"/>
  <c r="BL84" i="2"/>
  <c r="BM84" i="2"/>
  <c r="BN84" i="2"/>
  <c r="BO84" i="2"/>
  <c r="BP84" i="2"/>
  <c r="BQ84" i="2"/>
  <c r="BR84" i="2"/>
  <c r="BS84" i="2"/>
  <c r="BU84" i="2"/>
  <c r="BV84" i="2"/>
  <c r="BW84" i="2"/>
  <c r="BX84" i="2"/>
  <c r="P84" i="2"/>
  <c r="Q84" i="2"/>
  <c r="BK85" i="2"/>
  <c r="BL85" i="2"/>
  <c r="BM85" i="2"/>
  <c r="BN85" i="2"/>
  <c r="BO85" i="2"/>
  <c r="BP85" i="2"/>
  <c r="BQ85" i="2"/>
  <c r="BR85" i="2"/>
  <c r="BS85" i="2"/>
  <c r="BU85" i="2"/>
  <c r="BV85" i="2"/>
  <c r="BW85" i="2"/>
  <c r="BX85" i="2"/>
  <c r="P85" i="2"/>
  <c r="Q85" i="2"/>
  <c r="BK86" i="2"/>
  <c r="BL86" i="2"/>
  <c r="BM86" i="2"/>
  <c r="BN86" i="2"/>
  <c r="BO86" i="2"/>
  <c r="BP86" i="2"/>
  <c r="BQ86" i="2"/>
  <c r="BR86" i="2"/>
  <c r="BS86" i="2"/>
  <c r="BU86" i="2"/>
  <c r="BV86" i="2"/>
  <c r="BW86" i="2"/>
  <c r="BX86" i="2"/>
  <c r="P86" i="2"/>
  <c r="Q86" i="2"/>
  <c r="BK87" i="2"/>
  <c r="BL87" i="2"/>
  <c r="BM87" i="2"/>
  <c r="BN87" i="2"/>
  <c r="BO87" i="2"/>
  <c r="BP87" i="2"/>
  <c r="BQ87" i="2"/>
  <c r="BR87" i="2"/>
  <c r="BS87" i="2"/>
  <c r="BU87" i="2"/>
  <c r="BV87" i="2"/>
  <c r="BW87" i="2"/>
  <c r="BX87" i="2"/>
  <c r="P87" i="2"/>
  <c r="Q87" i="2"/>
  <c r="BK88" i="2"/>
  <c r="BM88" i="2"/>
  <c r="BL88" i="2"/>
  <c r="BN88" i="2"/>
  <c r="BO88" i="2"/>
  <c r="BP88" i="2"/>
  <c r="BQ88" i="2"/>
  <c r="BR88" i="2"/>
  <c r="BS88" i="2"/>
  <c r="BU88" i="2"/>
  <c r="BV88" i="2"/>
  <c r="BW88" i="2"/>
  <c r="BX88" i="2"/>
  <c r="P88" i="2"/>
  <c r="Q88" i="2"/>
  <c r="BK89" i="2"/>
  <c r="BM89" i="2"/>
  <c r="BL89" i="2"/>
  <c r="BN89" i="2"/>
  <c r="BO89" i="2"/>
  <c r="BP89" i="2"/>
  <c r="BQ89" i="2"/>
  <c r="BR89" i="2"/>
  <c r="BS89" i="2"/>
  <c r="BU89" i="2"/>
  <c r="BV89" i="2"/>
  <c r="BW89" i="2"/>
  <c r="BX89" i="2"/>
  <c r="P89" i="2"/>
  <c r="Q89" i="2"/>
  <c r="BK90" i="2"/>
  <c r="BM90" i="2"/>
  <c r="BL90" i="2"/>
  <c r="BN90" i="2"/>
  <c r="BO90" i="2"/>
  <c r="BP90" i="2"/>
  <c r="BQ90" i="2"/>
  <c r="BR90" i="2"/>
  <c r="BS90" i="2"/>
  <c r="BU90" i="2"/>
  <c r="BV90" i="2"/>
  <c r="BW90" i="2"/>
  <c r="BX90" i="2"/>
  <c r="P90" i="2"/>
  <c r="Q90" i="2"/>
  <c r="BK91" i="2"/>
  <c r="BM91" i="2"/>
  <c r="BL91" i="2"/>
  <c r="BN91" i="2"/>
  <c r="BO91" i="2"/>
  <c r="BP91" i="2"/>
  <c r="BQ91" i="2"/>
  <c r="BR91" i="2"/>
  <c r="BS91" i="2"/>
  <c r="BU91" i="2"/>
  <c r="BV91" i="2"/>
  <c r="BW91" i="2"/>
  <c r="BX91" i="2"/>
  <c r="P91" i="2"/>
  <c r="Q91" i="2"/>
  <c r="BK92" i="2"/>
  <c r="BM92" i="2"/>
  <c r="BL92" i="2"/>
  <c r="BN92" i="2"/>
  <c r="BO92" i="2"/>
  <c r="BP92" i="2"/>
  <c r="BQ92" i="2"/>
  <c r="BR92" i="2"/>
  <c r="BS92" i="2"/>
  <c r="BU92" i="2"/>
  <c r="BV92" i="2"/>
  <c r="BW92" i="2"/>
  <c r="BX92" i="2"/>
  <c r="P92" i="2"/>
  <c r="Q92" i="2"/>
  <c r="BK76" i="2"/>
  <c r="BL76" i="2"/>
  <c r="BM76" i="2"/>
  <c r="BN76" i="2"/>
  <c r="BO76" i="2"/>
  <c r="BP76" i="2"/>
  <c r="BQ76" i="2"/>
  <c r="BR76" i="2"/>
  <c r="BS76" i="2"/>
  <c r="BU76" i="2"/>
  <c r="BV76" i="2"/>
  <c r="BW76" i="2"/>
  <c r="BX76" i="2"/>
  <c r="P76" i="2"/>
  <c r="Q76" i="2"/>
  <c r="BM106" i="2"/>
  <c r="BW106" i="2"/>
  <c r="BK106" i="2"/>
  <c r="BL106" i="2"/>
  <c r="BN106" i="2"/>
  <c r="BO106" i="2"/>
  <c r="BP106" i="2"/>
  <c r="BQ106" i="2"/>
  <c r="BR106" i="2"/>
  <c r="BS106" i="2"/>
  <c r="BU106" i="2"/>
  <c r="BV106" i="2"/>
  <c r="BX106" i="2"/>
  <c r="BM108" i="2"/>
  <c r="BW108" i="2"/>
  <c r="BK108" i="2"/>
  <c r="BL108" i="2"/>
  <c r="BN108" i="2"/>
  <c r="BO108" i="2"/>
  <c r="BP108" i="2"/>
  <c r="BQ108" i="2"/>
  <c r="BR108" i="2"/>
  <c r="BS108" i="2"/>
  <c r="BU108" i="2"/>
  <c r="BV108" i="2"/>
  <c r="BX108" i="2"/>
  <c r="BM109" i="2"/>
  <c r="BW109" i="2"/>
  <c r="BK109" i="2"/>
  <c r="BL109" i="2"/>
  <c r="BN109" i="2"/>
  <c r="BO109" i="2"/>
  <c r="BP109" i="2"/>
  <c r="BQ109" i="2"/>
  <c r="BR109" i="2"/>
  <c r="BS109" i="2"/>
  <c r="BU109" i="2"/>
  <c r="BV109" i="2"/>
  <c r="BX109" i="2"/>
  <c r="BM110" i="2"/>
  <c r="BW110" i="2"/>
  <c r="BK110" i="2"/>
  <c r="BL110" i="2"/>
  <c r="BN110" i="2"/>
  <c r="BO110" i="2"/>
  <c r="BP110" i="2"/>
  <c r="BQ110" i="2"/>
  <c r="BR110" i="2"/>
  <c r="BS110" i="2"/>
  <c r="BU110" i="2"/>
  <c r="BV110" i="2"/>
  <c r="BX110" i="2"/>
  <c r="BM111" i="2"/>
  <c r="BW111" i="2"/>
  <c r="BK111" i="2"/>
  <c r="BL111" i="2"/>
  <c r="BN111" i="2"/>
  <c r="BO111" i="2"/>
  <c r="BP111" i="2"/>
  <c r="BQ111" i="2"/>
  <c r="BR111" i="2"/>
  <c r="BS111" i="2"/>
  <c r="BU111" i="2"/>
  <c r="BV111" i="2"/>
  <c r="BX111" i="2"/>
  <c r="BM112" i="2"/>
  <c r="BW112" i="2"/>
  <c r="BK112" i="2"/>
  <c r="BL112" i="2"/>
  <c r="BN112" i="2"/>
  <c r="BO112" i="2"/>
  <c r="BP112" i="2"/>
  <c r="BQ112" i="2"/>
  <c r="BR112" i="2"/>
  <c r="BS112" i="2"/>
  <c r="BU112" i="2"/>
  <c r="BV112" i="2"/>
  <c r="BX112" i="2"/>
  <c r="BM113" i="2"/>
  <c r="BW113" i="2"/>
  <c r="BK113" i="2"/>
  <c r="BL113" i="2"/>
  <c r="BN113" i="2"/>
  <c r="BO113" i="2"/>
  <c r="BP113" i="2"/>
  <c r="BQ113" i="2"/>
  <c r="BR113" i="2"/>
  <c r="BS113" i="2"/>
  <c r="BU113" i="2"/>
  <c r="BV113" i="2"/>
  <c r="BX113" i="2"/>
  <c r="BM114" i="2"/>
  <c r="BW114" i="2"/>
  <c r="BK114" i="2"/>
  <c r="BL114" i="2"/>
  <c r="BN114" i="2"/>
  <c r="BO114" i="2"/>
  <c r="BP114" i="2"/>
  <c r="BQ114" i="2"/>
  <c r="BR114" i="2"/>
  <c r="BS114" i="2"/>
  <c r="BU114" i="2"/>
  <c r="BV114" i="2"/>
  <c r="BX114" i="2"/>
  <c r="BM115" i="2"/>
  <c r="BW115" i="2"/>
  <c r="BK115" i="2"/>
  <c r="BL115" i="2"/>
  <c r="BN115" i="2"/>
  <c r="BO115" i="2"/>
  <c r="BP115" i="2"/>
  <c r="BQ115" i="2"/>
  <c r="BR115" i="2"/>
  <c r="BS115" i="2"/>
  <c r="BU115" i="2"/>
  <c r="BV115" i="2"/>
  <c r="BX115" i="2"/>
  <c r="BM116" i="2"/>
  <c r="BW116" i="2"/>
  <c r="BK116" i="2"/>
  <c r="BL116" i="2"/>
  <c r="BN116" i="2"/>
  <c r="BO116" i="2"/>
  <c r="BP116" i="2"/>
  <c r="BQ116" i="2"/>
  <c r="BR116" i="2"/>
  <c r="BS116" i="2"/>
  <c r="BU116" i="2"/>
  <c r="BV116" i="2"/>
  <c r="BX116" i="2"/>
  <c r="BM117" i="2"/>
  <c r="BW117" i="2"/>
  <c r="BK117" i="2"/>
  <c r="BL117" i="2"/>
  <c r="BN117" i="2"/>
  <c r="BO117" i="2"/>
  <c r="BP117" i="2"/>
  <c r="BQ117" i="2"/>
  <c r="BR117" i="2"/>
  <c r="BS117" i="2"/>
  <c r="BU117" i="2"/>
  <c r="BV117" i="2"/>
  <c r="BX117" i="2"/>
  <c r="BM118" i="2"/>
  <c r="BW118" i="2"/>
  <c r="BK118" i="2"/>
  <c r="BL118" i="2"/>
  <c r="BN118" i="2"/>
  <c r="BO118" i="2"/>
  <c r="BP118" i="2"/>
  <c r="BQ118" i="2"/>
  <c r="BR118" i="2"/>
  <c r="BS118" i="2"/>
  <c r="BU118" i="2"/>
  <c r="BV118" i="2"/>
  <c r="BX118" i="2"/>
  <c r="BJ101" i="2"/>
  <c r="BM101" i="2"/>
  <c r="BK101" i="2"/>
  <c r="BS101" i="2"/>
  <c r="BW101" i="2"/>
  <c r="BU101" i="2"/>
  <c r="BV101" i="2"/>
  <c r="BX101" i="2"/>
  <c r="CI76" i="2"/>
  <c r="CD76" i="2"/>
  <c r="CG76" i="2"/>
  <c r="CH76" i="2"/>
  <c r="CK76" i="2"/>
  <c r="CL76" i="2"/>
  <c r="CI77" i="2"/>
  <c r="CD77" i="2"/>
  <c r="CG77" i="2"/>
  <c r="CH77" i="2"/>
  <c r="CK77" i="2"/>
  <c r="CL77" i="2"/>
  <c r="CI78" i="2"/>
  <c r="CD78" i="2"/>
  <c r="CG78" i="2"/>
  <c r="CH78" i="2"/>
  <c r="CK78" i="2"/>
  <c r="CL78" i="2"/>
  <c r="CI79" i="2"/>
  <c r="CD79" i="2"/>
  <c r="CG79" i="2"/>
  <c r="CH79" i="2"/>
  <c r="CK79" i="2"/>
  <c r="CL79" i="2"/>
  <c r="CI80" i="2"/>
  <c r="CD80" i="2"/>
  <c r="CG80" i="2"/>
  <c r="CH80" i="2"/>
  <c r="CK80" i="2"/>
  <c r="CL80" i="2"/>
  <c r="CI81" i="2"/>
  <c r="CD81" i="2"/>
  <c r="CG81" i="2"/>
  <c r="CH81" i="2"/>
  <c r="CK81" i="2"/>
  <c r="CL81" i="2"/>
  <c r="CI82" i="2"/>
  <c r="CD82" i="2"/>
  <c r="CG82" i="2"/>
  <c r="CH82" i="2"/>
  <c r="CK82" i="2"/>
  <c r="CL82" i="2"/>
  <c r="CI83" i="2"/>
  <c r="CD83" i="2"/>
  <c r="CG83" i="2"/>
  <c r="CH83" i="2"/>
  <c r="CK83" i="2"/>
  <c r="CL83" i="2"/>
  <c r="CI84" i="2"/>
  <c r="CD84" i="2"/>
  <c r="CG84" i="2"/>
  <c r="CH84" i="2"/>
  <c r="CK84" i="2"/>
  <c r="CL84" i="2"/>
  <c r="CI85" i="2"/>
  <c r="CD85" i="2"/>
  <c r="CG85" i="2"/>
  <c r="CH85" i="2"/>
  <c r="CK85" i="2"/>
  <c r="CL85" i="2"/>
  <c r="CI86" i="2"/>
  <c r="CD86" i="2"/>
  <c r="CG86" i="2"/>
  <c r="CH86" i="2"/>
  <c r="CK86" i="2"/>
  <c r="CL86" i="2"/>
  <c r="CI87" i="2"/>
  <c r="CD87" i="2"/>
  <c r="CG87" i="2"/>
  <c r="CH87" i="2"/>
  <c r="CK87" i="2"/>
  <c r="CL87" i="2"/>
  <c r="CI88" i="2"/>
  <c r="CD88" i="2"/>
  <c r="CG88" i="2"/>
  <c r="CH88" i="2"/>
  <c r="CK88" i="2"/>
  <c r="CL88" i="2"/>
  <c r="CI89" i="2"/>
  <c r="CD89" i="2"/>
  <c r="CG89" i="2"/>
  <c r="CH89" i="2"/>
  <c r="CK89" i="2"/>
  <c r="CL89" i="2"/>
  <c r="CI90" i="2"/>
  <c r="CD90" i="2"/>
  <c r="CG90" i="2"/>
  <c r="CH90" i="2"/>
  <c r="CK90" i="2"/>
  <c r="CL90" i="2"/>
  <c r="CI91" i="2"/>
  <c r="CD91" i="2"/>
  <c r="CG91" i="2"/>
  <c r="CH91" i="2"/>
  <c r="CK91" i="2"/>
  <c r="CL91" i="2"/>
  <c r="CI92" i="2"/>
  <c r="CD92" i="2"/>
  <c r="CG92" i="2"/>
  <c r="CH92" i="2"/>
  <c r="CK92" i="2"/>
  <c r="CL92" i="2"/>
  <c r="CI103" i="2"/>
  <c r="CD103" i="2"/>
  <c r="CG103" i="2"/>
  <c r="CH103" i="2"/>
  <c r="CK103" i="2"/>
  <c r="CL103" i="2"/>
  <c r="CI104" i="2"/>
  <c r="CD104" i="2"/>
  <c r="CG104" i="2"/>
  <c r="CH104" i="2"/>
  <c r="CK104" i="2"/>
  <c r="CL104" i="2"/>
  <c r="CI105" i="2"/>
  <c r="CD105" i="2"/>
  <c r="CG105" i="2"/>
  <c r="CH105" i="2"/>
  <c r="CK105" i="2"/>
  <c r="CL105" i="2"/>
  <c r="CI106" i="2"/>
  <c r="CD106" i="2"/>
  <c r="CG106" i="2"/>
  <c r="CH106" i="2"/>
  <c r="CK106" i="2"/>
  <c r="CL106" i="2"/>
  <c r="CI107" i="2"/>
  <c r="CD107" i="2"/>
  <c r="CG107" i="2"/>
  <c r="CH107" i="2"/>
  <c r="CK107" i="2"/>
  <c r="CL107" i="2"/>
  <c r="CI108" i="2"/>
  <c r="CD108" i="2"/>
  <c r="CG108" i="2"/>
  <c r="CH108" i="2"/>
  <c r="CK108" i="2"/>
  <c r="CL108" i="2"/>
  <c r="CI109" i="2"/>
  <c r="CD109" i="2"/>
  <c r="CG109" i="2"/>
  <c r="CH109" i="2"/>
  <c r="CK109" i="2"/>
  <c r="CL109" i="2"/>
  <c r="CI110" i="2"/>
  <c r="CD110" i="2"/>
  <c r="CG110" i="2"/>
  <c r="CH110" i="2"/>
  <c r="CK110" i="2"/>
  <c r="CL110" i="2"/>
  <c r="CI111" i="2"/>
  <c r="CD111" i="2"/>
  <c r="CG111" i="2"/>
  <c r="CH111" i="2"/>
  <c r="CK111" i="2"/>
  <c r="CL111" i="2"/>
  <c r="CI112" i="2"/>
  <c r="CD112" i="2"/>
  <c r="CG112" i="2"/>
  <c r="CH112" i="2"/>
  <c r="CK112" i="2"/>
  <c r="CL112" i="2"/>
  <c r="CI113" i="2"/>
  <c r="CD113" i="2"/>
  <c r="CG113" i="2"/>
  <c r="CH113" i="2"/>
  <c r="CK113" i="2"/>
  <c r="CL113" i="2"/>
  <c r="CI114" i="2"/>
  <c r="CD114" i="2"/>
  <c r="CG114" i="2"/>
  <c r="CH114" i="2"/>
  <c r="CK114" i="2"/>
  <c r="CL114" i="2"/>
  <c r="CI115" i="2"/>
  <c r="CD115" i="2"/>
  <c r="CG115" i="2"/>
  <c r="CH115" i="2"/>
  <c r="CK115" i="2"/>
  <c r="CL115" i="2"/>
  <c r="CI116" i="2"/>
  <c r="CD116" i="2"/>
  <c r="CG116" i="2"/>
  <c r="CH116" i="2"/>
  <c r="CK116" i="2"/>
  <c r="CL116" i="2"/>
  <c r="CI117" i="2"/>
  <c r="CD117" i="2"/>
  <c r="CG117" i="2"/>
  <c r="CH117" i="2"/>
  <c r="CK117" i="2"/>
  <c r="CL117" i="2"/>
  <c r="CI118" i="2"/>
  <c r="CD118" i="2"/>
  <c r="CG118" i="2"/>
  <c r="CH118" i="2"/>
  <c r="CK118" i="2"/>
  <c r="CL118" i="2"/>
  <c r="CL120" i="2"/>
  <c r="CL122" i="2"/>
  <c r="CF76" i="2"/>
  <c r="CE76" i="2"/>
  <c r="CM76" i="2"/>
  <c r="CF77" i="2"/>
  <c r="CE77" i="2"/>
  <c r="CM77" i="2"/>
  <c r="CF78" i="2"/>
  <c r="CE78" i="2"/>
  <c r="CM78" i="2"/>
  <c r="CF79" i="2"/>
  <c r="CE79" i="2"/>
  <c r="CM79" i="2"/>
  <c r="CF80" i="2"/>
  <c r="CE80" i="2"/>
  <c r="CM80" i="2"/>
  <c r="CF81" i="2"/>
  <c r="CE81" i="2"/>
  <c r="CM81" i="2"/>
  <c r="CF82" i="2"/>
  <c r="CE82" i="2"/>
  <c r="CM82" i="2"/>
  <c r="CF83" i="2"/>
  <c r="CE83" i="2"/>
  <c r="CM83" i="2"/>
  <c r="CF84" i="2"/>
  <c r="CE84" i="2"/>
  <c r="CM84" i="2"/>
  <c r="CF85" i="2"/>
  <c r="CE85" i="2"/>
  <c r="CM85" i="2"/>
  <c r="CF86" i="2"/>
  <c r="CE86" i="2"/>
  <c r="CM86" i="2"/>
  <c r="CF87" i="2"/>
  <c r="CE87" i="2"/>
  <c r="CM87" i="2"/>
  <c r="CF88" i="2"/>
  <c r="CE88" i="2"/>
  <c r="CM88" i="2"/>
  <c r="CF89" i="2"/>
  <c r="CE89" i="2"/>
  <c r="CM89" i="2"/>
  <c r="CF90" i="2"/>
  <c r="CE90" i="2"/>
  <c r="CM90" i="2"/>
  <c r="CF91" i="2"/>
  <c r="CE91" i="2"/>
  <c r="CM91" i="2"/>
  <c r="CF92" i="2"/>
  <c r="CE92" i="2"/>
  <c r="CM92" i="2"/>
  <c r="CM103" i="2"/>
  <c r="CM104" i="2"/>
  <c r="CM105" i="2"/>
  <c r="CM106" i="2"/>
  <c r="CM107" i="2"/>
  <c r="CM108" i="2"/>
  <c r="CM109" i="2"/>
  <c r="CM110" i="2"/>
  <c r="CM111" i="2"/>
  <c r="CM112" i="2"/>
  <c r="CM113" i="2"/>
  <c r="CM114" i="2"/>
  <c r="CM115" i="2"/>
  <c r="CM116" i="2"/>
  <c r="CM117" i="2"/>
  <c r="CM118" i="2"/>
  <c r="CM120" i="2"/>
  <c r="CM122" i="2"/>
  <c r="CN76" i="2"/>
  <c r="CN77" i="2"/>
  <c r="CN78" i="2"/>
  <c r="CN79" i="2"/>
  <c r="CN80" i="2"/>
  <c r="CN81" i="2"/>
  <c r="CN82" i="2"/>
  <c r="CN83" i="2"/>
  <c r="CN84" i="2"/>
  <c r="CN85" i="2"/>
  <c r="CN86" i="2"/>
  <c r="CN87" i="2"/>
  <c r="CN88" i="2"/>
  <c r="CN89" i="2"/>
  <c r="CN90" i="2"/>
  <c r="CN91" i="2"/>
  <c r="CN92" i="2"/>
  <c r="CN103" i="2"/>
  <c r="CN104" i="2"/>
  <c r="CN105" i="2"/>
  <c r="CN106" i="2"/>
  <c r="CN107" i="2"/>
  <c r="CN108" i="2"/>
  <c r="CN109" i="2"/>
  <c r="CN110" i="2"/>
  <c r="CN111" i="2"/>
  <c r="CN112" i="2"/>
  <c r="CN113" i="2"/>
  <c r="CN114" i="2"/>
  <c r="CN115" i="2"/>
  <c r="CN116" i="2"/>
  <c r="CN117" i="2"/>
  <c r="CN118" i="2"/>
  <c r="CN120" i="2"/>
  <c r="CN122" i="2"/>
  <c r="CM124" i="2"/>
  <c r="I67" i="2"/>
  <c r="R81" i="2"/>
  <c r="BI81" i="2"/>
  <c r="R82" i="2"/>
  <c r="BI82" i="2"/>
  <c r="R83" i="2"/>
  <c r="BI83" i="2"/>
  <c r="R84" i="2"/>
  <c r="BI84" i="2"/>
  <c r="R85" i="2"/>
  <c r="BI85" i="2"/>
  <c r="R86" i="2"/>
  <c r="BI86" i="2"/>
  <c r="R87" i="2"/>
  <c r="BI87" i="2"/>
  <c r="R106" i="2"/>
  <c r="BI106" i="2"/>
  <c r="R107" i="2"/>
  <c r="BI107" i="2"/>
  <c r="R108" i="2"/>
  <c r="BI108" i="2"/>
  <c r="R109" i="2"/>
  <c r="BI109" i="2"/>
  <c r="R110" i="2"/>
  <c r="BI110" i="2"/>
  <c r="R111" i="2"/>
  <c r="BI111" i="2"/>
  <c r="BP101" i="2"/>
  <c r="BQ101" i="2"/>
  <c r="BN74" i="2"/>
  <c r="BR101" i="2"/>
  <c r="BO101" i="2"/>
  <c r="BN101" i="2"/>
  <c r="R112" i="2"/>
  <c r="BI112" i="2"/>
  <c r="R113" i="2"/>
  <c r="BI113" i="2"/>
  <c r="R114" i="2"/>
  <c r="BI114" i="2"/>
  <c r="R115" i="2"/>
  <c r="BI115" i="2"/>
  <c r="R80" i="2"/>
  <c r="BI80" i="2"/>
  <c r="R88" i="2"/>
  <c r="BI88" i="2"/>
  <c r="R89" i="2"/>
  <c r="BI89" i="2"/>
  <c r="R90" i="2"/>
  <c r="BI90" i="2"/>
  <c r="R91" i="2"/>
  <c r="BI91" i="2"/>
  <c r="R92" i="2"/>
  <c r="BI92" i="2"/>
  <c r="H67" i="2"/>
  <c r="CM128" i="2"/>
  <c r="CM129" i="2"/>
  <c r="CM130" i="2"/>
  <c r="CM131" i="2"/>
  <c r="CM132" i="2"/>
  <c r="P66" i="2"/>
  <c r="P67" i="2"/>
  <c r="I70" i="2"/>
  <c r="I69" i="2"/>
  <c r="H70" i="2"/>
  <c r="H69" i="2"/>
  <c r="BL101" i="2"/>
  <c r="P68" i="2"/>
  <c r="R77" i="2"/>
  <c r="BI77" i="2"/>
  <c r="R78" i="2"/>
  <c r="BI78" i="2"/>
  <c r="R79" i="2"/>
  <c r="BI79" i="2"/>
  <c r="H68" i="2"/>
  <c r="CI101" i="2"/>
  <c r="CD101" i="2"/>
  <c r="CG101" i="2"/>
  <c r="CH101" i="2"/>
  <c r="CF101" i="2"/>
  <c r="I68" i="2"/>
  <c r="BK74" i="2"/>
  <c r="BS74" i="2"/>
  <c r="BU74" i="2"/>
  <c r="BX74" i="2"/>
  <c r="P74" i="2"/>
  <c r="R104" i="2"/>
  <c r="R105" i="2"/>
  <c r="R116" i="2"/>
  <c r="R117" i="2"/>
  <c r="R118" i="2"/>
  <c r="R76" i="2"/>
  <c r="R103" i="2"/>
  <c r="R101" i="2"/>
  <c r="Q74" i="2"/>
  <c r="P120" i="2"/>
  <c r="H120" i="2"/>
  <c r="BI105" i="2"/>
  <c r="BI116" i="2"/>
  <c r="BI117" i="2"/>
  <c r="BI101" i="2"/>
  <c r="BI76" i="2"/>
  <c r="D120" i="2"/>
  <c r="Q133" i="2"/>
  <c r="P70" i="2"/>
  <c r="BI104" i="2"/>
  <c r="K120" i="2"/>
  <c r="BI103" i="2"/>
  <c r="BI118" i="2"/>
  <c r="BI74" i="2"/>
  <c r="R74" i="2"/>
</calcChain>
</file>

<file path=xl/comments1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sharedStrings.xml><?xml version="1.0" encoding="utf-8"?>
<sst xmlns="http://schemas.openxmlformats.org/spreadsheetml/2006/main" count="1581" uniqueCount="308">
  <si>
    <t>Pts</t>
  </si>
  <si>
    <t>ARMY</t>
  </si>
  <si>
    <t>Type</t>
  </si>
  <si>
    <t>A</t>
  </si>
  <si>
    <t>Sub</t>
  </si>
  <si>
    <t>CinC</t>
  </si>
  <si>
    <t>Name</t>
  </si>
  <si>
    <t>Number of bases</t>
  </si>
  <si>
    <t>CAMP</t>
  </si>
  <si>
    <t>Shooting</t>
  </si>
  <si>
    <t>Average</t>
  </si>
  <si>
    <t>Poor</t>
  </si>
  <si>
    <t>B</t>
  </si>
  <si>
    <t>Pike</t>
  </si>
  <si>
    <t>SHOOTING</t>
  </si>
  <si>
    <t>na</t>
  </si>
  <si>
    <t>WEAPONS</t>
  </si>
  <si>
    <t>CHARACTERISTICS</t>
  </si>
  <si>
    <t>Points per base</t>
  </si>
  <si>
    <t>Points Total</t>
  </si>
  <si>
    <t>DATE</t>
  </si>
  <si>
    <t>GENERALS</t>
  </si>
  <si>
    <t>Legendary Professional</t>
  </si>
  <si>
    <t>Sub/Ally</t>
  </si>
  <si>
    <t>Competent Professional</t>
  </si>
  <si>
    <t>Talented Professional</t>
  </si>
  <si>
    <t>Legendary Instinctive</t>
  </si>
  <si>
    <t>Talented Instinctive</t>
  </si>
  <si>
    <t>Competent Instinctive</t>
  </si>
  <si>
    <t>PBS</t>
  </si>
  <si>
    <t>SUB</t>
  </si>
  <si>
    <t>Shove</t>
  </si>
  <si>
    <t>Mediocre Professional</t>
  </si>
  <si>
    <t>Mediocre Instinctive</t>
  </si>
  <si>
    <t>Drilled Flexible</t>
  </si>
  <si>
    <t>Formed Flexible</t>
  </si>
  <si>
    <t>Tribal Flexible</t>
  </si>
  <si>
    <t>Skirmisher</t>
  </si>
  <si>
    <t>Superior</t>
  </si>
  <si>
    <t>Exceptional</t>
  </si>
  <si>
    <t>INFANTRY</t>
  </si>
  <si>
    <t>ARTILLERY</t>
  </si>
  <si>
    <t>ELEPHANTS</t>
  </si>
  <si>
    <t>CAVALRY</t>
  </si>
  <si>
    <t>CAMELRY</t>
  </si>
  <si>
    <t>BATTLE WAGONS</t>
  </si>
  <si>
    <t>Training &amp; Formation</t>
  </si>
  <si>
    <t>Quality</t>
  </si>
  <si>
    <t>Protection</t>
  </si>
  <si>
    <t xml:space="preserve"> Special Characteristics</t>
  </si>
  <si>
    <t>-</t>
  </si>
  <si>
    <t>Protected</t>
  </si>
  <si>
    <t>Melee Expert</t>
  </si>
  <si>
    <t>Long Spear</t>
  </si>
  <si>
    <t>Short Spear</t>
  </si>
  <si>
    <t>Combat Shy</t>
  </si>
  <si>
    <t>Fanatic</t>
  </si>
  <si>
    <t>Cantabrian</t>
  </si>
  <si>
    <t>African</t>
  </si>
  <si>
    <t>Bow</t>
  </si>
  <si>
    <t>Crossbow</t>
  </si>
  <si>
    <t>Sling</t>
  </si>
  <si>
    <t>Javelin</t>
  </si>
  <si>
    <t>Dismountable</t>
  </si>
  <si>
    <t>Pavise</t>
  </si>
  <si>
    <t>Orb</t>
  </si>
  <si>
    <t>2-H Cut-Crush</t>
  </si>
  <si>
    <t>Charging Lancer</t>
  </si>
  <si>
    <t>Impact Weapon</t>
  </si>
  <si>
    <t>Powerbow</t>
  </si>
  <si>
    <t>Firearm</t>
  </si>
  <si>
    <t>Qual Mult</t>
  </si>
  <si>
    <t>Shooting skill</t>
  </si>
  <si>
    <t>Sp Ch A</t>
  </si>
  <si>
    <t>Sp Ch B</t>
  </si>
  <si>
    <t>Cost for Average</t>
  </si>
  <si>
    <t>X</t>
  </si>
  <si>
    <t>TABLE OFFSET</t>
  </si>
  <si>
    <t>MELEE</t>
  </si>
  <si>
    <t>DevastatIng Chargers</t>
  </si>
  <si>
    <t>CALCULATION ZONE</t>
  </si>
  <si>
    <t>C&amp;C Cards</t>
  </si>
  <si>
    <t>Set up modifiers</t>
  </si>
  <si>
    <t>General</t>
  </si>
  <si>
    <t>C-in-C and Sub Generals</t>
  </si>
  <si>
    <t>Generals PBS</t>
  </si>
  <si>
    <t>cards</t>
  </si>
  <si>
    <t>Ally?</t>
  </si>
  <si>
    <t>yes</t>
  </si>
  <si>
    <t>no</t>
  </si>
  <si>
    <t>Sub 1</t>
  </si>
  <si>
    <t>Sub 2</t>
  </si>
  <si>
    <t>Sub 3</t>
  </si>
  <si>
    <t>Calcaulations for Cavalry etc.</t>
  </si>
  <si>
    <t>Cav</t>
  </si>
  <si>
    <t>Cam</t>
  </si>
  <si>
    <t>Skirm</t>
  </si>
  <si>
    <t>Mtd Skirmish</t>
  </si>
  <si>
    <t>Per</t>
  </si>
  <si>
    <t>GENREALS PBS</t>
  </si>
  <si>
    <t>Points total</t>
  </si>
  <si>
    <t>Calculations</t>
  </si>
  <si>
    <t>Polearm</t>
  </si>
  <si>
    <t>Shieldwall</t>
  </si>
  <si>
    <t>Allied</t>
  </si>
  <si>
    <t>NA</t>
  </si>
  <si>
    <t>Any cells you need to empty just use "clear--&gt;contents" command</t>
  </si>
  <si>
    <t>Prot  Mult</t>
  </si>
  <si>
    <t>Unprotected</t>
  </si>
  <si>
    <t>x</t>
  </si>
  <si>
    <t>Chariots</t>
  </si>
  <si>
    <t>Other Mounted</t>
  </si>
  <si>
    <t>All blue areas are calculations or areas to leave blank</t>
  </si>
  <si>
    <t>Barricades</t>
  </si>
  <si>
    <t>COST PER BASE PRE QUAL</t>
  </si>
  <si>
    <t>TOTAL pre Qual</t>
  </si>
  <si>
    <t>Skilled</t>
  </si>
  <si>
    <t>Unskilled</t>
  </si>
  <si>
    <t>Experienced</t>
  </si>
  <si>
    <t>Drilled Close</t>
  </si>
  <si>
    <t>Formed Close</t>
  </si>
  <si>
    <t>Tribal Close</t>
  </si>
  <si>
    <t>Shoot &amp; Charge</t>
  </si>
  <si>
    <t>Integral Shooters</t>
  </si>
  <si>
    <t>Light Art</t>
  </si>
  <si>
    <t>Heavy Art</t>
  </si>
  <si>
    <t>C</t>
  </si>
  <si>
    <t>ALLIES</t>
  </si>
  <si>
    <t>PBS Terrain Maps</t>
  </si>
  <si>
    <t>TRIUMPH</t>
  </si>
  <si>
    <t>Max</t>
  </si>
  <si>
    <t>If you break your opponents army you have a Triumph</t>
  </si>
  <si>
    <t>2 Victory Points</t>
  </si>
  <si>
    <t>1 Victory Point</t>
  </si>
  <si>
    <t>Per enemy TuG Destroyed</t>
  </si>
  <si>
    <t>Per enemy SuG destroyed</t>
  </si>
  <si>
    <t>Generals</t>
  </si>
  <si>
    <t>If you live to fight another day (or mutual break)</t>
  </si>
  <si>
    <t>PBS MAP CARDS</t>
  </si>
  <si>
    <t>SCOUTING CARDS</t>
  </si>
  <si>
    <t>Contact Details</t>
  </si>
  <si>
    <t>Player</t>
  </si>
  <si>
    <t>UG No</t>
  </si>
  <si>
    <t>TuGs</t>
  </si>
  <si>
    <t>SuGs</t>
  </si>
  <si>
    <t>Shield Cover</t>
  </si>
  <si>
    <t>Foot</t>
  </si>
  <si>
    <t>Inf</t>
  </si>
  <si>
    <t>Art</t>
  </si>
  <si>
    <t>El</t>
  </si>
  <si>
    <t>BWg</t>
  </si>
  <si>
    <t>Camp</t>
  </si>
  <si>
    <t>Flexible Camp</t>
  </si>
  <si>
    <t>Mobile Camp</t>
  </si>
  <si>
    <t>Fortified Camp</t>
  </si>
  <si>
    <t>No Camp</t>
  </si>
  <si>
    <t xml:space="preserve">           15 Victory Points</t>
  </si>
  <si>
    <t xml:space="preserve">DAMAGE DONE SCORE </t>
  </si>
  <si>
    <t>Drilled Loose</t>
  </si>
  <si>
    <t>Formed Loose</t>
  </si>
  <si>
    <t>Tribal Loose</t>
  </si>
  <si>
    <t>TuGs to Break</t>
  </si>
  <si>
    <t>SURVIVAL</t>
  </si>
  <si>
    <t>+2 Victory Points</t>
  </si>
  <si>
    <t>SCORING SYSTEM - minimum  score is 0, maximum score is 15</t>
  </si>
  <si>
    <t>All grey areas area fixed</t>
  </si>
  <si>
    <t>Fixed</t>
  </si>
  <si>
    <t>Click on the box and if a menu a small arrow appears - click on this to get choices</t>
  </si>
  <si>
    <t>Put UG numbers next to TuGs and SuGs and it will give you Army Break points</t>
  </si>
  <si>
    <t>Expendables</t>
  </si>
  <si>
    <t>Break on *</t>
  </si>
  <si>
    <t>* Mixed TuGs need to be done manually</t>
  </si>
  <si>
    <t>Darts</t>
  </si>
  <si>
    <t>TUGS</t>
  </si>
  <si>
    <t>LIGHT CHARIOTS</t>
  </si>
  <si>
    <t>BATTLE CHARIOTS</t>
  </si>
  <si>
    <t>B CH</t>
  </si>
  <si>
    <t>L CH</t>
  </si>
  <si>
    <t>Mtd Polearm</t>
  </si>
  <si>
    <t>CAMPS</t>
  </si>
  <si>
    <t>Ally reduction</t>
  </si>
  <si>
    <t>NOTES FOR TEAM</t>
  </si>
  <si>
    <t>SUGS</t>
  </si>
  <si>
    <t>MAIN</t>
  </si>
  <si>
    <t>F ARM?</t>
  </si>
  <si>
    <t>Scouting</t>
  </si>
  <si>
    <t>Feigned Flight</t>
  </si>
  <si>
    <t>TuG</t>
  </si>
  <si>
    <t>SuG</t>
  </si>
  <si>
    <t>Cards/PBS</t>
  </si>
  <si>
    <t>Terrain</t>
  </si>
  <si>
    <t>Std</t>
  </si>
  <si>
    <t>Cst</t>
  </si>
  <si>
    <t>Plns</t>
  </si>
  <si>
    <t>Frst</t>
  </si>
  <si>
    <t>Mtns</t>
  </si>
  <si>
    <t>Dsrt</t>
  </si>
  <si>
    <t>Jngl</t>
  </si>
  <si>
    <t>Expendable TuGs</t>
  </si>
  <si>
    <t>Column check</t>
  </si>
  <si>
    <t>Army C</t>
  </si>
  <si>
    <t>Softened numbers of cards</t>
  </si>
  <si>
    <t>Flex?</t>
  </si>
  <si>
    <t>OFFSET</t>
  </si>
  <si>
    <t>Caltrops</t>
  </si>
  <si>
    <t>Stakes</t>
  </si>
  <si>
    <t>Obstacles</t>
  </si>
  <si>
    <t>Armour</t>
  </si>
  <si>
    <t>Weapon</t>
  </si>
  <si>
    <t>Skill</t>
  </si>
  <si>
    <t>Melee Weapon</t>
  </si>
  <si>
    <t>Light Foot exc art</t>
  </si>
  <si>
    <t>D</t>
  </si>
  <si>
    <t>E</t>
  </si>
  <si>
    <t>Fleet of Foot</t>
  </si>
  <si>
    <t>Impact vs Foot</t>
  </si>
  <si>
    <t>Melee vs Foot</t>
  </si>
  <si>
    <t>Impact vs Mtd</t>
  </si>
  <si>
    <t>Melee vs Mtd</t>
  </si>
  <si>
    <t>Ranks</t>
  </si>
  <si>
    <t>DC &amp; Long Spear</t>
  </si>
  <si>
    <t>Partial</t>
  </si>
  <si>
    <t>Long Spear &amp; Melee Expert</t>
  </si>
  <si>
    <t>2-H Cut and Crush</t>
  </si>
  <si>
    <t>Any</t>
  </si>
  <si>
    <t>IW &amp; Melee Expert</t>
  </si>
  <si>
    <t>DC &amp; Melee Expert</t>
  </si>
  <si>
    <t>1/0</t>
  </si>
  <si>
    <t>Good</t>
  </si>
  <si>
    <t>DC and Short Spear</t>
  </si>
  <si>
    <t>S Spear &amp; Melee Expert</t>
  </si>
  <si>
    <t>Devastating Charger</t>
  </si>
  <si>
    <t>2S</t>
  </si>
  <si>
    <t>3/2</t>
  </si>
  <si>
    <t>2/1</t>
  </si>
  <si>
    <t>2/3/4</t>
  </si>
  <si>
    <t>1/2</t>
  </si>
  <si>
    <t>CAV VERSION</t>
  </si>
  <si>
    <t>Charging Lancer/ME</t>
  </si>
  <si>
    <t>Long Spear/ME</t>
  </si>
  <si>
    <t>Mounted Polearm/ME</t>
  </si>
  <si>
    <t>Short Spear/ME</t>
  </si>
  <si>
    <t>Mounted Polearm</t>
  </si>
  <si>
    <t>VS Pk/Lsp</t>
  </si>
  <si>
    <t>Vs Foot</t>
  </si>
  <si>
    <t>vs Mtd</t>
  </si>
  <si>
    <t>Melee</t>
  </si>
  <si>
    <t>Dev Charger</t>
  </si>
  <si>
    <t>any</t>
  </si>
  <si>
    <t>GG</t>
  </si>
  <si>
    <t>1 and cancels ME</t>
  </si>
  <si>
    <t>2 in melee</t>
  </si>
  <si>
    <t>0S</t>
  </si>
  <si>
    <t>1S exc CL/LSp</t>
  </si>
  <si>
    <t>2018 points</t>
  </si>
  <si>
    <t>INF VERSION</t>
  </si>
  <si>
    <t>Charge Only</t>
  </si>
  <si>
    <t>- / Farm Cv</t>
  </si>
  <si>
    <t>Harm / FArm Cv</t>
  </si>
  <si>
    <t>HArm / Prot Cv</t>
  </si>
  <si>
    <t>FArm</t>
  </si>
  <si>
    <t>- / FArm</t>
  </si>
  <si>
    <t>ArmHrs/Prot</t>
  </si>
  <si>
    <t>ArmHrs/FArm</t>
  </si>
  <si>
    <t>2019 Changes: Charge only and ArmHrs added, Generals up, Ch Lancer, Dev Charger down, S&amp;C down, Skilled up, Pike Up</t>
  </si>
  <si>
    <t>Mortem et Gloriam Army Builder</t>
  </si>
  <si>
    <t>The army builder will automatically price your army and work out your PBS and Scouting cards/discs</t>
  </si>
  <si>
    <t>It also means we can optimise points on an annual cycle with ease leading to no super armies</t>
  </si>
  <si>
    <t>Colour Coded areas</t>
  </si>
  <si>
    <t>If superior is worth +10 and armour is worth +10, then Superior-Armour is always worth more than 20</t>
  </si>
  <si>
    <t>This is why purely additive systems find players choosing higher quality troops</t>
  </si>
  <si>
    <t>Filling it in</t>
  </si>
  <si>
    <t>Variants</t>
  </si>
  <si>
    <t>We therefore provide two versions for these on separate sheets so the master one suits most armies: "5 characteristics" and "Large"</t>
  </si>
  <si>
    <t xml:space="preserve"> If the UG no is blank it will put 0.  If incomplete as a line it will give an NA.</t>
  </si>
  <si>
    <t>Camps have their options in characteristics</t>
  </si>
  <si>
    <t>Each line needs complete entries to calculate, including "-" to ensure you have covered everything</t>
  </si>
  <si>
    <t>The sheet is protected so you cannot alter areas you shouldn't</t>
  </si>
  <si>
    <t>Drop down choices need "-" if nothing and these are in as a default at the start for you</t>
  </si>
  <si>
    <t>Kiel</t>
  </si>
  <si>
    <t>White areas are for you to type into directly</t>
  </si>
  <si>
    <t>Type into</t>
  </si>
  <si>
    <t>Drop Down menu</t>
  </si>
  <si>
    <t>All light sand areas are drop down menuswith fixed choices</t>
  </si>
  <si>
    <r>
      <t xml:space="preserve">For mixed UGs put separate lines for troops but with the </t>
    </r>
    <r>
      <rPr>
        <u/>
        <sz val="16"/>
        <color theme="1"/>
        <rFont val="Arial"/>
      </rPr>
      <t>same</t>
    </r>
    <r>
      <rPr>
        <sz val="16"/>
        <color theme="1"/>
        <rFont val="Arial"/>
      </rPr>
      <t xml:space="preserve"> UG number for both lines</t>
    </r>
  </si>
  <si>
    <t>Why and on line army builder ….?</t>
  </si>
  <si>
    <t>We use this on-line method as for points to balance properly the system has to be multiplicative….</t>
  </si>
  <si>
    <t>A few armies need more than 3 characteristics (e.g. fully loaded Spartans) and a few need more Ugs (slave revolt or mass skirmish)</t>
  </si>
  <si>
    <t>SUG CAHRACTERISTICS</t>
  </si>
  <si>
    <t>TUG CHARACTERISTICS</t>
  </si>
  <si>
    <t>2018 ref</t>
  </si>
  <si>
    <t>Drop downs have own ists</t>
  </si>
  <si>
    <t>Foot down 10/5 for drilled/other</t>
  </si>
  <si>
    <t>Paise/Sheild Cover 5/12</t>
  </si>
  <si>
    <t>4th generals</t>
  </si>
  <si>
    <t>3rd General</t>
  </si>
  <si>
    <t>2nd General</t>
  </si>
  <si>
    <t>Achilles</t>
  </si>
  <si>
    <t>Only Special</t>
  </si>
  <si>
    <t>Legendary Instinctive (list special only)</t>
  </si>
  <si>
    <t>SuG Melee Weapons</t>
  </si>
  <si>
    <t>Guard Cavalry</t>
  </si>
  <si>
    <t>Arab Cavalry</t>
  </si>
  <si>
    <t>Andalusian Spearmen</t>
  </si>
  <si>
    <t>Andalusian Cavalry</t>
  </si>
  <si>
    <t>Andalusian</t>
  </si>
  <si>
    <t>SR</t>
  </si>
  <si>
    <t>Slav 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</si>
</sst>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5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4"/>
      <color theme="1"/>
      <name val="Calibri"/>
      <scheme val="minor"/>
    </font>
    <font>
      <b/>
      <i/>
      <sz val="11"/>
      <color theme="1"/>
      <name val="Calibri"/>
      <scheme val="minor"/>
    </font>
    <font>
      <i/>
      <sz val="11"/>
      <color theme="1"/>
      <name val="Calibri"/>
      <scheme val="minor"/>
    </font>
    <font>
      <i/>
      <sz val="12"/>
      <color theme="1"/>
      <name val="Calibri"/>
      <scheme val="minor"/>
    </font>
    <font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4"/>
      <color theme="1"/>
      <name val="Calibri"/>
      <scheme val="minor"/>
    </font>
    <font>
      <sz val="20"/>
      <color theme="7" tint="0.79998168889431442"/>
      <name val="Calibri"/>
      <scheme val="minor"/>
    </font>
    <font>
      <b/>
      <sz val="24"/>
      <color theme="7" tint="0.79998168889431442"/>
      <name val="Calibri"/>
      <scheme val="minor"/>
    </font>
    <font>
      <sz val="8"/>
      <name val="Calibri"/>
      <family val="2"/>
      <scheme val="minor"/>
    </font>
    <font>
      <i/>
      <sz val="14"/>
      <color theme="1"/>
      <name val="Calibri"/>
      <scheme val="minor"/>
    </font>
    <font>
      <sz val="16"/>
      <color theme="1"/>
      <name val="Calibri"/>
      <scheme val="minor"/>
    </font>
    <font>
      <i/>
      <sz val="16"/>
      <color theme="1"/>
      <name val="Calibri"/>
      <scheme val="minor"/>
    </font>
    <font>
      <sz val="14"/>
      <color theme="7" tint="0.79998168889431442"/>
      <name val="Calibri"/>
      <scheme val="minor"/>
    </font>
    <font>
      <b/>
      <sz val="16"/>
      <color theme="7" tint="0.79998168889431442"/>
      <name val="Calibri"/>
      <family val="2"/>
      <scheme val="minor"/>
    </font>
    <font>
      <b/>
      <i/>
      <sz val="16"/>
      <color theme="1"/>
      <name val="Calibri"/>
      <scheme val="minor"/>
    </font>
    <font>
      <b/>
      <i/>
      <sz val="16"/>
      <color theme="7" tint="0.79998168889431442"/>
      <name val="Calibri"/>
      <scheme val="minor"/>
    </font>
    <font>
      <sz val="18"/>
      <name val="Calibri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scheme val="minor"/>
    </font>
    <font>
      <b/>
      <sz val="11"/>
      <color rgb="FF000000"/>
      <name val="Calibri"/>
      <scheme val="minor"/>
    </font>
    <font>
      <b/>
      <sz val="14"/>
      <name val="Calibri"/>
      <scheme val="minor"/>
    </font>
    <font>
      <sz val="11"/>
      <color theme="0"/>
      <name val="Calibri"/>
      <scheme val="minor"/>
    </font>
    <font>
      <b/>
      <sz val="9"/>
      <color theme="7" tint="0.7999816888943144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7" tint="0.79998168889431442"/>
      <name val="Calibri"/>
      <scheme val="minor"/>
    </font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0000FF"/>
      <name val="Calibri"/>
      <scheme val="minor"/>
    </font>
    <font>
      <sz val="11"/>
      <color rgb="FF3366FF"/>
      <name val="Calibri"/>
      <scheme val="minor"/>
    </font>
    <font>
      <b/>
      <sz val="11"/>
      <name val="Calibri"/>
      <scheme val="minor"/>
    </font>
    <font>
      <sz val="24"/>
      <color rgb="FFFFFF00"/>
      <name val="UTM Than Chien Tranh"/>
    </font>
    <font>
      <sz val="16"/>
      <color theme="1"/>
      <name val="Arial"/>
    </font>
    <font>
      <b/>
      <sz val="16"/>
      <color theme="1"/>
      <name val="Arial"/>
    </font>
    <font>
      <i/>
      <sz val="16"/>
      <color theme="1"/>
      <name val="Arial"/>
    </font>
    <font>
      <sz val="11"/>
      <color theme="1"/>
      <name val="Arial"/>
    </font>
    <font>
      <sz val="14"/>
      <color theme="1"/>
      <name val="Arial"/>
    </font>
    <font>
      <sz val="18"/>
      <color theme="1"/>
      <name val="Arial"/>
    </font>
    <font>
      <i/>
      <sz val="14"/>
      <color theme="1"/>
      <name val="Arial"/>
    </font>
    <font>
      <i/>
      <sz val="11"/>
      <color theme="1"/>
      <name val="Arial"/>
    </font>
    <font>
      <u/>
      <sz val="16"/>
      <color theme="1"/>
      <name val="Arial"/>
    </font>
    <font>
      <sz val="12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EFD2EE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CFCF4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3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39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0" xfId="0"/>
    <xf numFmtId="0" fontId="0" fillId="0" borderId="0" xfId="0" applyFill="1"/>
    <xf numFmtId="0" fontId="13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3" fillId="11" borderId="10" xfId="0" applyFont="1" applyFill="1" applyBorder="1" applyAlignment="1">
      <alignment horizontal="center" vertical="center"/>
    </xf>
    <xf numFmtId="0" fontId="0" fillId="10" borderId="0" xfId="0" applyFill="1"/>
    <xf numFmtId="0" fontId="26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0" borderId="2" xfId="0" applyFont="1" applyFill="1" applyBorder="1" applyAlignment="1">
      <alignment vertical="center"/>
    </xf>
    <xf numFmtId="1" fontId="3" fillId="15" borderId="2" xfId="0" applyNumberFormat="1" applyFont="1" applyFill="1" applyBorder="1" applyAlignment="1">
      <alignment horizontal="center" vertical="center" wrapText="1"/>
    </xf>
    <xf numFmtId="1" fontId="0" fillId="15" borderId="2" xfId="0" applyNumberFormat="1" applyFont="1" applyFill="1" applyBorder="1" applyAlignment="1">
      <alignment horizontal="center" vertical="center"/>
    </xf>
    <xf numFmtId="164" fontId="0" fillId="15" borderId="2" xfId="0" applyNumberForma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9" borderId="1" xfId="0" applyFont="1" applyFill="1" applyBorder="1" applyAlignment="1" applyProtection="1">
      <alignment vertical="center"/>
      <protection locked="0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 wrapText="1"/>
    </xf>
    <xf numFmtId="164" fontId="0" fillId="7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2" fontId="17" fillId="16" borderId="2" xfId="0" applyNumberFormat="1" applyFont="1" applyFill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165" fontId="0" fillId="0" borderId="0" xfId="731" applyNumberFormat="1" applyFont="1" applyFill="1" applyAlignment="1">
      <alignment horizontal="center" vertical="center" wrapText="1"/>
    </xf>
    <xf numFmtId="0" fontId="0" fillId="0" borderId="0" xfId="0" quotePrefix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13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65" fontId="0" fillId="0" borderId="0" xfId="731" quotePrefix="1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center" vertical="center"/>
    </xf>
    <xf numFmtId="0" fontId="34" fillId="10" borderId="0" xfId="0" applyFont="1" applyFill="1" applyAlignment="1">
      <alignment vertical="center"/>
    </xf>
    <xf numFmtId="1" fontId="0" fillId="10" borderId="0" xfId="0" applyNumberFormat="1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5" fillId="10" borderId="0" xfId="0" applyFont="1" applyFill="1" applyAlignment="1">
      <alignment vertical="center"/>
    </xf>
    <xf numFmtId="0" fontId="15" fillId="10" borderId="0" xfId="0" applyFont="1" applyFill="1" applyBorder="1" applyAlignment="1">
      <alignment vertical="center"/>
    </xf>
    <xf numFmtId="0" fontId="15" fillId="6" borderId="12" xfId="0" applyFont="1" applyFill="1" applyBorder="1" applyAlignment="1">
      <alignment vertical="center"/>
    </xf>
    <xf numFmtId="1" fontId="15" fillId="6" borderId="13" xfId="0" applyNumberFormat="1" applyFont="1" applyFill="1" applyBorder="1" applyAlignment="1">
      <alignment vertical="center"/>
    </xf>
    <xf numFmtId="0" fontId="15" fillId="10" borderId="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" fontId="15" fillId="4" borderId="13" xfId="0" applyNumberFormat="1" applyFont="1" applyFill="1" applyBorder="1" applyAlignment="1">
      <alignment vertical="center"/>
    </xf>
    <xf numFmtId="0" fontId="15" fillId="5" borderId="11" xfId="0" applyFont="1" applyFill="1" applyBorder="1" applyAlignment="1">
      <alignment horizontal="center" vertical="center"/>
    </xf>
    <xf numFmtId="1" fontId="15" fillId="5" borderId="13" xfId="0" applyNumberFormat="1" applyFont="1" applyFill="1" applyBorder="1" applyAlignment="1">
      <alignment vertical="center"/>
    </xf>
    <xf numFmtId="1" fontId="15" fillId="10" borderId="0" xfId="0" applyNumberFormat="1" applyFont="1" applyFill="1" applyBorder="1" applyAlignment="1">
      <alignment vertical="center"/>
    </xf>
    <xf numFmtId="0" fontId="15" fillId="13" borderId="2" xfId="0" applyFont="1" applyFill="1" applyBorder="1" applyAlignment="1">
      <alignment horizontal="center" vertical="center"/>
    </xf>
    <xf numFmtId="1" fontId="23" fillId="13" borderId="2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15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2" xfId="0" applyFill="1" applyBorder="1" applyAlignment="1" applyProtection="1">
      <alignment horizontal="center" vertical="center" wrapText="1"/>
    </xf>
    <xf numFmtId="1" fontId="0" fillId="15" borderId="2" xfId="0" applyNumberFormat="1" applyFill="1" applyBorder="1" applyAlignment="1">
      <alignment horizontal="center" vertical="center" wrapText="1"/>
    </xf>
    <xf numFmtId="0" fontId="0" fillId="13" borderId="0" xfId="0" applyFill="1"/>
    <xf numFmtId="0" fontId="0" fillId="13" borderId="0" xfId="0" applyFill="1" applyAlignment="1">
      <alignment vertical="center"/>
    </xf>
    <xf numFmtId="0" fontId="30" fillId="13" borderId="31" xfId="0" applyFont="1" applyFill="1" applyBorder="1" applyAlignment="1" applyProtection="1">
      <alignment vertical="center"/>
      <protection locked="0"/>
    </xf>
    <xf numFmtId="0" fontId="30" fillId="20" borderId="40" xfId="0" applyFont="1" applyFill="1" applyBorder="1" applyAlignment="1" applyProtection="1">
      <alignment horizontal="center" vertical="center"/>
      <protection locked="0"/>
    </xf>
    <xf numFmtId="0" fontId="30" fillId="20" borderId="41" xfId="0" applyFont="1" applyFill="1" applyBorder="1" applyAlignment="1" applyProtection="1">
      <alignment horizontal="center" vertical="center"/>
      <protection locked="0"/>
    </xf>
    <xf numFmtId="0" fontId="30" fillId="20" borderId="47" xfId="0" applyFont="1" applyFill="1" applyBorder="1" applyAlignment="1" applyProtection="1">
      <alignment horizontal="center" vertical="center"/>
      <protection locked="0"/>
    </xf>
    <xf numFmtId="0" fontId="0" fillId="20" borderId="2" xfId="0" applyFill="1" applyBorder="1" applyAlignment="1" applyProtection="1">
      <alignment horizontal="center" vertical="center"/>
      <protection locked="0"/>
    </xf>
    <xf numFmtId="0" fontId="0" fillId="20" borderId="2" xfId="0" applyFont="1" applyFill="1" applyBorder="1" applyAlignment="1" applyProtection="1">
      <alignment horizontal="center" vertical="center"/>
      <protection locked="0"/>
    </xf>
    <xf numFmtId="0" fontId="0" fillId="20" borderId="2" xfId="0" applyFont="1" applyFill="1" applyBorder="1" applyAlignment="1" applyProtection="1">
      <alignment horizontal="center" vertical="center"/>
    </xf>
    <xf numFmtId="0" fontId="46" fillId="13" borderId="0" xfId="0" applyFont="1" applyFill="1"/>
    <xf numFmtId="0" fontId="46" fillId="10" borderId="0" xfId="0" applyFont="1" applyFill="1"/>
    <xf numFmtId="0" fontId="46" fillId="0" borderId="0" xfId="0" applyFont="1"/>
    <xf numFmtId="0" fontId="46" fillId="0" borderId="0" xfId="0" applyFont="1" applyFill="1"/>
    <xf numFmtId="0" fontId="48" fillId="0" borderId="0" xfId="0" applyFont="1" applyFill="1"/>
    <xf numFmtId="0" fontId="46" fillId="0" borderId="37" xfId="0" applyFont="1" applyBorder="1" applyAlignment="1">
      <alignment horizontal="right" indent="1"/>
    </xf>
    <xf numFmtId="0" fontId="46" fillId="13" borderId="23" xfId="0" applyFont="1" applyFill="1" applyBorder="1" applyAlignment="1">
      <alignment horizontal="center" vertical="center"/>
    </xf>
    <xf numFmtId="0" fontId="46" fillId="2" borderId="23" xfId="0" applyFont="1" applyFill="1" applyBorder="1" applyAlignment="1">
      <alignment horizontal="center" vertical="center"/>
    </xf>
    <xf numFmtId="0" fontId="46" fillId="0" borderId="6" xfId="0" applyFont="1" applyBorder="1" applyAlignment="1">
      <alignment horizontal="right" indent="1"/>
    </xf>
    <xf numFmtId="0" fontId="46" fillId="12" borderId="7" xfId="0" applyFont="1" applyFill="1" applyBorder="1" applyAlignment="1">
      <alignment horizontal="center" vertical="center"/>
    </xf>
    <xf numFmtId="0" fontId="46" fillId="0" borderId="6" xfId="0" applyFont="1" applyBorder="1" applyAlignment="1">
      <alignment horizontal="right" vertical="center" indent="1"/>
    </xf>
    <xf numFmtId="0" fontId="49" fillId="13" borderId="0" xfId="0" applyFont="1" applyFill="1"/>
    <xf numFmtId="0" fontId="49" fillId="10" borderId="0" xfId="0" applyFont="1" applyFill="1"/>
    <xf numFmtId="0" fontId="46" fillId="0" borderId="8" xfId="0" applyFont="1" applyBorder="1" applyAlignment="1">
      <alignment horizontal="right" indent="1"/>
    </xf>
    <xf numFmtId="0" fontId="49" fillId="0" borderId="0" xfId="0" applyFont="1"/>
    <xf numFmtId="0" fontId="50" fillId="13" borderId="0" xfId="0" applyFont="1" applyFill="1"/>
    <xf numFmtId="0" fontId="50" fillId="10" borderId="0" xfId="0" applyFont="1" applyFill="1"/>
    <xf numFmtId="0" fontId="46" fillId="0" borderId="3" xfId="0" applyFont="1" applyBorder="1"/>
    <xf numFmtId="0" fontId="50" fillId="0" borderId="0" xfId="0" applyFont="1"/>
    <xf numFmtId="0" fontId="50" fillId="0" borderId="0" xfId="0" applyFont="1" applyFill="1"/>
    <xf numFmtId="0" fontId="52" fillId="0" borderId="0" xfId="0" applyFont="1" applyFill="1"/>
    <xf numFmtId="0" fontId="46" fillId="0" borderId="6" xfId="0" applyFont="1" applyBorder="1"/>
    <xf numFmtId="0" fontId="49" fillId="0" borderId="0" xfId="0" applyFont="1" applyFill="1"/>
    <xf numFmtId="0" fontId="53" fillId="0" borderId="0" xfId="0" applyFont="1" applyFill="1"/>
    <xf numFmtId="0" fontId="55" fillId="13" borderId="0" xfId="0" applyFont="1" applyFill="1"/>
    <xf numFmtId="0" fontId="55" fillId="10" borderId="0" xfId="0" applyFont="1" applyFill="1"/>
    <xf numFmtId="0" fontId="46" fillId="0" borderId="8" xfId="0" applyFont="1" applyBorder="1"/>
    <xf numFmtId="0" fontId="55" fillId="0" borderId="0" xfId="0" applyFont="1" applyFill="1"/>
    <xf numFmtId="0" fontId="55" fillId="0" borderId="0" xfId="0" applyFont="1"/>
    <xf numFmtId="0" fontId="3" fillId="13" borderId="2" xfId="0" applyFont="1" applyFill="1" applyBorder="1" applyAlignment="1" applyProtection="1">
      <alignment horizontal="center" vertical="center"/>
      <protection locked="0"/>
    </xf>
    <xf numFmtId="0" fontId="3" fillId="13" borderId="2" xfId="0" applyFont="1" applyFill="1" applyBorder="1" applyAlignment="1" applyProtection="1">
      <alignment vertical="center"/>
      <protection locked="0"/>
    </xf>
    <xf numFmtId="0" fontId="26" fillId="8" borderId="11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 wrapText="1"/>
    </xf>
    <xf numFmtId="0" fontId="23" fillId="11" borderId="5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Fill="1" applyAlignment="1">
      <alignment horizontal="center" vertical="center"/>
    </xf>
    <xf numFmtId="1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3" fillId="3" borderId="0" xfId="0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0" fillId="0" borderId="0" xfId="0" quotePrefix="1" applyAlignment="1">
      <alignment horizontal="right" vertical="center"/>
    </xf>
    <xf numFmtId="0" fontId="32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43" fillId="3" borderId="0" xfId="0" applyFont="1" applyFill="1" applyAlignment="1">
      <alignment horizontal="right" vertical="center"/>
    </xf>
    <xf numFmtId="0" fontId="43" fillId="3" borderId="0" xfId="0" applyFont="1" applyFill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3" fillId="3" borderId="0" xfId="0" quotePrefix="1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7" fillId="0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11" borderId="0" xfId="0" applyFill="1" applyAlignment="1">
      <alignment vertical="center"/>
    </xf>
    <xf numFmtId="0" fontId="3" fillId="11" borderId="0" xfId="0" applyFont="1" applyFill="1" applyAlignment="1">
      <alignment vertical="center" wrapText="1"/>
    </xf>
    <xf numFmtId="0" fontId="3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right" vertical="center"/>
    </xf>
    <xf numFmtId="0" fontId="0" fillId="11" borderId="0" xfId="0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" fillId="11" borderId="0" xfId="0" applyFont="1" applyFill="1" applyAlignment="1">
      <alignment vertical="center"/>
    </xf>
    <xf numFmtId="0" fontId="3" fillId="11" borderId="0" xfId="0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7" fillId="5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0" fillId="11" borderId="0" xfId="0" quotePrefix="1" applyFill="1" applyAlignment="1">
      <alignment horizontal="right" vertical="center"/>
    </xf>
    <xf numFmtId="0" fontId="10" fillId="0" borderId="0" xfId="0" quotePrefix="1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2" fillId="0" borderId="0" xfId="0" quotePrefix="1" applyFont="1" applyAlignment="1">
      <alignment vertical="center"/>
    </xf>
    <xf numFmtId="0" fontId="26" fillId="8" borderId="11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left" vertical="center"/>
    </xf>
    <xf numFmtId="0" fontId="25" fillId="8" borderId="21" xfId="0" applyFont="1" applyFill="1" applyBorder="1" applyAlignment="1">
      <alignment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  <protection locked="0"/>
    </xf>
    <xf numFmtId="0" fontId="7" fillId="13" borderId="4" xfId="0" applyFont="1" applyFill="1" applyBorder="1" applyAlignment="1" applyProtection="1">
      <alignment vertical="center"/>
      <protection locked="0"/>
    </xf>
    <xf numFmtId="0" fontId="0" fillId="9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5" fillId="2" borderId="7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7" fillId="9" borderId="6" xfId="0" applyFont="1" applyFill="1" applyBorder="1" applyAlignment="1" applyProtection="1">
      <alignment horizontal="center" vertical="center"/>
      <protection locked="0"/>
    </xf>
    <xf numFmtId="0" fontId="7" fillId="13" borderId="2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7" fillId="9" borderId="8" xfId="0" applyFont="1" applyFill="1" applyBorder="1" applyAlignment="1" applyProtection="1">
      <alignment horizontal="center" vertical="center"/>
      <protection locked="0"/>
    </xf>
    <xf numFmtId="0" fontId="7" fillId="13" borderId="9" xfId="0" applyFont="1" applyFill="1" applyBorder="1" applyAlignment="1" applyProtection="1">
      <alignment vertical="center"/>
      <protection locked="0"/>
    </xf>
    <xf numFmtId="0" fontId="0" fillId="20" borderId="9" xfId="0" applyFill="1" applyBorder="1" applyAlignment="1" applyProtection="1">
      <alignment horizontal="center" vertical="center"/>
      <protection locked="0"/>
    </xf>
    <xf numFmtId="0" fontId="0" fillId="15" borderId="10" xfId="0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left" vertical="center"/>
    </xf>
    <xf numFmtId="0" fontId="3" fillId="12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vertical="center"/>
    </xf>
    <xf numFmtId="0" fontId="6" fillId="7" borderId="0" xfId="0" applyFont="1" applyFill="1" applyBorder="1" applyAlignment="1">
      <alignment horizontal="left" vertical="center"/>
    </xf>
    <xf numFmtId="0" fontId="6" fillId="12" borderId="0" xfId="0" applyFont="1" applyFill="1" applyBorder="1" applyAlignment="1">
      <alignment horizontal="left" vertical="center"/>
    </xf>
    <xf numFmtId="0" fontId="5" fillId="8" borderId="51" xfId="0" applyFont="1" applyFill="1" applyBorder="1" applyAlignment="1">
      <alignment horizontal="center" vertical="center" wrapText="1"/>
    </xf>
    <xf numFmtId="0" fontId="5" fillId="8" borderId="52" xfId="0" applyFont="1" applyFill="1" applyBorder="1" applyAlignment="1">
      <alignment horizontal="center" vertical="center" wrapText="1"/>
    </xf>
    <xf numFmtId="0" fontId="6" fillId="12" borderId="0" xfId="0" applyFont="1" applyFill="1" applyBorder="1" applyAlignment="1">
      <alignment horizontal="center" vertical="center"/>
    </xf>
    <xf numFmtId="0" fontId="0" fillId="20" borderId="37" xfId="0" applyFill="1" applyBorder="1" applyAlignment="1" applyProtection="1">
      <alignment horizontal="center" vertical="center"/>
      <protection locked="0"/>
    </xf>
    <xf numFmtId="0" fontId="3" fillId="20" borderId="2" xfId="0" applyFont="1" applyFill="1" applyBorder="1" applyAlignment="1" applyProtection="1">
      <alignment vertical="center"/>
      <protection locked="0"/>
    </xf>
    <xf numFmtId="0" fontId="0" fillId="7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46" fillId="0" borderId="8" xfId="0" applyFont="1" applyBorder="1" applyAlignment="1">
      <alignment horizontal="right"/>
    </xf>
    <xf numFmtId="0" fontId="46" fillId="0" borderId="10" xfId="0" applyFont="1" applyBorder="1" applyAlignment="1">
      <alignment horizontal="right"/>
    </xf>
    <xf numFmtId="0" fontId="47" fillId="18" borderId="16" xfId="0" applyFont="1" applyFill="1" applyBorder="1" applyAlignment="1">
      <alignment horizontal="left"/>
    </xf>
    <xf numFmtId="0" fontId="47" fillId="18" borderId="27" xfId="0" applyFont="1" applyFill="1" applyBorder="1" applyAlignment="1">
      <alignment horizontal="left"/>
    </xf>
    <xf numFmtId="0" fontId="45" fillId="10" borderId="56" xfId="0" applyFont="1" applyFill="1" applyBorder="1" applyAlignment="1">
      <alignment horizontal="center" vertical="center"/>
    </xf>
    <xf numFmtId="0" fontId="47" fillId="0" borderId="25" xfId="0" applyFont="1" applyBorder="1" applyAlignment="1">
      <alignment horizontal="center"/>
    </xf>
    <xf numFmtId="0" fontId="46" fillId="0" borderId="6" xfId="0" applyFont="1" applyBorder="1" applyAlignment="1">
      <alignment horizontal="left"/>
    </xf>
    <xf numFmtId="0" fontId="46" fillId="0" borderId="7" xfId="0" applyFont="1" applyBorder="1" applyAlignment="1">
      <alignment horizontal="left"/>
    </xf>
    <xf numFmtId="0" fontId="46" fillId="0" borderId="6" xfId="0" applyFont="1" applyBorder="1" applyAlignment="1">
      <alignment horizontal="right"/>
    </xf>
    <xf numFmtId="0" fontId="46" fillId="0" borderId="7" xfId="0" applyFont="1" applyBorder="1" applyAlignment="1">
      <alignment horizontal="right"/>
    </xf>
    <xf numFmtId="0" fontId="46" fillId="0" borderId="6" xfId="0" applyFont="1" applyBorder="1" applyAlignment="1">
      <alignment horizontal="center"/>
    </xf>
    <xf numFmtId="0" fontId="46" fillId="0" borderId="7" xfId="0" applyFont="1" applyBorder="1" applyAlignment="1">
      <alignment horizontal="center"/>
    </xf>
    <xf numFmtId="0" fontId="51" fillId="0" borderId="5" xfId="0" applyFont="1" applyBorder="1" applyAlignment="1">
      <alignment horizontal="center" vertical="center" wrapText="1"/>
    </xf>
    <xf numFmtId="0" fontId="51" fillId="0" borderId="7" xfId="0" applyFont="1" applyBorder="1" applyAlignment="1">
      <alignment horizontal="center" vertical="center" wrapText="1"/>
    </xf>
    <xf numFmtId="0" fontId="51" fillId="0" borderId="10" xfId="0" applyFont="1" applyBorder="1" applyAlignment="1">
      <alignment horizontal="center" vertical="center" wrapText="1"/>
    </xf>
    <xf numFmtId="0" fontId="46" fillId="20" borderId="7" xfId="0" applyFont="1" applyFill="1" applyBorder="1" applyAlignment="1">
      <alignment horizontal="center" vertical="center" wrapText="1"/>
    </xf>
    <xf numFmtId="0" fontId="46" fillId="20" borderId="1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1" borderId="13" xfId="0" applyFont="1" applyFill="1" applyBorder="1" applyAlignment="1">
      <alignment horizontal="center" vertical="center"/>
    </xf>
    <xf numFmtId="0" fontId="6" fillId="11" borderId="3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32" xfId="0" applyFont="1" applyFill="1" applyBorder="1" applyAlignment="1">
      <alignment horizontal="center" vertical="center"/>
    </xf>
    <xf numFmtId="0" fontId="23" fillId="11" borderId="16" xfId="0" applyFont="1" applyFill="1" applyBorder="1" applyAlignment="1">
      <alignment horizontal="center" vertical="center" wrapText="1"/>
    </xf>
    <xf numFmtId="0" fontId="23" fillId="11" borderId="15" xfId="0" applyFont="1" applyFill="1" applyBorder="1" applyAlignment="1">
      <alignment horizontal="center" vertical="center" wrapText="1"/>
    </xf>
    <xf numFmtId="0" fontId="23" fillId="11" borderId="27" xfId="0" applyFont="1" applyFill="1" applyBorder="1" applyAlignment="1">
      <alignment horizontal="center" vertical="center" wrapText="1"/>
    </xf>
    <xf numFmtId="0" fontId="17" fillId="11" borderId="30" xfId="0" applyFont="1" applyFill="1" applyBorder="1" applyAlignment="1">
      <alignment horizontal="center" vertical="center" wrapText="1"/>
    </xf>
    <xf numFmtId="0" fontId="17" fillId="11" borderId="29" xfId="0" applyFont="1" applyFill="1" applyBorder="1" applyAlignment="1">
      <alignment horizontal="center" vertical="center" wrapText="1"/>
    </xf>
    <xf numFmtId="0" fontId="17" fillId="11" borderId="36" xfId="0" applyFont="1" applyFill="1" applyBorder="1" applyAlignment="1">
      <alignment horizontal="center" vertical="center" wrapText="1"/>
    </xf>
    <xf numFmtId="0" fontId="6" fillId="11" borderId="11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23" fillId="11" borderId="16" xfId="0" applyFont="1" applyFill="1" applyBorder="1" applyAlignment="1">
      <alignment horizontal="center" vertical="center"/>
    </xf>
    <xf numFmtId="0" fontId="23" fillId="11" borderId="15" xfId="0" applyFont="1" applyFill="1" applyBorder="1" applyAlignment="1">
      <alignment horizontal="center" vertical="center"/>
    </xf>
    <xf numFmtId="0" fontId="23" fillId="11" borderId="17" xfId="0" applyFont="1" applyFill="1" applyBorder="1" applyAlignment="1">
      <alignment horizontal="center" vertical="center"/>
    </xf>
    <xf numFmtId="0" fontId="23" fillId="11" borderId="30" xfId="0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24" xfId="0" applyFont="1" applyFill="1" applyBorder="1" applyAlignment="1">
      <alignment horizontal="center" vertical="center"/>
    </xf>
    <xf numFmtId="0" fontId="17" fillId="11" borderId="28" xfId="0" applyFont="1" applyFill="1" applyBorder="1" applyAlignment="1">
      <alignment horizontal="center" vertical="center"/>
    </xf>
    <xf numFmtId="0" fontId="17" fillId="11" borderId="17" xfId="0" applyFont="1" applyFill="1" applyBorder="1" applyAlignment="1">
      <alignment horizontal="center" vertical="center"/>
    </xf>
    <xf numFmtId="0" fontId="17" fillId="11" borderId="35" xfId="0" applyFont="1" applyFill="1" applyBorder="1" applyAlignment="1">
      <alignment horizontal="center" vertical="center"/>
    </xf>
    <xf numFmtId="0" fontId="17" fillId="11" borderId="24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horizontal="center" vertical="center"/>
    </xf>
    <xf numFmtId="0" fontId="17" fillId="11" borderId="8" xfId="0" quotePrefix="1" applyFont="1" applyFill="1" applyBorder="1" applyAlignment="1">
      <alignment horizontal="center" vertical="center"/>
    </xf>
    <xf numFmtId="0" fontId="17" fillId="11" borderId="24" xfId="0" quotePrefix="1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5" fillId="8" borderId="33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left" vertical="center"/>
    </xf>
    <xf numFmtId="0" fontId="5" fillId="8" borderId="42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" fontId="5" fillId="8" borderId="4" xfId="0" applyNumberFormat="1" applyFont="1" applyFill="1" applyBorder="1" applyAlignment="1">
      <alignment horizontal="center" vertical="center" wrapText="1"/>
    </xf>
    <xf numFmtId="1" fontId="5" fillId="8" borderId="25" xfId="0" applyNumberFormat="1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8" borderId="51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38" xfId="0" applyFont="1" applyFill="1" applyBorder="1" applyAlignment="1">
      <alignment horizontal="center" vertical="center" wrapText="1"/>
    </xf>
    <xf numFmtId="0" fontId="5" fillId="8" borderId="40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left" vertical="center"/>
    </xf>
    <xf numFmtId="0" fontId="5" fillId="8" borderId="14" xfId="0" applyFont="1" applyFill="1" applyBorder="1" applyAlignment="1">
      <alignment horizontal="left" vertical="center"/>
    </xf>
    <xf numFmtId="0" fontId="35" fillId="8" borderId="14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5" fillId="8" borderId="39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 wrapText="1"/>
    </xf>
    <xf numFmtId="1" fontId="18" fillId="15" borderId="2" xfId="0" applyNumberFormat="1" applyFont="1" applyFill="1" applyBorder="1" applyAlignment="1">
      <alignment horizontal="center" vertical="center"/>
    </xf>
    <xf numFmtId="1" fontId="18" fillId="15" borderId="7" xfId="0" applyNumberFormat="1" applyFont="1" applyFill="1" applyBorder="1" applyAlignment="1">
      <alignment horizontal="center" vertical="center"/>
    </xf>
    <xf numFmtId="1" fontId="18" fillId="15" borderId="9" xfId="0" applyNumberFormat="1" applyFont="1" applyFill="1" applyBorder="1" applyAlignment="1">
      <alignment horizontal="center" vertical="center"/>
    </xf>
    <xf numFmtId="1" fontId="18" fillId="15" borderId="10" xfId="0" applyNumberFormat="1" applyFont="1" applyFill="1" applyBorder="1" applyAlignment="1">
      <alignment horizontal="center" vertical="center"/>
    </xf>
    <xf numFmtId="0" fontId="6" fillId="20" borderId="2" xfId="0" applyFont="1" applyFill="1" applyBorder="1" applyAlignment="1" applyProtection="1">
      <alignment horizontal="center" vertical="center"/>
      <protection locked="0"/>
    </xf>
    <xf numFmtId="0" fontId="3" fillId="7" borderId="0" xfId="0" applyFont="1" applyFill="1" applyBorder="1" applyAlignment="1">
      <alignment horizontal="center" vertical="center"/>
    </xf>
    <xf numFmtId="0" fontId="33" fillId="19" borderId="11" xfId="0" applyFont="1" applyFill="1" applyBorder="1" applyAlignment="1">
      <alignment horizontal="left" vertical="center"/>
    </xf>
    <xf numFmtId="0" fontId="33" fillId="19" borderId="12" xfId="0" applyFont="1" applyFill="1" applyBorder="1" applyAlignment="1">
      <alignment horizontal="left" vertical="center"/>
    </xf>
    <xf numFmtId="0" fontId="33" fillId="19" borderId="13" xfId="0" applyFont="1" applyFill="1" applyBorder="1" applyAlignment="1">
      <alignment horizontal="left" vertical="center"/>
    </xf>
    <xf numFmtId="0" fontId="5" fillId="8" borderId="31" xfId="0" applyFont="1" applyFill="1" applyBorder="1" applyAlignment="1">
      <alignment horizontal="center" vertical="center"/>
    </xf>
    <xf numFmtId="0" fontId="5" fillId="8" borderId="33" xfId="0" applyFont="1" applyFill="1" applyBorder="1" applyAlignment="1">
      <alignment horizontal="center" vertical="center"/>
    </xf>
    <xf numFmtId="0" fontId="5" fillId="8" borderId="34" xfId="0" applyFont="1" applyFill="1" applyBorder="1" applyAlignment="1">
      <alignment horizontal="center" vertical="center"/>
    </xf>
    <xf numFmtId="0" fontId="5" fillId="8" borderId="37" xfId="0" applyFont="1" applyFill="1" applyBorder="1" applyAlignment="1">
      <alignment horizontal="right" vertical="center"/>
    </xf>
    <xf numFmtId="0" fontId="5" fillId="8" borderId="55" xfId="0" applyFont="1" applyFill="1" applyBorder="1" applyAlignment="1">
      <alignment horizontal="right" vertical="center"/>
    </xf>
    <xf numFmtId="0" fontId="5" fillId="8" borderId="19" xfId="0" applyFont="1" applyFill="1" applyBorder="1" applyAlignment="1">
      <alignment horizontal="right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44" xfId="0" applyFont="1" applyFill="1" applyBorder="1" applyAlignment="1">
      <alignment horizontal="right" vertical="center"/>
    </xf>
    <xf numFmtId="0" fontId="5" fillId="8" borderId="2" xfId="0" applyFont="1" applyFill="1" applyBorder="1" applyAlignment="1">
      <alignment horizontal="right" vertical="center"/>
    </xf>
    <xf numFmtId="0" fontId="20" fillId="8" borderId="6" xfId="0" applyFont="1" applyFill="1" applyBorder="1" applyAlignment="1">
      <alignment horizontal="right" vertical="center"/>
    </xf>
    <xf numFmtId="0" fontId="20" fillId="8" borderId="44" xfId="0" applyFont="1" applyFill="1" applyBorder="1" applyAlignment="1">
      <alignment horizontal="right" vertical="center"/>
    </xf>
    <xf numFmtId="0" fontId="20" fillId="8" borderId="2" xfId="0" applyFont="1" applyFill="1" applyBorder="1" applyAlignment="1">
      <alignment horizontal="right" vertical="center"/>
    </xf>
    <xf numFmtId="0" fontId="20" fillId="8" borderId="8" xfId="0" applyFont="1" applyFill="1" applyBorder="1" applyAlignment="1">
      <alignment horizontal="right" vertical="center"/>
    </xf>
    <xf numFmtId="0" fontId="20" fillId="8" borderId="24" xfId="0" applyFont="1" applyFill="1" applyBorder="1" applyAlignment="1">
      <alignment horizontal="right" vertical="center"/>
    </xf>
    <xf numFmtId="0" fontId="20" fillId="8" borderId="9" xfId="0" applyFont="1" applyFill="1" applyBorder="1" applyAlignment="1">
      <alignment horizontal="right" vertical="center"/>
    </xf>
    <xf numFmtId="0" fontId="5" fillId="8" borderId="21" xfId="0" applyFont="1" applyFill="1" applyBorder="1" applyAlignment="1">
      <alignment horizontal="center" vertical="center"/>
    </xf>
    <xf numFmtId="1" fontId="30" fillId="15" borderId="28" xfId="0" applyNumberFormat="1" applyFont="1" applyFill="1" applyBorder="1" applyAlignment="1">
      <alignment horizontal="center" vertical="center"/>
    </xf>
    <xf numFmtId="1" fontId="30" fillId="15" borderId="17" xfId="0" applyNumberFormat="1" applyFont="1" applyFill="1" applyBorder="1" applyAlignment="1">
      <alignment horizontal="center" vertical="center"/>
    </xf>
    <xf numFmtId="1" fontId="30" fillId="15" borderId="43" xfId="0" applyNumberFormat="1" applyFont="1" applyFill="1" applyBorder="1" applyAlignment="1">
      <alignment horizontal="center" vertical="center"/>
    </xf>
    <xf numFmtId="1" fontId="30" fillId="15" borderId="44" xfId="0" applyNumberFormat="1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8" borderId="53" xfId="0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2" fillId="14" borderId="0" xfId="0" quotePrefix="1" applyFont="1" applyFill="1" applyAlignment="1">
      <alignment horizontal="center" vertical="center"/>
    </xf>
    <xf numFmtId="0" fontId="26" fillId="8" borderId="11" xfId="0" applyFont="1" applyFill="1" applyBorder="1" applyAlignment="1">
      <alignment horizontal="center" vertical="center"/>
    </xf>
    <xf numFmtId="0" fontId="26" fillId="8" borderId="12" xfId="0" applyFont="1" applyFill="1" applyBorder="1" applyAlignment="1">
      <alignment horizontal="center" vertical="center"/>
    </xf>
    <xf numFmtId="0" fontId="26" fillId="8" borderId="13" xfId="0" applyFont="1" applyFill="1" applyBorder="1" applyAlignment="1">
      <alignment horizontal="center" vertical="center"/>
    </xf>
    <xf numFmtId="0" fontId="30" fillId="13" borderId="11" xfId="0" applyFont="1" applyFill="1" applyBorder="1" applyAlignment="1" applyProtection="1">
      <alignment horizontal="center" vertical="center"/>
      <protection locked="0"/>
    </xf>
    <xf numFmtId="0" fontId="30" fillId="13" borderId="12" xfId="0" applyFont="1" applyFill="1" applyBorder="1" applyAlignment="1" applyProtection="1">
      <alignment horizontal="center" vertical="center"/>
      <protection locked="0"/>
    </xf>
    <xf numFmtId="0" fontId="30" fillId="13" borderId="13" xfId="0" applyFont="1" applyFill="1" applyBorder="1" applyAlignment="1" applyProtection="1">
      <alignment horizontal="center" vertical="center"/>
      <protection locked="0"/>
    </xf>
    <xf numFmtId="0" fontId="5" fillId="8" borderId="16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right" vertical="center"/>
    </xf>
    <xf numFmtId="0" fontId="19" fillId="8" borderId="44" xfId="0" applyFont="1" applyFill="1" applyBorder="1" applyAlignment="1">
      <alignment horizontal="right" vertical="center"/>
    </xf>
    <xf numFmtId="0" fontId="19" fillId="8" borderId="2" xfId="0" applyFont="1" applyFill="1" applyBorder="1" applyAlignment="1">
      <alignment horizontal="right" vertical="center"/>
    </xf>
    <xf numFmtId="0" fontId="18" fillId="15" borderId="2" xfId="0" applyFont="1" applyFill="1" applyBorder="1" applyAlignment="1">
      <alignment horizontal="center" vertical="center"/>
    </xf>
    <xf numFmtId="0" fontId="18" fillId="15" borderId="7" xfId="0" applyFont="1" applyFill="1" applyBorder="1" applyAlignment="1">
      <alignment horizontal="center" vertical="center"/>
    </xf>
    <xf numFmtId="0" fontId="29" fillId="13" borderId="11" xfId="439" applyFont="1" applyFill="1" applyBorder="1" applyAlignment="1" applyProtection="1">
      <alignment vertical="center"/>
      <protection locked="0"/>
    </xf>
    <xf numFmtId="0" fontId="29" fillId="13" borderId="12" xfId="0" applyFont="1" applyFill="1" applyBorder="1" applyAlignment="1" applyProtection="1">
      <alignment vertical="center"/>
      <protection locked="0"/>
    </xf>
    <xf numFmtId="0" fontId="29" fillId="13" borderId="13" xfId="0" applyFont="1" applyFill="1" applyBorder="1" applyAlignment="1" applyProtection="1">
      <alignment vertical="center"/>
      <protection locked="0"/>
    </xf>
    <xf numFmtId="0" fontId="38" fillId="8" borderId="48" xfId="0" applyFont="1" applyFill="1" applyBorder="1" applyAlignment="1">
      <alignment horizontal="center" vertical="center"/>
    </xf>
    <xf numFmtId="0" fontId="38" fillId="8" borderId="54" xfId="0" applyFont="1" applyFill="1" applyBorder="1" applyAlignment="1">
      <alignment horizontal="center" vertical="center"/>
    </xf>
    <xf numFmtId="0" fontId="38" fillId="8" borderId="49" xfId="0" applyFont="1" applyFill="1" applyBorder="1" applyAlignment="1">
      <alignment horizontal="center" vertical="center"/>
    </xf>
    <xf numFmtId="0" fontId="38" fillId="8" borderId="50" xfId="0" applyFont="1" applyFill="1" applyBorder="1" applyAlignment="1">
      <alignment horizontal="center" vertical="center"/>
    </xf>
    <xf numFmtId="0" fontId="38" fillId="8" borderId="11" xfId="0" applyFont="1" applyFill="1" applyBorder="1" applyAlignment="1">
      <alignment horizontal="center" vertical="center"/>
    </xf>
    <xf numFmtId="0" fontId="38" fillId="8" borderId="12" xfId="0" applyFont="1" applyFill="1" applyBorder="1" applyAlignment="1">
      <alignment horizontal="center" vertical="center"/>
    </xf>
    <xf numFmtId="0" fontId="38" fillId="8" borderId="13" xfId="0" applyFont="1" applyFill="1" applyBorder="1" applyAlignment="1">
      <alignment horizontal="center" vertical="center"/>
    </xf>
    <xf numFmtId="0" fontId="26" fillId="8" borderId="16" xfId="0" applyFont="1" applyFill="1" applyBorder="1" applyAlignment="1">
      <alignment horizontal="center" vertical="center"/>
    </xf>
    <xf numFmtId="0" fontId="26" fillId="8" borderId="15" xfId="0" applyFont="1" applyFill="1" applyBorder="1" applyAlignment="1">
      <alignment horizontal="center" vertical="center"/>
    </xf>
    <xf numFmtId="0" fontId="30" fillId="13" borderId="45" xfId="0" applyFont="1" applyFill="1" applyBorder="1" applyAlignment="1" applyProtection="1">
      <alignment horizontal="center" vertical="center"/>
      <protection locked="0"/>
    </xf>
    <xf numFmtId="0" fontId="30" fillId="13" borderId="46" xfId="0" applyFont="1" applyFill="1" applyBorder="1" applyAlignment="1" applyProtection="1">
      <alignment horizontal="center" vertical="center"/>
      <protection locked="0"/>
    </xf>
    <xf numFmtId="0" fontId="26" fillId="8" borderId="28" xfId="0" applyFont="1" applyFill="1" applyBorder="1" applyAlignment="1">
      <alignment horizontal="center" vertical="center"/>
    </xf>
  </cellXfs>
  <cellStyles count="831">
    <cellStyle name="Comma" xfId="73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65</xdr:row>
      <xdr:rowOff>50799</xdr:rowOff>
    </xdr:from>
    <xdr:to>
      <xdr:col>10</xdr:col>
      <xdr:colOff>3174</xdr:colOff>
      <xdr:row>70</xdr:row>
      <xdr:rowOff>253999</xdr:rowOff>
    </xdr:to>
    <xdr:pic>
      <xdr:nvPicPr>
        <xdr:cNvPr id="3" name="Picture 2" descr="T shirt image supersmall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6400" y="1236132"/>
          <a:ext cx="1320799" cy="160866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1388532</xdr:colOff>
      <xdr:row>120</xdr:row>
      <xdr:rowOff>188544</xdr:rowOff>
    </xdr:to>
    <xdr:pic>
      <xdr:nvPicPr>
        <xdr:cNvPr id="5" name="Picture 4" descr="logo.png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0977033"/>
          <a:ext cx="2031999" cy="6923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zoomScale="120" zoomScaleNormal="120" zoomScalePageLayoutView="120" workbookViewId="0">
      <selection activeCell="C28" sqref="C28"/>
    </sheetView>
  </sheetViews>
  <sheetFormatPr defaultColWidth="8.85546875" defaultRowHeight="15"/>
  <cols>
    <col min="1" max="1" width="8.85546875" style="1"/>
    <col min="2" max="2" width="4.28515625" style="1" customWidth="1"/>
    <col min="3" max="3" width="136.85546875" style="1" customWidth="1"/>
    <col min="4" max="4" width="24.85546875" style="1" customWidth="1"/>
    <col min="5" max="5" width="4.42578125" style="1" customWidth="1"/>
    <col min="6" max="13" width="12.140625" style="1" customWidth="1"/>
    <col min="14" max="15" width="8.42578125" style="1" customWidth="1"/>
    <col min="16" max="16" width="9.42578125" style="2" customWidth="1"/>
    <col min="17" max="17" width="9.28515625" style="2" customWidth="1"/>
    <col min="18" max="21" width="6.7109375" style="2" customWidth="1"/>
    <col min="22" max="23" width="7.7109375" style="3" customWidth="1"/>
    <col min="24" max="25" width="7.42578125" style="2" customWidth="1"/>
    <col min="26" max="26" width="6" style="2" customWidth="1"/>
    <col min="27" max="27" width="10.85546875" style="2" customWidth="1"/>
    <col min="28" max="28" width="4.28515625" style="2" customWidth="1"/>
    <col min="29" max="31" width="8.140625" style="2" customWidth="1"/>
    <col min="32" max="32" width="11.42578125" style="2" customWidth="1"/>
    <col min="33" max="34" width="4.28515625" style="2" customWidth="1"/>
    <col min="35" max="16384" width="8.85546875" style="1"/>
  </cols>
  <sheetData>
    <row r="1" spans="1:34">
      <c r="A1" s="80"/>
      <c r="B1" s="80"/>
      <c r="C1" s="80"/>
      <c r="D1" s="80"/>
      <c r="E1" s="80"/>
      <c r="F1" s="80"/>
      <c r="G1" s="80"/>
      <c r="H1" s="80"/>
    </row>
    <row r="2" spans="1:34" s="4" customFormat="1" ht="36.950000000000003" customHeight="1">
      <c r="A2" s="81"/>
      <c r="B2" s="56"/>
      <c r="C2" s="231" t="s">
        <v>265</v>
      </c>
      <c r="D2" s="231"/>
      <c r="E2" s="56"/>
      <c r="F2" s="81"/>
      <c r="G2" s="81"/>
      <c r="H2" s="81"/>
      <c r="P2" s="5"/>
      <c r="Q2" s="5"/>
      <c r="R2" s="5"/>
      <c r="S2" s="5"/>
      <c r="T2" s="5"/>
      <c r="U2" s="5"/>
      <c r="V2" s="41"/>
      <c r="W2" s="41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s="91" customFormat="1" ht="20.100000000000001" customHeight="1" thickBot="1">
      <c r="A3" s="89"/>
      <c r="B3" s="90"/>
      <c r="C3" s="232" t="s">
        <v>266</v>
      </c>
      <c r="D3" s="232"/>
      <c r="E3" s="90"/>
      <c r="F3" s="89"/>
      <c r="G3" s="89"/>
      <c r="H3" s="89"/>
      <c r="P3" s="92"/>
      <c r="Q3" s="92"/>
      <c r="R3" s="92"/>
      <c r="S3" s="92"/>
      <c r="T3" s="92"/>
      <c r="U3" s="92"/>
      <c r="V3" s="93"/>
      <c r="W3" s="93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</row>
    <row r="4" spans="1:34" s="91" customFormat="1" ht="20.100000000000001" customHeight="1">
      <c r="A4" s="89"/>
      <c r="B4" s="90"/>
      <c r="C4" s="229" t="s">
        <v>285</v>
      </c>
      <c r="D4" s="230"/>
      <c r="E4" s="90"/>
      <c r="F4" s="89"/>
      <c r="G4" s="89"/>
      <c r="H4" s="89"/>
      <c r="P4" s="92"/>
      <c r="Q4" s="92"/>
      <c r="R4" s="92"/>
      <c r="S4" s="92"/>
      <c r="T4" s="92"/>
      <c r="U4" s="92"/>
      <c r="V4" s="93"/>
      <c r="W4" s="93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</row>
    <row r="5" spans="1:34" s="91" customFormat="1" ht="20.100000000000001" customHeight="1">
      <c r="A5" s="89"/>
      <c r="B5" s="90"/>
      <c r="C5" s="233" t="s">
        <v>286</v>
      </c>
      <c r="D5" s="234"/>
      <c r="E5" s="90"/>
      <c r="F5" s="89"/>
      <c r="G5" s="89"/>
      <c r="H5" s="89"/>
      <c r="P5" s="92"/>
      <c r="Q5" s="92"/>
      <c r="R5" s="92"/>
      <c r="S5" s="92"/>
      <c r="T5" s="92"/>
      <c r="U5" s="92"/>
      <c r="V5" s="93"/>
      <c r="W5" s="93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</row>
    <row r="6" spans="1:34" s="91" customFormat="1" ht="20.100000000000001" customHeight="1">
      <c r="A6" s="89"/>
      <c r="B6" s="90"/>
      <c r="C6" s="235" t="s">
        <v>269</v>
      </c>
      <c r="D6" s="236"/>
      <c r="E6" s="90"/>
      <c r="F6" s="89"/>
      <c r="G6" s="89"/>
      <c r="H6" s="89"/>
      <c r="P6" s="92"/>
      <c r="Q6" s="92"/>
      <c r="R6" s="92"/>
      <c r="S6" s="92"/>
      <c r="T6" s="92"/>
      <c r="U6" s="92"/>
      <c r="V6" s="93"/>
      <c r="W6" s="93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</row>
    <row r="7" spans="1:34" s="91" customFormat="1" ht="20.100000000000001" customHeight="1">
      <c r="A7" s="89"/>
      <c r="B7" s="90"/>
      <c r="C7" s="235" t="s">
        <v>270</v>
      </c>
      <c r="D7" s="236"/>
      <c r="E7" s="90"/>
      <c r="F7" s="89"/>
      <c r="G7" s="89"/>
      <c r="H7" s="89"/>
      <c r="P7" s="92"/>
      <c r="Q7" s="92"/>
      <c r="R7" s="92"/>
      <c r="S7" s="92"/>
      <c r="T7" s="92"/>
      <c r="U7" s="92"/>
      <c r="V7" s="93"/>
      <c r="W7" s="93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</row>
    <row r="8" spans="1:34" s="91" customFormat="1" ht="20.100000000000001" customHeight="1" thickBot="1">
      <c r="A8" s="89"/>
      <c r="B8" s="90"/>
      <c r="C8" s="227" t="s">
        <v>267</v>
      </c>
      <c r="D8" s="228"/>
      <c r="E8" s="90"/>
      <c r="F8" s="89"/>
      <c r="G8" s="89"/>
      <c r="H8" s="89"/>
      <c r="P8" s="92"/>
      <c r="Q8" s="92"/>
      <c r="R8" s="92"/>
      <c r="S8" s="92"/>
      <c r="T8" s="92"/>
      <c r="U8" s="92"/>
      <c r="V8" s="93"/>
      <c r="W8" s="93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</row>
    <row r="9" spans="1:34" s="91" customFormat="1" ht="20.100000000000001" customHeight="1">
      <c r="A9" s="89"/>
      <c r="B9" s="90"/>
      <c r="C9" s="229" t="s">
        <v>268</v>
      </c>
      <c r="D9" s="230"/>
      <c r="E9" s="90"/>
      <c r="F9" s="89"/>
      <c r="G9" s="89"/>
      <c r="H9" s="89"/>
      <c r="P9" s="92"/>
      <c r="Q9" s="92"/>
      <c r="R9" s="92"/>
      <c r="S9" s="92"/>
      <c r="T9" s="92"/>
      <c r="U9" s="92"/>
      <c r="V9" s="93"/>
      <c r="W9" s="93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</row>
    <row r="10" spans="1:34" s="91" customFormat="1" ht="20.25">
      <c r="A10" s="89"/>
      <c r="B10" s="90"/>
      <c r="C10" s="94" t="s">
        <v>280</v>
      </c>
      <c r="D10" s="95" t="s">
        <v>281</v>
      </c>
      <c r="E10" s="90"/>
      <c r="F10" s="89"/>
      <c r="G10" s="89"/>
      <c r="H10" s="89"/>
      <c r="P10" s="92"/>
      <c r="Q10" s="92"/>
      <c r="R10" s="92"/>
      <c r="S10" s="92"/>
      <c r="T10" s="92"/>
      <c r="U10" s="92"/>
      <c r="V10" s="93"/>
      <c r="W10" s="93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</row>
    <row r="11" spans="1:34" s="91" customFormat="1" ht="20.25">
      <c r="A11" s="89"/>
      <c r="B11" s="90"/>
      <c r="C11" s="94" t="s">
        <v>112</v>
      </c>
      <c r="D11" s="96" t="s">
        <v>101</v>
      </c>
      <c r="E11" s="90"/>
      <c r="F11" s="89"/>
      <c r="G11" s="89"/>
      <c r="H11" s="89"/>
      <c r="P11" s="92"/>
      <c r="Q11" s="92"/>
      <c r="R11" s="92"/>
      <c r="S11" s="92"/>
      <c r="T11" s="92"/>
      <c r="U11" s="92"/>
      <c r="V11" s="93"/>
      <c r="W11" s="93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</row>
    <row r="12" spans="1:34" s="91" customFormat="1" ht="20.25">
      <c r="A12" s="89"/>
      <c r="B12" s="90"/>
      <c r="C12" s="97" t="s">
        <v>165</v>
      </c>
      <c r="D12" s="98" t="s">
        <v>166</v>
      </c>
      <c r="E12" s="90"/>
      <c r="F12" s="89"/>
      <c r="G12" s="89"/>
      <c r="H12" s="89"/>
      <c r="P12" s="92"/>
      <c r="Q12" s="92"/>
      <c r="R12" s="92"/>
      <c r="S12" s="92"/>
      <c r="T12" s="92"/>
      <c r="U12" s="92"/>
      <c r="V12" s="93"/>
      <c r="W12" s="93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</row>
    <row r="13" spans="1:34" s="91" customFormat="1" ht="24" customHeight="1">
      <c r="A13" s="89"/>
      <c r="B13" s="90"/>
      <c r="C13" s="99" t="s">
        <v>283</v>
      </c>
      <c r="D13" s="242" t="s">
        <v>282</v>
      </c>
      <c r="E13" s="90"/>
      <c r="F13" s="89"/>
      <c r="G13" s="89"/>
      <c r="H13" s="89"/>
    </row>
    <row r="14" spans="1:34" s="103" customFormat="1" ht="21" thickBot="1">
      <c r="A14" s="100"/>
      <c r="B14" s="101"/>
      <c r="C14" s="102" t="s">
        <v>167</v>
      </c>
      <c r="D14" s="243"/>
      <c r="E14" s="101"/>
      <c r="F14" s="100"/>
      <c r="G14" s="100"/>
      <c r="H14" s="100"/>
    </row>
    <row r="15" spans="1:34" s="91" customFormat="1" ht="20.100000000000001" customHeight="1" thickBot="1">
      <c r="A15" s="89"/>
      <c r="B15" s="90"/>
      <c r="C15" s="229" t="s">
        <v>271</v>
      </c>
      <c r="D15" s="230"/>
      <c r="E15" s="90"/>
      <c r="F15" s="89"/>
      <c r="G15" s="89"/>
      <c r="H15" s="89"/>
      <c r="P15" s="92"/>
      <c r="Q15" s="92"/>
      <c r="R15" s="92"/>
      <c r="S15" s="92"/>
      <c r="T15" s="92"/>
      <c r="U15" s="92"/>
      <c r="V15" s="93"/>
      <c r="W15" s="93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</row>
    <row r="16" spans="1:34" s="107" customFormat="1" ht="20.25">
      <c r="A16" s="104"/>
      <c r="B16" s="105"/>
      <c r="C16" s="106" t="s">
        <v>277</v>
      </c>
      <c r="D16" s="239" t="s">
        <v>274</v>
      </c>
      <c r="E16" s="105"/>
      <c r="F16" s="104"/>
      <c r="G16" s="104"/>
      <c r="H16" s="104"/>
      <c r="P16" s="108"/>
      <c r="Q16" s="108"/>
      <c r="R16" s="108"/>
      <c r="S16" s="108"/>
      <c r="T16" s="108"/>
      <c r="U16" s="108"/>
      <c r="V16" s="109"/>
      <c r="W16" s="109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</row>
    <row r="17" spans="1:34" s="107" customFormat="1" ht="20.25">
      <c r="A17" s="104"/>
      <c r="B17" s="105"/>
      <c r="C17" s="110" t="s">
        <v>276</v>
      </c>
      <c r="D17" s="240"/>
      <c r="E17" s="105"/>
      <c r="F17" s="104"/>
      <c r="G17" s="104"/>
      <c r="H17" s="104"/>
      <c r="P17" s="108"/>
      <c r="Q17" s="108"/>
      <c r="R17" s="108"/>
      <c r="S17" s="108"/>
      <c r="T17" s="108"/>
      <c r="U17" s="108"/>
      <c r="V17" s="109"/>
      <c r="W17" s="109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</row>
    <row r="18" spans="1:34" s="107" customFormat="1" ht="20.25">
      <c r="A18" s="104"/>
      <c r="B18" s="105"/>
      <c r="C18" s="110" t="s">
        <v>278</v>
      </c>
      <c r="D18" s="240"/>
      <c r="E18" s="105"/>
      <c r="F18" s="104"/>
      <c r="G18" s="104"/>
      <c r="H18" s="104"/>
      <c r="P18" s="108"/>
      <c r="Q18" s="108"/>
      <c r="R18" s="108"/>
      <c r="S18" s="108"/>
      <c r="T18" s="108"/>
      <c r="U18" s="108"/>
      <c r="V18" s="109"/>
      <c r="W18" s="109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</row>
    <row r="19" spans="1:34" s="103" customFormat="1" ht="20.25">
      <c r="A19" s="100"/>
      <c r="B19" s="101"/>
      <c r="C19" s="110" t="s">
        <v>168</v>
      </c>
      <c r="D19" s="240"/>
      <c r="E19" s="101"/>
      <c r="F19" s="100"/>
      <c r="G19" s="100"/>
      <c r="H19" s="100"/>
      <c r="P19" s="111"/>
      <c r="Q19" s="111"/>
      <c r="R19" s="111"/>
      <c r="S19" s="111"/>
      <c r="T19" s="111"/>
      <c r="U19" s="111"/>
      <c r="V19" s="112"/>
      <c r="W19" s="112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</row>
    <row r="20" spans="1:34" s="103" customFormat="1" ht="20.25">
      <c r="A20" s="100"/>
      <c r="B20" s="101"/>
      <c r="C20" s="110" t="s">
        <v>284</v>
      </c>
      <c r="D20" s="240"/>
      <c r="E20" s="101"/>
      <c r="F20" s="100"/>
      <c r="G20" s="100"/>
      <c r="H20" s="100"/>
      <c r="P20" s="111"/>
      <c r="Q20" s="111"/>
      <c r="R20" s="111"/>
      <c r="S20" s="111"/>
      <c r="T20" s="111"/>
      <c r="U20" s="111"/>
      <c r="V20" s="112"/>
      <c r="W20" s="112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</row>
    <row r="21" spans="1:34" s="103" customFormat="1" ht="20.25">
      <c r="A21" s="100"/>
      <c r="B21" s="101"/>
      <c r="C21" s="110" t="s">
        <v>106</v>
      </c>
      <c r="D21" s="240"/>
      <c r="E21" s="101"/>
      <c r="F21" s="100"/>
      <c r="G21" s="100"/>
      <c r="H21" s="100"/>
      <c r="P21" s="111"/>
      <c r="Q21" s="111"/>
      <c r="R21" s="111"/>
      <c r="S21" s="111"/>
      <c r="T21" s="111"/>
      <c r="U21" s="111"/>
      <c r="V21" s="112"/>
      <c r="W21" s="112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</row>
    <row r="22" spans="1:34" s="117" customFormat="1" ht="21" thickBot="1">
      <c r="A22" s="113"/>
      <c r="B22" s="114"/>
      <c r="C22" s="115" t="s">
        <v>275</v>
      </c>
      <c r="D22" s="241"/>
      <c r="E22" s="101"/>
      <c r="F22" s="100"/>
      <c r="G22" s="100"/>
      <c r="H22" s="100"/>
      <c r="I22" s="103"/>
      <c r="J22" s="103"/>
      <c r="K22" s="103"/>
      <c r="L22" s="103"/>
      <c r="M22" s="103"/>
      <c r="N22" s="103"/>
      <c r="O22" s="111"/>
      <c r="P22" s="111"/>
      <c r="Q22" s="111"/>
      <c r="R22" s="111"/>
      <c r="S22" s="111"/>
      <c r="T22" s="111"/>
      <c r="U22" s="112"/>
      <c r="V22" s="112"/>
      <c r="W22" s="111"/>
      <c r="X22" s="111"/>
      <c r="Y22" s="111"/>
      <c r="Z22" s="111"/>
      <c r="AA22" s="116"/>
      <c r="AB22" s="111"/>
      <c r="AC22" s="111"/>
      <c r="AD22" s="111"/>
      <c r="AE22" s="116"/>
      <c r="AF22" s="116"/>
      <c r="AG22" s="116"/>
    </row>
    <row r="23" spans="1:34" s="91" customFormat="1" ht="20.100000000000001" customHeight="1">
      <c r="A23" s="89"/>
      <c r="B23" s="90"/>
      <c r="C23" s="229" t="s">
        <v>272</v>
      </c>
      <c r="D23" s="230"/>
      <c r="E23" s="90"/>
      <c r="F23" s="89"/>
      <c r="G23" s="89"/>
      <c r="H23" s="89"/>
      <c r="P23" s="92"/>
      <c r="Q23" s="92"/>
      <c r="R23" s="92"/>
      <c r="S23" s="92"/>
      <c r="T23" s="92"/>
      <c r="U23" s="92"/>
      <c r="V23" s="93"/>
      <c r="W23" s="93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</row>
    <row r="24" spans="1:34" s="91" customFormat="1" ht="20.100000000000001" customHeight="1">
      <c r="A24" s="89"/>
      <c r="B24" s="90"/>
      <c r="C24" s="237" t="s">
        <v>287</v>
      </c>
      <c r="D24" s="238"/>
      <c r="E24" s="90"/>
      <c r="F24" s="89"/>
      <c r="G24" s="89"/>
      <c r="H24" s="89"/>
      <c r="P24" s="92"/>
      <c r="Q24" s="92"/>
      <c r="R24" s="92"/>
      <c r="S24" s="92"/>
      <c r="T24" s="92"/>
      <c r="U24" s="92"/>
      <c r="V24" s="93"/>
      <c r="W24" s="93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</row>
    <row r="25" spans="1:34" s="91" customFormat="1" ht="20.100000000000001" customHeight="1">
      <c r="A25" s="89"/>
      <c r="B25" s="90"/>
      <c r="C25" s="237" t="s">
        <v>273</v>
      </c>
      <c r="D25" s="238"/>
      <c r="E25" s="90"/>
      <c r="F25" s="89"/>
      <c r="G25" s="89"/>
      <c r="H25" s="89"/>
      <c r="P25" s="92"/>
      <c r="Q25" s="92"/>
      <c r="R25" s="92"/>
      <c r="S25" s="92"/>
      <c r="T25" s="92"/>
      <c r="U25" s="92"/>
      <c r="V25" s="93"/>
      <c r="W25" s="93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</row>
    <row r="26" spans="1:34">
      <c r="A26" s="80"/>
      <c r="B26" s="16"/>
      <c r="C26" s="16"/>
      <c r="D26" s="16"/>
      <c r="E26" s="16"/>
      <c r="F26" s="80"/>
      <c r="G26" s="80"/>
      <c r="H26" s="80"/>
    </row>
    <row r="27" spans="1:34">
      <c r="A27" s="80"/>
      <c r="B27" s="16"/>
      <c r="C27" s="16"/>
      <c r="D27" s="16"/>
      <c r="E27" s="16"/>
      <c r="F27" s="80"/>
      <c r="G27" s="80"/>
      <c r="H27" s="80"/>
    </row>
    <row r="28" spans="1:34">
      <c r="A28" s="80"/>
      <c r="B28" s="80"/>
      <c r="C28" s="80"/>
      <c r="D28" s="80"/>
      <c r="E28" s="80"/>
      <c r="F28" s="80"/>
      <c r="G28" s="80"/>
      <c r="H28" s="80"/>
    </row>
    <row r="29" spans="1:34">
      <c r="A29" s="80"/>
      <c r="B29" s="80"/>
      <c r="C29" s="80"/>
      <c r="D29" s="80"/>
      <c r="E29" s="80"/>
      <c r="F29" s="80"/>
      <c r="G29" s="80"/>
      <c r="H29" s="80"/>
    </row>
    <row r="30" spans="1:34">
      <c r="A30" s="80"/>
      <c r="B30" s="80"/>
      <c r="C30" s="80"/>
      <c r="D30" s="80"/>
      <c r="E30" s="80"/>
      <c r="F30" s="80"/>
      <c r="G30" s="80"/>
      <c r="H30" s="80"/>
    </row>
    <row r="31" spans="1:34">
      <c r="A31" s="80"/>
      <c r="B31" s="80"/>
      <c r="C31" s="80"/>
      <c r="D31" s="80"/>
      <c r="E31" s="80"/>
      <c r="F31" s="80"/>
      <c r="G31" s="80"/>
      <c r="H31" s="80"/>
    </row>
    <row r="32" spans="1:34">
      <c r="A32" s="80"/>
      <c r="F32" s="80"/>
      <c r="G32" s="80"/>
      <c r="H32" s="80"/>
    </row>
  </sheetData>
  <mergeCells count="14">
    <mergeCell ref="C23:D23"/>
    <mergeCell ref="C24:D24"/>
    <mergeCell ref="C25:D25"/>
    <mergeCell ref="D16:D22"/>
    <mergeCell ref="D13:D14"/>
    <mergeCell ref="C8:D8"/>
    <mergeCell ref="C9:D9"/>
    <mergeCell ref="C15:D15"/>
    <mergeCell ref="C2:D2"/>
    <mergeCell ref="C3:D3"/>
    <mergeCell ref="C5:D5"/>
    <mergeCell ref="C6:D6"/>
    <mergeCell ref="C7:D7"/>
    <mergeCell ref="C4:D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P133"/>
  <sheetViews>
    <sheetView tabSelected="1" topLeftCell="A63" zoomScale="60" zoomScaleNormal="60" zoomScalePageLayoutView="70" workbookViewId="0">
      <selection activeCell="J74" sqref="J74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5" style="39" customWidth="1"/>
    <col min="4" max="4" width="18.42578125" style="4" customWidth="1"/>
    <col min="5" max="5" width="12.7109375" style="4" customWidth="1"/>
    <col min="6" max="6" width="14.7109375" style="4" customWidth="1"/>
    <col min="7" max="7" width="16.140625" style="4" customWidth="1"/>
    <col min="8" max="9" width="15.140625" style="4" customWidth="1"/>
    <col min="10" max="14" width="18.7109375" style="4" customWidth="1"/>
    <col min="15" max="15" width="10.28515625" style="4" customWidth="1"/>
    <col min="16" max="17" width="9.28515625" style="141" customWidth="1"/>
    <col min="18" max="18" width="12.85546875" style="39" customWidth="1"/>
    <col min="19" max="20" width="9.42578125" style="4" customWidth="1"/>
    <col min="21" max="21" width="9.42578125" style="22" customWidth="1"/>
    <col min="22" max="26" width="9.42578125" style="4" customWidth="1"/>
    <col min="27" max="27" width="3.85546875" style="4" customWidth="1"/>
    <col min="28" max="28" width="18.42578125" style="4" customWidth="1"/>
    <col min="29" max="37" width="9.28515625" style="4" customWidth="1"/>
    <col min="38" max="38" width="3.28515625" style="4" customWidth="1"/>
    <col min="39" max="39" width="21.140625" style="4" customWidth="1"/>
    <col min="40" max="40" width="9.85546875" style="4" customWidth="1"/>
    <col min="41" max="41" width="10.140625" style="4" customWidth="1"/>
    <col min="42" max="43" width="8.140625" style="4" customWidth="1"/>
    <col min="44" max="44" width="9.28515625" style="4" customWidth="1"/>
    <col min="45" max="45" width="8.140625" style="4" customWidth="1"/>
    <col min="46" max="46" width="8.42578125" style="4" customWidth="1"/>
    <col min="47" max="47" width="22.140625" style="4" customWidth="1"/>
    <col min="48" max="48" width="7.85546875" style="39" customWidth="1"/>
    <col min="49" max="49" width="7.28515625" style="39" customWidth="1"/>
    <col min="50" max="50" width="8.140625" style="39" customWidth="1"/>
    <col min="51" max="51" width="7.28515625" style="39" customWidth="1"/>
    <col min="52" max="52" width="6.85546875" style="39" customWidth="1"/>
    <col min="53" max="53" width="7.140625" style="39" customWidth="1"/>
    <col min="54" max="54" width="6.28515625" style="4" customWidth="1"/>
    <col min="55" max="55" width="7.7109375" style="4" customWidth="1"/>
    <col min="56" max="56" width="17.85546875" style="4" customWidth="1"/>
    <col min="57" max="57" width="14" style="39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1" customWidth="1"/>
    <col min="75" max="75" width="7.42578125" style="5" customWidth="1"/>
    <col min="76" max="80" width="10.85546875" style="5" customWidth="1"/>
    <col min="81" max="81" width="4.28515625" style="5" customWidth="1"/>
    <col min="82" max="87" width="8.140625" style="5" customWidth="1"/>
    <col min="88" max="88" width="8.85546875" style="5" customWidth="1"/>
    <col min="89" max="92" width="12.28515625" style="5" customWidth="1"/>
    <col min="93" max="94" width="4.28515625" style="5" customWidth="1"/>
    <col min="95" max="16384" width="8.85546875" style="4"/>
  </cols>
  <sheetData>
    <row r="1" spans="1:68" s="123" customFormat="1" ht="30.95" hidden="1" customHeight="1" outlineLevel="1">
      <c r="A1" s="123" t="s">
        <v>290</v>
      </c>
      <c r="B1" s="124" t="s">
        <v>75</v>
      </c>
      <c r="C1" s="125" t="s">
        <v>40</v>
      </c>
      <c r="D1" s="125" t="s">
        <v>43</v>
      </c>
      <c r="E1" s="45" t="s">
        <v>44</v>
      </c>
      <c r="F1" s="45" t="s">
        <v>174</v>
      </c>
      <c r="G1" s="45" t="s">
        <v>175</v>
      </c>
      <c r="H1" s="126" t="s">
        <v>42</v>
      </c>
      <c r="I1" s="126" t="s">
        <v>41</v>
      </c>
      <c r="J1" s="126" t="s">
        <v>45</v>
      </c>
      <c r="K1" s="126" t="s">
        <v>8</v>
      </c>
      <c r="M1" s="124" t="s">
        <v>47</v>
      </c>
      <c r="N1" s="124"/>
      <c r="O1" s="127"/>
      <c r="P1" s="128"/>
      <c r="Q1" s="128"/>
      <c r="R1" s="124" t="s">
        <v>16</v>
      </c>
      <c r="S1" s="129" t="s">
        <v>147</v>
      </c>
      <c r="T1" s="127" t="s">
        <v>94</v>
      </c>
      <c r="U1" s="127" t="s">
        <v>95</v>
      </c>
      <c r="V1" s="127" t="s">
        <v>177</v>
      </c>
      <c r="W1" s="127" t="s">
        <v>176</v>
      </c>
      <c r="X1" s="127" t="s">
        <v>149</v>
      </c>
      <c r="Y1" s="127" t="s">
        <v>148</v>
      </c>
      <c r="Z1" s="127" t="s">
        <v>150</v>
      </c>
      <c r="AA1" s="124"/>
      <c r="AB1" s="124" t="s">
        <v>17</v>
      </c>
      <c r="AC1" s="127" t="s">
        <v>146</v>
      </c>
      <c r="AD1" s="127" t="s">
        <v>94</v>
      </c>
      <c r="AE1" s="127" t="s">
        <v>95</v>
      </c>
      <c r="AF1" s="127" t="s">
        <v>177</v>
      </c>
      <c r="AG1" s="127" t="s">
        <v>176</v>
      </c>
      <c r="AH1" s="127" t="s">
        <v>149</v>
      </c>
      <c r="AI1" s="127" t="s">
        <v>148</v>
      </c>
      <c r="AJ1" s="127" t="s">
        <v>150</v>
      </c>
      <c r="AK1" s="127" t="s">
        <v>151</v>
      </c>
      <c r="AL1" s="124"/>
      <c r="AM1" s="124" t="s">
        <v>21</v>
      </c>
      <c r="AN1" s="124"/>
      <c r="AO1" s="124"/>
      <c r="AP1" s="124" t="s">
        <v>189</v>
      </c>
      <c r="AQ1" s="124" t="s">
        <v>29</v>
      </c>
      <c r="AR1" s="42"/>
      <c r="AS1" s="42"/>
      <c r="AT1" s="42"/>
      <c r="AU1" s="130" t="s">
        <v>255</v>
      </c>
      <c r="AV1" s="131" t="s">
        <v>215</v>
      </c>
      <c r="AW1" s="45" t="s">
        <v>216</v>
      </c>
      <c r="AX1" s="45" t="s">
        <v>217</v>
      </c>
      <c r="AY1" s="45" t="s">
        <v>218</v>
      </c>
      <c r="AZ1" s="45" t="s">
        <v>219</v>
      </c>
      <c r="BA1" s="45" t="s">
        <v>190</v>
      </c>
      <c r="BB1" s="45" t="s">
        <v>254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68" s="4" customFormat="1" ht="15" hidden="1" outlineLevel="1">
      <c r="A2" s="132">
        <v>80</v>
      </c>
      <c r="B2" s="133" t="s">
        <v>119</v>
      </c>
      <c r="C2" s="134">
        <v>70</v>
      </c>
      <c r="D2" s="135">
        <v>85</v>
      </c>
      <c r="E2" s="46">
        <v>95</v>
      </c>
      <c r="F2" s="46">
        <v>80</v>
      </c>
      <c r="G2" s="46">
        <v>100</v>
      </c>
      <c r="H2" s="46" t="s">
        <v>76</v>
      </c>
      <c r="I2" s="46" t="s">
        <v>76</v>
      </c>
      <c r="J2" s="46" t="s">
        <v>76</v>
      </c>
      <c r="K2" s="46" t="s">
        <v>76</v>
      </c>
      <c r="M2" s="136" t="s">
        <v>39</v>
      </c>
      <c r="N2" s="39">
        <v>1.7</v>
      </c>
      <c r="O2" s="39"/>
      <c r="P2" s="137"/>
      <c r="Q2" s="137"/>
      <c r="R2" s="332" t="s">
        <v>173</v>
      </c>
      <c r="S2" s="332"/>
      <c r="T2" s="332"/>
      <c r="U2" s="332"/>
      <c r="V2" s="332"/>
      <c r="W2" s="332"/>
      <c r="X2" s="332"/>
      <c r="Y2" s="332"/>
      <c r="Z2" s="332"/>
      <c r="AA2" s="138"/>
      <c r="AB2" s="332" t="s">
        <v>173</v>
      </c>
      <c r="AC2" s="332"/>
      <c r="AD2" s="332"/>
      <c r="AE2" s="332"/>
      <c r="AF2" s="332"/>
      <c r="AG2" s="332"/>
      <c r="AH2" s="332"/>
      <c r="AI2" s="332"/>
      <c r="AJ2" s="332"/>
      <c r="AK2" s="332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222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221</v>
      </c>
      <c r="BB2" s="50">
        <v>50</v>
      </c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s="4" customFormat="1" hidden="1" outlineLevel="1">
      <c r="A3" s="132">
        <v>75</v>
      </c>
      <c r="B3" s="133" t="s">
        <v>158</v>
      </c>
      <c r="C3" s="134">
        <v>65</v>
      </c>
      <c r="D3" s="46">
        <v>90</v>
      </c>
      <c r="E3" s="46">
        <v>95</v>
      </c>
      <c r="F3" s="46">
        <v>80</v>
      </c>
      <c r="G3" s="46">
        <v>100</v>
      </c>
      <c r="H3" s="46" t="s">
        <v>76</v>
      </c>
      <c r="I3" s="46" t="s">
        <v>76</v>
      </c>
      <c r="J3" s="46" t="s">
        <v>76</v>
      </c>
      <c r="K3" s="46" t="s">
        <v>76</v>
      </c>
      <c r="M3" s="136" t="s">
        <v>38</v>
      </c>
      <c r="N3" s="39">
        <v>1.4</v>
      </c>
      <c r="O3" s="39"/>
      <c r="P3" s="137"/>
      <c r="Q3" s="137"/>
      <c r="R3" s="139" t="s">
        <v>67</v>
      </c>
      <c r="S3" s="140" t="s">
        <v>109</v>
      </c>
      <c r="T3" s="46">
        <v>25</v>
      </c>
      <c r="U3" s="46">
        <v>25</v>
      </c>
      <c r="V3" s="46" t="s">
        <v>109</v>
      </c>
      <c r="W3" s="46" t="s">
        <v>109</v>
      </c>
      <c r="X3" s="46" t="s">
        <v>109</v>
      </c>
      <c r="Y3" s="46" t="s">
        <v>109</v>
      </c>
      <c r="Z3" s="46" t="s">
        <v>109</v>
      </c>
      <c r="AB3" s="139" t="s">
        <v>58</v>
      </c>
      <c r="AC3" s="46" t="s">
        <v>109</v>
      </c>
      <c r="AD3" s="46">
        <v>10</v>
      </c>
      <c r="AE3" s="46">
        <v>10</v>
      </c>
      <c r="AF3" s="46">
        <v>10</v>
      </c>
      <c r="AG3" s="46">
        <v>10</v>
      </c>
      <c r="AH3" s="46" t="s">
        <v>109</v>
      </c>
      <c r="AI3" s="46" t="s">
        <v>109</v>
      </c>
      <c r="AJ3" s="46" t="s">
        <v>109</v>
      </c>
      <c r="AK3" s="46" t="s">
        <v>109</v>
      </c>
      <c r="AM3" s="136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220</v>
      </c>
      <c r="AV3" s="48">
        <v>2</v>
      </c>
      <c r="AW3" s="49">
        <v>1</v>
      </c>
      <c r="AX3" s="52" t="s">
        <v>233</v>
      </c>
      <c r="AY3" s="49">
        <v>2</v>
      </c>
      <c r="AZ3" s="49">
        <v>2</v>
      </c>
      <c r="BA3" s="49" t="s">
        <v>221</v>
      </c>
      <c r="BB3" s="50">
        <v>50</v>
      </c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s="4" customFormat="1" hidden="1" outlineLevel="1">
      <c r="A4" s="132">
        <v>85</v>
      </c>
      <c r="B4" s="133" t="s">
        <v>34</v>
      </c>
      <c r="C4" s="134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6" t="s">
        <v>10</v>
      </c>
      <c r="N4" s="39">
        <v>1</v>
      </c>
      <c r="O4" s="39"/>
      <c r="P4" s="137"/>
      <c r="Q4" s="137"/>
      <c r="R4" s="139" t="s">
        <v>178</v>
      </c>
      <c r="S4" s="140" t="s">
        <v>109</v>
      </c>
      <c r="T4" s="46">
        <v>28</v>
      </c>
      <c r="U4" s="46">
        <v>28</v>
      </c>
      <c r="V4" s="46">
        <v>28</v>
      </c>
      <c r="W4" s="46">
        <v>28</v>
      </c>
      <c r="X4" s="46" t="s">
        <v>109</v>
      </c>
      <c r="Y4" s="46" t="s">
        <v>109</v>
      </c>
      <c r="Z4" s="46" t="s">
        <v>109</v>
      </c>
      <c r="AB4" s="139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109</v>
      </c>
      <c r="AI4" s="46" t="s">
        <v>109</v>
      </c>
      <c r="AJ4" s="46">
        <v>-44</v>
      </c>
      <c r="AK4" s="46" t="s">
        <v>109</v>
      </c>
      <c r="AM4" s="136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223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224</v>
      </c>
      <c r="BB4" s="50">
        <v>35</v>
      </c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s="4" customFormat="1" hidden="1" outlineLevel="1">
      <c r="A5" s="132">
        <v>70</v>
      </c>
      <c r="B5" s="133" t="s">
        <v>120</v>
      </c>
      <c r="C5" s="134">
        <v>65</v>
      </c>
      <c r="D5" s="135">
        <v>75</v>
      </c>
      <c r="E5" s="46">
        <v>85</v>
      </c>
      <c r="F5" s="46">
        <v>70</v>
      </c>
      <c r="G5" s="46">
        <v>90</v>
      </c>
      <c r="H5" s="46" t="s">
        <v>76</v>
      </c>
      <c r="I5" s="46" t="s">
        <v>76</v>
      </c>
      <c r="J5" s="46" t="s">
        <v>76</v>
      </c>
      <c r="K5" s="46" t="s">
        <v>76</v>
      </c>
      <c r="M5" s="136" t="s">
        <v>11</v>
      </c>
      <c r="N5" s="135">
        <v>0.6</v>
      </c>
      <c r="P5" s="141"/>
      <c r="Q5" s="137"/>
      <c r="R5" s="139" t="s">
        <v>53</v>
      </c>
      <c r="S5" s="140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109</v>
      </c>
      <c r="Y5" s="46" t="s">
        <v>109</v>
      </c>
      <c r="Z5" s="46" t="s">
        <v>109</v>
      </c>
      <c r="AB5" s="139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109</v>
      </c>
      <c r="AI5" s="46" t="s">
        <v>109</v>
      </c>
      <c r="AJ5" s="46" t="s">
        <v>109</v>
      </c>
      <c r="AK5" s="46" t="s">
        <v>109</v>
      </c>
      <c r="AM5" s="136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225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224</v>
      </c>
      <c r="BB5" s="50">
        <v>45</v>
      </c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s="4" customFormat="1" hidden="1" outlineLevel="1">
      <c r="A6" s="132">
        <v>65</v>
      </c>
      <c r="B6" s="133" t="s">
        <v>159</v>
      </c>
      <c r="C6" s="134">
        <v>60</v>
      </c>
      <c r="D6" s="46">
        <v>80</v>
      </c>
      <c r="E6" s="46">
        <v>85</v>
      </c>
      <c r="F6" s="46">
        <v>70</v>
      </c>
      <c r="G6" s="46">
        <v>90</v>
      </c>
      <c r="H6" s="46">
        <v>270</v>
      </c>
      <c r="I6" s="46" t="s">
        <v>109</v>
      </c>
      <c r="J6" s="46">
        <v>130</v>
      </c>
      <c r="K6" s="46">
        <v>70</v>
      </c>
      <c r="M6" s="39"/>
      <c r="N6" s="39"/>
      <c r="P6" s="141"/>
      <c r="Q6" s="137"/>
      <c r="R6" s="139" t="s">
        <v>54</v>
      </c>
      <c r="S6" s="140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109</v>
      </c>
      <c r="Y6" s="46" t="s">
        <v>109</v>
      </c>
      <c r="Z6" s="46" t="s">
        <v>109</v>
      </c>
      <c r="AB6" s="139" t="s">
        <v>169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109</v>
      </c>
      <c r="AI6" s="46" t="s">
        <v>109</v>
      </c>
      <c r="AJ6" s="46" t="s">
        <v>109</v>
      </c>
      <c r="AK6" s="46" t="s">
        <v>109</v>
      </c>
      <c r="AM6" s="136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226</v>
      </c>
      <c r="AV6" s="48" t="s">
        <v>232</v>
      </c>
      <c r="AW6" s="49">
        <v>1</v>
      </c>
      <c r="AX6" s="49" t="s">
        <v>227</v>
      </c>
      <c r="AY6" s="49">
        <v>1</v>
      </c>
      <c r="AZ6" s="52" t="s">
        <v>234</v>
      </c>
      <c r="BA6" s="49" t="s">
        <v>224</v>
      </c>
      <c r="BB6" s="50">
        <v>50</v>
      </c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s="4" customFormat="1" ht="14.1" hidden="1" customHeight="1" outlineLevel="1">
      <c r="A7" s="132">
        <v>75</v>
      </c>
      <c r="B7" s="133" t="s">
        <v>35</v>
      </c>
      <c r="C7" s="134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39" t="s">
        <v>9</v>
      </c>
      <c r="N7" s="142" t="s">
        <v>187</v>
      </c>
      <c r="O7" s="39" t="s">
        <v>188</v>
      </c>
      <c r="P7" s="141"/>
      <c r="Q7" s="143"/>
      <c r="R7" s="139" t="s">
        <v>68</v>
      </c>
      <c r="S7" s="140">
        <v>15</v>
      </c>
      <c r="T7" s="46" t="s">
        <v>109</v>
      </c>
      <c r="U7" s="46" t="s">
        <v>109</v>
      </c>
      <c r="V7" s="46" t="s">
        <v>109</v>
      </c>
      <c r="W7" s="46" t="s">
        <v>109</v>
      </c>
      <c r="X7" s="46" t="s">
        <v>109</v>
      </c>
      <c r="Y7" s="46" t="s">
        <v>109</v>
      </c>
      <c r="Z7" s="46" t="s">
        <v>109</v>
      </c>
      <c r="AB7" s="139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109</v>
      </c>
      <c r="AI7" s="46" t="s">
        <v>109</v>
      </c>
      <c r="AJ7" s="46" t="s">
        <v>109</v>
      </c>
      <c r="AK7" s="46" t="s">
        <v>109</v>
      </c>
      <c r="AM7" s="136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235</v>
      </c>
      <c r="BA7" s="49" t="s">
        <v>228</v>
      </c>
      <c r="BB7" s="50">
        <v>5</v>
      </c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s="4" customFormat="1" hidden="1" outlineLevel="1">
      <c r="A8" s="132">
        <v>60</v>
      </c>
      <c r="B8" s="133" t="s">
        <v>121</v>
      </c>
      <c r="C8" s="134">
        <v>55</v>
      </c>
      <c r="D8" s="135">
        <v>65</v>
      </c>
      <c r="E8" s="46">
        <v>75</v>
      </c>
      <c r="F8" s="46">
        <v>60</v>
      </c>
      <c r="G8" s="46">
        <v>80</v>
      </c>
      <c r="H8" s="46" t="s">
        <v>76</v>
      </c>
      <c r="I8" s="46" t="s">
        <v>76</v>
      </c>
      <c r="J8" s="46" t="s">
        <v>109</v>
      </c>
      <c r="K8" s="46" t="s">
        <v>76</v>
      </c>
      <c r="M8" s="136" t="s">
        <v>116</v>
      </c>
      <c r="N8" s="144">
        <v>2</v>
      </c>
      <c r="O8" s="134">
        <v>2.5</v>
      </c>
      <c r="P8" s="141"/>
      <c r="Q8" s="145"/>
      <c r="R8" s="139" t="s">
        <v>13</v>
      </c>
      <c r="S8" s="140">
        <v>25</v>
      </c>
      <c r="T8" s="46" t="s">
        <v>109</v>
      </c>
      <c r="U8" s="46" t="s">
        <v>109</v>
      </c>
      <c r="V8" s="46" t="s">
        <v>109</v>
      </c>
      <c r="W8" s="46" t="s">
        <v>109</v>
      </c>
      <c r="X8" s="46" t="s">
        <v>109</v>
      </c>
      <c r="Y8" s="46" t="s">
        <v>109</v>
      </c>
      <c r="Z8" s="46" t="s">
        <v>109</v>
      </c>
      <c r="AB8" s="146" t="s">
        <v>214</v>
      </c>
      <c r="AC8" s="46">
        <v>10</v>
      </c>
      <c r="AD8" s="46">
        <v>15</v>
      </c>
      <c r="AE8" s="46">
        <v>15</v>
      </c>
      <c r="AF8" s="46">
        <v>15</v>
      </c>
      <c r="AG8" s="46" t="s">
        <v>109</v>
      </c>
      <c r="AH8" s="46" t="s">
        <v>109</v>
      </c>
      <c r="AI8" s="46" t="s">
        <v>109</v>
      </c>
      <c r="AJ8" s="46" t="s">
        <v>109</v>
      </c>
      <c r="AK8" s="46" t="s">
        <v>109</v>
      </c>
      <c r="AM8" s="136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229</v>
      </c>
      <c r="AV8" s="48">
        <v>3</v>
      </c>
      <c r="AW8" s="49">
        <v>2</v>
      </c>
      <c r="AX8" s="52" t="s">
        <v>234</v>
      </c>
      <c r="AY8" s="49">
        <v>0</v>
      </c>
      <c r="AZ8" s="52" t="s">
        <v>234</v>
      </c>
      <c r="BA8" s="49" t="s">
        <v>224</v>
      </c>
      <c r="BB8" s="50">
        <v>35</v>
      </c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s="4" customFormat="1" hidden="1" outlineLevel="1">
      <c r="A9" s="132">
        <v>55</v>
      </c>
      <c r="B9" s="133" t="s">
        <v>160</v>
      </c>
      <c r="C9" s="134">
        <v>50</v>
      </c>
      <c r="D9" s="46">
        <v>70</v>
      </c>
      <c r="E9" s="46">
        <v>75</v>
      </c>
      <c r="F9" s="46">
        <v>60</v>
      </c>
      <c r="G9" s="46">
        <v>80</v>
      </c>
      <c r="H9" s="46">
        <v>220</v>
      </c>
      <c r="I9" s="46" t="s">
        <v>76</v>
      </c>
      <c r="J9" s="46">
        <v>100</v>
      </c>
      <c r="K9" s="46" t="s">
        <v>76</v>
      </c>
      <c r="M9" s="136" t="s">
        <v>118</v>
      </c>
      <c r="N9" s="147">
        <v>1</v>
      </c>
      <c r="O9" s="39">
        <v>1</v>
      </c>
      <c r="P9" s="141"/>
      <c r="Q9" s="145"/>
      <c r="R9" s="139" t="s">
        <v>102</v>
      </c>
      <c r="S9" s="140">
        <v>22</v>
      </c>
      <c r="T9" s="46" t="s">
        <v>109</v>
      </c>
      <c r="U9" s="46" t="s">
        <v>109</v>
      </c>
      <c r="V9" s="46" t="s">
        <v>109</v>
      </c>
      <c r="W9" s="46" t="s">
        <v>109</v>
      </c>
      <c r="X9" s="46" t="s">
        <v>109</v>
      </c>
      <c r="Y9" s="46" t="s">
        <v>109</v>
      </c>
      <c r="Z9" s="46">
        <v>30</v>
      </c>
      <c r="AB9" s="139" t="s">
        <v>123</v>
      </c>
      <c r="AC9" s="46">
        <v>6</v>
      </c>
      <c r="AD9" s="46" t="s">
        <v>109</v>
      </c>
      <c r="AE9" s="46" t="s">
        <v>109</v>
      </c>
      <c r="AF9" s="46" t="s">
        <v>109</v>
      </c>
      <c r="AG9" s="46" t="s">
        <v>109</v>
      </c>
      <c r="AH9" s="46">
        <v>6</v>
      </c>
      <c r="AI9" s="46" t="s">
        <v>109</v>
      </c>
      <c r="AJ9" s="46">
        <v>12</v>
      </c>
      <c r="AK9" s="46" t="s">
        <v>109</v>
      </c>
      <c r="AM9" s="136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230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224</v>
      </c>
      <c r="BB9" s="50">
        <v>35</v>
      </c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s="4" customFormat="1" hidden="1" outlineLevel="1">
      <c r="A10" s="132">
        <v>65</v>
      </c>
      <c r="B10" s="133" t="s">
        <v>36</v>
      </c>
      <c r="C10" s="134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6" t="s">
        <v>117</v>
      </c>
      <c r="N10" s="147">
        <v>0.4</v>
      </c>
      <c r="O10" s="39">
        <v>0.4</v>
      </c>
      <c r="P10" s="141"/>
      <c r="Q10" s="145"/>
      <c r="R10" s="139" t="s">
        <v>66</v>
      </c>
      <c r="S10" s="140">
        <v>32</v>
      </c>
      <c r="T10" s="46" t="s">
        <v>109</v>
      </c>
      <c r="U10" s="46" t="s">
        <v>109</v>
      </c>
      <c r="V10" s="46" t="s">
        <v>109</v>
      </c>
      <c r="W10" s="46" t="s">
        <v>109</v>
      </c>
      <c r="X10" s="46" t="s">
        <v>109</v>
      </c>
      <c r="Y10" s="46" t="s">
        <v>109</v>
      </c>
      <c r="Z10" s="46">
        <v>50</v>
      </c>
      <c r="AB10" s="139" t="s">
        <v>279</v>
      </c>
      <c r="AC10" s="134">
        <v>15</v>
      </c>
      <c r="AD10" s="46" t="s">
        <v>109</v>
      </c>
      <c r="AE10" s="46" t="s">
        <v>109</v>
      </c>
      <c r="AF10" s="46" t="s">
        <v>109</v>
      </c>
      <c r="AG10" s="46" t="s">
        <v>109</v>
      </c>
      <c r="AH10" s="46" t="s">
        <v>109</v>
      </c>
      <c r="AI10" s="46" t="s">
        <v>109</v>
      </c>
      <c r="AJ10" s="46" t="s">
        <v>109</v>
      </c>
      <c r="AK10" s="46" t="s">
        <v>109</v>
      </c>
      <c r="AM10" s="136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228</v>
      </c>
      <c r="BB10" s="50">
        <v>25</v>
      </c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s="4" customFormat="1" hidden="1" outlineLevel="1">
      <c r="A11" s="132">
        <v>30</v>
      </c>
      <c r="B11" s="133" t="s">
        <v>37</v>
      </c>
      <c r="C11" s="134">
        <v>30</v>
      </c>
      <c r="D11" s="148">
        <v>40</v>
      </c>
      <c r="E11" s="148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49" t="s">
        <v>256</v>
      </c>
      <c r="N11" s="150">
        <v>0.67</v>
      </c>
      <c r="O11" s="151">
        <v>0.5</v>
      </c>
      <c r="P11" s="141"/>
      <c r="Q11" s="145"/>
      <c r="R11" s="152" t="s">
        <v>50</v>
      </c>
      <c r="S11" s="140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39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109</v>
      </c>
      <c r="AI11" s="46" t="s">
        <v>109</v>
      </c>
      <c r="AJ11" s="46">
        <v>32</v>
      </c>
      <c r="AK11" s="46" t="s">
        <v>109</v>
      </c>
      <c r="AM11" s="136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102</v>
      </c>
      <c r="AV11" s="48">
        <v>1</v>
      </c>
      <c r="AW11" s="49">
        <v>1</v>
      </c>
      <c r="AX11" s="49">
        <v>1</v>
      </c>
      <c r="AY11" s="49">
        <v>1</v>
      </c>
      <c r="AZ11" s="52" t="s">
        <v>236</v>
      </c>
      <c r="BA11" s="49" t="s">
        <v>224</v>
      </c>
      <c r="BB11" s="50">
        <v>25</v>
      </c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s="4" customFormat="1" hidden="1" outlineLevel="1">
      <c r="C12" s="142" t="s">
        <v>203</v>
      </c>
      <c r="D12" s="39"/>
      <c r="E12" s="39"/>
      <c r="F12" s="39"/>
      <c r="G12" s="39"/>
      <c r="H12" s="39"/>
      <c r="I12" s="46"/>
      <c r="J12" s="39"/>
      <c r="K12" s="39"/>
      <c r="M12" s="153" t="s">
        <v>50</v>
      </c>
      <c r="N12" s="147">
        <v>1</v>
      </c>
      <c r="O12" s="39">
        <v>1</v>
      </c>
      <c r="P12" s="141"/>
      <c r="Q12" s="137"/>
      <c r="R12" s="139" t="s">
        <v>62</v>
      </c>
      <c r="S12" s="140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109</v>
      </c>
      <c r="Z12" s="46" t="s">
        <v>109</v>
      </c>
      <c r="AB12" s="154" t="s">
        <v>65</v>
      </c>
      <c r="AC12" s="46">
        <v>2</v>
      </c>
      <c r="AD12" s="46" t="s">
        <v>109</v>
      </c>
      <c r="AE12" s="46" t="s">
        <v>109</v>
      </c>
      <c r="AF12" s="46" t="s">
        <v>109</v>
      </c>
      <c r="AG12" s="46" t="s">
        <v>109</v>
      </c>
      <c r="AH12" s="46" t="s">
        <v>109</v>
      </c>
      <c r="AI12" s="46" t="s">
        <v>109</v>
      </c>
      <c r="AJ12" s="46" t="s">
        <v>109</v>
      </c>
      <c r="AK12" s="46" t="s">
        <v>109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224</v>
      </c>
      <c r="BB12" s="50">
        <v>20</v>
      </c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s="4" customFormat="1" ht="14.1" hidden="1" customHeight="1" outlineLevel="1">
      <c r="B13" s="136" t="s">
        <v>40</v>
      </c>
      <c r="C13" s="39">
        <v>2</v>
      </c>
      <c r="D13" s="39"/>
      <c r="E13" s="142" t="s">
        <v>190</v>
      </c>
      <c r="F13" s="39"/>
      <c r="G13" s="39"/>
      <c r="H13" s="39"/>
      <c r="I13" s="39"/>
      <c r="J13" s="39"/>
      <c r="K13" s="39"/>
      <c r="M13" s="139" t="s">
        <v>48</v>
      </c>
      <c r="N13" s="142" t="s">
        <v>187</v>
      </c>
      <c r="O13" s="39" t="s">
        <v>188</v>
      </c>
      <c r="P13" s="141"/>
      <c r="Q13" s="143"/>
      <c r="R13" s="139" t="s">
        <v>59</v>
      </c>
      <c r="S13" s="140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109</v>
      </c>
      <c r="Z13" s="46">
        <v>60</v>
      </c>
      <c r="AB13" s="139" t="s">
        <v>64</v>
      </c>
      <c r="AC13" s="134">
        <v>12</v>
      </c>
      <c r="AD13" s="46" t="s">
        <v>109</v>
      </c>
      <c r="AE13" s="46" t="s">
        <v>109</v>
      </c>
      <c r="AF13" s="46" t="s">
        <v>109</v>
      </c>
      <c r="AG13" s="46" t="s">
        <v>109</v>
      </c>
      <c r="AH13" s="46" t="s">
        <v>109</v>
      </c>
      <c r="AI13" s="46" t="s">
        <v>109</v>
      </c>
      <c r="AJ13" s="46" t="s">
        <v>109</v>
      </c>
      <c r="AK13" s="46" t="s">
        <v>109</v>
      </c>
      <c r="AR13" s="5"/>
      <c r="AS13" s="5"/>
      <c r="AT13" s="5"/>
      <c r="AU13" s="41" t="s">
        <v>231</v>
      </c>
      <c r="AV13" s="48" t="s">
        <v>232</v>
      </c>
      <c r="AW13" s="49">
        <v>0</v>
      </c>
      <c r="AX13" s="49" t="s">
        <v>227</v>
      </c>
      <c r="AY13" s="49">
        <v>0</v>
      </c>
      <c r="AZ13" s="49">
        <v>2</v>
      </c>
      <c r="BA13" s="49" t="s">
        <v>224</v>
      </c>
      <c r="BB13" s="50">
        <v>25</v>
      </c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s="4" customFormat="1" hidden="1" outlineLevel="1">
      <c r="B14" s="136" t="s">
        <v>43</v>
      </c>
      <c r="C14" s="39">
        <v>3</v>
      </c>
      <c r="D14" s="39"/>
      <c r="E14" s="39" t="s">
        <v>191</v>
      </c>
      <c r="F14" s="39"/>
      <c r="G14" s="39"/>
      <c r="H14" s="39"/>
      <c r="I14" s="39"/>
      <c r="J14" s="39"/>
      <c r="K14" s="39"/>
      <c r="M14" s="153" t="s">
        <v>108</v>
      </c>
      <c r="N14" s="135">
        <v>0.65</v>
      </c>
      <c r="O14" s="46">
        <v>0.8</v>
      </c>
      <c r="P14" s="141"/>
      <c r="Q14" s="137"/>
      <c r="R14" s="139" t="s">
        <v>69</v>
      </c>
      <c r="S14" s="155">
        <v>40</v>
      </c>
      <c r="T14" s="134">
        <v>80</v>
      </c>
      <c r="U14" s="46" t="s">
        <v>109</v>
      </c>
      <c r="V14" s="46" t="s">
        <v>109</v>
      </c>
      <c r="W14" s="46" t="s">
        <v>109</v>
      </c>
      <c r="X14" s="46" t="s">
        <v>109</v>
      </c>
      <c r="Y14" s="46" t="s">
        <v>109</v>
      </c>
      <c r="Z14" s="46">
        <v>100</v>
      </c>
      <c r="AB14" s="139" t="s">
        <v>145</v>
      </c>
      <c r="AC14" s="134">
        <v>5</v>
      </c>
      <c r="AD14" s="46" t="s">
        <v>109</v>
      </c>
      <c r="AE14" s="46" t="s">
        <v>109</v>
      </c>
      <c r="AF14" s="46" t="s">
        <v>109</v>
      </c>
      <c r="AG14" s="46" t="s">
        <v>109</v>
      </c>
      <c r="AH14" s="46" t="s">
        <v>109</v>
      </c>
      <c r="AI14" s="46" t="s">
        <v>109</v>
      </c>
      <c r="AJ14" s="46" t="s">
        <v>109</v>
      </c>
      <c r="AK14" s="46" t="s">
        <v>109</v>
      </c>
      <c r="AM14" s="136" t="s">
        <v>104</v>
      </c>
      <c r="AN14" s="4" t="s">
        <v>88</v>
      </c>
      <c r="AP14" s="4" t="s">
        <v>180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224</v>
      </c>
      <c r="BB14" s="50">
        <v>25</v>
      </c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s="4" customFormat="1" hidden="1" outlineLevel="1">
      <c r="B15" s="136" t="s">
        <v>44</v>
      </c>
      <c r="C15" s="39">
        <v>4</v>
      </c>
      <c r="D15" s="39"/>
      <c r="E15" s="39" t="s">
        <v>192</v>
      </c>
      <c r="F15" s="39"/>
      <c r="G15" s="39"/>
      <c r="H15" s="39"/>
      <c r="I15" s="39"/>
      <c r="J15" s="39"/>
      <c r="K15" s="39"/>
      <c r="M15" s="136" t="s">
        <v>51</v>
      </c>
      <c r="N15" s="39">
        <v>1</v>
      </c>
      <c r="O15" s="39">
        <v>1</v>
      </c>
      <c r="P15" s="141"/>
      <c r="Q15" s="137"/>
      <c r="R15" s="139" t="s">
        <v>60</v>
      </c>
      <c r="S15" s="140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109</v>
      </c>
      <c r="Z15" s="46">
        <v>80</v>
      </c>
      <c r="AB15" s="139" t="s">
        <v>103</v>
      </c>
      <c r="AC15" s="46">
        <v>5</v>
      </c>
      <c r="AD15" s="46" t="s">
        <v>109</v>
      </c>
      <c r="AE15" s="46" t="s">
        <v>109</v>
      </c>
      <c r="AF15" s="46" t="s">
        <v>109</v>
      </c>
      <c r="AG15" s="46" t="s">
        <v>109</v>
      </c>
      <c r="AH15" s="46" t="s">
        <v>109</v>
      </c>
      <c r="AI15" s="46" t="s">
        <v>109</v>
      </c>
      <c r="AJ15" s="46" t="s">
        <v>109</v>
      </c>
      <c r="AK15" s="46" t="s">
        <v>109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224</v>
      </c>
      <c r="BB15" s="50">
        <v>10</v>
      </c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s="4" customFormat="1" hidden="1" outlineLevel="1">
      <c r="B16" s="136" t="s">
        <v>174</v>
      </c>
      <c r="C16" s="39">
        <v>5</v>
      </c>
      <c r="D16" s="39"/>
      <c r="E16" s="39" t="s">
        <v>193</v>
      </c>
      <c r="F16" s="39"/>
      <c r="G16" s="39"/>
      <c r="H16" s="39"/>
      <c r="I16" s="39"/>
      <c r="J16" s="39"/>
      <c r="K16" s="39"/>
      <c r="M16" s="156" t="s">
        <v>260</v>
      </c>
      <c r="N16" s="46">
        <v>1.4</v>
      </c>
      <c r="O16" s="46" t="s">
        <v>109</v>
      </c>
      <c r="P16" s="137"/>
      <c r="Q16" s="137"/>
      <c r="R16" s="139" t="s">
        <v>61</v>
      </c>
      <c r="S16" s="140">
        <v>15</v>
      </c>
      <c r="T16" s="46" t="s">
        <v>109</v>
      </c>
      <c r="U16" s="46" t="s">
        <v>109</v>
      </c>
      <c r="V16" s="46" t="s">
        <v>109</v>
      </c>
      <c r="W16" s="46" t="s">
        <v>109</v>
      </c>
      <c r="X16" s="46" t="s">
        <v>109</v>
      </c>
      <c r="Y16" s="46" t="s">
        <v>109</v>
      </c>
      <c r="Z16" s="46" t="s">
        <v>109</v>
      </c>
      <c r="AB16" s="139" t="s">
        <v>122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109</v>
      </c>
      <c r="AI16" s="46" t="s">
        <v>109</v>
      </c>
      <c r="AJ16" s="46" t="s">
        <v>109</v>
      </c>
      <c r="AK16" s="46" t="s">
        <v>109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2:76" s="4" customFormat="1" hidden="1" outlineLevel="1">
      <c r="B17" s="136" t="s">
        <v>175</v>
      </c>
      <c r="C17" s="39">
        <v>6</v>
      </c>
      <c r="D17" s="39"/>
      <c r="E17" s="39" t="s">
        <v>194</v>
      </c>
      <c r="F17" s="39"/>
      <c r="G17" s="39"/>
      <c r="H17" s="39"/>
      <c r="I17" s="39"/>
      <c r="J17" s="39"/>
      <c r="K17" s="39"/>
      <c r="M17" s="157" t="s">
        <v>262</v>
      </c>
      <c r="N17" s="158">
        <v>1.1499999999999999</v>
      </c>
      <c r="O17" s="159" t="s">
        <v>109</v>
      </c>
      <c r="P17" s="137"/>
      <c r="Q17" s="137"/>
      <c r="R17" s="139" t="s">
        <v>70</v>
      </c>
      <c r="S17" s="140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109</v>
      </c>
      <c r="Z17" s="46">
        <v>40</v>
      </c>
      <c r="AB17" s="139" t="s">
        <v>31</v>
      </c>
      <c r="AC17" s="46">
        <v>8</v>
      </c>
      <c r="AD17" s="46">
        <v>10</v>
      </c>
      <c r="AE17" s="46">
        <v>10</v>
      </c>
      <c r="AF17" s="46" t="s">
        <v>109</v>
      </c>
      <c r="AG17" s="46" t="s">
        <v>109</v>
      </c>
      <c r="AH17" s="46">
        <v>20</v>
      </c>
      <c r="AI17" s="46" t="s">
        <v>109</v>
      </c>
      <c r="AJ17" s="46" t="s">
        <v>109</v>
      </c>
      <c r="AK17" s="46" t="s">
        <v>109</v>
      </c>
      <c r="AM17" s="136"/>
      <c r="AO17" s="160"/>
      <c r="AR17" s="5"/>
      <c r="AS17" s="5"/>
      <c r="AT17" s="5"/>
      <c r="AU17" s="54" t="s">
        <v>237</v>
      </c>
      <c r="AV17" s="53" t="s">
        <v>243</v>
      </c>
      <c r="AW17" s="46" t="s">
        <v>244</v>
      </c>
      <c r="AX17" s="46" t="s">
        <v>245</v>
      </c>
      <c r="AY17" s="46" t="s">
        <v>246</v>
      </c>
      <c r="AZ17" s="46"/>
      <c r="BA17" s="46"/>
      <c r="BB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2:76" s="4" customFormat="1" hidden="1" outlineLevel="1">
      <c r="B18" s="136" t="s">
        <v>42</v>
      </c>
      <c r="C18" s="39">
        <v>7</v>
      </c>
      <c r="D18" s="39"/>
      <c r="E18" s="39" t="s">
        <v>195</v>
      </c>
      <c r="F18" s="39"/>
      <c r="G18" s="39"/>
      <c r="H18" s="39"/>
      <c r="I18" s="39"/>
      <c r="J18" s="39"/>
      <c r="K18" s="39"/>
      <c r="M18" s="161" t="s">
        <v>261</v>
      </c>
      <c r="N18" s="159">
        <v>1.25</v>
      </c>
      <c r="O18" s="159" t="s">
        <v>109</v>
      </c>
      <c r="P18" s="137"/>
      <c r="Q18" s="137"/>
      <c r="R18" s="139" t="s">
        <v>172</v>
      </c>
      <c r="S18" s="140">
        <v>12</v>
      </c>
      <c r="T18" s="46" t="s">
        <v>109</v>
      </c>
      <c r="U18" s="46" t="s">
        <v>109</v>
      </c>
      <c r="V18" s="46" t="s">
        <v>109</v>
      </c>
      <c r="W18" s="46" t="s">
        <v>109</v>
      </c>
      <c r="X18" s="46" t="s">
        <v>109</v>
      </c>
      <c r="Y18" s="46" t="s">
        <v>109</v>
      </c>
      <c r="Z18" s="46" t="s">
        <v>109</v>
      </c>
      <c r="AB18" s="154" t="s">
        <v>204</v>
      </c>
      <c r="AC18" s="46">
        <v>40</v>
      </c>
      <c r="AD18" s="46" t="s">
        <v>109</v>
      </c>
      <c r="AE18" s="46" t="s">
        <v>109</v>
      </c>
      <c r="AF18" s="46" t="s">
        <v>109</v>
      </c>
      <c r="AG18" s="46" t="s">
        <v>109</v>
      </c>
      <c r="AH18" s="46" t="s">
        <v>109</v>
      </c>
      <c r="AI18" s="46" t="s">
        <v>109</v>
      </c>
      <c r="AJ18" s="46" t="s">
        <v>109</v>
      </c>
      <c r="AK18" s="46" t="s">
        <v>109</v>
      </c>
      <c r="AM18" s="162" t="s">
        <v>294</v>
      </c>
      <c r="AO18" s="163" t="s">
        <v>295</v>
      </c>
      <c r="AR18" s="5"/>
      <c r="AS18" s="5"/>
      <c r="AT18" s="5"/>
      <c r="AU18" s="41" t="s">
        <v>238</v>
      </c>
      <c r="AV18" s="42" t="s">
        <v>252</v>
      </c>
      <c r="AW18" s="43" t="s">
        <v>232</v>
      </c>
      <c r="AX18" s="42" t="s">
        <v>232</v>
      </c>
      <c r="AY18" s="43">
        <v>1</v>
      </c>
      <c r="AZ18" s="5">
        <v>1</v>
      </c>
      <c r="BA18" s="49" t="s">
        <v>249</v>
      </c>
      <c r="BB18" s="5"/>
    </row>
    <row r="19" spans="2:76" s="4" customFormat="1" ht="15" hidden="1" customHeight="1" outlineLevel="1">
      <c r="B19" s="136" t="s">
        <v>41</v>
      </c>
      <c r="C19" s="39">
        <v>8</v>
      </c>
      <c r="E19" s="39" t="s">
        <v>196</v>
      </c>
      <c r="F19" s="39"/>
      <c r="G19" s="39"/>
      <c r="H19" s="39"/>
      <c r="I19" s="39"/>
      <c r="J19" s="39"/>
      <c r="K19" s="39"/>
      <c r="M19" s="157" t="s">
        <v>263</v>
      </c>
      <c r="N19" s="159">
        <v>1.4</v>
      </c>
      <c r="O19" s="159" t="s">
        <v>109</v>
      </c>
      <c r="P19" s="137"/>
      <c r="Q19" s="137"/>
      <c r="R19" s="139" t="s">
        <v>124</v>
      </c>
      <c r="S19" s="164">
        <v>60</v>
      </c>
      <c r="T19" s="46" t="s">
        <v>109</v>
      </c>
      <c r="U19" s="46" t="s">
        <v>109</v>
      </c>
      <c r="V19" s="46" t="s">
        <v>109</v>
      </c>
      <c r="W19" s="46" t="s">
        <v>109</v>
      </c>
      <c r="X19" s="46">
        <v>70</v>
      </c>
      <c r="Y19" s="46" t="s">
        <v>109</v>
      </c>
      <c r="Z19" s="46">
        <v>90</v>
      </c>
      <c r="AB19" s="154" t="s">
        <v>205</v>
      </c>
      <c r="AC19" s="46">
        <v>40</v>
      </c>
      <c r="AD19" s="46" t="s">
        <v>109</v>
      </c>
      <c r="AE19" s="46" t="s">
        <v>109</v>
      </c>
      <c r="AF19" s="46" t="s">
        <v>109</v>
      </c>
      <c r="AG19" s="46" t="s">
        <v>109</v>
      </c>
      <c r="AH19" s="46" t="s">
        <v>109</v>
      </c>
      <c r="AI19" s="46" t="s">
        <v>109</v>
      </c>
      <c r="AJ19" s="46" t="s">
        <v>109</v>
      </c>
      <c r="AK19" s="46" t="s">
        <v>109</v>
      </c>
      <c r="AM19" s="136" t="s">
        <v>24</v>
      </c>
      <c r="AO19" s="160" t="s">
        <v>25</v>
      </c>
      <c r="AR19" s="5"/>
      <c r="AS19" s="5"/>
      <c r="AT19" s="5"/>
      <c r="AU19" s="41" t="s">
        <v>239</v>
      </c>
      <c r="AV19" s="42">
        <v>0</v>
      </c>
      <c r="AW19" s="43">
        <v>1</v>
      </c>
      <c r="AX19" s="42">
        <v>1</v>
      </c>
      <c r="AY19" s="43" t="s">
        <v>250</v>
      </c>
      <c r="AZ19" s="44" t="s">
        <v>251</v>
      </c>
      <c r="BA19" s="46"/>
      <c r="BB19" s="5"/>
    </row>
    <row r="20" spans="2:76" s="4" customFormat="1" ht="15.95" hidden="1" customHeight="1" outlineLevel="1">
      <c r="B20" s="136" t="s">
        <v>45</v>
      </c>
      <c r="C20" s="39">
        <v>9</v>
      </c>
      <c r="E20" s="39" t="s">
        <v>197</v>
      </c>
      <c r="F20" s="39"/>
      <c r="G20" s="39"/>
      <c r="H20" s="39"/>
      <c r="I20" s="39"/>
      <c r="J20" s="39"/>
      <c r="K20" s="39"/>
      <c r="M20" s="39"/>
      <c r="N20" s="39"/>
      <c r="O20" s="39"/>
      <c r="P20" s="137"/>
      <c r="Q20" s="137"/>
      <c r="R20" s="139" t="s">
        <v>125</v>
      </c>
      <c r="S20" s="164">
        <v>100</v>
      </c>
      <c r="T20" s="46" t="s">
        <v>109</v>
      </c>
      <c r="U20" s="46" t="s">
        <v>109</v>
      </c>
      <c r="V20" s="46" t="s">
        <v>109</v>
      </c>
      <c r="W20" s="46" t="s">
        <v>109</v>
      </c>
      <c r="X20" s="46" t="s">
        <v>109</v>
      </c>
      <c r="Y20" s="46" t="s">
        <v>109</v>
      </c>
      <c r="Z20" s="46" t="s">
        <v>109</v>
      </c>
      <c r="AB20" s="154" t="s">
        <v>113</v>
      </c>
      <c r="AC20" s="46">
        <v>80</v>
      </c>
      <c r="AD20" s="46" t="s">
        <v>109</v>
      </c>
      <c r="AE20" s="46" t="s">
        <v>109</v>
      </c>
      <c r="AF20" s="46" t="s">
        <v>109</v>
      </c>
      <c r="AG20" s="46" t="s">
        <v>109</v>
      </c>
      <c r="AH20" s="46" t="s">
        <v>109</v>
      </c>
      <c r="AI20" s="46" t="s">
        <v>109</v>
      </c>
      <c r="AJ20" s="46" t="s">
        <v>109</v>
      </c>
      <c r="AK20" s="46" t="s">
        <v>109</v>
      </c>
      <c r="AM20" s="136" t="s">
        <v>32</v>
      </c>
      <c r="AO20" s="160" t="s">
        <v>24</v>
      </c>
      <c r="AR20" s="5"/>
      <c r="AS20" s="5"/>
      <c r="AT20" s="5"/>
      <c r="AU20" s="41" t="s">
        <v>240</v>
      </c>
      <c r="AV20" s="42" t="s">
        <v>252</v>
      </c>
      <c r="AW20" s="42" t="s">
        <v>252</v>
      </c>
      <c r="AX20" s="44" t="s">
        <v>253</v>
      </c>
      <c r="AY20" s="42">
        <v>2</v>
      </c>
      <c r="AZ20" s="5">
        <v>1</v>
      </c>
      <c r="BA20" s="46" t="s">
        <v>249</v>
      </c>
      <c r="BB20" s="5"/>
    </row>
    <row r="21" spans="2:76" s="4" customFormat="1" hidden="1" outlineLevel="1">
      <c r="B21" s="136" t="s">
        <v>8</v>
      </c>
      <c r="C21" s="39">
        <v>10</v>
      </c>
      <c r="E21" s="165" t="s">
        <v>50</v>
      </c>
      <c r="F21" s="39"/>
      <c r="G21" s="39"/>
      <c r="H21" s="39"/>
      <c r="I21" s="39"/>
      <c r="J21" s="39"/>
      <c r="K21" s="39"/>
      <c r="P21" s="141"/>
      <c r="Q21" s="141"/>
      <c r="R21" s="152" t="s">
        <v>50</v>
      </c>
      <c r="S21" s="140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54" t="s">
        <v>206</v>
      </c>
      <c r="AC21" s="46">
        <v>40</v>
      </c>
      <c r="AD21" s="46" t="s">
        <v>109</v>
      </c>
      <c r="AE21" s="46" t="s">
        <v>109</v>
      </c>
      <c r="AF21" s="46" t="s">
        <v>109</v>
      </c>
      <c r="AG21" s="46" t="s">
        <v>109</v>
      </c>
      <c r="AH21" s="46" t="s">
        <v>109</v>
      </c>
      <c r="AI21" s="46" t="s">
        <v>109</v>
      </c>
      <c r="AJ21" s="46" t="s">
        <v>109</v>
      </c>
      <c r="AK21" s="46" t="s">
        <v>109</v>
      </c>
      <c r="AM21" s="136" t="s">
        <v>28</v>
      </c>
      <c r="AO21" s="160" t="s">
        <v>32</v>
      </c>
      <c r="AU21" s="41" t="s">
        <v>241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 spans="2:76" s="4" customFormat="1" hidden="1" outlineLevel="1">
      <c r="F22" s="39"/>
      <c r="G22" s="39"/>
      <c r="H22" s="39"/>
      <c r="I22" s="39"/>
      <c r="J22" s="39"/>
      <c r="K22" s="39"/>
      <c r="P22" s="141"/>
      <c r="Q22" s="141"/>
      <c r="S22" s="166"/>
      <c r="AB22" s="154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109</v>
      </c>
      <c r="AI22" s="46" t="s">
        <v>109</v>
      </c>
      <c r="AJ22" s="46" t="s">
        <v>109</v>
      </c>
      <c r="AK22" s="46" t="s">
        <v>109</v>
      </c>
      <c r="AM22" s="136" t="s">
        <v>33</v>
      </c>
      <c r="AO22" s="160" t="s">
        <v>27</v>
      </c>
      <c r="AU22" s="41" t="s">
        <v>67</v>
      </c>
      <c r="AV22" s="42" t="s">
        <v>252</v>
      </c>
      <c r="AW22" s="43" t="s">
        <v>232</v>
      </c>
      <c r="AX22" s="42" t="s">
        <v>232</v>
      </c>
      <c r="AY22" s="42">
        <v>0</v>
      </c>
      <c r="AZ22" s="5">
        <v>1</v>
      </c>
      <c r="BA22" s="46"/>
      <c r="BB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</row>
    <row r="23" spans="2:76" s="4" customFormat="1" ht="45" hidden="1" outlineLevel="1">
      <c r="F23" s="39"/>
      <c r="G23" s="39"/>
      <c r="H23" s="39"/>
      <c r="I23" s="39"/>
      <c r="J23" s="39"/>
      <c r="K23" s="39"/>
      <c r="P23" s="141"/>
      <c r="Q23" s="141"/>
      <c r="S23" s="166"/>
      <c r="AB23" s="152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6" t="s">
        <v>15</v>
      </c>
      <c r="AO23" s="160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250</v>
      </c>
      <c r="AZ23" s="5">
        <v>1</v>
      </c>
      <c r="BA23" s="46"/>
      <c r="BB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</row>
    <row r="24" spans="2:76" s="4" customFormat="1" ht="24.95" hidden="1" customHeight="1" outlineLevel="1">
      <c r="B24" s="154" t="s">
        <v>181</v>
      </c>
      <c r="F24" s="39"/>
      <c r="G24" s="39"/>
      <c r="H24" s="39"/>
      <c r="I24" s="39"/>
      <c r="J24" s="39"/>
      <c r="K24" s="39"/>
      <c r="M24" s="167">
        <v>2018</v>
      </c>
      <c r="N24" s="167"/>
      <c r="O24" s="167"/>
      <c r="P24" s="141"/>
      <c r="Q24" s="141"/>
      <c r="S24" s="166"/>
      <c r="AM24" s="136"/>
      <c r="AO24" s="160" t="s">
        <v>33</v>
      </c>
      <c r="AU24" s="41" t="s">
        <v>242</v>
      </c>
      <c r="AV24" s="42" t="s">
        <v>252</v>
      </c>
      <c r="AW24" s="42" t="s">
        <v>252</v>
      </c>
      <c r="AX24" s="44" t="s">
        <v>253</v>
      </c>
      <c r="AY24" s="42">
        <v>1</v>
      </c>
      <c r="AZ24" s="5"/>
      <c r="BA24" s="46"/>
      <c r="BB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</row>
    <row r="25" spans="2:76" s="4" customFormat="1" hidden="1" outlineLevel="1">
      <c r="B25" s="4" t="s">
        <v>291</v>
      </c>
      <c r="F25" s="39" t="s">
        <v>300</v>
      </c>
      <c r="G25" s="39"/>
      <c r="H25" s="39" t="s">
        <v>289</v>
      </c>
      <c r="I25" s="39"/>
      <c r="J25" s="39" t="s">
        <v>288</v>
      </c>
      <c r="K25" s="39"/>
      <c r="M25" s="168" t="s">
        <v>47</v>
      </c>
      <c r="N25" s="168"/>
      <c r="O25" s="169"/>
      <c r="P25" s="141"/>
      <c r="Q25" s="141"/>
      <c r="S25" s="166"/>
      <c r="AM25" s="136"/>
      <c r="AO25" s="136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248</v>
      </c>
      <c r="BB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</row>
    <row r="26" spans="2:76" s="4" customFormat="1" hidden="1" outlineLevel="1">
      <c r="B26" s="4" t="s">
        <v>292</v>
      </c>
      <c r="F26" s="139" t="s">
        <v>67</v>
      </c>
      <c r="G26" s="39"/>
      <c r="H26" s="39"/>
      <c r="I26" s="39"/>
      <c r="J26" s="39"/>
      <c r="K26" s="39"/>
      <c r="M26" s="170" t="s">
        <v>39</v>
      </c>
      <c r="N26" s="171">
        <v>1.7</v>
      </c>
      <c r="O26" s="171"/>
      <c r="P26" s="141"/>
      <c r="Q26" s="141"/>
      <c r="S26" s="166"/>
      <c r="AB26" s="333" t="s">
        <v>182</v>
      </c>
      <c r="AC26" s="333"/>
      <c r="AD26" s="333"/>
      <c r="AE26" s="333"/>
      <c r="AF26" s="333"/>
      <c r="AG26" s="333"/>
      <c r="AH26" s="333"/>
      <c r="AI26" s="333"/>
      <c r="AJ26" s="333"/>
      <c r="AK26" s="333"/>
      <c r="AM26" s="162" t="s">
        <v>296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249</v>
      </c>
      <c r="BB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2:76" s="4" customFormat="1" ht="15" hidden="1" outlineLevel="1">
      <c r="B27" s="4" t="s">
        <v>293</v>
      </c>
      <c r="F27" s="139" t="s">
        <v>178</v>
      </c>
      <c r="G27" s="39"/>
      <c r="H27" s="139" t="s">
        <v>58</v>
      </c>
      <c r="I27" s="39"/>
      <c r="J27" s="139"/>
      <c r="K27" s="39"/>
      <c r="M27" s="170" t="s">
        <v>38</v>
      </c>
      <c r="N27" s="171">
        <v>1.4</v>
      </c>
      <c r="O27" s="171"/>
      <c r="P27" s="141"/>
      <c r="Q27" s="141"/>
      <c r="R27" s="332" t="s">
        <v>182</v>
      </c>
      <c r="S27" s="332"/>
      <c r="T27" s="332"/>
      <c r="U27" s="332"/>
      <c r="V27" s="332"/>
      <c r="W27" s="332"/>
      <c r="X27" s="332"/>
      <c r="Y27" s="332"/>
      <c r="Z27" s="332"/>
      <c r="AB27" s="139" t="s">
        <v>17</v>
      </c>
      <c r="AC27" s="142" t="s">
        <v>146</v>
      </c>
      <c r="AD27" s="142" t="s">
        <v>94</v>
      </c>
      <c r="AE27" s="142" t="s">
        <v>95</v>
      </c>
      <c r="AF27" s="142" t="s">
        <v>177</v>
      </c>
      <c r="AG27" s="142" t="s">
        <v>176</v>
      </c>
      <c r="AH27" s="142" t="s">
        <v>149</v>
      </c>
      <c r="AI27" s="142" t="s">
        <v>148</v>
      </c>
      <c r="AJ27" s="142" t="s">
        <v>150</v>
      </c>
      <c r="AK27" s="142" t="s">
        <v>151</v>
      </c>
      <c r="AM27" s="136"/>
      <c r="AU27" s="41" t="s">
        <v>247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248</v>
      </c>
      <c r="BB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</row>
    <row r="28" spans="2:76" s="4" customFormat="1" hidden="1" outlineLevel="1">
      <c r="F28" s="139" t="s">
        <v>53</v>
      </c>
      <c r="G28" s="39"/>
      <c r="H28" s="139" t="s">
        <v>55</v>
      </c>
      <c r="I28" s="39"/>
      <c r="J28" s="139" t="s">
        <v>57</v>
      </c>
      <c r="K28" s="39"/>
      <c r="M28" s="170" t="s">
        <v>10</v>
      </c>
      <c r="N28" s="171">
        <v>1</v>
      </c>
      <c r="O28" s="171"/>
      <c r="P28" s="141"/>
      <c r="Q28" s="141"/>
      <c r="R28" s="139" t="s">
        <v>16</v>
      </c>
      <c r="S28" s="172" t="s">
        <v>147</v>
      </c>
      <c r="T28" s="173" t="s">
        <v>94</v>
      </c>
      <c r="U28" s="173" t="s">
        <v>95</v>
      </c>
      <c r="V28" s="142" t="s">
        <v>177</v>
      </c>
      <c r="W28" s="142" t="s">
        <v>176</v>
      </c>
      <c r="X28" s="142" t="s">
        <v>149</v>
      </c>
      <c r="Y28" s="142" t="s">
        <v>148</v>
      </c>
      <c r="Z28" s="142" t="s">
        <v>150</v>
      </c>
      <c r="AB28" s="139" t="s">
        <v>58</v>
      </c>
      <c r="AC28" s="46" t="s">
        <v>109</v>
      </c>
      <c r="AD28" s="46" t="s">
        <v>109</v>
      </c>
      <c r="AE28" s="46" t="s">
        <v>109</v>
      </c>
      <c r="AF28" s="46" t="s">
        <v>109</v>
      </c>
      <c r="AG28" s="46" t="s">
        <v>109</v>
      </c>
      <c r="AH28" s="46" t="s">
        <v>109</v>
      </c>
      <c r="AI28" s="46" t="s">
        <v>109</v>
      </c>
      <c r="AJ28" s="46" t="s">
        <v>109</v>
      </c>
      <c r="AK28" s="46" t="s">
        <v>109</v>
      </c>
      <c r="AM28" s="136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</row>
    <row r="29" spans="2:76" s="4" customFormat="1" hidden="1" outlineLevel="1">
      <c r="F29" s="139" t="s">
        <v>54</v>
      </c>
      <c r="G29" s="39"/>
      <c r="H29" s="139" t="s">
        <v>79</v>
      </c>
      <c r="I29" s="39"/>
      <c r="J29" s="139" t="s">
        <v>55</v>
      </c>
      <c r="K29" s="39"/>
      <c r="M29" s="170" t="s">
        <v>11</v>
      </c>
      <c r="N29" s="171">
        <v>0.65</v>
      </c>
      <c r="O29" s="167"/>
      <c r="P29" s="141"/>
      <c r="Q29" s="141"/>
      <c r="R29" s="139" t="s">
        <v>67</v>
      </c>
      <c r="S29" s="164" t="s">
        <v>109</v>
      </c>
      <c r="T29" s="148">
        <v>15</v>
      </c>
      <c r="U29" s="148">
        <v>15</v>
      </c>
      <c r="V29" s="46" t="s">
        <v>109</v>
      </c>
      <c r="W29" s="46" t="s">
        <v>109</v>
      </c>
      <c r="X29" s="46" t="s">
        <v>109</v>
      </c>
      <c r="Y29" s="46" t="s">
        <v>109</v>
      </c>
      <c r="Z29" s="46" t="s">
        <v>109</v>
      </c>
      <c r="AB29" s="139" t="s">
        <v>57</v>
      </c>
      <c r="AC29" s="46" t="s">
        <v>109</v>
      </c>
      <c r="AD29" s="46">
        <v>30</v>
      </c>
      <c r="AE29" s="46">
        <v>30</v>
      </c>
      <c r="AF29" s="46" t="s">
        <v>109</v>
      </c>
      <c r="AG29" s="46" t="s">
        <v>109</v>
      </c>
      <c r="AH29" s="46" t="s">
        <v>109</v>
      </c>
      <c r="AI29" s="46" t="s">
        <v>109</v>
      </c>
      <c r="AJ29" s="46" t="s">
        <v>109</v>
      </c>
      <c r="AK29" s="46" t="s">
        <v>109</v>
      </c>
      <c r="AM29" s="136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</row>
    <row r="30" spans="2:76" s="4" customFormat="1" hidden="1" outlineLevel="1">
      <c r="D30" s="39"/>
      <c r="F30" s="152" t="s">
        <v>50</v>
      </c>
      <c r="G30" s="39"/>
      <c r="H30" s="139" t="s">
        <v>56</v>
      </c>
      <c r="I30" s="39"/>
      <c r="J30" s="139" t="s">
        <v>186</v>
      </c>
      <c r="K30" s="39"/>
      <c r="M30" s="171"/>
      <c r="N30" s="171"/>
      <c r="O30" s="167"/>
      <c r="P30" s="141"/>
      <c r="Q30" s="141"/>
      <c r="R30" s="139" t="s">
        <v>178</v>
      </c>
      <c r="S30" s="164" t="s">
        <v>109</v>
      </c>
      <c r="T30" s="148">
        <v>18</v>
      </c>
      <c r="U30" s="148">
        <v>18</v>
      </c>
      <c r="V30" s="46" t="s">
        <v>109</v>
      </c>
      <c r="W30" s="46" t="s">
        <v>109</v>
      </c>
      <c r="X30" s="46" t="s">
        <v>109</v>
      </c>
      <c r="Y30" s="46" t="s">
        <v>109</v>
      </c>
      <c r="Z30" s="46" t="s">
        <v>109</v>
      </c>
      <c r="AB30" s="139" t="s">
        <v>55</v>
      </c>
      <c r="AC30" s="46">
        <v>-5</v>
      </c>
      <c r="AD30" s="46">
        <v>-10</v>
      </c>
      <c r="AE30" s="46">
        <v>-10</v>
      </c>
      <c r="AF30" s="46" t="s">
        <v>109</v>
      </c>
      <c r="AG30" s="46" t="s">
        <v>109</v>
      </c>
      <c r="AH30" s="46" t="s">
        <v>109</v>
      </c>
      <c r="AI30" s="46">
        <v>-10</v>
      </c>
      <c r="AJ30" s="46" t="s">
        <v>109</v>
      </c>
      <c r="AK30" s="46" t="s">
        <v>109</v>
      </c>
      <c r="AM30" s="136" t="s">
        <v>32</v>
      </c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</row>
    <row r="31" spans="2:76" s="4" customFormat="1" hidden="1" outlineLevel="1">
      <c r="D31" s="39"/>
      <c r="F31" s="139"/>
      <c r="G31" s="39"/>
      <c r="H31" s="146" t="s">
        <v>214</v>
      </c>
      <c r="I31" s="39"/>
      <c r="J31" s="139" t="s">
        <v>52</v>
      </c>
      <c r="K31" s="39"/>
      <c r="M31" s="174" t="s">
        <v>9</v>
      </c>
      <c r="N31" s="175" t="s">
        <v>187</v>
      </c>
      <c r="O31" s="171" t="s">
        <v>188</v>
      </c>
      <c r="P31" s="141"/>
      <c r="Q31" s="141"/>
      <c r="R31" s="139" t="s">
        <v>53</v>
      </c>
      <c r="S31" s="164">
        <v>15</v>
      </c>
      <c r="T31" s="148">
        <v>20</v>
      </c>
      <c r="U31" s="148">
        <v>20</v>
      </c>
      <c r="V31" s="46" t="s">
        <v>109</v>
      </c>
      <c r="W31" s="46" t="s">
        <v>109</v>
      </c>
      <c r="X31" s="46" t="s">
        <v>109</v>
      </c>
      <c r="Y31" s="46" t="s">
        <v>109</v>
      </c>
      <c r="Z31" s="46" t="s">
        <v>109</v>
      </c>
      <c r="AB31" s="139" t="s">
        <v>79</v>
      </c>
      <c r="AC31" s="46" t="s">
        <v>109</v>
      </c>
      <c r="AD31" s="46">
        <v>10</v>
      </c>
      <c r="AE31" s="46">
        <v>10</v>
      </c>
      <c r="AF31" s="46" t="s">
        <v>109</v>
      </c>
      <c r="AG31" s="46" t="s">
        <v>109</v>
      </c>
      <c r="AH31" s="46" t="s">
        <v>109</v>
      </c>
      <c r="AI31" s="46" t="s">
        <v>109</v>
      </c>
      <c r="AJ31" s="46" t="s">
        <v>109</v>
      </c>
      <c r="AK31" s="46" t="s">
        <v>109</v>
      </c>
      <c r="AM31" s="136" t="s">
        <v>299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</row>
    <row r="32" spans="2:76" s="4" customFormat="1" hidden="1" outlineLevel="1">
      <c r="D32" s="39"/>
      <c r="F32" s="139"/>
      <c r="G32" s="39"/>
      <c r="H32" s="139" t="s">
        <v>123</v>
      </c>
      <c r="I32" s="39"/>
      <c r="J32" s="139" t="s">
        <v>122</v>
      </c>
      <c r="K32" s="39"/>
      <c r="M32" s="170" t="s">
        <v>116</v>
      </c>
      <c r="N32" s="176">
        <v>1.8</v>
      </c>
      <c r="O32" s="171">
        <v>2.2999999999999998</v>
      </c>
      <c r="P32" s="141"/>
      <c r="Q32" s="141"/>
      <c r="R32" s="139" t="s">
        <v>54</v>
      </c>
      <c r="S32" s="177">
        <v>4</v>
      </c>
      <c r="T32" s="148">
        <v>6</v>
      </c>
      <c r="U32" s="148">
        <v>6</v>
      </c>
      <c r="V32" s="46" t="s">
        <v>109</v>
      </c>
      <c r="W32" s="46" t="s">
        <v>109</v>
      </c>
      <c r="X32" s="46" t="s">
        <v>109</v>
      </c>
      <c r="Y32" s="46" t="s">
        <v>109</v>
      </c>
      <c r="Z32" s="46" t="s">
        <v>109</v>
      </c>
      <c r="AB32" s="139" t="s">
        <v>169</v>
      </c>
      <c r="AC32" s="46" t="s">
        <v>109</v>
      </c>
      <c r="AD32" s="46" t="s">
        <v>109</v>
      </c>
      <c r="AE32" s="46" t="s">
        <v>109</v>
      </c>
      <c r="AF32" s="46" t="s">
        <v>109</v>
      </c>
      <c r="AG32" s="46" t="s">
        <v>109</v>
      </c>
      <c r="AH32" s="46" t="s">
        <v>109</v>
      </c>
      <c r="AI32" s="46" t="s">
        <v>109</v>
      </c>
      <c r="AJ32" s="46" t="s">
        <v>109</v>
      </c>
      <c r="AK32" s="46" t="s">
        <v>109</v>
      </c>
      <c r="AM32" s="136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</row>
    <row r="33" spans="2:94" hidden="1" outlineLevel="1">
      <c r="C33" s="4"/>
      <c r="D33" s="39"/>
      <c r="F33" s="139"/>
      <c r="G33" s="39"/>
      <c r="H33" s="139" t="s">
        <v>279</v>
      </c>
      <c r="I33" s="39"/>
      <c r="J33" s="139" t="s">
        <v>186</v>
      </c>
      <c r="K33" s="39"/>
      <c r="M33" s="170" t="s">
        <v>118</v>
      </c>
      <c r="N33" s="176">
        <v>1</v>
      </c>
      <c r="O33" s="171">
        <v>1</v>
      </c>
      <c r="R33" s="139" t="s">
        <v>68</v>
      </c>
      <c r="S33" s="164" t="s">
        <v>109</v>
      </c>
      <c r="T33" s="148" t="s">
        <v>109</v>
      </c>
      <c r="U33" s="148" t="s">
        <v>109</v>
      </c>
      <c r="V33" s="46" t="s">
        <v>109</v>
      </c>
      <c r="W33" s="46" t="s">
        <v>109</v>
      </c>
      <c r="X33" s="46" t="s">
        <v>109</v>
      </c>
      <c r="Y33" s="46" t="s">
        <v>109</v>
      </c>
      <c r="Z33" s="46" t="s">
        <v>109</v>
      </c>
      <c r="AB33" s="139" t="s">
        <v>56</v>
      </c>
      <c r="AC33" s="46">
        <v>25</v>
      </c>
      <c r="AD33" s="46">
        <v>40</v>
      </c>
      <c r="AE33" s="46">
        <v>40</v>
      </c>
      <c r="AF33" s="46" t="s">
        <v>109</v>
      </c>
      <c r="AG33" s="46" t="s">
        <v>109</v>
      </c>
      <c r="AH33" s="46" t="s">
        <v>109</v>
      </c>
      <c r="AI33" s="46" t="s">
        <v>109</v>
      </c>
      <c r="AJ33" s="46" t="s">
        <v>109</v>
      </c>
      <c r="AK33" s="46" t="s">
        <v>109</v>
      </c>
      <c r="AM33" s="136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</row>
    <row r="34" spans="2:94" hidden="1" outlineLevel="1">
      <c r="B34" s="178"/>
      <c r="C34" s="4"/>
      <c r="D34" s="39"/>
      <c r="F34" s="152"/>
      <c r="G34" s="39"/>
      <c r="H34" s="139" t="s">
        <v>52</v>
      </c>
      <c r="I34" s="39"/>
      <c r="J34" s="154" t="s">
        <v>113</v>
      </c>
      <c r="K34" s="39"/>
      <c r="M34" s="170" t="s">
        <v>117</v>
      </c>
      <c r="N34" s="176">
        <v>0.6</v>
      </c>
      <c r="O34" s="171">
        <v>0.6</v>
      </c>
      <c r="R34" s="139" t="s">
        <v>13</v>
      </c>
      <c r="S34" s="164" t="s">
        <v>109</v>
      </c>
      <c r="T34" s="148" t="s">
        <v>109</v>
      </c>
      <c r="U34" s="148" t="s">
        <v>109</v>
      </c>
      <c r="V34" s="46" t="s">
        <v>109</v>
      </c>
      <c r="W34" s="46" t="s">
        <v>109</v>
      </c>
      <c r="X34" s="46" t="s">
        <v>109</v>
      </c>
      <c r="Y34" s="46" t="s">
        <v>109</v>
      </c>
      <c r="Z34" s="46" t="s">
        <v>109</v>
      </c>
      <c r="AB34" s="139" t="s">
        <v>186</v>
      </c>
      <c r="AC34" s="46">
        <v>40</v>
      </c>
      <c r="AD34" s="46">
        <v>60</v>
      </c>
      <c r="AE34" s="46">
        <v>60</v>
      </c>
      <c r="AF34" s="46" t="s">
        <v>109</v>
      </c>
      <c r="AG34" s="46" t="s">
        <v>109</v>
      </c>
      <c r="AH34" s="46" t="s">
        <v>109</v>
      </c>
      <c r="AI34" s="46" t="s">
        <v>109</v>
      </c>
      <c r="AJ34" s="46" t="s">
        <v>109</v>
      </c>
      <c r="AK34" s="46" t="s">
        <v>109</v>
      </c>
      <c r="AM34" s="136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</row>
    <row r="35" spans="2:94" hidden="1" outlineLevel="1">
      <c r="B35" s="154"/>
      <c r="C35" s="4"/>
      <c r="D35" s="39"/>
      <c r="F35" s="39"/>
      <c r="G35" s="39"/>
      <c r="H35" s="154" t="s">
        <v>65</v>
      </c>
      <c r="I35" s="39"/>
      <c r="J35" s="154" t="s">
        <v>206</v>
      </c>
      <c r="K35" s="39"/>
      <c r="M35" s="179" t="s">
        <v>50</v>
      </c>
      <c r="N35" s="176">
        <v>1</v>
      </c>
      <c r="O35" s="171">
        <v>1</v>
      </c>
      <c r="R35" s="139" t="s">
        <v>102</v>
      </c>
      <c r="S35" s="164" t="s">
        <v>109</v>
      </c>
      <c r="T35" s="148" t="s">
        <v>109</v>
      </c>
      <c r="U35" s="148" t="s">
        <v>109</v>
      </c>
      <c r="V35" s="46" t="s">
        <v>109</v>
      </c>
      <c r="W35" s="46" t="s">
        <v>109</v>
      </c>
      <c r="X35" s="46" t="s">
        <v>109</v>
      </c>
      <c r="Y35" s="46" t="s">
        <v>109</v>
      </c>
      <c r="Z35" s="46" t="s">
        <v>109</v>
      </c>
      <c r="AB35" s="139" t="s">
        <v>123</v>
      </c>
      <c r="AC35" s="46" t="s">
        <v>109</v>
      </c>
      <c r="AD35" s="46" t="s">
        <v>109</v>
      </c>
      <c r="AE35" s="46" t="s">
        <v>109</v>
      </c>
      <c r="AF35" s="46" t="s">
        <v>109</v>
      </c>
      <c r="AG35" s="46" t="s">
        <v>109</v>
      </c>
      <c r="AH35" s="46" t="s">
        <v>109</v>
      </c>
      <c r="AI35" s="46" t="s">
        <v>109</v>
      </c>
      <c r="AJ35" s="46" t="s">
        <v>109</v>
      </c>
      <c r="AK35" s="46" t="s">
        <v>109</v>
      </c>
      <c r="AM35" s="136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</row>
    <row r="36" spans="2:94" hidden="1" outlineLevel="1">
      <c r="B36" s="154"/>
      <c r="C36" s="4"/>
      <c r="D36" s="39"/>
      <c r="F36" s="39"/>
      <c r="G36" s="39"/>
      <c r="H36" s="139" t="s">
        <v>64</v>
      </c>
      <c r="I36" s="39"/>
      <c r="J36" s="154" t="s">
        <v>63</v>
      </c>
      <c r="K36" s="39"/>
      <c r="M36" s="171"/>
      <c r="N36" s="171"/>
      <c r="O36" s="167"/>
      <c r="R36" s="139" t="s">
        <v>66</v>
      </c>
      <c r="S36" s="164" t="s">
        <v>109</v>
      </c>
      <c r="T36" s="148" t="s">
        <v>109</v>
      </c>
      <c r="U36" s="148" t="s">
        <v>109</v>
      </c>
      <c r="V36" s="46" t="s">
        <v>109</v>
      </c>
      <c r="W36" s="46" t="s">
        <v>109</v>
      </c>
      <c r="X36" s="46" t="s">
        <v>109</v>
      </c>
      <c r="Y36" s="46" t="s">
        <v>109</v>
      </c>
      <c r="Z36" s="46" t="s">
        <v>109</v>
      </c>
      <c r="AB36" s="139" t="s">
        <v>52</v>
      </c>
      <c r="AC36" s="46">
        <v>10</v>
      </c>
      <c r="AD36" s="46">
        <v>10</v>
      </c>
      <c r="AE36" s="46">
        <v>10</v>
      </c>
      <c r="AF36" s="46" t="s">
        <v>109</v>
      </c>
      <c r="AG36" s="46" t="s">
        <v>109</v>
      </c>
      <c r="AH36" s="46" t="s">
        <v>109</v>
      </c>
      <c r="AI36" s="46" t="s">
        <v>109</v>
      </c>
      <c r="AJ36" s="46" t="s">
        <v>109</v>
      </c>
      <c r="AK36" s="46" t="s">
        <v>109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</row>
    <row r="37" spans="2:94" hidden="1" outlineLevel="1">
      <c r="B37" s="154"/>
      <c r="C37" s="4"/>
      <c r="D37" s="39"/>
      <c r="F37" s="39"/>
      <c r="G37" s="39"/>
      <c r="H37" s="139" t="s">
        <v>145</v>
      </c>
      <c r="I37" s="39"/>
      <c r="J37" s="152" t="s">
        <v>50</v>
      </c>
      <c r="K37" s="39"/>
      <c r="M37" s="174" t="s">
        <v>48</v>
      </c>
      <c r="N37" s="175" t="s">
        <v>187</v>
      </c>
      <c r="O37" s="171" t="s">
        <v>188</v>
      </c>
      <c r="R37" s="152" t="s">
        <v>50</v>
      </c>
      <c r="S37" s="164">
        <v>0</v>
      </c>
      <c r="T37" s="148">
        <v>0</v>
      </c>
      <c r="U37" s="148">
        <v>0</v>
      </c>
      <c r="V37" s="46" t="s">
        <v>109</v>
      </c>
      <c r="W37" s="46" t="s">
        <v>109</v>
      </c>
      <c r="X37" s="46" t="s">
        <v>109</v>
      </c>
      <c r="Y37" s="46">
        <v>0</v>
      </c>
      <c r="Z37" s="46" t="s">
        <v>109</v>
      </c>
      <c r="AB37" s="154" t="s">
        <v>65</v>
      </c>
      <c r="AC37" s="46" t="s">
        <v>109</v>
      </c>
      <c r="AD37" s="46" t="s">
        <v>109</v>
      </c>
      <c r="AE37" s="46" t="s">
        <v>109</v>
      </c>
      <c r="AF37" s="46" t="s">
        <v>109</v>
      </c>
      <c r="AG37" s="46" t="s">
        <v>109</v>
      </c>
      <c r="AH37" s="46" t="s">
        <v>109</v>
      </c>
      <c r="AI37" s="46" t="s">
        <v>109</v>
      </c>
      <c r="AJ37" s="46" t="s">
        <v>109</v>
      </c>
      <c r="AK37" s="46" t="s">
        <v>109</v>
      </c>
      <c r="AW37" s="180"/>
      <c r="BF37" s="5"/>
      <c r="BG37" s="5"/>
      <c r="BH37" s="5"/>
      <c r="BI37" s="5"/>
      <c r="BP37" s="41"/>
      <c r="BQ37" s="41"/>
      <c r="BU37" s="5"/>
      <c r="BV37" s="5"/>
      <c r="CL37" s="4"/>
      <c r="CM37" s="4"/>
      <c r="CN37" s="4"/>
      <c r="CO37" s="4"/>
      <c r="CP37" s="4"/>
    </row>
    <row r="38" spans="2:94" hidden="1" outlineLevel="1">
      <c r="B38" s="154"/>
      <c r="C38" s="4"/>
      <c r="D38" s="39"/>
      <c r="F38" s="39"/>
      <c r="G38" s="39"/>
      <c r="H38" s="139" t="s">
        <v>103</v>
      </c>
      <c r="I38" s="39"/>
      <c r="J38" s="139"/>
      <c r="K38" s="39"/>
      <c r="M38" s="179" t="s">
        <v>108</v>
      </c>
      <c r="N38" s="171">
        <v>0.7</v>
      </c>
      <c r="O38" s="171">
        <v>0.8</v>
      </c>
      <c r="R38" s="139" t="s">
        <v>62</v>
      </c>
      <c r="S38" s="181">
        <v>8</v>
      </c>
      <c r="T38" s="132">
        <v>15</v>
      </c>
      <c r="U38" s="132">
        <v>15</v>
      </c>
      <c r="V38" s="46" t="s">
        <v>109</v>
      </c>
      <c r="W38" s="46" t="s">
        <v>109</v>
      </c>
      <c r="X38" s="46" t="s">
        <v>109</v>
      </c>
      <c r="Y38" s="46" t="s">
        <v>109</v>
      </c>
      <c r="Z38" s="46" t="s">
        <v>109</v>
      </c>
      <c r="AB38" s="139" t="s">
        <v>64</v>
      </c>
      <c r="AC38" s="46" t="s">
        <v>109</v>
      </c>
      <c r="AD38" s="46" t="s">
        <v>109</v>
      </c>
      <c r="AE38" s="46" t="s">
        <v>109</v>
      </c>
      <c r="AF38" s="46" t="s">
        <v>109</v>
      </c>
      <c r="AG38" s="46" t="s">
        <v>109</v>
      </c>
      <c r="AH38" s="46" t="s">
        <v>109</v>
      </c>
      <c r="AI38" s="46" t="s">
        <v>109</v>
      </c>
      <c r="AJ38" s="46" t="s">
        <v>109</v>
      </c>
      <c r="AK38" s="46" t="s">
        <v>109</v>
      </c>
      <c r="AM38" s="162" t="s">
        <v>297</v>
      </c>
      <c r="AN38" s="182" t="s">
        <v>298</v>
      </c>
      <c r="AO38" s="139"/>
      <c r="AW38" s="180"/>
      <c r="BF38" s="5"/>
      <c r="BG38" s="5"/>
      <c r="BH38" s="5"/>
      <c r="BI38" s="5"/>
      <c r="BP38" s="41"/>
      <c r="BQ38" s="41"/>
      <c r="BU38" s="5"/>
      <c r="BV38" s="5"/>
      <c r="CL38" s="4"/>
      <c r="CM38" s="4"/>
      <c r="CN38" s="4"/>
      <c r="CO38" s="4"/>
      <c r="CP38" s="4"/>
    </row>
    <row r="39" spans="2:94" hidden="1" outlineLevel="1">
      <c r="B39" s="154"/>
      <c r="C39" s="4"/>
      <c r="D39" s="39"/>
      <c r="F39" s="39"/>
      <c r="G39" s="39"/>
      <c r="H39" s="139" t="s">
        <v>122</v>
      </c>
      <c r="I39" s="39"/>
      <c r="J39" s="139"/>
      <c r="K39" s="39"/>
      <c r="M39" s="170" t="s">
        <v>51</v>
      </c>
      <c r="N39" s="171">
        <v>1</v>
      </c>
      <c r="O39" s="171">
        <v>1</v>
      </c>
      <c r="R39" s="139" t="s">
        <v>59</v>
      </c>
      <c r="S39" s="140">
        <v>20</v>
      </c>
      <c r="T39" s="132">
        <v>25</v>
      </c>
      <c r="U39" s="132">
        <v>25</v>
      </c>
      <c r="V39" s="46" t="s">
        <v>109</v>
      </c>
      <c r="W39" s="46" t="s">
        <v>109</v>
      </c>
      <c r="X39" s="46" t="s">
        <v>109</v>
      </c>
      <c r="Y39" s="46" t="s">
        <v>109</v>
      </c>
      <c r="Z39" s="46">
        <v>60</v>
      </c>
      <c r="AB39" s="139" t="s">
        <v>145</v>
      </c>
      <c r="AC39" s="46" t="s">
        <v>109</v>
      </c>
      <c r="AD39" s="46" t="s">
        <v>109</v>
      </c>
      <c r="AE39" s="46" t="s">
        <v>109</v>
      </c>
      <c r="AF39" s="46" t="s">
        <v>109</v>
      </c>
      <c r="AG39" s="46" t="s">
        <v>109</v>
      </c>
      <c r="AH39" s="46" t="s">
        <v>109</v>
      </c>
      <c r="AI39" s="46" t="s">
        <v>109</v>
      </c>
      <c r="AJ39" s="46" t="s">
        <v>109</v>
      </c>
      <c r="AK39" s="46" t="s">
        <v>109</v>
      </c>
      <c r="AW39" s="180"/>
      <c r="BF39" s="5"/>
      <c r="BG39" s="5"/>
      <c r="BH39" s="5"/>
      <c r="BI39" s="5"/>
      <c r="BP39" s="41"/>
      <c r="BQ39" s="41"/>
      <c r="BU39" s="5"/>
      <c r="BV39" s="5"/>
      <c r="CL39" s="4"/>
      <c r="CM39" s="4"/>
      <c r="CN39" s="4"/>
      <c r="CO39" s="4"/>
      <c r="CP39" s="4"/>
    </row>
    <row r="40" spans="2:94" hidden="1" outlineLevel="1">
      <c r="B40" s="154"/>
      <c r="C40" s="4"/>
      <c r="D40" s="39"/>
      <c r="F40" s="39"/>
      <c r="G40" s="39"/>
      <c r="H40" s="139" t="s">
        <v>31</v>
      </c>
      <c r="I40" s="39"/>
      <c r="J40" s="139"/>
      <c r="K40" s="39"/>
      <c r="M40" s="170" t="s">
        <v>260</v>
      </c>
      <c r="N40" s="171">
        <v>1.4</v>
      </c>
      <c r="O40" s="171" t="s">
        <v>109</v>
      </c>
      <c r="R40" s="139" t="s">
        <v>69</v>
      </c>
      <c r="S40" s="155">
        <v>40</v>
      </c>
      <c r="T40" s="46" t="s">
        <v>109</v>
      </c>
      <c r="U40" s="46" t="s">
        <v>109</v>
      </c>
      <c r="V40" s="46" t="s">
        <v>109</v>
      </c>
      <c r="W40" s="46" t="s">
        <v>109</v>
      </c>
      <c r="X40" s="46" t="s">
        <v>109</v>
      </c>
      <c r="Y40" s="46" t="s">
        <v>109</v>
      </c>
      <c r="Z40" s="46">
        <v>100</v>
      </c>
      <c r="AB40" s="139" t="s">
        <v>103</v>
      </c>
      <c r="AC40" s="46" t="s">
        <v>109</v>
      </c>
      <c r="AD40" s="46" t="s">
        <v>109</v>
      </c>
      <c r="AE40" s="46" t="s">
        <v>109</v>
      </c>
      <c r="AF40" s="46" t="s">
        <v>109</v>
      </c>
      <c r="AG40" s="46" t="s">
        <v>109</v>
      </c>
      <c r="AH40" s="46" t="s">
        <v>109</v>
      </c>
      <c r="AI40" s="46" t="s">
        <v>109</v>
      </c>
      <c r="AJ40" s="46" t="s">
        <v>109</v>
      </c>
      <c r="AK40" s="46" t="s">
        <v>109</v>
      </c>
      <c r="AW40" s="180"/>
      <c r="BF40" s="5"/>
      <c r="BG40" s="5"/>
      <c r="BH40" s="5"/>
      <c r="BI40" s="5"/>
      <c r="BP40" s="41"/>
      <c r="BQ40" s="41"/>
      <c r="BU40" s="5"/>
      <c r="BV40" s="5"/>
      <c r="CL40" s="4"/>
      <c r="CM40" s="4"/>
      <c r="CN40" s="4"/>
      <c r="CO40" s="4"/>
      <c r="CP40" s="4"/>
    </row>
    <row r="41" spans="2:94" hidden="1" outlineLevel="1">
      <c r="C41" s="4"/>
      <c r="D41" s="39"/>
      <c r="F41" s="39"/>
      <c r="G41" s="39"/>
      <c r="H41" s="154" t="s">
        <v>204</v>
      </c>
      <c r="I41" s="39"/>
      <c r="J41" s="139"/>
      <c r="K41" s="39"/>
      <c r="M41" s="170" t="s">
        <v>259</v>
      </c>
      <c r="N41" s="171">
        <v>1.1000000000000001</v>
      </c>
      <c r="O41" s="171" t="s">
        <v>109</v>
      </c>
      <c r="R41" s="139" t="s">
        <v>60</v>
      </c>
      <c r="S41" s="140">
        <v>27</v>
      </c>
      <c r="T41" s="46">
        <v>30</v>
      </c>
      <c r="U41" s="46">
        <v>30</v>
      </c>
      <c r="V41" s="46" t="s">
        <v>109</v>
      </c>
      <c r="W41" s="46" t="s">
        <v>109</v>
      </c>
      <c r="X41" s="46" t="s">
        <v>109</v>
      </c>
      <c r="Y41" s="46" t="s">
        <v>109</v>
      </c>
      <c r="Z41" s="46">
        <v>80</v>
      </c>
      <c r="AB41" s="139" t="s">
        <v>122</v>
      </c>
      <c r="AC41" s="134">
        <v>7</v>
      </c>
      <c r="AD41" s="134">
        <v>7</v>
      </c>
      <c r="AE41" s="134">
        <v>7</v>
      </c>
      <c r="AF41" s="46" t="s">
        <v>109</v>
      </c>
      <c r="AG41" s="46" t="s">
        <v>109</v>
      </c>
      <c r="AH41" s="46" t="s">
        <v>109</v>
      </c>
      <c r="AI41" s="46" t="s">
        <v>109</v>
      </c>
      <c r="AJ41" s="46" t="s">
        <v>109</v>
      </c>
      <c r="AK41" s="46" t="s">
        <v>109</v>
      </c>
      <c r="AW41" s="180"/>
      <c r="BF41" s="5"/>
      <c r="BG41" s="5"/>
      <c r="BH41" s="5"/>
      <c r="BI41" s="5"/>
      <c r="BP41" s="41"/>
      <c r="BQ41" s="41"/>
      <c r="BU41" s="5"/>
      <c r="BV41" s="5"/>
      <c r="CL41" s="4"/>
      <c r="CM41" s="4"/>
      <c r="CN41" s="4"/>
      <c r="CO41" s="4"/>
      <c r="CP41" s="4"/>
    </row>
    <row r="42" spans="2:94" hidden="1" outlineLevel="1">
      <c r="C42" s="4"/>
      <c r="D42" s="39"/>
      <c r="F42" s="39"/>
      <c r="G42" s="39"/>
      <c r="H42" s="154" t="s">
        <v>205</v>
      </c>
      <c r="I42" s="39"/>
      <c r="J42" s="154"/>
      <c r="K42" s="39"/>
      <c r="M42" s="179" t="s">
        <v>257</v>
      </c>
      <c r="N42" s="171">
        <v>1.25</v>
      </c>
      <c r="O42" s="171" t="s">
        <v>109</v>
      </c>
      <c r="R42" s="139" t="s">
        <v>61</v>
      </c>
      <c r="S42" s="140">
        <v>15</v>
      </c>
      <c r="T42" s="46" t="s">
        <v>109</v>
      </c>
      <c r="U42" s="46" t="s">
        <v>109</v>
      </c>
      <c r="V42" s="46" t="s">
        <v>109</v>
      </c>
      <c r="W42" s="46" t="s">
        <v>109</v>
      </c>
      <c r="X42" s="46" t="s">
        <v>109</v>
      </c>
      <c r="Y42" s="46" t="s">
        <v>109</v>
      </c>
      <c r="Z42" s="46" t="s">
        <v>109</v>
      </c>
      <c r="AB42" s="139" t="s">
        <v>31</v>
      </c>
      <c r="AC42" s="46" t="s">
        <v>109</v>
      </c>
      <c r="AD42" s="46" t="s">
        <v>109</v>
      </c>
      <c r="AE42" s="46" t="s">
        <v>109</v>
      </c>
      <c r="AF42" s="46" t="s">
        <v>109</v>
      </c>
      <c r="AG42" s="46" t="s">
        <v>109</v>
      </c>
      <c r="AH42" s="46" t="s">
        <v>109</v>
      </c>
      <c r="AI42" s="46" t="s">
        <v>109</v>
      </c>
      <c r="AJ42" s="46" t="s">
        <v>109</v>
      </c>
      <c r="AK42" s="46" t="s">
        <v>109</v>
      </c>
      <c r="AW42" s="180"/>
      <c r="BF42" s="5"/>
      <c r="BG42" s="5"/>
      <c r="BH42" s="5"/>
      <c r="BI42" s="5"/>
      <c r="BP42" s="41"/>
      <c r="BQ42" s="41"/>
      <c r="BU42" s="5"/>
      <c r="BV42" s="5"/>
      <c r="CL42" s="4"/>
      <c r="CM42" s="4"/>
      <c r="CN42" s="4"/>
      <c r="CO42" s="4"/>
      <c r="CP42" s="4"/>
    </row>
    <row r="43" spans="2:94" hidden="1" outlineLevel="1">
      <c r="C43" s="4"/>
      <c r="D43" s="39"/>
      <c r="F43" s="39"/>
      <c r="G43" s="39"/>
      <c r="H43" s="154" t="s">
        <v>113</v>
      </c>
      <c r="I43" s="39"/>
      <c r="J43" s="154"/>
      <c r="K43" s="39"/>
      <c r="M43" s="170" t="s">
        <v>258</v>
      </c>
      <c r="N43" s="171">
        <v>1.4</v>
      </c>
      <c r="O43" s="171" t="s">
        <v>109</v>
      </c>
      <c r="R43" s="139" t="s">
        <v>70</v>
      </c>
      <c r="S43" s="140">
        <v>10</v>
      </c>
      <c r="T43" s="46">
        <v>15</v>
      </c>
      <c r="U43" s="46">
        <v>15</v>
      </c>
      <c r="V43" s="46" t="s">
        <v>109</v>
      </c>
      <c r="W43" s="46" t="s">
        <v>109</v>
      </c>
      <c r="X43" s="46" t="s">
        <v>109</v>
      </c>
      <c r="Y43" s="46" t="s">
        <v>109</v>
      </c>
      <c r="Z43" s="46">
        <v>40</v>
      </c>
      <c r="AB43" s="154" t="s">
        <v>204</v>
      </c>
      <c r="AC43" s="46" t="s">
        <v>109</v>
      </c>
      <c r="AD43" s="46" t="s">
        <v>109</v>
      </c>
      <c r="AE43" s="46" t="s">
        <v>109</v>
      </c>
      <c r="AF43" s="46" t="s">
        <v>109</v>
      </c>
      <c r="AG43" s="46" t="s">
        <v>109</v>
      </c>
      <c r="AH43" s="46" t="s">
        <v>109</v>
      </c>
      <c r="AI43" s="46" t="s">
        <v>109</v>
      </c>
      <c r="AJ43" s="46" t="s">
        <v>109</v>
      </c>
      <c r="AK43" s="46" t="s">
        <v>109</v>
      </c>
      <c r="AW43" s="180"/>
      <c r="BF43" s="5"/>
      <c r="BG43" s="5"/>
      <c r="BH43" s="5"/>
      <c r="BI43" s="5"/>
      <c r="BP43" s="41"/>
      <c r="BQ43" s="41"/>
      <c r="BU43" s="5"/>
      <c r="BV43" s="5"/>
      <c r="CL43" s="4"/>
      <c r="CM43" s="4"/>
      <c r="CN43" s="4"/>
      <c r="CO43" s="4"/>
      <c r="CP43" s="4"/>
    </row>
    <row r="44" spans="2:94" hidden="1" outlineLevel="1">
      <c r="C44" s="4"/>
      <c r="D44" s="39"/>
      <c r="F44" s="39"/>
      <c r="G44" s="39"/>
      <c r="H44" s="154" t="s">
        <v>206</v>
      </c>
      <c r="I44" s="39"/>
      <c r="J44" s="154"/>
      <c r="K44" s="39"/>
      <c r="R44" s="139" t="s">
        <v>172</v>
      </c>
      <c r="S44" s="140">
        <v>10</v>
      </c>
      <c r="T44" s="46" t="s">
        <v>109</v>
      </c>
      <c r="U44" s="46" t="s">
        <v>109</v>
      </c>
      <c r="V44" s="46" t="s">
        <v>109</v>
      </c>
      <c r="W44" s="46" t="s">
        <v>109</v>
      </c>
      <c r="X44" s="46" t="s">
        <v>109</v>
      </c>
      <c r="Y44" s="46" t="s">
        <v>109</v>
      </c>
      <c r="Z44" s="46" t="s">
        <v>109</v>
      </c>
      <c r="AB44" s="154" t="s">
        <v>205</v>
      </c>
      <c r="AC44" s="46" t="s">
        <v>109</v>
      </c>
      <c r="AD44" s="46" t="s">
        <v>109</v>
      </c>
      <c r="AE44" s="46" t="s">
        <v>109</v>
      </c>
      <c r="AF44" s="46" t="s">
        <v>109</v>
      </c>
      <c r="AG44" s="46" t="s">
        <v>109</v>
      </c>
      <c r="AH44" s="46" t="s">
        <v>109</v>
      </c>
      <c r="AI44" s="46" t="s">
        <v>109</v>
      </c>
      <c r="AJ44" s="46" t="s">
        <v>109</v>
      </c>
      <c r="AK44" s="46" t="s">
        <v>109</v>
      </c>
      <c r="AW44" s="180"/>
      <c r="BF44" s="5"/>
      <c r="BG44" s="5"/>
      <c r="BH44" s="5"/>
      <c r="BI44" s="5"/>
      <c r="BP44" s="41"/>
      <c r="BQ44" s="41"/>
      <c r="BU44" s="5"/>
      <c r="BV44" s="5"/>
      <c r="CL44" s="4"/>
      <c r="CM44" s="4"/>
      <c r="CN44" s="4"/>
      <c r="CO44" s="4"/>
      <c r="CP44" s="4"/>
    </row>
    <row r="45" spans="2:94" hidden="1" outlineLevel="1">
      <c r="C45" s="4"/>
      <c r="D45" s="39"/>
      <c r="F45" s="39"/>
      <c r="G45" s="39"/>
      <c r="H45" s="154" t="s">
        <v>63</v>
      </c>
      <c r="I45" s="39"/>
      <c r="J45" s="154"/>
      <c r="K45" s="39"/>
      <c r="R45" s="139" t="s">
        <v>124</v>
      </c>
      <c r="S45" s="164">
        <v>60</v>
      </c>
      <c r="T45" s="148" t="s">
        <v>109</v>
      </c>
      <c r="U45" s="148" t="s">
        <v>109</v>
      </c>
      <c r="V45" s="46" t="s">
        <v>109</v>
      </c>
      <c r="W45" s="46" t="s">
        <v>109</v>
      </c>
      <c r="X45" s="46" t="s">
        <v>109</v>
      </c>
      <c r="Y45" s="46">
        <v>60</v>
      </c>
      <c r="Z45" s="46" t="s">
        <v>109</v>
      </c>
      <c r="AB45" s="154" t="s">
        <v>113</v>
      </c>
      <c r="AC45" s="46">
        <v>60</v>
      </c>
      <c r="AD45" s="46" t="s">
        <v>109</v>
      </c>
      <c r="AE45" s="46" t="s">
        <v>109</v>
      </c>
      <c r="AF45" s="46" t="s">
        <v>109</v>
      </c>
      <c r="AG45" s="46" t="s">
        <v>109</v>
      </c>
      <c r="AH45" s="46" t="s">
        <v>109</v>
      </c>
      <c r="AI45" s="46">
        <v>20</v>
      </c>
      <c r="AJ45" s="46" t="s">
        <v>109</v>
      </c>
      <c r="AK45" s="46" t="s">
        <v>109</v>
      </c>
      <c r="AW45" s="180"/>
      <c r="BF45" s="5"/>
      <c r="BG45" s="5"/>
      <c r="BH45" s="5"/>
      <c r="BI45" s="5"/>
      <c r="BP45" s="41"/>
      <c r="BQ45" s="41"/>
      <c r="BU45" s="5"/>
      <c r="BV45" s="5"/>
      <c r="CL45" s="4"/>
      <c r="CM45" s="4"/>
      <c r="CN45" s="4"/>
      <c r="CO45" s="4"/>
      <c r="CP45" s="4"/>
    </row>
    <row r="46" spans="2:94" hidden="1" outlineLevel="1">
      <c r="C46" s="4"/>
      <c r="H46" s="152" t="s">
        <v>50</v>
      </c>
      <c r="J46" s="154"/>
      <c r="K46" s="39"/>
      <c r="R46" s="139" t="s">
        <v>125</v>
      </c>
      <c r="S46" s="164">
        <v>100</v>
      </c>
      <c r="T46" s="148" t="s">
        <v>109</v>
      </c>
      <c r="U46" s="148" t="s">
        <v>109</v>
      </c>
      <c r="V46" s="46" t="s">
        <v>109</v>
      </c>
      <c r="W46" s="46" t="s">
        <v>109</v>
      </c>
      <c r="X46" s="46" t="s">
        <v>109</v>
      </c>
      <c r="Y46" s="46">
        <v>120</v>
      </c>
      <c r="Z46" s="46" t="s">
        <v>109</v>
      </c>
      <c r="AB46" s="154" t="s">
        <v>206</v>
      </c>
      <c r="AC46" s="46">
        <v>30</v>
      </c>
      <c r="AD46" s="46" t="s">
        <v>109</v>
      </c>
      <c r="AE46" s="46" t="s">
        <v>109</v>
      </c>
      <c r="AF46" s="46" t="s">
        <v>109</v>
      </c>
      <c r="AG46" s="46" t="s">
        <v>109</v>
      </c>
      <c r="AH46" s="46" t="s">
        <v>109</v>
      </c>
      <c r="AI46" s="46">
        <v>40</v>
      </c>
      <c r="AJ46" s="46" t="s">
        <v>109</v>
      </c>
      <c r="AK46" s="46" t="s">
        <v>109</v>
      </c>
      <c r="BE46" s="46"/>
      <c r="BF46" s="5"/>
      <c r="BG46" s="5"/>
      <c r="BH46" s="5"/>
      <c r="BI46" s="5"/>
      <c r="BP46" s="41"/>
      <c r="BQ46" s="41"/>
      <c r="BU46" s="5"/>
      <c r="BV46" s="5"/>
      <c r="CL46" s="4"/>
      <c r="CM46" s="4"/>
      <c r="CN46" s="4"/>
      <c r="CO46" s="4"/>
      <c r="CP46" s="4"/>
    </row>
    <row r="47" spans="2:94" hidden="1" outlineLevel="1">
      <c r="C47" s="4"/>
      <c r="H47" s="152"/>
      <c r="J47" s="152"/>
      <c r="K47" s="39"/>
      <c r="R47" s="152" t="s">
        <v>50</v>
      </c>
      <c r="S47" s="164">
        <v>0</v>
      </c>
      <c r="T47" s="148">
        <v>0</v>
      </c>
      <c r="U47" s="148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54" t="s">
        <v>63</v>
      </c>
      <c r="AC47" s="46">
        <v>5</v>
      </c>
      <c r="AD47" s="46">
        <v>5</v>
      </c>
      <c r="AE47" s="46">
        <v>5</v>
      </c>
      <c r="AF47" s="46" t="s">
        <v>109</v>
      </c>
      <c r="AG47" s="46" t="s">
        <v>109</v>
      </c>
      <c r="AH47" s="46" t="s">
        <v>109</v>
      </c>
      <c r="AI47" s="46" t="s">
        <v>109</v>
      </c>
      <c r="AJ47" s="46" t="s">
        <v>109</v>
      </c>
      <c r="AK47" s="46" t="s">
        <v>109</v>
      </c>
      <c r="BE47" s="46"/>
      <c r="BF47" s="5"/>
      <c r="BG47" s="5"/>
      <c r="BH47" s="5"/>
      <c r="BI47" s="5"/>
      <c r="BP47" s="41"/>
      <c r="BQ47" s="41"/>
      <c r="BU47" s="5"/>
      <c r="BV47" s="5"/>
      <c r="CL47" s="4"/>
      <c r="CM47" s="4"/>
      <c r="CN47" s="4"/>
      <c r="CO47" s="4"/>
      <c r="CP47" s="4"/>
    </row>
    <row r="48" spans="2:94" hidden="1" outlineLevel="1">
      <c r="C48" s="4"/>
      <c r="R48" s="4"/>
      <c r="S48" s="166"/>
      <c r="U48" s="4"/>
      <c r="AB48" s="152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</row>
    <row r="49" spans="1:94" hidden="1" outlineLevel="1">
      <c r="C49" s="4"/>
      <c r="R49" s="4"/>
      <c r="S49" s="166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</row>
    <row r="50" spans="1:94" hidden="1" outlineLevel="1">
      <c r="C50" s="4"/>
      <c r="R50" s="4"/>
      <c r="S50" s="166"/>
      <c r="U50" s="4"/>
      <c r="AB50" s="333" t="s">
        <v>179</v>
      </c>
      <c r="AC50" s="333"/>
      <c r="AD50" s="333"/>
      <c r="AE50" s="333"/>
      <c r="AF50" s="333"/>
      <c r="AG50" s="333"/>
      <c r="AH50" s="333"/>
      <c r="AI50" s="333"/>
      <c r="AJ50" s="333"/>
      <c r="AK50" s="333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</row>
    <row r="51" spans="1:94" hidden="1" outlineLevel="1">
      <c r="C51" s="4"/>
      <c r="R51" s="4"/>
      <c r="S51" s="166"/>
      <c r="U51" s="4"/>
      <c r="AB51" s="183" t="s">
        <v>154</v>
      </c>
      <c r="AC51" s="46" t="s">
        <v>109</v>
      </c>
      <c r="AD51" s="46" t="s">
        <v>109</v>
      </c>
      <c r="AE51" s="46" t="s">
        <v>109</v>
      </c>
      <c r="AF51" s="46" t="s">
        <v>109</v>
      </c>
      <c r="AG51" s="46" t="s">
        <v>109</v>
      </c>
      <c r="AH51" s="46" t="s">
        <v>109</v>
      </c>
      <c r="AI51" s="46" t="s">
        <v>109</v>
      </c>
      <c r="AJ51" s="46" t="s">
        <v>109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</row>
    <row r="52" spans="1:94" hidden="1" outlineLevel="1">
      <c r="C52" s="4"/>
      <c r="R52" s="4"/>
      <c r="S52" s="166"/>
      <c r="U52" s="4"/>
      <c r="AB52" s="183" t="s">
        <v>153</v>
      </c>
      <c r="AC52" s="46" t="s">
        <v>109</v>
      </c>
      <c r="AD52" s="46" t="s">
        <v>109</v>
      </c>
      <c r="AE52" s="46" t="s">
        <v>109</v>
      </c>
      <c r="AF52" s="46" t="s">
        <v>109</v>
      </c>
      <c r="AG52" s="46" t="s">
        <v>109</v>
      </c>
      <c r="AH52" s="46" t="s">
        <v>109</v>
      </c>
      <c r="AI52" s="46" t="s">
        <v>109</v>
      </c>
      <c r="AJ52" s="46" t="s">
        <v>109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</row>
    <row r="53" spans="1:94" hidden="1" outlineLevel="1">
      <c r="C53" s="4"/>
      <c r="R53" s="4"/>
      <c r="S53" s="166"/>
      <c r="U53" s="4"/>
      <c r="AB53" s="183" t="s">
        <v>152</v>
      </c>
      <c r="AC53" s="46" t="s">
        <v>109</v>
      </c>
      <c r="AD53" s="46" t="s">
        <v>109</v>
      </c>
      <c r="AE53" s="46" t="s">
        <v>109</v>
      </c>
      <c r="AF53" s="46" t="s">
        <v>109</v>
      </c>
      <c r="AG53" s="46" t="s">
        <v>109</v>
      </c>
      <c r="AH53" s="46" t="s">
        <v>109</v>
      </c>
      <c r="AI53" s="46" t="s">
        <v>109</v>
      </c>
      <c r="AJ53" s="46" t="s">
        <v>109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</row>
    <row r="54" spans="1:94" hidden="1" outlineLevel="1">
      <c r="C54" s="4"/>
      <c r="R54" s="4"/>
      <c r="S54" s="166"/>
      <c r="U54" s="4"/>
      <c r="AB54" s="183" t="s">
        <v>155</v>
      </c>
      <c r="AC54" s="46" t="s">
        <v>109</v>
      </c>
      <c r="AD54" s="46" t="s">
        <v>109</v>
      </c>
      <c r="AE54" s="46" t="s">
        <v>109</v>
      </c>
      <c r="AF54" s="46" t="s">
        <v>109</v>
      </c>
      <c r="AG54" s="46" t="s">
        <v>109</v>
      </c>
      <c r="AH54" s="46" t="s">
        <v>109</v>
      </c>
      <c r="AI54" s="46" t="s">
        <v>109</v>
      </c>
      <c r="AJ54" s="46" t="s">
        <v>109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</row>
    <row r="55" spans="1:94" hidden="1" outlineLevel="1">
      <c r="C55" s="4"/>
      <c r="R55" s="4"/>
      <c r="S55" s="166"/>
      <c r="U55" s="4"/>
      <c r="AB55" s="152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</row>
    <row r="56" spans="1:94" hidden="1" outlineLevel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</row>
    <row r="57" spans="1:94" hidden="1" outlineLevel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</row>
    <row r="58" spans="1:94" hidden="1" outlineLevel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 hidden="1" outlineLevel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</row>
    <row r="60" spans="1:94" hidden="1" outlineLevel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</row>
    <row r="61" spans="1:94" ht="23.25" hidden="1" outlineLevel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</row>
    <row r="62" spans="1:94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</row>
    <row r="63" spans="1:94" s="12" customFormat="1" ht="30" customHeight="1" collapsed="1" thickBot="1">
      <c r="A63" s="358" t="s">
        <v>1</v>
      </c>
      <c r="B63" s="359"/>
      <c r="C63" s="359"/>
      <c r="D63" s="120" t="s">
        <v>20</v>
      </c>
      <c r="E63" s="362" t="s">
        <v>127</v>
      </c>
      <c r="F63" s="359"/>
      <c r="G63" s="334" t="s">
        <v>128</v>
      </c>
      <c r="H63" s="335"/>
      <c r="I63" s="336"/>
      <c r="J63" s="334" t="s">
        <v>141</v>
      </c>
      <c r="K63" s="335"/>
      <c r="L63" s="335"/>
      <c r="M63" s="335"/>
      <c r="N63" s="336"/>
      <c r="O63" s="334" t="s">
        <v>140</v>
      </c>
      <c r="P63" s="335"/>
      <c r="Q63" s="335"/>
      <c r="R63" s="336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</row>
    <row r="64" spans="1:94" s="19" customFormat="1" ht="30.95" customHeight="1" thickBot="1">
      <c r="A64" s="360" t="s">
        <v>305</v>
      </c>
      <c r="B64" s="361"/>
      <c r="C64" s="361"/>
      <c r="D64" s="82">
        <v>1000</v>
      </c>
      <c r="E64" s="360"/>
      <c r="F64" s="361"/>
      <c r="G64" s="83" t="s">
        <v>191</v>
      </c>
      <c r="H64" s="84" t="s">
        <v>192</v>
      </c>
      <c r="I64" s="85" t="s">
        <v>50</v>
      </c>
      <c r="J64" s="337" t="s">
        <v>306</v>
      </c>
      <c r="K64" s="338"/>
      <c r="L64" s="338"/>
      <c r="M64" s="338"/>
      <c r="N64" s="339"/>
      <c r="O64" s="348"/>
      <c r="P64" s="349"/>
      <c r="Q64" s="349"/>
      <c r="R64" s="350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</row>
    <row r="65" spans="1:94" s="12" customFormat="1" ht="32.1" customHeight="1" thickBot="1">
      <c r="A65" s="355" t="s">
        <v>84</v>
      </c>
      <c r="B65" s="356"/>
      <c r="C65" s="356"/>
      <c r="D65" s="356"/>
      <c r="E65" s="356"/>
      <c r="F65" s="356"/>
      <c r="G65" s="356"/>
      <c r="H65" s="356"/>
      <c r="I65" s="357"/>
      <c r="J65" s="184"/>
      <c r="K65" s="351" t="s">
        <v>82</v>
      </c>
      <c r="L65" s="352"/>
      <c r="M65" s="352"/>
      <c r="N65" s="353"/>
      <c r="O65" s="353"/>
      <c r="P65" s="353"/>
      <c r="Q65" s="353"/>
      <c r="R65" s="354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5"/>
      <c r="BK65" s="185"/>
      <c r="BL65" s="185"/>
      <c r="BM65" s="185"/>
      <c r="BN65" s="185"/>
      <c r="BO65" s="185"/>
      <c r="BP65" s="185"/>
      <c r="BQ65" s="185"/>
      <c r="BR65" s="185"/>
      <c r="BS65" s="185"/>
      <c r="BT65" s="185"/>
      <c r="BU65" s="186"/>
      <c r="BV65" s="186"/>
      <c r="BW65" s="185"/>
      <c r="BX65" s="185"/>
      <c r="BY65" s="185"/>
      <c r="BZ65" s="185"/>
      <c r="CA65" s="185"/>
      <c r="CB65" s="185"/>
      <c r="CC65" s="185"/>
      <c r="CD65" s="185"/>
      <c r="CE65" s="185"/>
      <c r="CF65" s="185"/>
      <c r="CG65" s="185"/>
      <c r="CH65" s="185"/>
      <c r="CI65" s="185"/>
      <c r="CJ65" s="185"/>
      <c r="CK65" s="185"/>
      <c r="CL65" s="185"/>
      <c r="CM65" s="185"/>
      <c r="CN65" s="185"/>
      <c r="CO65" s="185"/>
      <c r="CP65" s="185"/>
    </row>
    <row r="66" spans="1:94" s="27" customFormat="1" ht="24" thickBot="1">
      <c r="A66" s="187" t="s">
        <v>83</v>
      </c>
      <c r="B66" s="188" t="s">
        <v>6</v>
      </c>
      <c r="C66" s="325" t="s">
        <v>2</v>
      </c>
      <c r="D66" s="325"/>
      <c r="E66" s="325"/>
      <c r="F66" s="325"/>
      <c r="G66" s="189" t="s">
        <v>87</v>
      </c>
      <c r="H66" s="189" t="s">
        <v>0</v>
      </c>
      <c r="I66" s="190" t="s">
        <v>81</v>
      </c>
      <c r="J66" s="310"/>
      <c r="K66" s="313" t="s">
        <v>138</v>
      </c>
      <c r="L66" s="314"/>
      <c r="M66" s="314"/>
      <c r="N66" s="315"/>
      <c r="O66" s="315"/>
      <c r="P66" s="326">
        <f>IFERROR(INT(CM132+CM124/3),0)+1</f>
        <v>8</v>
      </c>
      <c r="Q66" s="327"/>
      <c r="R66" s="191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92"/>
      <c r="BK66" s="192"/>
      <c r="BL66" s="192"/>
      <c r="BM66" s="192"/>
      <c r="BN66" s="192"/>
      <c r="BO66" s="192"/>
      <c r="BP66" s="192"/>
      <c r="BQ66" s="192"/>
      <c r="BR66" s="192"/>
      <c r="BS66" s="192"/>
      <c r="BT66" s="192"/>
      <c r="BU66" s="193"/>
      <c r="BV66" s="193"/>
      <c r="BW66" s="192"/>
      <c r="BX66" s="192"/>
      <c r="BY66" s="192"/>
      <c r="BZ66" s="192"/>
      <c r="CA66" s="192"/>
      <c r="CB66" s="192"/>
      <c r="CC66" s="192"/>
      <c r="CD66" s="192"/>
      <c r="CE66" s="192"/>
      <c r="CF66" s="192"/>
      <c r="CG66" s="192"/>
      <c r="CH66" s="192"/>
      <c r="CI66" s="192"/>
      <c r="CJ66" s="192"/>
      <c r="CK66" s="192"/>
      <c r="CL66" s="192"/>
      <c r="CM66" s="192"/>
      <c r="CN66" s="192"/>
      <c r="CO66" s="192"/>
      <c r="CP66" s="192"/>
    </row>
    <row r="67" spans="1:94" ht="23.1" customHeight="1">
      <c r="A67" s="194" t="s">
        <v>200</v>
      </c>
      <c r="B67" s="195"/>
      <c r="C67" s="305" t="s">
        <v>25</v>
      </c>
      <c r="D67" s="305"/>
      <c r="E67" s="305"/>
      <c r="F67" s="305"/>
      <c r="G67" s="196" t="s">
        <v>105</v>
      </c>
      <c r="H67" s="197">
        <f>VLOOKUP(C67,'Standard AB - 17 Tugs, 8 SuGs'!AM3:AO11,2,FALSE)-IF(G67="yes",100,0)</f>
        <v>1100</v>
      </c>
      <c r="I67" s="198">
        <f>VLOOKUP(C67,'Standard AB - 17 Tugs, 8 SuGs'!AM3:AQ138,4,FALSE)</f>
        <v>4</v>
      </c>
      <c r="J67" s="311"/>
      <c r="K67" s="316" t="s">
        <v>139</v>
      </c>
      <c r="L67" s="317"/>
      <c r="M67" s="317"/>
      <c r="N67" s="318"/>
      <c r="O67" s="318"/>
      <c r="P67" s="328">
        <f>IFERROR(INT(CM132/3+CM124),0)</f>
        <v>5</v>
      </c>
      <c r="Q67" s="329"/>
      <c r="R67" s="199" t="s">
        <v>86</v>
      </c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200"/>
      <c r="BV67" s="200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</row>
    <row r="68" spans="1:94" ht="21" customHeight="1">
      <c r="A68" s="201" t="s">
        <v>90</v>
      </c>
      <c r="B68" s="202"/>
      <c r="C68" s="305" t="s">
        <v>25</v>
      </c>
      <c r="D68" s="305"/>
      <c r="E68" s="305"/>
      <c r="F68" s="305"/>
      <c r="G68" s="86" t="s">
        <v>89</v>
      </c>
      <c r="H68" s="197">
        <f>VLOOKUP(C68,'Standard AB - 17 Tugs, 8 SuGs'!AM3:AO11,3,FALSE)-IF(G68="yes",$AP$15,0)</f>
        <v>800</v>
      </c>
      <c r="I68" s="198">
        <f>VLOOKUP(C68,'Standard AB - 17 Tugs, 8 SuGs'!AM3:AQ11,4,FALSE)</f>
        <v>4</v>
      </c>
      <c r="J68" s="311"/>
      <c r="K68" s="343" t="s">
        <v>161</v>
      </c>
      <c r="L68" s="344"/>
      <c r="M68" s="344"/>
      <c r="N68" s="345"/>
      <c r="O68" s="345"/>
      <c r="P68" s="346">
        <f>INT((SUMPRODUCT((A76:A99 &lt;&gt; "")/COUNTIF(A76:A99,A76:A99 &amp; ""))+1)/2)</f>
        <v>5</v>
      </c>
      <c r="Q68" s="346"/>
      <c r="R68" s="347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200"/>
      <c r="BV68" s="200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</row>
    <row r="69" spans="1:94" ht="21" customHeight="1">
      <c r="A69" s="201" t="s">
        <v>91</v>
      </c>
      <c r="B69" s="202"/>
      <c r="C69" s="305" t="s">
        <v>24</v>
      </c>
      <c r="D69" s="305"/>
      <c r="E69" s="305"/>
      <c r="F69" s="305"/>
      <c r="G69" s="86" t="s">
        <v>89</v>
      </c>
      <c r="H69" s="197">
        <f>IFERROR(VLOOKUP(C69,'Standard AB - 17 Tugs, 8 SuGs'!AM4:AO12,3,FALSE)-IF(G69="yes",$AP$15,0),0)</f>
        <v>600</v>
      </c>
      <c r="I69" s="198">
        <f>IFERROR(VLOOKUP(C69,'Standard AB - 17 Tugs, 8 SuGs'!AM3:AQ11,4,FALSE),0)</f>
        <v>3</v>
      </c>
      <c r="J69" s="311"/>
      <c r="K69" s="343"/>
      <c r="L69" s="344"/>
      <c r="M69" s="344"/>
      <c r="N69" s="345"/>
      <c r="O69" s="345"/>
      <c r="P69" s="346"/>
      <c r="Q69" s="346"/>
      <c r="R69" s="347"/>
      <c r="U69" s="4"/>
      <c r="AF69" s="12"/>
      <c r="AN69" s="27"/>
      <c r="AO69" s="27"/>
      <c r="AP69" s="27"/>
      <c r="AQ69" s="27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4"/>
      <c r="BV69" s="204"/>
      <c r="BW69" s="203"/>
      <c r="BX69" s="203"/>
      <c r="BY69" s="203"/>
      <c r="BZ69" s="203"/>
      <c r="CA69" s="203"/>
      <c r="CB69" s="203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</row>
    <row r="70" spans="1:94" ht="21" customHeight="1" thickBot="1">
      <c r="A70" s="205" t="s">
        <v>92</v>
      </c>
      <c r="B70" s="206"/>
      <c r="C70" s="305" t="s">
        <v>15</v>
      </c>
      <c r="D70" s="305"/>
      <c r="E70" s="305"/>
      <c r="F70" s="305"/>
      <c r="G70" s="207" t="s">
        <v>89</v>
      </c>
      <c r="H70" s="197">
        <f>IFERROR(VLOOKUP(C70,'Standard AB - 17 Tugs, 8 SuGs'!AM5:AO13,3,FALSE)-IF(G70="yes",$AP$15,0),0)</f>
        <v>0</v>
      </c>
      <c r="I70" s="208">
        <f>IFERROR(VLOOKUP(C70,'Standard AB - 17 Tugs, 8 SuGs'!AM3:AQ11,4,FALSE),0)</f>
        <v>0</v>
      </c>
      <c r="J70" s="311"/>
      <c r="K70" s="319" t="s">
        <v>100</v>
      </c>
      <c r="L70" s="320"/>
      <c r="M70" s="320"/>
      <c r="N70" s="321"/>
      <c r="O70" s="321"/>
      <c r="P70" s="301">
        <f>Q133</f>
        <v>10448</v>
      </c>
      <c r="Q70" s="301"/>
      <c r="R70" s="302"/>
      <c r="U70" s="4"/>
      <c r="AD70" s="12"/>
      <c r="AE70" s="12"/>
      <c r="AF70" s="19"/>
      <c r="AN70" s="27"/>
      <c r="AO70" s="27"/>
      <c r="AP70" s="27"/>
      <c r="AQ70" s="27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4"/>
      <c r="BV70" s="204"/>
      <c r="BW70" s="203"/>
      <c r="BX70" s="203"/>
      <c r="BY70" s="203"/>
      <c r="BZ70" s="203"/>
      <c r="CA70" s="203"/>
      <c r="CB70" s="203"/>
      <c r="CC70" s="138"/>
      <c r="CD70" s="4"/>
      <c r="CE70" s="4"/>
      <c r="CF70" s="4"/>
      <c r="CG70" s="4"/>
      <c r="CH70" s="138"/>
      <c r="CI70" s="138"/>
      <c r="CJ70" s="138"/>
      <c r="CK70" s="138"/>
      <c r="CL70" s="138"/>
      <c r="CM70" s="138"/>
      <c r="CN70" s="138"/>
      <c r="CO70" s="138"/>
      <c r="CP70" s="138"/>
    </row>
    <row r="71" spans="1:94" ht="21" customHeight="1" thickBot="1">
      <c r="A71" s="307" t="s">
        <v>264</v>
      </c>
      <c r="B71" s="308"/>
      <c r="C71" s="308"/>
      <c r="D71" s="308"/>
      <c r="E71" s="308"/>
      <c r="F71" s="308"/>
      <c r="G71" s="308"/>
      <c r="H71" s="308"/>
      <c r="I71" s="309"/>
      <c r="J71" s="312"/>
      <c r="K71" s="322"/>
      <c r="L71" s="323"/>
      <c r="M71" s="323"/>
      <c r="N71" s="324"/>
      <c r="O71" s="324"/>
      <c r="P71" s="303"/>
      <c r="Q71" s="303"/>
      <c r="R71" s="304"/>
      <c r="U71" s="4"/>
      <c r="W71" s="27"/>
      <c r="AD71" s="19"/>
      <c r="AE71" s="19"/>
      <c r="AF71" s="12"/>
      <c r="BI71" s="330" t="s">
        <v>6</v>
      </c>
      <c r="BJ71" s="306" t="s">
        <v>80</v>
      </c>
      <c r="BK71" s="306"/>
      <c r="BL71" s="306"/>
      <c r="BM71" s="306"/>
      <c r="BN71" s="306"/>
      <c r="BO71" s="306"/>
      <c r="BP71" s="306"/>
      <c r="BQ71" s="306"/>
      <c r="BR71" s="306"/>
      <c r="BS71" s="306"/>
      <c r="BT71" s="306"/>
      <c r="BU71" s="306"/>
      <c r="BV71" s="306"/>
      <c r="BW71" s="306"/>
      <c r="BX71" s="306"/>
      <c r="BY71" s="209"/>
      <c r="BZ71" s="209"/>
      <c r="CA71" s="209"/>
      <c r="CB71" s="209"/>
      <c r="CC71" s="203"/>
      <c r="CD71" s="210"/>
      <c r="CE71" s="210"/>
      <c r="CF71" s="210"/>
      <c r="CG71" s="210"/>
      <c r="CH71" s="210"/>
      <c r="CI71" s="210"/>
      <c r="CJ71" s="211"/>
      <c r="CK71" s="211"/>
      <c r="CL71" s="210"/>
      <c r="CM71" s="210"/>
      <c r="CN71" s="210"/>
      <c r="CO71" s="203"/>
      <c r="CP71" s="203"/>
    </row>
    <row r="72" spans="1:94" s="27" customFormat="1" ht="18" customHeight="1">
      <c r="A72" s="292" t="s">
        <v>142</v>
      </c>
      <c r="B72" s="290" t="s">
        <v>6</v>
      </c>
      <c r="C72" s="290" t="s">
        <v>2</v>
      </c>
      <c r="D72" s="284" t="s">
        <v>46</v>
      </c>
      <c r="E72" s="299" t="s">
        <v>47</v>
      </c>
      <c r="F72" s="299" t="s">
        <v>207</v>
      </c>
      <c r="G72" s="299" t="s">
        <v>210</v>
      </c>
      <c r="H72" s="290" t="s">
        <v>14</v>
      </c>
      <c r="I72" s="291"/>
      <c r="J72" s="340" t="s">
        <v>49</v>
      </c>
      <c r="K72" s="341"/>
      <c r="L72" s="341"/>
      <c r="M72" s="341"/>
      <c r="N72" s="342"/>
      <c r="O72" s="284" t="s">
        <v>7</v>
      </c>
      <c r="P72" s="286" t="s">
        <v>18</v>
      </c>
      <c r="Q72" s="286" t="s">
        <v>19</v>
      </c>
      <c r="R72" s="288" t="s">
        <v>170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30"/>
      <c r="BJ72" s="212"/>
      <c r="BK72" s="212"/>
      <c r="BL72" s="212"/>
      <c r="BM72" s="212"/>
      <c r="BN72" s="212"/>
      <c r="BO72" s="212"/>
      <c r="BP72" s="212"/>
      <c r="BQ72" s="212"/>
      <c r="BR72" s="212"/>
      <c r="BS72" s="212"/>
      <c r="BT72" s="212"/>
      <c r="BU72" s="213"/>
      <c r="BV72" s="213"/>
      <c r="BW72" s="212"/>
      <c r="BX72" s="212"/>
      <c r="BY72" s="212"/>
      <c r="BZ72" s="212"/>
      <c r="CA72" s="212"/>
      <c r="CB72" s="212"/>
      <c r="CC72" s="214"/>
      <c r="CD72" s="215" t="s">
        <v>93</v>
      </c>
      <c r="CE72" s="215"/>
      <c r="CF72" s="215"/>
      <c r="CG72" s="215"/>
      <c r="CH72" s="216"/>
      <c r="CI72" s="216"/>
      <c r="CJ72" s="217"/>
      <c r="CK72" s="217"/>
      <c r="CL72" s="216"/>
      <c r="CM72" s="216"/>
      <c r="CN72" s="216"/>
      <c r="CO72" s="214"/>
      <c r="CP72" s="214"/>
    </row>
    <row r="73" spans="1:94" s="27" customFormat="1" ht="20.100000000000001" customHeight="1" thickBot="1">
      <c r="A73" s="293"/>
      <c r="B73" s="294"/>
      <c r="C73" s="294"/>
      <c r="D73" s="285"/>
      <c r="E73" s="300"/>
      <c r="F73" s="300"/>
      <c r="G73" s="300"/>
      <c r="H73" s="218" t="s">
        <v>209</v>
      </c>
      <c r="I73" s="218" t="s">
        <v>208</v>
      </c>
      <c r="J73" s="219" t="s">
        <v>3</v>
      </c>
      <c r="K73" s="121" t="s">
        <v>12</v>
      </c>
      <c r="L73" s="121" t="s">
        <v>126</v>
      </c>
      <c r="M73" s="121" t="s">
        <v>212</v>
      </c>
      <c r="N73" s="121" t="s">
        <v>213</v>
      </c>
      <c r="O73" s="285"/>
      <c r="P73" s="287"/>
      <c r="Q73" s="287"/>
      <c r="R73" s="289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31"/>
      <c r="BJ73" s="212" t="s">
        <v>77</v>
      </c>
      <c r="BK73" s="212" t="s">
        <v>183</v>
      </c>
      <c r="BL73" s="212" t="s">
        <v>78</v>
      </c>
      <c r="BM73" s="212" t="s">
        <v>14</v>
      </c>
      <c r="BN73" s="212" t="s">
        <v>73</v>
      </c>
      <c r="BO73" s="212" t="s">
        <v>74</v>
      </c>
      <c r="BP73" s="212" t="s">
        <v>126</v>
      </c>
      <c r="BQ73" s="212" t="s">
        <v>212</v>
      </c>
      <c r="BR73" s="212" t="s">
        <v>213</v>
      </c>
      <c r="BS73" s="212" t="s">
        <v>115</v>
      </c>
      <c r="BT73" s="212"/>
      <c r="BU73" s="213" t="s">
        <v>71</v>
      </c>
      <c r="BV73" s="213" t="s">
        <v>107</v>
      </c>
      <c r="BW73" s="212" t="s">
        <v>72</v>
      </c>
      <c r="BX73" s="212" t="s">
        <v>114</v>
      </c>
      <c r="BY73" s="212"/>
      <c r="BZ73" s="212"/>
      <c r="CA73" s="212"/>
      <c r="CB73" s="212"/>
      <c r="CC73" s="192"/>
      <c r="CD73" s="244" t="s">
        <v>94</v>
      </c>
      <c r="CE73" s="244" t="s">
        <v>202</v>
      </c>
      <c r="CF73" s="244" t="s">
        <v>184</v>
      </c>
      <c r="CG73" s="244" t="s">
        <v>110</v>
      </c>
      <c r="CH73" s="244" t="s">
        <v>95</v>
      </c>
      <c r="CI73" s="244" t="s">
        <v>96</v>
      </c>
      <c r="CJ73" s="220"/>
      <c r="CK73" s="246" t="s">
        <v>199</v>
      </c>
      <c r="CL73" s="245" t="s">
        <v>97</v>
      </c>
      <c r="CM73" s="245" t="s">
        <v>111</v>
      </c>
      <c r="CN73" s="245" t="s">
        <v>211</v>
      </c>
      <c r="CO73" s="192"/>
      <c r="CP73" s="192"/>
    </row>
    <row r="74" spans="1:94" ht="17.100000000000001" customHeight="1">
      <c r="A74" s="221">
        <v>0</v>
      </c>
      <c r="B74" s="222" t="s">
        <v>8</v>
      </c>
      <c r="C74" s="76" t="s">
        <v>8</v>
      </c>
      <c r="D74" s="77" t="s">
        <v>159</v>
      </c>
      <c r="E74" s="87" t="s">
        <v>11</v>
      </c>
      <c r="F74" s="77" t="s">
        <v>51</v>
      </c>
      <c r="G74" s="77" t="s">
        <v>105</v>
      </c>
      <c r="H74" s="77" t="s">
        <v>105</v>
      </c>
      <c r="I74" s="77" t="s">
        <v>105</v>
      </c>
      <c r="J74" s="87" t="s">
        <v>154</v>
      </c>
      <c r="K74" s="77" t="s">
        <v>105</v>
      </c>
      <c r="L74" s="77" t="s">
        <v>105</v>
      </c>
      <c r="M74" s="77" t="s">
        <v>105</v>
      </c>
      <c r="N74" s="77" t="s">
        <v>105</v>
      </c>
      <c r="O74" s="78">
        <v>3</v>
      </c>
      <c r="P74" s="24">
        <f>BX74</f>
        <v>96</v>
      </c>
      <c r="Q74" s="25">
        <f>O74*P74</f>
        <v>288</v>
      </c>
      <c r="R74" s="79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AB - 17 Tugs, 8 SuGs'!$B$2:$K$11,'Standard AB - 17 Tugs, 8 SuGs'!BJ74,FALSE)</f>
        <v>70</v>
      </c>
      <c r="BL74" s="29"/>
      <c r="BM74" s="29"/>
      <c r="BN74" s="29">
        <f>VLOOKUP(J74,'Standard AB - 17 Tugs, 8 SuGs'!AB51:AK55,$BJ74,FALSE)</f>
        <v>90</v>
      </c>
      <c r="BO74" s="29"/>
      <c r="BP74" s="29"/>
      <c r="BQ74" s="29"/>
      <c r="BR74" s="29"/>
      <c r="BS74" s="29">
        <f>SUM(BK74:BO74)-BM74</f>
        <v>160</v>
      </c>
      <c r="BT74" s="29"/>
      <c r="BU74" s="31">
        <f>VLOOKUP(E74,'Standard AB - 17 Tugs, 8 SuGs'!$M$2:$N$5,2,0)</f>
        <v>0.6</v>
      </c>
      <c r="BV74" s="31">
        <v>1</v>
      </c>
      <c r="BW74" s="29">
        <v>1</v>
      </c>
      <c r="BX74" s="32">
        <f>BS74*BU74*BV74+BM74*BW74</f>
        <v>96</v>
      </c>
      <c r="BY74" s="32"/>
      <c r="BZ74" s="32"/>
      <c r="CA74" s="32"/>
      <c r="CB74" s="32"/>
      <c r="CC74" s="33"/>
      <c r="CD74" s="244"/>
      <c r="CE74" s="244"/>
      <c r="CF74" s="244"/>
      <c r="CG74" s="244"/>
      <c r="CH74" s="244"/>
      <c r="CI74" s="244"/>
      <c r="CJ74" s="34"/>
      <c r="CK74" s="246"/>
      <c r="CL74" s="245"/>
      <c r="CM74" s="245"/>
      <c r="CN74" s="245"/>
      <c r="CO74" s="33"/>
      <c r="CP74" s="33"/>
    </row>
    <row r="75" spans="1:94" ht="17.100000000000001" customHeight="1" thickBot="1">
      <c r="A75" s="295" t="s">
        <v>143</v>
      </c>
      <c r="B75" s="296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  <c r="N75" s="296"/>
      <c r="O75" s="296"/>
      <c r="P75" s="297" t="s">
        <v>171</v>
      </c>
      <c r="Q75" s="297"/>
      <c r="R75" s="298"/>
      <c r="U75" s="4"/>
      <c r="X75" s="27"/>
      <c r="Y75" s="27"/>
      <c r="Z75" s="27"/>
      <c r="AA75" s="27"/>
      <c r="AB75" s="27"/>
      <c r="AC75" s="27"/>
      <c r="BI75" s="4" t="s">
        <v>173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55"/>
      <c r="CK75" s="167"/>
      <c r="CL75" s="4"/>
      <c r="CM75" s="4"/>
      <c r="CN75" s="4"/>
      <c r="CO75" s="33"/>
      <c r="CP75" s="33"/>
    </row>
    <row r="76" spans="1:94" ht="17.100000000000001" customHeight="1" thickBot="1">
      <c r="A76" s="118">
        <v>1</v>
      </c>
      <c r="B76" s="119" t="s">
        <v>301</v>
      </c>
      <c r="C76" s="86" t="s">
        <v>43</v>
      </c>
      <c r="D76" s="87" t="s">
        <v>158</v>
      </c>
      <c r="E76" s="87" t="s">
        <v>38</v>
      </c>
      <c r="F76" s="87" t="s">
        <v>51</v>
      </c>
      <c r="G76" s="87" t="s">
        <v>53</v>
      </c>
      <c r="H76" s="87" t="s">
        <v>50</v>
      </c>
      <c r="I76" s="87" t="s">
        <v>50</v>
      </c>
      <c r="J76" s="87" t="s">
        <v>50</v>
      </c>
      <c r="K76" s="87" t="s">
        <v>50</v>
      </c>
      <c r="L76" s="87" t="s">
        <v>50</v>
      </c>
      <c r="M76" s="87" t="s">
        <v>50</v>
      </c>
      <c r="N76" s="87" t="s">
        <v>50</v>
      </c>
      <c r="O76" s="87">
        <v>4</v>
      </c>
      <c r="P76" s="24">
        <f t="shared" ref="P76:P99" si="0">IFERROR(IF(A76&gt;0,BX76,0),0)</f>
        <v>175</v>
      </c>
      <c r="Q76" s="25">
        <f>IFERROR(IF(76&gt;0,O76*P76,0),0)</f>
        <v>700</v>
      </c>
      <c r="R76" s="26">
        <f t="shared" ref="R76:R99" si="1">IF(O76=0,0,O76/IF(D76="Skirmisher",3,2)+0.5)</f>
        <v>2.5</v>
      </c>
      <c r="U76" s="4"/>
      <c r="X76" s="27"/>
      <c r="Y76" s="27"/>
      <c r="Z76" s="27"/>
      <c r="AA76" s="27"/>
      <c r="AB76" s="27"/>
      <c r="AC76" s="27"/>
      <c r="BI76" s="28" t="str">
        <f t="shared" ref="BI76:BI99" si="2">B76</f>
        <v>Guard Cavalry</v>
      </c>
      <c r="BJ76" s="29">
        <f>VLOOKUP(C76,'Standard AB - 17 Tugs, 8 SuGs'!$B$13:$C$21,2,FALSE)</f>
        <v>3</v>
      </c>
      <c r="BK76" s="29">
        <f>VLOOKUP(D76,'Standard AB - 17 Tugs, 8 SuGs'!$B$2:$K$11,'Standard AB - 17 Tugs, 8 SuGs'!BJ76,FALSE)</f>
        <v>90</v>
      </c>
      <c r="BL76" s="29">
        <f>VLOOKUP(G76,'Standard AB - 17 Tugs, 8 SuGs'!$R$3:$Z$21,BJ76,FALSE)</f>
        <v>35</v>
      </c>
      <c r="BM76" s="30">
        <f>VLOOKUP(I76,'Standard AB - 17 Tugs, 8 SuGs'!$R$12:$Z$21,BJ76,FALSE)</f>
        <v>0</v>
      </c>
      <c r="BN76" s="29">
        <f>IFERROR(VLOOKUP(J76,'Standard AB - 17 Tugs, 8 SuGs'!$AB$3:$AK$55,$BJ76,FALSE),0)</f>
        <v>0</v>
      </c>
      <c r="BO76" s="29">
        <f>IFERROR(VLOOKUP(K76,'Standard AB - 17 Tugs, 8 SuGs'!$AB$3:$AK$55,$BJ76,FALSE),0)</f>
        <v>0</v>
      </c>
      <c r="BP76" s="29">
        <f>IFERROR(VLOOKUP(L76,'Standard AB - 17 Tugs, 8 SuGs'!$AB$3:$AK$55,$BJ76,FALSE),0)</f>
        <v>0</v>
      </c>
      <c r="BQ76" s="29">
        <f>IFERROR(VLOOKUP(M76,'Standard AB - 17 Tugs, 8 SuGs'!$AB$3:$AK$55,$BJ76,FALSE),0)</f>
        <v>0</v>
      </c>
      <c r="BR76" s="29">
        <f>IFERROR(VLOOKUP(N76,'Standard AB - 17 Tugs, 8 SuGs'!$AB$3:$AK$55,$BJ76,FALSE),0)</f>
        <v>0</v>
      </c>
      <c r="BS76" s="29">
        <f t="shared" ref="BS76:BS99" si="3">SUM(BK76:BR76)-BM76</f>
        <v>125</v>
      </c>
      <c r="BT76" s="29"/>
      <c r="BU76" s="31">
        <f>VLOOKUP(E76,'Standard AB - 17 Tugs, 8 SuGs'!$M$2:$N$5,2,0)</f>
        <v>1.4</v>
      </c>
      <c r="BV76" s="31">
        <f>VLOOKUP(F76,'Standard AB - 17 Tugs, 8 SuGs'!$M$14:$N$19,2,0)</f>
        <v>1</v>
      </c>
      <c r="BW76" s="29">
        <f>IF(BM76=0,1,VLOOKUP(H76,'Standard AB - 17 Tugs, 8 SuGs'!$M$8:$N$12,2,FALSE))</f>
        <v>1</v>
      </c>
      <c r="BX76" s="32">
        <f>INT(BS76*BU76*BV76+BM76*BW76)</f>
        <v>175</v>
      </c>
      <c r="BY76" s="32"/>
      <c r="BZ76" s="32"/>
      <c r="CA76" s="32"/>
      <c r="CB76" s="32"/>
      <c r="CC76" s="33"/>
      <c r="CD76" s="29">
        <f t="shared" ref="CD76:CD99" si="4">IF(C76="CAVALRY",1,0)</f>
        <v>1</v>
      </c>
      <c r="CE76" s="29">
        <f t="shared" ref="CE76:CE99" si="5">IF(D76="Drilled Flexible",1,0)+IF(D76="Formed Flexible",1,0)+IF(D76="Tribal Flexible",1,0)</f>
        <v>0</v>
      </c>
      <c r="CF76" s="29">
        <f t="shared" ref="CF76:CF99" si="6">IF(F76="FULLY ARMOURED",0,1)</f>
        <v>1</v>
      </c>
      <c r="CG76" s="29">
        <f t="shared" ref="CG76:CG99" si="7">IF(C76="light chariots",1,0)</f>
        <v>0</v>
      </c>
      <c r="CH76" s="29">
        <f t="shared" ref="CH76:CH99" si="8">IF(C76="CAMELRY",1,0)</f>
        <v>0</v>
      </c>
      <c r="CI76" s="29">
        <f t="shared" ref="CI76:CI99" si="9">IF(D76="Skirmisher",1,0)</f>
        <v>0</v>
      </c>
      <c r="CJ76" s="34"/>
      <c r="CK76" s="35">
        <f t="shared" ref="CK76:CK99" si="10">IF(A76&gt;0,1,0)</f>
        <v>1</v>
      </c>
      <c r="CL76" s="29">
        <f t="shared" ref="CL76:CL99" si="11">O76*CI76*(CD76+CG76+CH76)*CK76</f>
        <v>0</v>
      </c>
      <c r="CM76" s="29">
        <f t="shared" ref="CM76:CM99" si="12">(O76*(CD76*CF76+CG76+CH76*CF76)-CL76)*CK76*(1+CE76)</f>
        <v>4</v>
      </c>
      <c r="CN76" s="29">
        <f t="shared" ref="CN76:CN99" si="13">(O76*CI76-CL76)*CK76</f>
        <v>0</v>
      </c>
      <c r="CO76" s="33"/>
      <c r="CP76" s="33"/>
    </row>
    <row r="77" spans="1:94" ht="17.100000000000001" customHeight="1" thickBot="1">
      <c r="A77" s="118">
        <v>2</v>
      </c>
      <c r="B77" s="119" t="s">
        <v>302</v>
      </c>
      <c r="C77" s="86" t="s">
        <v>43</v>
      </c>
      <c r="D77" s="87" t="s">
        <v>159</v>
      </c>
      <c r="E77" s="87" t="s">
        <v>10</v>
      </c>
      <c r="F77" s="87" t="s">
        <v>51</v>
      </c>
      <c r="G77" s="87" t="s">
        <v>53</v>
      </c>
      <c r="H77" s="87" t="s">
        <v>50</v>
      </c>
      <c r="I77" s="87" t="s">
        <v>50</v>
      </c>
      <c r="J77" s="87" t="s">
        <v>50</v>
      </c>
      <c r="K77" s="87" t="s">
        <v>50</v>
      </c>
      <c r="L77" s="87" t="s">
        <v>50</v>
      </c>
      <c r="M77" s="87" t="s">
        <v>50</v>
      </c>
      <c r="N77" s="87" t="s">
        <v>50</v>
      </c>
      <c r="O77" s="87">
        <v>6</v>
      </c>
      <c r="P77" s="24">
        <f t="shared" si="0"/>
        <v>115</v>
      </c>
      <c r="Q77" s="25">
        <f t="shared" ref="Q77:Q118" si="14">IFERROR(IF(76&gt;0,O77*P77,0),0)</f>
        <v>690</v>
      </c>
      <c r="R77" s="26">
        <f t="shared" si="1"/>
        <v>3.5</v>
      </c>
      <c r="U77" s="4"/>
      <c r="X77" s="27"/>
      <c r="Y77" s="27"/>
      <c r="Z77" s="27"/>
      <c r="AA77" s="27"/>
      <c r="AB77" s="27"/>
      <c r="AC77" s="27"/>
      <c r="AG77" s="27"/>
      <c r="BI77" s="28" t="str">
        <f t="shared" si="2"/>
        <v>Arab Cavalry</v>
      </c>
      <c r="BJ77" s="29">
        <f>VLOOKUP(C77,'Standard AB - 17 Tugs, 8 SuGs'!$B$13:$C$21,2,FALSE)</f>
        <v>3</v>
      </c>
      <c r="BK77" s="29">
        <f>VLOOKUP(D77,'Standard AB - 17 Tugs, 8 SuGs'!$B$2:$K$11,'Standard AB - 17 Tugs, 8 SuGs'!BJ77,FALSE)</f>
        <v>80</v>
      </c>
      <c r="BL77" s="29">
        <f>VLOOKUP(G77,'Standard AB - 17 Tugs, 8 SuGs'!$R$3:$Z$21,BJ77,FALSE)</f>
        <v>35</v>
      </c>
      <c r="BM77" s="30">
        <f>VLOOKUP(I77,'Standard AB - 17 Tugs, 8 SuGs'!$R$12:$Z$21,BJ77,FALSE)</f>
        <v>0</v>
      </c>
      <c r="BN77" s="29">
        <f>IFERROR(VLOOKUP(J77,'Standard AB - 17 Tugs, 8 SuGs'!$AB$3:$AK$55,$BJ77,FALSE),0)</f>
        <v>0</v>
      </c>
      <c r="BO77" s="29">
        <f>IFERROR(VLOOKUP(K77,'Standard AB - 17 Tugs, 8 SuGs'!$AB$3:$AK$55,$BJ77,FALSE),0)</f>
        <v>0</v>
      </c>
      <c r="BP77" s="29">
        <f>IFERROR(VLOOKUP(L77,'Standard AB - 17 Tugs, 8 SuGs'!$AB$3:$AK$55,$BJ77,FALSE),0)</f>
        <v>0</v>
      </c>
      <c r="BQ77" s="29">
        <f>IFERROR(VLOOKUP(M77,'Standard AB - 17 Tugs, 8 SuGs'!$AB$3:$AK$55,$BJ77,FALSE),0)</f>
        <v>0</v>
      </c>
      <c r="BR77" s="29">
        <f>IFERROR(VLOOKUP(N77,'Standard AB - 17 Tugs, 8 SuGs'!$AB$3:$AK$55,$BJ77,FALSE),0)</f>
        <v>0</v>
      </c>
      <c r="BS77" s="29">
        <f t="shared" si="3"/>
        <v>115</v>
      </c>
      <c r="BT77" s="29"/>
      <c r="BU77" s="31">
        <f>VLOOKUP(E77,'Standard AB - 17 Tugs, 8 SuGs'!$M$2:$N$5,2,0)</f>
        <v>1</v>
      </c>
      <c r="BV77" s="31">
        <f>VLOOKUP(F77,'Standard AB - 17 Tugs, 8 SuGs'!$M$14:$N$19,2,0)</f>
        <v>1</v>
      </c>
      <c r="BW77" s="29">
        <f>IF(BM77=0,1,VLOOKUP(H77,'Standard AB - 17 Tugs, 8 SuGs'!$M$8:$N$12,2,FALSE))</f>
        <v>1</v>
      </c>
      <c r="BX77" s="32">
        <f t="shared" ref="BX77:BX99" si="15">INT(BS77*BU77*BV77+BM77*BW77)</f>
        <v>115</v>
      </c>
      <c r="BY77" s="32"/>
      <c r="BZ77" s="32"/>
      <c r="CA77" s="32"/>
      <c r="CB77" s="32"/>
      <c r="CC77" s="33"/>
      <c r="CD77" s="29">
        <f t="shared" si="4"/>
        <v>1</v>
      </c>
      <c r="CE77" s="29">
        <f t="shared" si="5"/>
        <v>0</v>
      </c>
      <c r="CF77" s="29">
        <f t="shared" si="6"/>
        <v>1</v>
      </c>
      <c r="CG77" s="29">
        <f t="shared" si="7"/>
        <v>0</v>
      </c>
      <c r="CH77" s="29">
        <f t="shared" si="8"/>
        <v>0</v>
      </c>
      <c r="CI77" s="29">
        <f t="shared" si="9"/>
        <v>0</v>
      </c>
      <c r="CJ77" s="34"/>
      <c r="CK77" s="35">
        <f t="shared" si="10"/>
        <v>1</v>
      </c>
      <c r="CL77" s="29">
        <f t="shared" si="11"/>
        <v>0</v>
      </c>
      <c r="CM77" s="29">
        <f t="shared" si="12"/>
        <v>6</v>
      </c>
      <c r="CN77" s="29">
        <f t="shared" si="13"/>
        <v>0</v>
      </c>
      <c r="CO77" s="33"/>
      <c r="CP77" s="33"/>
    </row>
    <row r="78" spans="1:94" ht="17.100000000000001" customHeight="1" thickBot="1">
      <c r="A78" s="118">
        <v>3</v>
      </c>
      <c r="B78" s="119" t="s">
        <v>302</v>
      </c>
      <c r="C78" s="86" t="s">
        <v>43</v>
      </c>
      <c r="D78" s="87" t="s">
        <v>159</v>
      </c>
      <c r="E78" s="87" t="s">
        <v>10</v>
      </c>
      <c r="F78" s="87" t="s">
        <v>51</v>
      </c>
      <c r="G78" s="87" t="s">
        <v>53</v>
      </c>
      <c r="H78" s="87" t="s">
        <v>50</v>
      </c>
      <c r="I78" s="87" t="s">
        <v>50</v>
      </c>
      <c r="J78" s="87" t="s">
        <v>50</v>
      </c>
      <c r="K78" s="87" t="s">
        <v>50</v>
      </c>
      <c r="L78" s="87" t="s">
        <v>50</v>
      </c>
      <c r="M78" s="87" t="s">
        <v>50</v>
      </c>
      <c r="N78" s="87" t="s">
        <v>50</v>
      </c>
      <c r="O78" s="87">
        <v>6</v>
      </c>
      <c r="P78" s="24">
        <f t="shared" si="0"/>
        <v>115</v>
      </c>
      <c r="Q78" s="25">
        <f t="shared" si="14"/>
        <v>690</v>
      </c>
      <c r="R78" s="26">
        <f t="shared" si="1"/>
        <v>3.5</v>
      </c>
      <c r="U78" s="4"/>
      <c r="X78" s="27"/>
      <c r="Y78" s="27"/>
      <c r="Z78" s="27"/>
      <c r="AA78" s="27"/>
      <c r="AB78" s="27"/>
      <c r="AC78" s="27"/>
      <c r="AF78" s="27"/>
      <c r="AG78" s="27"/>
      <c r="BI78" s="28" t="str">
        <f t="shared" si="2"/>
        <v>Arab Cavalry</v>
      </c>
      <c r="BJ78" s="29">
        <f>VLOOKUP(C78,'Standard AB - 17 Tugs, 8 SuGs'!$B$13:$C$21,2,FALSE)</f>
        <v>3</v>
      </c>
      <c r="BK78" s="29">
        <f>VLOOKUP(D78,'Standard AB - 17 Tugs, 8 SuGs'!$B$2:$K$11,'Standard AB - 17 Tugs, 8 SuGs'!BJ78,FALSE)</f>
        <v>80</v>
      </c>
      <c r="BL78" s="29">
        <f>VLOOKUP(G78,'Standard AB - 17 Tugs, 8 SuGs'!$R$3:$Z$21,BJ78,FALSE)</f>
        <v>35</v>
      </c>
      <c r="BM78" s="30">
        <f>VLOOKUP(I78,'Standard AB - 17 Tugs, 8 SuGs'!$R$12:$Z$21,BJ78,FALSE)</f>
        <v>0</v>
      </c>
      <c r="BN78" s="29">
        <f>IFERROR(VLOOKUP(J78,'Standard AB - 17 Tugs, 8 SuGs'!$AB$3:$AK$55,$BJ78,FALSE),0)</f>
        <v>0</v>
      </c>
      <c r="BO78" s="29">
        <f>IFERROR(VLOOKUP(K78,'Standard AB - 17 Tugs, 8 SuGs'!$AB$3:$AK$55,$BJ78,FALSE),0)</f>
        <v>0</v>
      </c>
      <c r="BP78" s="29">
        <f>IFERROR(VLOOKUP(L78,'Standard AB - 17 Tugs, 8 SuGs'!$AB$3:$AK$55,$BJ78,FALSE),0)</f>
        <v>0</v>
      </c>
      <c r="BQ78" s="29">
        <f>IFERROR(VLOOKUP(M78,'Standard AB - 17 Tugs, 8 SuGs'!$AB$3:$AK$55,$BJ78,FALSE),0)</f>
        <v>0</v>
      </c>
      <c r="BR78" s="29">
        <f>IFERROR(VLOOKUP(N78,'Standard AB - 17 Tugs, 8 SuGs'!$AB$3:$AK$55,$BJ78,FALSE),0)</f>
        <v>0</v>
      </c>
      <c r="BS78" s="29">
        <f t="shared" si="3"/>
        <v>115</v>
      </c>
      <c r="BT78" s="29"/>
      <c r="BU78" s="31">
        <f>VLOOKUP(E78,'Standard AB - 17 Tugs, 8 SuGs'!$M$2:$N$5,2,0)</f>
        <v>1</v>
      </c>
      <c r="BV78" s="31">
        <f>VLOOKUP(F78,'Standard AB - 17 Tugs, 8 SuGs'!$M$14:$N$19,2,0)</f>
        <v>1</v>
      </c>
      <c r="BW78" s="29">
        <f>IF(BM78=0,1,VLOOKUP(H78,'Standard AB - 17 Tugs, 8 SuGs'!$M$8:$N$12,2,FALSE))</f>
        <v>1</v>
      </c>
      <c r="BX78" s="32">
        <f t="shared" si="15"/>
        <v>115</v>
      </c>
      <c r="BY78" s="32"/>
      <c r="BZ78" s="32"/>
      <c r="CA78" s="32"/>
      <c r="CB78" s="32"/>
      <c r="CC78" s="33"/>
      <c r="CD78" s="29">
        <f t="shared" si="4"/>
        <v>1</v>
      </c>
      <c r="CE78" s="29">
        <f t="shared" si="5"/>
        <v>0</v>
      </c>
      <c r="CF78" s="29">
        <f t="shared" si="6"/>
        <v>1</v>
      </c>
      <c r="CG78" s="29">
        <f t="shared" si="7"/>
        <v>0</v>
      </c>
      <c r="CH78" s="29">
        <f t="shared" si="8"/>
        <v>0</v>
      </c>
      <c r="CI78" s="29">
        <f t="shared" si="9"/>
        <v>0</v>
      </c>
      <c r="CJ78" s="34"/>
      <c r="CK78" s="35">
        <f t="shared" si="10"/>
        <v>1</v>
      </c>
      <c r="CL78" s="29">
        <f t="shared" si="11"/>
        <v>0</v>
      </c>
      <c r="CM78" s="29">
        <f t="shared" si="12"/>
        <v>6</v>
      </c>
      <c r="CN78" s="29">
        <f t="shared" si="13"/>
        <v>0</v>
      </c>
      <c r="CO78" s="33"/>
      <c r="CP78" s="33"/>
    </row>
    <row r="79" spans="1:94" ht="17.100000000000001" customHeight="1" thickBot="1">
      <c r="A79" s="118">
        <v>4</v>
      </c>
      <c r="B79" s="119" t="s">
        <v>303</v>
      </c>
      <c r="C79" s="86" t="s">
        <v>40</v>
      </c>
      <c r="D79" s="87" t="s">
        <v>119</v>
      </c>
      <c r="E79" s="87" t="s">
        <v>10</v>
      </c>
      <c r="F79" s="87" t="s">
        <v>51</v>
      </c>
      <c r="G79" s="87" t="s">
        <v>54</v>
      </c>
      <c r="H79" s="87" t="s">
        <v>50</v>
      </c>
      <c r="I79" s="87" t="s">
        <v>50</v>
      </c>
      <c r="J79" s="87" t="s">
        <v>103</v>
      </c>
      <c r="K79" s="87" t="s">
        <v>123</v>
      </c>
      <c r="L79" s="87" t="s">
        <v>50</v>
      </c>
      <c r="M79" s="87" t="s">
        <v>50</v>
      </c>
      <c r="N79" s="87" t="s">
        <v>50</v>
      </c>
      <c r="O79" s="87">
        <v>8</v>
      </c>
      <c r="P79" s="24">
        <f t="shared" si="0"/>
        <v>88</v>
      </c>
      <c r="Q79" s="25">
        <f t="shared" si="14"/>
        <v>704</v>
      </c>
      <c r="R79" s="26">
        <f t="shared" si="1"/>
        <v>4.5</v>
      </c>
      <c r="U79" s="4"/>
      <c r="X79" s="27"/>
      <c r="Y79" s="27"/>
      <c r="Z79" s="27"/>
      <c r="AA79" s="27"/>
      <c r="AB79" s="27"/>
      <c r="AC79" s="27"/>
      <c r="AF79" s="27"/>
      <c r="AG79" s="27"/>
      <c r="BI79" s="28" t="str">
        <f t="shared" si="2"/>
        <v>Andalusian Spearmen</v>
      </c>
      <c r="BJ79" s="29">
        <f>VLOOKUP(C79,'Standard AB - 17 Tugs, 8 SuGs'!$B$13:$C$21,2,FALSE)</f>
        <v>2</v>
      </c>
      <c r="BK79" s="29">
        <f>VLOOKUP(D79,'Standard AB - 17 Tugs, 8 SuGs'!$B$2:$K$11,'Standard AB - 17 Tugs, 8 SuGs'!BJ79,FALSE)</f>
        <v>70</v>
      </c>
      <c r="BL79" s="29">
        <f>VLOOKUP(G79,'Standard AB - 17 Tugs, 8 SuGs'!$R$3:$Z$21,BJ79,FALSE)</f>
        <v>7</v>
      </c>
      <c r="BM79" s="30">
        <f>VLOOKUP(I79,'Standard AB - 17 Tugs, 8 SuGs'!$R$12:$Z$21,BJ79,FALSE)</f>
        <v>0</v>
      </c>
      <c r="BN79" s="29">
        <f>IFERROR(VLOOKUP(J79,'Standard AB - 17 Tugs, 8 SuGs'!$AB$3:$AK$55,$BJ79,FALSE),0)</f>
        <v>5</v>
      </c>
      <c r="BO79" s="29">
        <f>IFERROR(VLOOKUP(K79,'Standard AB - 17 Tugs, 8 SuGs'!$AB$3:$AK$55,$BJ79,FALSE),0)</f>
        <v>6</v>
      </c>
      <c r="BP79" s="29">
        <f>IFERROR(VLOOKUP(L79,'Standard AB - 17 Tugs, 8 SuGs'!$AB$3:$AK$55,$BJ79,FALSE),0)</f>
        <v>0</v>
      </c>
      <c r="BQ79" s="29">
        <f>IFERROR(VLOOKUP(M79,'Standard AB - 17 Tugs, 8 SuGs'!$AB$3:$AK$55,$BJ79,FALSE),0)</f>
        <v>0</v>
      </c>
      <c r="BR79" s="29">
        <f>IFERROR(VLOOKUP(N79,'Standard AB - 17 Tugs, 8 SuGs'!$AB$3:$AK$55,$BJ79,FALSE),0)</f>
        <v>0</v>
      </c>
      <c r="BS79" s="29">
        <f t="shared" si="3"/>
        <v>88</v>
      </c>
      <c r="BT79" s="29"/>
      <c r="BU79" s="31">
        <f>VLOOKUP(E79,'Standard AB - 17 Tugs, 8 SuGs'!$M$2:$N$5,2,0)</f>
        <v>1</v>
      </c>
      <c r="BV79" s="31">
        <f>VLOOKUP(F79,'Standard AB - 17 Tugs, 8 SuGs'!$M$14:$N$19,2,0)</f>
        <v>1</v>
      </c>
      <c r="BW79" s="29">
        <f>IF(BM79=0,1,VLOOKUP(H79,'Standard AB - 17 Tugs, 8 SuGs'!$M$8:$N$12,2,FALSE))</f>
        <v>1</v>
      </c>
      <c r="BX79" s="32">
        <f t="shared" si="15"/>
        <v>88</v>
      </c>
      <c r="BY79" s="32"/>
      <c r="BZ79" s="32"/>
      <c r="CA79" s="32"/>
      <c r="CB79" s="32"/>
      <c r="CC79" s="33"/>
      <c r="CD79" s="29">
        <f t="shared" si="4"/>
        <v>0</v>
      </c>
      <c r="CE79" s="29">
        <f t="shared" si="5"/>
        <v>0</v>
      </c>
      <c r="CF79" s="29">
        <f t="shared" si="6"/>
        <v>1</v>
      </c>
      <c r="CG79" s="29">
        <f t="shared" si="7"/>
        <v>0</v>
      </c>
      <c r="CH79" s="29">
        <f t="shared" si="8"/>
        <v>0</v>
      </c>
      <c r="CI79" s="29">
        <f t="shared" si="9"/>
        <v>0</v>
      </c>
      <c r="CJ79" s="34"/>
      <c r="CK79" s="35">
        <f t="shared" si="10"/>
        <v>1</v>
      </c>
      <c r="CL79" s="29">
        <f t="shared" si="11"/>
        <v>0</v>
      </c>
      <c r="CM79" s="29">
        <f t="shared" si="12"/>
        <v>0</v>
      </c>
      <c r="CN79" s="29">
        <f t="shared" si="13"/>
        <v>0</v>
      </c>
      <c r="CO79" s="33"/>
      <c r="CP79" s="33"/>
    </row>
    <row r="80" spans="1:94" ht="17.100000000000001" customHeight="1" thickBot="1">
      <c r="A80" s="118">
        <v>5</v>
      </c>
      <c r="B80" s="119" t="s">
        <v>301</v>
      </c>
      <c r="C80" s="86" t="s">
        <v>43</v>
      </c>
      <c r="D80" s="87" t="s">
        <v>158</v>
      </c>
      <c r="E80" s="87" t="s">
        <v>38</v>
      </c>
      <c r="F80" s="87" t="s">
        <v>51</v>
      </c>
      <c r="G80" s="87" t="s">
        <v>53</v>
      </c>
      <c r="H80" s="87" t="s">
        <v>50</v>
      </c>
      <c r="I80" s="87" t="s">
        <v>50</v>
      </c>
      <c r="J80" s="87" t="s">
        <v>50</v>
      </c>
      <c r="K80" s="87" t="s">
        <v>50</v>
      </c>
      <c r="L80" s="87" t="s">
        <v>50</v>
      </c>
      <c r="M80" s="87" t="s">
        <v>50</v>
      </c>
      <c r="N80" s="87" t="s">
        <v>50</v>
      </c>
      <c r="O80" s="87">
        <v>4</v>
      </c>
      <c r="P80" s="24">
        <f t="shared" si="0"/>
        <v>175</v>
      </c>
      <c r="Q80" s="25">
        <f t="shared" si="14"/>
        <v>700</v>
      </c>
      <c r="R80" s="26">
        <f t="shared" si="1"/>
        <v>2.5</v>
      </c>
      <c r="U80" s="4"/>
      <c r="X80" s="27"/>
      <c r="Y80" s="27"/>
      <c r="Z80" s="27"/>
      <c r="AA80" s="27"/>
      <c r="AB80" s="27"/>
      <c r="AC80" s="27"/>
      <c r="AF80" s="27"/>
      <c r="AG80" s="27"/>
      <c r="BI80" s="28" t="str">
        <f t="shared" si="2"/>
        <v>Guard Cavalry</v>
      </c>
      <c r="BJ80" s="29">
        <f>VLOOKUP(C80,'Standard AB - 17 Tugs, 8 SuGs'!$B$13:$C$21,2,FALSE)</f>
        <v>3</v>
      </c>
      <c r="BK80" s="29">
        <f>VLOOKUP(D80,'Standard AB - 17 Tugs, 8 SuGs'!$B$2:$K$11,'Standard AB - 17 Tugs, 8 SuGs'!BJ80,FALSE)</f>
        <v>90</v>
      </c>
      <c r="BL80" s="29">
        <f>VLOOKUP(G80,'Standard AB - 17 Tugs, 8 SuGs'!$R$3:$Z$21,BJ80,FALSE)</f>
        <v>35</v>
      </c>
      <c r="BM80" s="30">
        <f>VLOOKUP(I80,'Standard AB - 17 Tugs, 8 SuGs'!$R$12:$Z$21,BJ80,FALSE)</f>
        <v>0</v>
      </c>
      <c r="BN80" s="29">
        <f>IFERROR(VLOOKUP(J80,'Standard AB - 17 Tugs, 8 SuGs'!$AB$3:$AK$55,$BJ80,FALSE),0)</f>
        <v>0</v>
      </c>
      <c r="BO80" s="29">
        <f>IFERROR(VLOOKUP(K80,'Standard AB - 17 Tugs, 8 SuGs'!$AB$3:$AK$55,$BJ80,FALSE),0)</f>
        <v>0</v>
      </c>
      <c r="BP80" s="29">
        <f>IFERROR(VLOOKUP(L80,'Standard AB - 17 Tugs, 8 SuGs'!$AB$3:$AK$55,$BJ80,FALSE),0)</f>
        <v>0</v>
      </c>
      <c r="BQ80" s="29">
        <f>IFERROR(VLOOKUP(M80,'Standard AB - 17 Tugs, 8 SuGs'!$AB$3:$AK$55,$BJ80,FALSE),0)</f>
        <v>0</v>
      </c>
      <c r="BR80" s="29">
        <f>IFERROR(VLOOKUP(N80,'Standard AB - 17 Tugs, 8 SuGs'!$AB$3:$AK$55,$BJ80,FALSE),0)</f>
        <v>0</v>
      </c>
      <c r="BS80" s="29">
        <f t="shared" si="3"/>
        <v>125</v>
      </c>
      <c r="BT80" s="29"/>
      <c r="BU80" s="31">
        <f>VLOOKUP(E80,'Standard AB - 17 Tugs, 8 SuGs'!$M$2:$N$5,2,0)</f>
        <v>1.4</v>
      </c>
      <c r="BV80" s="31">
        <f>VLOOKUP(F80,'Standard AB - 17 Tugs, 8 SuGs'!$M$14:$N$19,2,0)</f>
        <v>1</v>
      </c>
      <c r="BW80" s="29">
        <f>IF(BM80=0,1,VLOOKUP(H80,'Standard AB - 17 Tugs, 8 SuGs'!$M$8:$N$12,2,FALSE))</f>
        <v>1</v>
      </c>
      <c r="BX80" s="32">
        <f t="shared" si="15"/>
        <v>175</v>
      </c>
      <c r="BY80" s="32"/>
      <c r="BZ80" s="32"/>
      <c r="CA80" s="32"/>
      <c r="CB80" s="32"/>
      <c r="CC80" s="33"/>
      <c r="CD80" s="29">
        <f t="shared" si="4"/>
        <v>1</v>
      </c>
      <c r="CE80" s="29">
        <f t="shared" si="5"/>
        <v>0</v>
      </c>
      <c r="CF80" s="29">
        <f t="shared" si="6"/>
        <v>1</v>
      </c>
      <c r="CG80" s="29">
        <f t="shared" si="7"/>
        <v>0</v>
      </c>
      <c r="CH80" s="29">
        <f t="shared" si="8"/>
        <v>0</v>
      </c>
      <c r="CI80" s="29">
        <f t="shared" si="9"/>
        <v>0</v>
      </c>
      <c r="CJ80" s="34"/>
      <c r="CK80" s="35">
        <f t="shared" si="10"/>
        <v>1</v>
      </c>
      <c r="CL80" s="29">
        <f t="shared" si="11"/>
        <v>0</v>
      </c>
      <c r="CM80" s="29">
        <f t="shared" si="12"/>
        <v>4</v>
      </c>
      <c r="CN80" s="29">
        <f t="shared" si="13"/>
        <v>0</v>
      </c>
      <c r="CO80" s="33"/>
      <c r="CP80" s="33"/>
    </row>
    <row r="81" spans="1:94" ht="17.100000000000001" customHeight="1" thickBot="1">
      <c r="A81" s="118">
        <v>6</v>
      </c>
      <c r="B81" s="119" t="s">
        <v>301</v>
      </c>
      <c r="C81" s="86" t="s">
        <v>43</v>
      </c>
      <c r="D81" s="87" t="s">
        <v>158</v>
      </c>
      <c r="E81" s="87" t="s">
        <v>38</v>
      </c>
      <c r="F81" s="87" t="s">
        <v>51</v>
      </c>
      <c r="G81" s="87" t="s">
        <v>53</v>
      </c>
      <c r="H81" s="87" t="s">
        <v>50</v>
      </c>
      <c r="I81" s="87" t="s">
        <v>50</v>
      </c>
      <c r="J81" s="87" t="s">
        <v>50</v>
      </c>
      <c r="K81" s="87" t="s">
        <v>50</v>
      </c>
      <c r="L81" s="87" t="s">
        <v>50</v>
      </c>
      <c r="M81" s="87" t="s">
        <v>50</v>
      </c>
      <c r="N81" s="87" t="s">
        <v>50</v>
      </c>
      <c r="O81" s="87">
        <v>4</v>
      </c>
      <c r="P81" s="24">
        <f t="shared" si="0"/>
        <v>175</v>
      </c>
      <c r="Q81" s="25">
        <f t="shared" si="14"/>
        <v>700</v>
      </c>
      <c r="R81" s="26">
        <f t="shared" si="1"/>
        <v>2.5</v>
      </c>
      <c r="U81" s="4"/>
      <c r="X81" s="27"/>
      <c r="Y81" s="27"/>
      <c r="Z81" s="27"/>
      <c r="AA81" s="27"/>
      <c r="AB81" s="27"/>
      <c r="AC81" s="27"/>
      <c r="AF81" s="27"/>
      <c r="AG81" s="27"/>
      <c r="BI81" s="28" t="str">
        <f t="shared" si="2"/>
        <v>Guard Cavalry</v>
      </c>
      <c r="BJ81" s="29">
        <f>VLOOKUP(C81,'Standard AB - 17 Tugs, 8 SuGs'!$B$13:$C$21,2,FALSE)</f>
        <v>3</v>
      </c>
      <c r="BK81" s="29">
        <f>VLOOKUP(D81,'Standard AB - 17 Tugs, 8 SuGs'!$B$2:$K$11,'Standard AB - 17 Tugs, 8 SuGs'!BJ81,FALSE)</f>
        <v>90</v>
      </c>
      <c r="BL81" s="29">
        <f>VLOOKUP(G81,'Standard AB - 17 Tugs, 8 SuGs'!$R$3:$Z$21,BJ81,FALSE)</f>
        <v>35</v>
      </c>
      <c r="BM81" s="30">
        <f>VLOOKUP(I81,'Standard AB - 17 Tugs, 8 SuGs'!$R$12:$Z$21,BJ81,FALSE)</f>
        <v>0</v>
      </c>
      <c r="BN81" s="29">
        <f>IFERROR(VLOOKUP(J81,'Standard AB - 17 Tugs, 8 SuGs'!$AB$3:$AK$55,$BJ81,FALSE),0)</f>
        <v>0</v>
      </c>
      <c r="BO81" s="29">
        <f>IFERROR(VLOOKUP(K81,'Standard AB - 17 Tugs, 8 SuGs'!$AB$3:$AK$55,$BJ81,FALSE),0)</f>
        <v>0</v>
      </c>
      <c r="BP81" s="29">
        <f>IFERROR(VLOOKUP(L81,'Standard AB - 17 Tugs, 8 SuGs'!$AB$3:$AK$55,$BJ81,FALSE),0)</f>
        <v>0</v>
      </c>
      <c r="BQ81" s="29">
        <f>IFERROR(VLOOKUP(M81,'Standard AB - 17 Tugs, 8 SuGs'!$AB$3:$AK$55,$BJ81,FALSE),0)</f>
        <v>0</v>
      </c>
      <c r="BR81" s="29">
        <f>IFERROR(VLOOKUP(N81,'Standard AB - 17 Tugs, 8 SuGs'!$AB$3:$AK$55,$BJ81,FALSE),0)</f>
        <v>0</v>
      </c>
      <c r="BS81" s="29">
        <f t="shared" ref="BS81:BS87" si="16">SUM(BK81:BR81)-BM81</f>
        <v>125</v>
      </c>
      <c r="BT81" s="29"/>
      <c r="BU81" s="31">
        <f>VLOOKUP(E81,'Standard AB - 17 Tugs, 8 SuGs'!$M$2:$N$5,2,0)</f>
        <v>1.4</v>
      </c>
      <c r="BV81" s="31">
        <f>VLOOKUP(F81,'Standard AB - 17 Tugs, 8 SuGs'!$M$14:$N$19,2,0)</f>
        <v>1</v>
      </c>
      <c r="BW81" s="29">
        <f>IF(BM81=0,1,VLOOKUP(H81,'Standard AB - 17 Tugs, 8 SuGs'!$M$8:$N$12,2,FALSE))</f>
        <v>1</v>
      </c>
      <c r="BX81" s="32">
        <f t="shared" si="15"/>
        <v>175</v>
      </c>
      <c r="BY81" s="32"/>
      <c r="BZ81" s="32"/>
      <c r="CA81" s="32"/>
      <c r="CB81" s="32"/>
      <c r="CC81" s="33"/>
      <c r="CD81" s="29">
        <f t="shared" si="4"/>
        <v>1</v>
      </c>
      <c r="CE81" s="29">
        <f t="shared" si="5"/>
        <v>0</v>
      </c>
      <c r="CF81" s="29">
        <f t="shared" si="6"/>
        <v>1</v>
      </c>
      <c r="CG81" s="29">
        <f t="shared" si="7"/>
        <v>0</v>
      </c>
      <c r="CH81" s="29">
        <f t="shared" si="8"/>
        <v>0</v>
      </c>
      <c r="CI81" s="29">
        <f t="shared" si="9"/>
        <v>0</v>
      </c>
      <c r="CJ81" s="34"/>
      <c r="CK81" s="35">
        <f t="shared" si="10"/>
        <v>1</v>
      </c>
      <c r="CL81" s="29">
        <f t="shared" si="11"/>
        <v>0</v>
      </c>
      <c r="CM81" s="29">
        <f t="shared" si="12"/>
        <v>4</v>
      </c>
      <c r="CN81" s="29">
        <f t="shared" si="13"/>
        <v>0</v>
      </c>
      <c r="CO81" s="33"/>
      <c r="CP81" s="33"/>
    </row>
    <row r="82" spans="1:94" ht="17.100000000000001" customHeight="1" thickBot="1">
      <c r="A82" s="118">
        <v>7</v>
      </c>
      <c r="B82" s="119" t="s">
        <v>303</v>
      </c>
      <c r="C82" s="86" t="s">
        <v>40</v>
      </c>
      <c r="D82" s="87" t="s">
        <v>119</v>
      </c>
      <c r="E82" s="87" t="s">
        <v>10</v>
      </c>
      <c r="F82" s="87" t="s">
        <v>51</v>
      </c>
      <c r="G82" s="87" t="s">
        <v>54</v>
      </c>
      <c r="H82" s="87" t="s">
        <v>50</v>
      </c>
      <c r="I82" s="87" t="s">
        <v>50</v>
      </c>
      <c r="J82" s="87" t="s">
        <v>103</v>
      </c>
      <c r="K82" s="87" t="s">
        <v>123</v>
      </c>
      <c r="L82" s="87" t="s">
        <v>50</v>
      </c>
      <c r="M82" s="87" t="s">
        <v>50</v>
      </c>
      <c r="N82" s="87" t="s">
        <v>50</v>
      </c>
      <c r="O82" s="87">
        <v>8</v>
      </c>
      <c r="P82" s="24">
        <f t="shared" si="0"/>
        <v>88</v>
      </c>
      <c r="Q82" s="25">
        <f t="shared" si="14"/>
        <v>704</v>
      </c>
      <c r="R82" s="26">
        <f t="shared" si="1"/>
        <v>4.5</v>
      </c>
      <c r="U82" s="4"/>
      <c r="X82" s="27"/>
      <c r="Y82" s="27"/>
      <c r="Z82" s="27"/>
      <c r="AA82" s="27"/>
      <c r="AB82" s="27"/>
      <c r="AC82" s="27"/>
      <c r="AF82" s="27"/>
      <c r="AG82" s="27"/>
      <c r="BI82" s="28" t="str">
        <f t="shared" si="2"/>
        <v>Andalusian Spearmen</v>
      </c>
      <c r="BJ82" s="29">
        <f>VLOOKUP(C82,'Standard AB - 17 Tugs, 8 SuGs'!$B$13:$C$21,2,FALSE)</f>
        <v>2</v>
      </c>
      <c r="BK82" s="29">
        <f>VLOOKUP(D82,'Standard AB - 17 Tugs, 8 SuGs'!$B$2:$K$11,'Standard AB - 17 Tugs, 8 SuGs'!BJ82,FALSE)</f>
        <v>70</v>
      </c>
      <c r="BL82" s="29">
        <f>VLOOKUP(G82,'Standard AB - 17 Tugs, 8 SuGs'!$R$3:$Z$21,BJ82,FALSE)</f>
        <v>7</v>
      </c>
      <c r="BM82" s="30">
        <f>VLOOKUP(I82,'Standard AB - 17 Tugs, 8 SuGs'!$R$12:$Z$21,BJ82,FALSE)</f>
        <v>0</v>
      </c>
      <c r="BN82" s="29">
        <f>IFERROR(VLOOKUP(J82,'Standard AB - 17 Tugs, 8 SuGs'!$AB$3:$AK$55,$BJ82,FALSE),0)</f>
        <v>5</v>
      </c>
      <c r="BO82" s="29">
        <f>IFERROR(VLOOKUP(K82,'Standard AB - 17 Tugs, 8 SuGs'!$AB$3:$AK$55,$BJ82,FALSE),0)</f>
        <v>6</v>
      </c>
      <c r="BP82" s="29">
        <f>IFERROR(VLOOKUP(L82,'Standard AB - 17 Tugs, 8 SuGs'!$AB$3:$AK$55,$BJ82,FALSE),0)</f>
        <v>0</v>
      </c>
      <c r="BQ82" s="29">
        <f>IFERROR(VLOOKUP(M82,'Standard AB - 17 Tugs, 8 SuGs'!$AB$3:$AK$55,$BJ82,FALSE),0)</f>
        <v>0</v>
      </c>
      <c r="BR82" s="29">
        <f>IFERROR(VLOOKUP(N82,'Standard AB - 17 Tugs, 8 SuGs'!$AB$3:$AK$55,$BJ82,FALSE),0)</f>
        <v>0</v>
      </c>
      <c r="BS82" s="29">
        <f t="shared" si="16"/>
        <v>88</v>
      </c>
      <c r="BT82" s="29"/>
      <c r="BU82" s="31">
        <f>VLOOKUP(E82,'Standard AB - 17 Tugs, 8 SuGs'!$M$2:$N$5,2,0)</f>
        <v>1</v>
      </c>
      <c r="BV82" s="31">
        <f>VLOOKUP(F82,'Standard AB - 17 Tugs, 8 SuGs'!$M$14:$N$19,2,0)</f>
        <v>1</v>
      </c>
      <c r="BW82" s="29">
        <f>IF(BM82=0,1,VLOOKUP(H82,'Standard AB - 17 Tugs, 8 SuGs'!$M$8:$N$12,2,FALSE))</f>
        <v>1</v>
      </c>
      <c r="BX82" s="32">
        <f t="shared" si="15"/>
        <v>88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6"/>
        <v>1</v>
      </c>
      <c r="CG82" s="29">
        <f t="shared" si="7"/>
        <v>0</v>
      </c>
      <c r="CH82" s="29">
        <f t="shared" si="8"/>
        <v>0</v>
      </c>
      <c r="CI82" s="29">
        <f t="shared" si="9"/>
        <v>0</v>
      </c>
      <c r="CJ82" s="34"/>
      <c r="CK82" s="35">
        <f t="shared" si="10"/>
        <v>1</v>
      </c>
      <c r="CL82" s="29">
        <f t="shared" si="11"/>
        <v>0</v>
      </c>
      <c r="CM82" s="29">
        <f t="shared" si="12"/>
        <v>0</v>
      </c>
      <c r="CN82" s="29">
        <f t="shared" si="13"/>
        <v>0</v>
      </c>
      <c r="CO82" s="33"/>
      <c r="CP82" s="33"/>
    </row>
    <row r="83" spans="1:94" ht="17.100000000000001" customHeight="1" thickBot="1">
      <c r="A83" s="118">
        <v>8</v>
      </c>
      <c r="B83" s="119" t="s">
        <v>307</v>
      </c>
      <c r="C83" s="86" t="s">
        <v>40</v>
      </c>
      <c r="D83" s="87" t="s">
        <v>119</v>
      </c>
      <c r="E83" s="87" t="s">
        <v>38</v>
      </c>
      <c r="F83" s="87" t="s">
        <v>51</v>
      </c>
      <c r="G83" s="87" t="s">
        <v>54</v>
      </c>
      <c r="H83" s="87" t="s">
        <v>50</v>
      </c>
      <c r="I83" s="87" t="s">
        <v>50</v>
      </c>
      <c r="J83" s="87" t="s">
        <v>50</v>
      </c>
      <c r="K83" s="87" t="s">
        <v>52</v>
      </c>
      <c r="L83" s="87" t="s">
        <v>50</v>
      </c>
      <c r="M83" s="87" t="s">
        <v>50</v>
      </c>
      <c r="N83" s="87" t="s">
        <v>50</v>
      </c>
      <c r="O83" s="87">
        <v>6</v>
      </c>
      <c r="P83" s="24">
        <f t="shared" si="0"/>
        <v>130</v>
      </c>
      <c r="Q83" s="25">
        <f t="shared" si="14"/>
        <v>780</v>
      </c>
      <c r="R83" s="26">
        <f t="shared" si="1"/>
        <v>3.5</v>
      </c>
      <c r="U83" s="4"/>
      <c r="X83" s="27"/>
      <c r="Y83" s="27"/>
      <c r="Z83" s="27"/>
      <c r="AA83" s="27"/>
      <c r="AB83" s="27"/>
      <c r="AC83" s="27"/>
      <c r="AF83" s="27"/>
      <c r="AG83" s="27"/>
      <c r="BI83" s="28" t="str">
        <f t="shared" si="2"/>
        <v>Slav Guard</v>
      </c>
      <c r="BJ83" s="29">
        <f>VLOOKUP(C83,'Standard AB - 17 Tugs, 8 SuGs'!$B$13:$C$21,2,FALSE)</f>
        <v>2</v>
      </c>
      <c r="BK83" s="29">
        <f>VLOOKUP(D83,'Standard AB - 17 Tugs, 8 SuGs'!$B$2:$K$11,'Standard AB - 17 Tugs, 8 SuGs'!BJ83,FALSE)</f>
        <v>70</v>
      </c>
      <c r="BL83" s="29">
        <f>VLOOKUP(G83,'Standard AB - 17 Tugs, 8 SuGs'!$R$3:$Z$21,BJ83,FALSE)</f>
        <v>7</v>
      </c>
      <c r="BM83" s="30">
        <f>VLOOKUP(I83,'Standard AB - 17 Tugs, 8 SuGs'!$R$12:$Z$21,BJ83,FALSE)</f>
        <v>0</v>
      </c>
      <c r="BN83" s="29">
        <f>IFERROR(VLOOKUP(J83,'Standard AB - 17 Tugs, 8 SuGs'!$AB$3:$AK$55,$BJ83,FALSE),0)</f>
        <v>0</v>
      </c>
      <c r="BO83" s="29">
        <f>IFERROR(VLOOKUP(K83,'Standard AB - 17 Tugs, 8 SuGs'!$AB$3:$AK$55,$BJ83,FALSE),0)</f>
        <v>16</v>
      </c>
      <c r="BP83" s="29">
        <f>IFERROR(VLOOKUP(L83,'Standard AB - 17 Tugs, 8 SuGs'!$AB$3:$AK$55,$BJ83,FALSE),0)</f>
        <v>0</v>
      </c>
      <c r="BQ83" s="29">
        <f>IFERROR(VLOOKUP(M83,'Standard AB - 17 Tugs, 8 SuGs'!$AB$3:$AK$55,$BJ83,FALSE),0)</f>
        <v>0</v>
      </c>
      <c r="BR83" s="29">
        <f>IFERROR(VLOOKUP(N83,'Standard AB - 17 Tugs, 8 SuGs'!$AB$3:$AK$55,$BJ83,FALSE),0)</f>
        <v>0</v>
      </c>
      <c r="BS83" s="29">
        <f t="shared" si="16"/>
        <v>93</v>
      </c>
      <c r="BT83" s="29"/>
      <c r="BU83" s="31">
        <f>VLOOKUP(E83,'Standard AB - 17 Tugs, 8 SuGs'!$M$2:$N$5,2,0)</f>
        <v>1.4</v>
      </c>
      <c r="BV83" s="31">
        <f>VLOOKUP(F83,'Standard AB - 17 Tugs, 8 SuGs'!$M$14:$N$19,2,0)</f>
        <v>1</v>
      </c>
      <c r="BW83" s="29">
        <f>IF(BM83=0,1,VLOOKUP(H83,'Standard AB - 17 Tugs, 8 SuGs'!$M$8:$N$12,2,FALSE))</f>
        <v>1</v>
      </c>
      <c r="BX83" s="32">
        <f t="shared" si="15"/>
        <v>130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0</v>
      </c>
      <c r="CF83" s="29">
        <f t="shared" si="6"/>
        <v>1</v>
      </c>
      <c r="CG83" s="29">
        <f t="shared" si="7"/>
        <v>0</v>
      </c>
      <c r="CH83" s="29">
        <f t="shared" si="8"/>
        <v>0</v>
      </c>
      <c r="CI83" s="29">
        <f t="shared" si="9"/>
        <v>0</v>
      </c>
      <c r="CJ83" s="34"/>
      <c r="CK83" s="35">
        <f t="shared" si="10"/>
        <v>1</v>
      </c>
      <c r="CL83" s="29">
        <f t="shared" si="11"/>
        <v>0</v>
      </c>
      <c r="CM83" s="29">
        <f t="shared" si="12"/>
        <v>0</v>
      </c>
      <c r="CN83" s="29">
        <f t="shared" si="13"/>
        <v>0</v>
      </c>
      <c r="CO83" s="33"/>
      <c r="CP83" s="33"/>
    </row>
    <row r="84" spans="1:94" ht="17.100000000000001" customHeight="1" thickBot="1">
      <c r="A84" s="118">
        <v>9</v>
      </c>
      <c r="B84" s="119" t="s">
        <v>302</v>
      </c>
      <c r="C84" s="86" t="s">
        <v>43</v>
      </c>
      <c r="D84" s="87" t="s">
        <v>159</v>
      </c>
      <c r="E84" s="87" t="s">
        <v>10</v>
      </c>
      <c r="F84" s="87" t="s">
        <v>51</v>
      </c>
      <c r="G84" s="87" t="s">
        <v>53</v>
      </c>
      <c r="H84" s="87" t="s">
        <v>50</v>
      </c>
      <c r="I84" s="87" t="s">
        <v>50</v>
      </c>
      <c r="J84" s="87" t="s">
        <v>50</v>
      </c>
      <c r="K84" s="87" t="s">
        <v>50</v>
      </c>
      <c r="L84" s="87" t="s">
        <v>50</v>
      </c>
      <c r="M84" s="87" t="s">
        <v>50</v>
      </c>
      <c r="N84" s="87" t="s">
        <v>50</v>
      </c>
      <c r="O84" s="87">
        <v>6</v>
      </c>
      <c r="P84" s="24">
        <f t="shared" si="0"/>
        <v>115</v>
      </c>
      <c r="Q84" s="25">
        <f t="shared" si="14"/>
        <v>690</v>
      </c>
      <c r="R84" s="26">
        <f t="shared" si="1"/>
        <v>3.5</v>
      </c>
      <c r="U84" s="4"/>
      <c r="X84" s="27"/>
      <c r="Y84" s="27"/>
      <c r="Z84" s="27"/>
      <c r="AA84" s="27"/>
      <c r="AB84" s="27"/>
      <c r="AC84" s="27"/>
      <c r="AF84" s="27"/>
      <c r="AG84" s="27"/>
      <c r="BI84" s="28" t="str">
        <f t="shared" si="2"/>
        <v>Arab Cavalry</v>
      </c>
      <c r="BJ84" s="29">
        <f>VLOOKUP(C84,'Standard AB - 17 Tugs, 8 SuGs'!$B$13:$C$21,2,FALSE)</f>
        <v>3</v>
      </c>
      <c r="BK84" s="29">
        <f>VLOOKUP(D84,'Standard AB - 17 Tugs, 8 SuGs'!$B$2:$K$11,'Standard AB - 17 Tugs, 8 SuGs'!BJ84,FALSE)</f>
        <v>80</v>
      </c>
      <c r="BL84" s="29">
        <f>VLOOKUP(G84,'Standard AB - 17 Tugs, 8 SuGs'!$R$3:$Z$21,BJ84,FALSE)</f>
        <v>35</v>
      </c>
      <c r="BM84" s="30">
        <f>VLOOKUP(I84,'Standard AB - 17 Tugs, 8 SuGs'!$R$12:$Z$21,BJ84,FALSE)</f>
        <v>0</v>
      </c>
      <c r="BN84" s="29">
        <f>IFERROR(VLOOKUP(J84,'Standard AB - 17 Tugs, 8 SuGs'!$AB$3:$AK$55,$BJ84,FALSE),0)</f>
        <v>0</v>
      </c>
      <c r="BO84" s="29">
        <f>IFERROR(VLOOKUP(K84,'Standard AB - 17 Tugs, 8 SuGs'!$AB$3:$AK$55,$BJ84,FALSE),0)</f>
        <v>0</v>
      </c>
      <c r="BP84" s="29">
        <f>IFERROR(VLOOKUP(L84,'Standard AB - 17 Tugs, 8 SuGs'!$AB$3:$AK$55,$BJ84,FALSE),0)</f>
        <v>0</v>
      </c>
      <c r="BQ84" s="29">
        <f>IFERROR(VLOOKUP(M84,'Standard AB - 17 Tugs, 8 SuGs'!$AB$3:$AK$55,$BJ84,FALSE),0)</f>
        <v>0</v>
      </c>
      <c r="BR84" s="29">
        <f>IFERROR(VLOOKUP(N84,'Standard AB - 17 Tugs, 8 SuGs'!$AB$3:$AK$55,$BJ84,FALSE),0)</f>
        <v>0</v>
      </c>
      <c r="BS84" s="29">
        <f t="shared" si="16"/>
        <v>115</v>
      </c>
      <c r="BT84" s="29"/>
      <c r="BU84" s="31">
        <f>VLOOKUP(E84,'Standard AB - 17 Tugs, 8 SuGs'!$M$2:$N$5,2,0)</f>
        <v>1</v>
      </c>
      <c r="BV84" s="31">
        <f>VLOOKUP(F84,'Standard AB - 17 Tugs, 8 SuGs'!$M$14:$N$19,2,0)</f>
        <v>1</v>
      </c>
      <c r="BW84" s="29">
        <f>IF(BM84=0,1,VLOOKUP(H84,'Standard AB - 17 Tugs, 8 SuGs'!$M$8:$N$12,2,FALSE))</f>
        <v>1</v>
      </c>
      <c r="BX84" s="32">
        <f t="shared" si="15"/>
        <v>115</v>
      </c>
      <c r="BY84" s="32"/>
      <c r="BZ84" s="32"/>
      <c r="CA84" s="32"/>
      <c r="CB84" s="32"/>
      <c r="CC84" s="33"/>
      <c r="CD84" s="29">
        <f t="shared" si="4"/>
        <v>1</v>
      </c>
      <c r="CE84" s="29">
        <f t="shared" si="5"/>
        <v>0</v>
      </c>
      <c r="CF84" s="29">
        <f t="shared" si="6"/>
        <v>1</v>
      </c>
      <c r="CG84" s="29">
        <f t="shared" si="7"/>
        <v>0</v>
      </c>
      <c r="CH84" s="29">
        <f t="shared" si="8"/>
        <v>0</v>
      </c>
      <c r="CI84" s="29">
        <f t="shared" si="9"/>
        <v>0</v>
      </c>
      <c r="CJ84" s="34"/>
      <c r="CK84" s="35">
        <f t="shared" si="10"/>
        <v>1</v>
      </c>
      <c r="CL84" s="29">
        <f t="shared" si="11"/>
        <v>0</v>
      </c>
      <c r="CM84" s="29">
        <f t="shared" si="12"/>
        <v>6</v>
      </c>
      <c r="CN84" s="29">
        <f t="shared" si="13"/>
        <v>0</v>
      </c>
      <c r="CO84" s="33"/>
      <c r="CP84" s="33"/>
    </row>
    <row r="85" spans="1:94" ht="17.100000000000001" customHeight="1" thickBot="1">
      <c r="A85" s="118">
        <v>10</v>
      </c>
      <c r="B85" s="119" t="s">
        <v>302</v>
      </c>
      <c r="C85" s="86" t="s">
        <v>43</v>
      </c>
      <c r="D85" s="87" t="s">
        <v>159</v>
      </c>
      <c r="E85" s="87" t="s">
        <v>10</v>
      </c>
      <c r="F85" s="87" t="s">
        <v>51</v>
      </c>
      <c r="G85" s="87" t="s">
        <v>53</v>
      </c>
      <c r="H85" s="87" t="s">
        <v>50</v>
      </c>
      <c r="I85" s="87" t="s">
        <v>50</v>
      </c>
      <c r="J85" s="87" t="s">
        <v>50</v>
      </c>
      <c r="K85" s="87" t="s">
        <v>50</v>
      </c>
      <c r="L85" s="87" t="s">
        <v>50</v>
      </c>
      <c r="M85" s="87" t="s">
        <v>50</v>
      </c>
      <c r="N85" s="87" t="s">
        <v>50</v>
      </c>
      <c r="O85" s="87">
        <v>6</v>
      </c>
      <c r="P85" s="24">
        <f t="shared" si="0"/>
        <v>115</v>
      </c>
      <c r="Q85" s="25">
        <f t="shared" si="14"/>
        <v>690</v>
      </c>
      <c r="R85" s="26">
        <f t="shared" si="1"/>
        <v>3.5</v>
      </c>
      <c r="U85" s="4"/>
      <c r="X85" s="27"/>
      <c r="Y85" s="27"/>
      <c r="Z85" s="27"/>
      <c r="AA85" s="27"/>
      <c r="AB85" s="27"/>
      <c r="AC85" s="27"/>
      <c r="AF85" s="27"/>
      <c r="AG85" s="27"/>
      <c r="BI85" s="28" t="str">
        <f t="shared" si="2"/>
        <v>Arab Cavalry</v>
      </c>
      <c r="BJ85" s="29">
        <f>VLOOKUP(C85,'Standard AB - 17 Tugs, 8 SuGs'!$B$13:$C$21,2,FALSE)</f>
        <v>3</v>
      </c>
      <c r="BK85" s="29">
        <f>VLOOKUP(D85,'Standard AB - 17 Tugs, 8 SuGs'!$B$2:$K$11,'Standard AB - 17 Tugs, 8 SuGs'!BJ85,FALSE)</f>
        <v>80</v>
      </c>
      <c r="BL85" s="29">
        <f>VLOOKUP(G85,'Standard AB - 17 Tugs, 8 SuGs'!$R$3:$Z$21,BJ85,FALSE)</f>
        <v>35</v>
      </c>
      <c r="BM85" s="30">
        <f>VLOOKUP(I85,'Standard AB - 17 Tugs, 8 SuGs'!$R$12:$Z$21,BJ85,FALSE)</f>
        <v>0</v>
      </c>
      <c r="BN85" s="29">
        <f>IFERROR(VLOOKUP(J85,'Standard AB - 17 Tugs, 8 SuGs'!$AB$3:$AK$55,$BJ85,FALSE),0)</f>
        <v>0</v>
      </c>
      <c r="BO85" s="29">
        <f>IFERROR(VLOOKUP(K85,'Standard AB - 17 Tugs, 8 SuGs'!$AB$3:$AK$55,$BJ85,FALSE),0)</f>
        <v>0</v>
      </c>
      <c r="BP85" s="29">
        <f>IFERROR(VLOOKUP(L85,'Standard AB - 17 Tugs, 8 SuGs'!$AB$3:$AK$55,$BJ85,FALSE),0)</f>
        <v>0</v>
      </c>
      <c r="BQ85" s="29">
        <f>IFERROR(VLOOKUP(M85,'Standard AB - 17 Tugs, 8 SuGs'!$AB$3:$AK$55,$BJ85,FALSE),0)</f>
        <v>0</v>
      </c>
      <c r="BR85" s="29">
        <f>IFERROR(VLOOKUP(N85,'Standard AB - 17 Tugs, 8 SuGs'!$AB$3:$AK$55,$BJ85,FALSE),0)</f>
        <v>0</v>
      </c>
      <c r="BS85" s="29">
        <f t="shared" si="16"/>
        <v>115</v>
      </c>
      <c r="BT85" s="29"/>
      <c r="BU85" s="31">
        <f>VLOOKUP(E85,'Standard AB - 17 Tugs, 8 SuGs'!$M$2:$N$5,2,0)</f>
        <v>1</v>
      </c>
      <c r="BV85" s="31">
        <f>VLOOKUP(F85,'Standard AB - 17 Tugs, 8 SuGs'!$M$14:$N$19,2,0)</f>
        <v>1</v>
      </c>
      <c r="BW85" s="29">
        <f>IF(BM85=0,1,VLOOKUP(H85,'Standard AB - 17 Tugs, 8 SuGs'!$M$8:$N$12,2,FALSE))</f>
        <v>1</v>
      </c>
      <c r="BX85" s="32">
        <f t="shared" si="15"/>
        <v>115</v>
      </c>
      <c r="BY85" s="32"/>
      <c r="BZ85" s="32"/>
      <c r="CA85" s="32"/>
      <c r="CB85" s="32"/>
      <c r="CC85" s="33"/>
      <c r="CD85" s="29">
        <f t="shared" si="4"/>
        <v>1</v>
      </c>
      <c r="CE85" s="29">
        <f t="shared" si="5"/>
        <v>0</v>
      </c>
      <c r="CF85" s="29">
        <f t="shared" si="6"/>
        <v>1</v>
      </c>
      <c r="CG85" s="29">
        <f t="shared" si="7"/>
        <v>0</v>
      </c>
      <c r="CH85" s="29">
        <f t="shared" si="8"/>
        <v>0</v>
      </c>
      <c r="CI85" s="29">
        <f t="shared" si="9"/>
        <v>0</v>
      </c>
      <c r="CJ85" s="34"/>
      <c r="CK85" s="35">
        <f t="shared" si="10"/>
        <v>1</v>
      </c>
      <c r="CL85" s="29">
        <f t="shared" si="11"/>
        <v>0</v>
      </c>
      <c r="CM85" s="29">
        <f t="shared" si="12"/>
        <v>6</v>
      </c>
      <c r="CN85" s="29">
        <f t="shared" si="13"/>
        <v>0</v>
      </c>
      <c r="CO85" s="33"/>
      <c r="CP85" s="33"/>
    </row>
    <row r="86" spans="1:94" ht="17.100000000000001" customHeight="1" thickBot="1">
      <c r="A86" s="118"/>
      <c r="B86" s="119"/>
      <c r="C86" s="86" t="s">
        <v>43</v>
      </c>
      <c r="D86" s="87" t="s">
        <v>159</v>
      </c>
      <c r="E86" s="87" t="s">
        <v>10</v>
      </c>
      <c r="F86" s="87" t="s">
        <v>51</v>
      </c>
      <c r="G86" s="87" t="s">
        <v>50</v>
      </c>
      <c r="H86" s="87" t="s">
        <v>50</v>
      </c>
      <c r="I86" s="87" t="s">
        <v>50</v>
      </c>
      <c r="J86" s="87" t="s">
        <v>50</v>
      </c>
      <c r="K86" s="87" t="s">
        <v>50</v>
      </c>
      <c r="L86" s="87" t="s">
        <v>50</v>
      </c>
      <c r="M86" s="87" t="s">
        <v>50</v>
      </c>
      <c r="N86" s="87" t="s">
        <v>50</v>
      </c>
      <c r="O86" s="87"/>
      <c r="P86" s="24">
        <f t="shared" si="0"/>
        <v>0</v>
      </c>
      <c r="Q86" s="25">
        <f t="shared" si="14"/>
        <v>0</v>
      </c>
      <c r="R86" s="26">
        <f t="shared" si="1"/>
        <v>0</v>
      </c>
      <c r="U86" s="4"/>
      <c r="X86" s="27"/>
      <c r="Y86" s="27"/>
      <c r="Z86" s="27"/>
      <c r="AA86" s="27"/>
      <c r="AB86" s="27"/>
      <c r="AC86" s="27"/>
      <c r="AF86" s="27"/>
      <c r="AG86" s="27"/>
      <c r="BI86" s="28">
        <f t="shared" si="2"/>
        <v>0</v>
      </c>
      <c r="BJ86" s="29">
        <f>VLOOKUP(C86,'Standard AB - 17 Tugs, 8 SuGs'!$B$13:$C$21,2,FALSE)</f>
        <v>3</v>
      </c>
      <c r="BK86" s="29">
        <f>VLOOKUP(D86,'Standard AB - 17 Tugs, 8 SuGs'!$B$2:$K$11,'Standard AB - 17 Tugs, 8 SuGs'!BJ86,FALSE)</f>
        <v>80</v>
      </c>
      <c r="BL86" s="29">
        <f>VLOOKUP(G86,'Standard AB - 17 Tugs, 8 SuGs'!$R$3:$Z$21,BJ86,FALSE)</f>
        <v>0</v>
      </c>
      <c r="BM86" s="30">
        <f>VLOOKUP(I86,'Standard AB - 17 Tugs, 8 SuGs'!$R$12:$Z$21,BJ86,FALSE)</f>
        <v>0</v>
      </c>
      <c r="BN86" s="29">
        <f>IFERROR(VLOOKUP(J86,'Standard AB - 17 Tugs, 8 SuGs'!$AB$3:$AK$55,$BJ86,FALSE),0)</f>
        <v>0</v>
      </c>
      <c r="BO86" s="29">
        <f>IFERROR(VLOOKUP(K86,'Standard AB - 17 Tugs, 8 SuGs'!$AB$3:$AK$55,$BJ86,FALSE),0)</f>
        <v>0</v>
      </c>
      <c r="BP86" s="29">
        <f>IFERROR(VLOOKUP(L86,'Standard AB - 17 Tugs, 8 SuGs'!$AB$3:$AK$55,$BJ86,FALSE),0)</f>
        <v>0</v>
      </c>
      <c r="BQ86" s="29">
        <f>IFERROR(VLOOKUP(M86,'Standard AB - 17 Tugs, 8 SuGs'!$AB$3:$AK$55,$BJ86,FALSE),0)</f>
        <v>0</v>
      </c>
      <c r="BR86" s="29">
        <f>IFERROR(VLOOKUP(N86,'Standard AB - 17 Tugs, 8 SuGs'!$AB$3:$AK$55,$BJ86,FALSE),0)</f>
        <v>0</v>
      </c>
      <c r="BS86" s="29">
        <f t="shared" si="16"/>
        <v>80</v>
      </c>
      <c r="BT86" s="29"/>
      <c r="BU86" s="31">
        <f>VLOOKUP(E86,'Standard AB - 17 Tugs, 8 SuGs'!$M$2:$N$5,2,0)</f>
        <v>1</v>
      </c>
      <c r="BV86" s="31">
        <f>VLOOKUP(F86,'Standard AB - 17 Tugs, 8 SuGs'!$M$14:$N$19,2,0)</f>
        <v>1</v>
      </c>
      <c r="BW86" s="29">
        <f>IF(BM86=0,1,VLOOKUP(H86,'Standard AB - 17 Tugs, 8 SuGs'!$M$8:$N$12,2,FALSE))</f>
        <v>1</v>
      </c>
      <c r="BX86" s="32">
        <f t="shared" si="15"/>
        <v>80</v>
      </c>
      <c r="BY86" s="32"/>
      <c r="BZ86" s="32"/>
      <c r="CA86" s="32"/>
      <c r="CB86" s="32"/>
      <c r="CC86" s="33"/>
      <c r="CD86" s="29">
        <f t="shared" si="4"/>
        <v>1</v>
      </c>
      <c r="CE86" s="29">
        <f t="shared" si="5"/>
        <v>0</v>
      </c>
      <c r="CF86" s="29">
        <f t="shared" si="6"/>
        <v>1</v>
      </c>
      <c r="CG86" s="29">
        <f t="shared" si="7"/>
        <v>0</v>
      </c>
      <c r="CH86" s="29">
        <f t="shared" si="8"/>
        <v>0</v>
      </c>
      <c r="CI86" s="29">
        <f t="shared" si="9"/>
        <v>0</v>
      </c>
      <c r="CJ86" s="34"/>
      <c r="CK86" s="35">
        <f t="shared" si="10"/>
        <v>0</v>
      </c>
      <c r="CL86" s="29">
        <f t="shared" si="11"/>
        <v>0</v>
      </c>
      <c r="CM86" s="29">
        <f t="shared" si="12"/>
        <v>0</v>
      </c>
      <c r="CN86" s="29">
        <f t="shared" si="13"/>
        <v>0</v>
      </c>
      <c r="CO86" s="33"/>
      <c r="CP86" s="33"/>
    </row>
    <row r="87" spans="1:94" ht="17.100000000000001" customHeight="1" thickBot="1">
      <c r="A87" s="118"/>
      <c r="B87" s="119"/>
      <c r="C87" s="86" t="s">
        <v>43</v>
      </c>
      <c r="D87" s="87" t="s">
        <v>159</v>
      </c>
      <c r="E87" s="87" t="s">
        <v>10</v>
      </c>
      <c r="F87" s="87" t="s">
        <v>51</v>
      </c>
      <c r="G87" s="87" t="s">
        <v>50</v>
      </c>
      <c r="H87" s="87" t="s">
        <v>50</v>
      </c>
      <c r="I87" s="87" t="s">
        <v>50</v>
      </c>
      <c r="J87" s="87" t="s">
        <v>50</v>
      </c>
      <c r="K87" s="87" t="s">
        <v>50</v>
      </c>
      <c r="L87" s="87" t="s">
        <v>50</v>
      </c>
      <c r="M87" s="87" t="s">
        <v>50</v>
      </c>
      <c r="N87" s="87" t="s">
        <v>50</v>
      </c>
      <c r="O87" s="87"/>
      <c r="P87" s="24">
        <f t="shared" si="0"/>
        <v>0</v>
      </c>
      <c r="Q87" s="25">
        <f t="shared" si="14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AB - 17 Tugs, 8 SuGs'!$B$13:$C$21,2,FALSE)</f>
        <v>3</v>
      </c>
      <c r="BK87" s="29">
        <f>VLOOKUP(D87,'Standard AB - 17 Tugs, 8 SuGs'!$B$2:$K$11,'Standard AB - 17 Tugs, 8 SuGs'!BJ87,FALSE)</f>
        <v>80</v>
      </c>
      <c r="BL87" s="29">
        <f>VLOOKUP(G87,'Standard AB - 17 Tugs, 8 SuGs'!$R$3:$Z$21,BJ87,FALSE)</f>
        <v>0</v>
      </c>
      <c r="BM87" s="30">
        <f>VLOOKUP(I87,'Standard AB - 17 Tugs, 8 SuGs'!$R$12:$Z$21,BJ87,FALSE)</f>
        <v>0</v>
      </c>
      <c r="BN87" s="29">
        <f>IFERROR(VLOOKUP(J87,'Standard AB - 17 Tugs, 8 SuGs'!$AB$3:$AK$55,$BJ87,FALSE),0)</f>
        <v>0</v>
      </c>
      <c r="BO87" s="29">
        <f>IFERROR(VLOOKUP(K87,'Standard AB - 17 Tugs, 8 SuGs'!$AB$3:$AK$55,$BJ87,FALSE),0)</f>
        <v>0</v>
      </c>
      <c r="BP87" s="29">
        <f>IFERROR(VLOOKUP(L87,'Standard AB - 17 Tugs, 8 SuGs'!$AB$3:$AK$55,$BJ87,FALSE),0)</f>
        <v>0</v>
      </c>
      <c r="BQ87" s="29">
        <f>IFERROR(VLOOKUP(M87,'Standard AB - 17 Tugs, 8 SuGs'!$AB$3:$AK$55,$BJ87,FALSE),0)</f>
        <v>0</v>
      </c>
      <c r="BR87" s="29">
        <f>IFERROR(VLOOKUP(N87,'Standard AB - 17 Tugs, 8 SuGs'!$AB$3:$AK$55,$BJ87,FALSE),0)</f>
        <v>0</v>
      </c>
      <c r="BS87" s="29">
        <f t="shared" si="16"/>
        <v>80</v>
      </c>
      <c r="BT87" s="29"/>
      <c r="BU87" s="31">
        <f>VLOOKUP(E87,'Standard AB - 17 Tugs, 8 SuGs'!$M$2:$N$5,2,0)</f>
        <v>1</v>
      </c>
      <c r="BV87" s="31">
        <f>VLOOKUP(F87,'Standard AB - 17 Tugs, 8 SuGs'!$M$14:$N$19,2,0)</f>
        <v>1</v>
      </c>
      <c r="BW87" s="29">
        <f>IF(BM87=0,1,VLOOKUP(H87,'Standard AB - 17 Tugs, 8 SuGs'!$M$8:$N$12,2,FALSE))</f>
        <v>1</v>
      </c>
      <c r="BX87" s="32">
        <f t="shared" si="15"/>
        <v>80</v>
      </c>
      <c r="BY87" s="32"/>
      <c r="BZ87" s="32"/>
      <c r="CA87" s="32"/>
      <c r="CB87" s="32"/>
      <c r="CC87" s="33"/>
      <c r="CD87" s="29">
        <f t="shared" si="4"/>
        <v>1</v>
      </c>
      <c r="CE87" s="29">
        <f t="shared" si="5"/>
        <v>0</v>
      </c>
      <c r="CF87" s="29">
        <f t="shared" si="6"/>
        <v>1</v>
      </c>
      <c r="CG87" s="29">
        <f t="shared" si="7"/>
        <v>0</v>
      </c>
      <c r="CH87" s="29">
        <f t="shared" si="8"/>
        <v>0</v>
      </c>
      <c r="CI87" s="29">
        <f t="shared" si="9"/>
        <v>0</v>
      </c>
      <c r="CJ87" s="34"/>
      <c r="CK87" s="35">
        <f t="shared" si="10"/>
        <v>0</v>
      </c>
      <c r="CL87" s="29">
        <f t="shared" si="11"/>
        <v>0</v>
      </c>
      <c r="CM87" s="29">
        <f t="shared" si="12"/>
        <v>0</v>
      </c>
      <c r="CN87" s="29">
        <f t="shared" si="13"/>
        <v>0</v>
      </c>
      <c r="CO87" s="33"/>
      <c r="CP87" s="33"/>
    </row>
    <row r="88" spans="1:94" ht="17.100000000000001" customHeight="1" thickBot="1">
      <c r="A88" s="118"/>
      <c r="B88" s="119"/>
      <c r="C88" s="86" t="s">
        <v>43</v>
      </c>
      <c r="D88" s="87" t="s">
        <v>159</v>
      </c>
      <c r="E88" s="87" t="s">
        <v>10</v>
      </c>
      <c r="F88" s="87" t="s">
        <v>51</v>
      </c>
      <c r="G88" s="87" t="s">
        <v>50</v>
      </c>
      <c r="H88" s="87" t="s">
        <v>50</v>
      </c>
      <c r="I88" s="87" t="s">
        <v>50</v>
      </c>
      <c r="J88" s="87" t="s">
        <v>50</v>
      </c>
      <c r="K88" s="87" t="s">
        <v>50</v>
      </c>
      <c r="L88" s="87" t="s">
        <v>50</v>
      </c>
      <c r="M88" s="87" t="s">
        <v>50</v>
      </c>
      <c r="N88" s="87" t="s">
        <v>50</v>
      </c>
      <c r="O88" s="87"/>
      <c r="P88" s="24">
        <f t="shared" si="0"/>
        <v>0</v>
      </c>
      <c r="Q88" s="25">
        <f t="shared" si="14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AB - 17 Tugs, 8 SuGs'!$B$13:$C$21,2,FALSE)</f>
        <v>3</v>
      </c>
      <c r="BK88" s="29">
        <f>VLOOKUP(D88,'Standard AB - 17 Tugs, 8 SuGs'!$B$2:$K$11,'Standard AB - 17 Tugs, 8 SuGs'!BJ88,FALSE)</f>
        <v>80</v>
      </c>
      <c r="BL88" s="29">
        <f>VLOOKUP(G88,'Standard AB - 17 Tugs, 8 SuGs'!$R$3:$Z$21,BJ88,FALSE)</f>
        <v>0</v>
      </c>
      <c r="BM88" s="30">
        <f>VLOOKUP(I88,'Standard AB - 17 Tugs, 8 SuGs'!$R$12:$Z$21,BJ88,FALSE)</f>
        <v>0</v>
      </c>
      <c r="BN88" s="29">
        <f>IFERROR(VLOOKUP(J88,'Standard AB - 17 Tugs, 8 SuGs'!$AB$3:$AK$55,$BJ88,FALSE),0)</f>
        <v>0</v>
      </c>
      <c r="BO88" s="29">
        <f>IFERROR(VLOOKUP(K88,'Standard AB - 17 Tugs, 8 SuGs'!$AB$3:$AK$55,$BJ88,FALSE),0)</f>
        <v>0</v>
      </c>
      <c r="BP88" s="29">
        <f>IFERROR(VLOOKUP(L88,'Standard AB - 17 Tugs, 8 SuGs'!$AB$3:$AK$55,$BJ88,FALSE),0)</f>
        <v>0</v>
      </c>
      <c r="BQ88" s="29">
        <f>IFERROR(VLOOKUP(M88,'Standard AB - 17 Tugs, 8 SuGs'!$AB$3:$AK$55,$BJ88,FALSE),0)</f>
        <v>0</v>
      </c>
      <c r="BR88" s="29">
        <f>IFERROR(VLOOKUP(N88,'Standard AB - 17 Tugs, 8 SuGs'!$AB$3:$AK$55,$BJ88,FALSE),0)</f>
        <v>0</v>
      </c>
      <c r="BS88" s="29">
        <f t="shared" si="3"/>
        <v>80</v>
      </c>
      <c r="BT88" s="29"/>
      <c r="BU88" s="31">
        <f>VLOOKUP(E88,'Standard AB - 17 Tugs, 8 SuGs'!$M$2:$N$5,2,0)</f>
        <v>1</v>
      </c>
      <c r="BV88" s="31">
        <f>VLOOKUP(F88,'Standard AB - 17 Tugs, 8 SuGs'!$M$14:$N$19,2,0)</f>
        <v>1</v>
      </c>
      <c r="BW88" s="29">
        <f>IF(BM88=0,1,VLOOKUP(H88,'Standard AB - 17 Tugs, 8 SuGs'!$M$8:$N$12,2,FALSE))</f>
        <v>1</v>
      </c>
      <c r="BX88" s="32">
        <f t="shared" si="15"/>
        <v>80</v>
      </c>
      <c r="BY88" s="32"/>
      <c r="BZ88" s="32"/>
      <c r="CA88" s="32"/>
      <c r="CB88" s="32"/>
      <c r="CC88" s="33"/>
      <c r="CD88" s="29">
        <f t="shared" si="4"/>
        <v>1</v>
      </c>
      <c r="CE88" s="29">
        <f t="shared" si="5"/>
        <v>0</v>
      </c>
      <c r="CF88" s="29">
        <f t="shared" si="6"/>
        <v>1</v>
      </c>
      <c r="CG88" s="29">
        <f t="shared" si="7"/>
        <v>0</v>
      </c>
      <c r="CH88" s="29">
        <f t="shared" si="8"/>
        <v>0</v>
      </c>
      <c r="CI88" s="29">
        <f t="shared" si="9"/>
        <v>0</v>
      </c>
      <c r="CJ88" s="34"/>
      <c r="CK88" s="35">
        <f t="shared" si="10"/>
        <v>0</v>
      </c>
      <c r="CL88" s="29">
        <f t="shared" si="11"/>
        <v>0</v>
      </c>
      <c r="CM88" s="29">
        <f t="shared" si="12"/>
        <v>0</v>
      </c>
      <c r="CN88" s="29">
        <f t="shared" si="13"/>
        <v>0</v>
      </c>
      <c r="CO88" s="33"/>
      <c r="CP88" s="33"/>
    </row>
    <row r="89" spans="1:94" ht="17.100000000000001" customHeight="1" thickBot="1">
      <c r="A89" s="118"/>
      <c r="B89" s="119"/>
      <c r="C89" s="86" t="s">
        <v>43</v>
      </c>
      <c r="D89" s="87" t="s">
        <v>159</v>
      </c>
      <c r="E89" s="87" t="s">
        <v>10</v>
      </c>
      <c r="F89" s="87" t="s">
        <v>51</v>
      </c>
      <c r="G89" s="87" t="s">
        <v>50</v>
      </c>
      <c r="H89" s="87" t="s">
        <v>50</v>
      </c>
      <c r="I89" s="87" t="s">
        <v>50</v>
      </c>
      <c r="J89" s="87" t="s">
        <v>50</v>
      </c>
      <c r="K89" s="87" t="s">
        <v>50</v>
      </c>
      <c r="L89" s="87" t="s">
        <v>50</v>
      </c>
      <c r="M89" s="87" t="s">
        <v>50</v>
      </c>
      <c r="N89" s="87" t="s">
        <v>50</v>
      </c>
      <c r="O89" s="87"/>
      <c r="P89" s="24">
        <f t="shared" si="0"/>
        <v>0</v>
      </c>
      <c r="Q89" s="25">
        <f t="shared" si="14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AB - 17 Tugs, 8 SuGs'!$B$13:$C$21,2,FALSE)</f>
        <v>3</v>
      </c>
      <c r="BK89" s="29">
        <f>VLOOKUP(D89,'Standard AB - 17 Tugs, 8 SuGs'!$B$2:$K$11,'Standard AB - 17 Tugs, 8 SuGs'!BJ89,FALSE)</f>
        <v>80</v>
      </c>
      <c r="BL89" s="29">
        <f>VLOOKUP(G89,'Standard AB - 17 Tugs, 8 SuGs'!$R$3:$Z$21,BJ89,FALSE)</f>
        <v>0</v>
      </c>
      <c r="BM89" s="30">
        <f>VLOOKUP(I89,'Standard AB - 17 Tugs, 8 SuGs'!$R$12:$Z$21,BJ89,FALSE)</f>
        <v>0</v>
      </c>
      <c r="BN89" s="29">
        <f>IFERROR(VLOOKUP(J89,'Standard AB - 17 Tugs, 8 SuGs'!$AB$3:$AK$55,$BJ89,FALSE),0)</f>
        <v>0</v>
      </c>
      <c r="BO89" s="29">
        <f>IFERROR(VLOOKUP(K89,'Standard AB - 17 Tugs, 8 SuGs'!$AB$3:$AK$55,$BJ89,FALSE),0)</f>
        <v>0</v>
      </c>
      <c r="BP89" s="29">
        <f>IFERROR(VLOOKUP(L89,'Standard AB - 17 Tugs, 8 SuGs'!$AB$3:$AK$55,$BJ89,FALSE),0)</f>
        <v>0</v>
      </c>
      <c r="BQ89" s="29">
        <f>IFERROR(VLOOKUP(M89,'Standard AB - 17 Tugs, 8 SuGs'!$AB$3:$AK$55,$BJ89,FALSE),0)</f>
        <v>0</v>
      </c>
      <c r="BR89" s="29">
        <f>IFERROR(VLOOKUP(N89,'Standard AB - 17 Tugs, 8 SuGs'!$AB$3:$AK$55,$BJ89,FALSE),0)</f>
        <v>0</v>
      </c>
      <c r="BS89" s="29">
        <f t="shared" si="3"/>
        <v>80</v>
      </c>
      <c r="BT89" s="29"/>
      <c r="BU89" s="31">
        <f>VLOOKUP(E89,'Standard AB - 17 Tugs, 8 SuGs'!$M$2:$N$5,2,0)</f>
        <v>1</v>
      </c>
      <c r="BV89" s="31">
        <f>VLOOKUP(F89,'Standard AB - 17 Tugs, 8 SuGs'!$M$14:$N$19,2,0)</f>
        <v>1</v>
      </c>
      <c r="BW89" s="29">
        <f>IF(BM89=0,1,VLOOKUP(H89,'Standard AB - 17 Tugs, 8 SuGs'!$M$8:$N$12,2,FALSE))</f>
        <v>1</v>
      </c>
      <c r="BX89" s="32">
        <f t="shared" si="15"/>
        <v>80</v>
      </c>
      <c r="BY89" s="32"/>
      <c r="BZ89" s="32"/>
      <c r="CA89" s="32"/>
      <c r="CB89" s="32"/>
      <c r="CC89" s="33"/>
      <c r="CD89" s="29">
        <f t="shared" si="4"/>
        <v>1</v>
      </c>
      <c r="CE89" s="29">
        <f t="shared" si="5"/>
        <v>0</v>
      </c>
      <c r="CF89" s="29">
        <f t="shared" si="6"/>
        <v>1</v>
      </c>
      <c r="CG89" s="29">
        <f t="shared" si="7"/>
        <v>0</v>
      </c>
      <c r="CH89" s="29">
        <f t="shared" si="8"/>
        <v>0</v>
      </c>
      <c r="CI89" s="29">
        <f t="shared" si="9"/>
        <v>0</v>
      </c>
      <c r="CJ89" s="34"/>
      <c r="CK89" s="35">
        <f t="shared" si="10"/>
        <v>0</v>
      </c>
      <c r="CL89" s="29">
        <f t="shared" si="11"/>
        <v>0</v>
      </c>
      <c r="CM89" s="29">
        <f t="shared" si="12"/>
        <v>0</v>
      </c>
      <c r="CN89" s="29">
        <f t="shared" si="13"/>
        <v>0</v>
      </c>
      <c r="CO89" s="33"/>
      <c r="CP89" s="33"/>
    </row>
    <row r="90" spans="1:94" ht="17.100000000000001" customHeight="1" thickBot="1">
      <c r="A90" s="118"/>
      <c r="B90" s="119"/>
      <c r="C90" s="86" t="s">
        <v>43</v>
      </c>
      <c r="D90" s="87" t="s">
        <v>159</v>
      </c>
      <c r="E90" s="87" t="s">
        <v>10</v>
      </c>
      <c r="F90" s="87" t="s">
        <v>51</v>
      </c>
      <c r="G90" s="87" t="s">
        <v>50</v>
      </c>
      <c r="H90" s="87" t="s">
        <v>50</v>
      </c>
      <c r="I90" s="87" t="s">
        <v>50</v>
      </c>
      <c r="J90" s="87" t="s">
        <v>50</v>
      </c>
      <c r="K90" s="87" t="s">
        <v>50</v>
      </c>
      <c r="L90" s="87" t="s">
        <v>50</v>
      </c>
      <c r="M90" s="87" t="s">
        <v>50</v>
      </c>
      <c r="N90" s="87" t="s">
        <v>50</v>
      </c>
      <c r="O90" s="87"/>
      <c r="P90" s="24">
        <f t="shared" si="0"/>
        <v>0</v>
      </c>
      <c r="Q90" s="25">
        <f t="shared" si="14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AB - 17 Tugs, 8 SuGs'!$B$13:$C$21,2,FALSE)</f>
        <v>3</v>
      </c>
      <c r="BK90" s="29">
        <f>VLOOKUP(D90,'Standard AB - 17 Tugs, 8 SuGs'!$B$2:$K$11,'Standard AB - 17 Tugs, 8 SuGs'!BJ90,FALSE)</f>
        <v>80</v>
      </c>
      <c r="BL90" s="29">
        <f>VLOOKUP(G90,'Standard AB - 17 Tugs, 8 SuGs'!$R$3:$Z$21,BJ90,FALSE)</f>
        <v>0</v>
      </c>
      <c r="BM90" s="30">
        <f>VLOOKUP(I90,'Standard AB - 17 Tugs, 8 SuGs'!$R$12:$Z$21,BJ90,FALSE)</f>
        <v>0</v>
      </c>
      <c r="BN90" s="29">
        <f>IFERROR(VLOOKUP(J90,'Standard AB - 17 Tugs, 8 SuGs'!$AB$3:$AK$55,$BJ90,FALSE),0)</f>
        <v>0</v>
      </c>
      <c r="BO90" s="29">
        <f>IFERROR(VLOOKUP(K90,'Standard AB - 17 Tugs, 8 SuGs'!$AB$3:$AK$55,$BJ90,FALSE),0)</f>
        <v>0</v>
      </c>
      <c r="BP90" s="29">
        <f>IFERROR(VLOOKUP(L90,'Standard AB - 17 Tugs, 8 SuGs'!$AB$3:$AK$55,$BJ90,FALSE),0)</f>
        <v>0</v>
      </c>
      <c r="BQ90" s="29">
        <f>IFERROR(VLOOKUP(M90,'Standard AB - 17 Tugs, 8 SuGs'!$AB$3:$AK$55,$BJ90,FALSE),0)</f>
        <v>0</v>
      </c>
      <c r="BR90" s="29">
        <f>IFERROR(VLOOKUP(N90,'Standard AB - 17 Tugs, 8 SuGs'!$AB$3:$AK$55,$BJ90,FALSE),0)</f>
        <v>0</v>
      </c>
      <c r="BS90" s="29">
        <f t="shared" si="3"/>
        <v>80</v>
      </c>
      <c r="BT90" s="29"/>
      <c r="BU90" s="31">
        <f>VLOOKUP(E90,'Standard AB - 17 Tugs, 8 SuGs'!$M$2:$N$5,2,0)</f>
        <v>1</v>
      </c>
      <c r="BV90" s="31">
        <f>VLOOKUP(F90,'Standard AB - 17 Tugs, 8 SuGs'!$M$14:$N$19,2,0)</f>
        <v>1</v>
      </c>
      <c r="BW90" s="29">
        <f>IF(BM90=0,1,VLOOKUP(H90,'Standard AB - 17 Tugs, 8 SuGs'!$M$8:$N$12,2,FALSE))</f>
        <v>1</v>
      </c>
      <c r="BX90" s="32">
        <f t="shared" si="15"/>
        <v>80</v>
      </c>
      <c r="BY90" s="32"/>
      <c r="BZ90" s="32"/>
      <c r="CA90" s="32"/>
      <c r="CB90" s="32"/>
      <c r="CC90" s="33"/>
      <c r="CD90" s="29">
        <f t="shared" si="4"/>
        <v>1</v>
      </c>
      <c r="CE90" s="29">
        <f t="shared" si="5"/>
        <v>0</v>
      </c>
      <c r="CF90" s="29">
        <f t="shared" si="6"/>
        <v>1</v>
      </c>
      <c r="CG90" s="29">
        <f t="shared" si="7"/>
        <v>0</v>
      </c>
      <c r="CH90" s="29">
        <f t="shared" si="8"/>
        <v>0</v>
      </c>
      <c r="CI90" s="29">
        <f t="shared" si="9"/>
        <v>0</v>
      </c>
      <c r="CJ90" s="34"/>
      <c r="CK90" s="35">
        <f t="shared" si="10"/>
        <v>0</v>
      </c>
      <c r="CL90" s="29">
        <f t="shared" si="11"/>
        <v>0</v>
      </c>
      <c r="CM90" s="29">
        <f t="shared" si="12"/>
        <v>0</v>
      </c>
      <c r="CN90" s="29">
        <f t="shared" si="13"/>
        <v>0</v>
      </c>
      <c r="CO90" s="33"/>
      <c r="CP90" s="33"/>
    </row>
    <row r="91" spans="1:94" ht="17.100000000000001" customHeight="1" thickBot="1">
      <c r="A91" s="118"/>
      <c r="B91" s="119"/>
      <c r="C91" s="86" t="s">
        <v>43</v>
      </c>
      <c r="D91" s="87" t="s">
        <v>159</v>
      </c>
      <c r="E91" s="87" t="s">
        <v>10</v>
      </c>
      <c r="F91" s="87" t="s">
        <v>51</v>
      </c>
      <c r="G91" s="87" t="s">
        <v>50</v>
      </c>
      <c r="H91" s="87" t="s">
        <v>50</v>
      </c>
      <c r="I91" s="87" t="s">
        <v>50</v>
      </c>
      <c r="J91" s="87" t="s">
        <v>50</v>
      </c>
      <c r="K91" s="87" t="s">
        <v>50</v>
      </c>
      <c r="L91" s="87" t="s">
        <v>50</v>
      </c>
      <c r="M91" s="87" t="s">
        <v>50</v>
      </c>
      <c r="N91" s="87" t="s">
        <v>50</v>
      </c>
      <c r="O91" s="87"/>
      <c r="P91" s="24">
        <f t="shared" si="0"/>
        <v>0</v>
      </c>
      <c r="Q91" s="25">
        <f t="shared" si="14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AB - 17 Tugs, 8 SuGs'!$B$13:$C$21,2,FALSE)</f>
        <v>3</v>
      </c>
      <c r="BK91" s="29">
        <f>VLOOKUP(D91,'Standard AB - 17 Tugs, 8 SuGs'!$B$2:$K$11,'Standard AB - 17 Tugs, 8 SuGs'!BJ91,FALSE)</f>
        <v>80</v>
      </c>
      <c r="BL91" s="29">
        <f>VLOOKUP(G91,'Standard AB - 17 Tugs, 8 SuGs'!$R$3:$Z$21,BJ91,FALSE)</f>
        <v>0</v>
      </c>
      <c r="BM91" s="30">
        <f>VLOOKUP(I91,'Standard AB - 17 Tugs, 8 SuGs'!$R$12:$Z$21,BJ91,FALSE)</f>
        <v>0</v>
      </c>
      <c r="BN91" s="29">
        <f>IFERROR(VLOOKUP(J91,'Standard AB - 17 Tugs, 8 SuGs'!$AB$3:$AK$55,$BJ91,FALSE),0)</f>
        <v>0</v>
      </c>
      <c r="BO91" s="29">
        <f>IFERROR(VLOOKUP(K91,'Standard AB - 17 Tugs, 8 SuGs'!$AB$3:$AK$55,$BJ91,FALSE),0)</f>
        <v>0</v>
      </c>
      <c r="BP91" s="29">
        <f>IFERROR(VLOOKUP(L91,'Standard AB - 17 Tugs, 8 SuGs'!$AB$3:$AK$55,$BJ91,FALSE),0)</f>
        <v>0</v>
      </c>
      <c r="BQ91" s="29">
        <f>IFERROR(VLOOKUP(M91,'Standard AB - 17 Tugs, 8 SuGs'!$AB$3:$AK$55,$BJ91,FALSE),0)</f>
        <v>0</v>
      </c>
      <c r="BR91" s="29">
        <f>IFERROR(VLOOKUP(N91,'Standard AB - 17 Tugs, 8 SuGs'!$AB$3:$AK$55,$BJ91,FALSE),0)</f>
        <v>0</v>
      </c>
      <c r="BS91" s="29">
        <f t="shared" si="3"/>
        <v>80</v>
      </c>
      <c r="BT91" s="29"/>
      <c r="BU91" s="31">
        <f>VLOOKUP(E91,'Standard AB - 17 Tugs, 8 SuGs'!$M$2:$N$5,2,0)</f>
        <v>1</v>
      </c>
      <c r="BV91" s="31">
        <f>VLOOKUP(F91,'Standard AB - 17 Tugs, 8 SuGs'!$M$14:$N$19,2,0)</f>
        <v>1</v>
      </c>
      <c r="BW91" s="29">
        <f>IF(BM91=0,1,VLOOKUP(H91,'Standard AB - 17 Tugs, 8 SuGs'!$M$8:$N$12,2,FALSE))</f>
        <v>1</v>
      </c>
      <c r="BX91" s="32">
        <f t="shared" si="15"/>
        <v>80</v>
      </c>
      <c r="BY91" s="32"/>
      <c r="BZ91" s="32"/>
      <c r="CA91" s="32"/>
      <c r="CB91" s="32"/>
      <c r="CC91" s="33"/>
      <c r="CD91" s="29">
        <f t="shared" si="4"/>
        <v>1</v>
      </c>
      <c r="CE91" s="29">
        <f t="shared" si="5"/>
        <v>0</v>
      </c>
      <c r="CF91" s="29">
        <f t="shared" si="6"/>
        <v>1</v>
      </c>
      <c r="CG91" s="29">
        <f t="shared" si="7"/>
        <v>0</v>
      </c>
      <c r="CH91" s="29">
        <f t="shared" si="8"/>
        <v>0</v>
      </c>
      <c r="CI91" s="29">
        <f t="shared" si="9"/>
        <v>0</v>
      </c>
      <c r="CJ91" s="34"/>
      <c r="CK91" s="35">
        <f t="shared" si="10"/>
        <v>0</v>
      </c>
      <c r="CL91" s="29">
        <f t="shared" si="11"/>
        <v>0</v>
      </c>
      <c r="CM91" s="29">
        <f t="shared" si="12"/>
        <v>0</v>
      </c>
      <c r="CN91" s="29">
        <f t="shared" si="13"/>
        <v>0</v>
      </c>
      <c r="CO91" s="33"/>
      <c r="CP91" s="33"/>
    </row>
    <row r="92" spans="1:94" ht="17.100000000000001" customHeight="1" thickBot="1">
      <c r="A92" s="118"/>
      <c r="B92" s="119"/>
      <c r="C92" s="86" t="s">
        <v>43</v>
      </c>
      <c r="D92" s="87" t="s">
        <v>159</v>
      </c>
      <c r="E92" s="87" t="s">
        <v>10</v>
      </c>
      <c r="F92" s="87" t="s">
        <v>51</v>
      </c>
      <c r="G92" s="87" t="s">
        <v>50</v>
      </c>
      <c r="H92" s="87" t="s">
        <v>50</v>
      </c>
      <c r="I92" s="87" t="s">
        <v>50</v>
      </c>
      <c r="J92" s="87" t="s">
        <v>50</v>
      </c>
      <c r="K92" s="87" t="s">
        <v>50</v>
      </c>
      <c r="L92" s="87" t="s">
        <v>50</v>
      </c>
      <c r="M92" s="87" t="s">
        <v>50</v>
      </c>
      <c r="N92" s="87" t="s">
        <v>50</v>
      </c>
      <c r="O92" s="87"/>
      <c r="P92" s="24">
        <f t="shared" si="0"/>
        <v>0</v>
      </c>
      <c r="Q92" s="25">
        <f t="shared" si="14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AB - 17 Tugs, 8 SuGs'!$B$13:$C$21,2,FALSE)</f>
        <v>3</v>
      </c>
      <c r="BK92" s="29">
        <f>VLOOKUP(D92,'Standard AB - 17 Tugs, 8 SuGs'!$B$2:$K$11,'Standard AB - 17 Tugs, 8 SuGs'!BJ92,FALSE)</f>
        <v>80</v>
      </c>
      <c r="BL92" s="29">
        <f>VLOOKUP(G92,'Standard AB - 17 Tugs, 8 SuGs'!$R$3:$Z$21,BJ92,FALSE)</f>
        <v>0</v>
      </c>
      <c r="BM92" s="30">
        <f>VLOOKUP(I92,'Standard AB - 17 Tugs, 8 SuGs'!$R$12:$Z$21,BJ92,FALSE)</f>
        <v>0</v>
      </c>
      <c r="BN92" s="29">
        <f>IFERROR(VLOOKUP(J92,'Standard AB - 17 Tugs, 8 SuGs'!$AB$3:$AK$55,$BJ92,FALSE),0)</f>
        <v>0</v>
      </c>
      <c r="BO92" s="29">
        <f>IFERROR(VLOOKUP(K92,'Standard AB - 17 Tugs, 8 SuGs'!$AB$3:$AK$55,$BJ92,FALSE),0)</f>
        <v>0</v>
      </c>
      <c r="BP92" s="29">
        <f>IFERROR(VLOOKUP(L92,'Standard AB - 17 Tugs, 8 SuGs'!$AB$3:$AK$55,$BJ92,FALSE),0)</f>
        <v>0</v>
      </c>
      <c r="BQ92" s="29">
        <f>IFERROR(VLOOKUP(M92,'Standard AB - 17 Tugs, 8 SuGs'!$AB$3:$AK$55,$BJ92,FALSE),0)</f>
        <v>0</v>
      </c>
      <c r="BR92" s="29">
        <f>IFERROR(VLOOKUP(N92,'Standard AB - 17 Tugs, 8 SuGs'!$AB$3:$AK$55,$BJ92,FALSE),0)</f>
        <v>0</v>
      </c>
      <c r="BS92" s="29">
        <f t="shared" si="3"/>
        <v>80</v>
      </c>
      <c r="BT92" s="29"/>
      <c r="BU92" s="31">
        <f>VLOOKUP(E92,'Standard AB - 17 Tugs, 8 SuGs'!$M$2:$N$5,2,0)</f>
        <v>1</v>
      </c>
      <c r="BV92" s="31">
        <f>VLOOKUP(F92,'Standard AB - 17 Tugs, 8 SuGs'!$M$14:$N$19,2,0)</f>
        <v>1</v>
      </c>
      <c r="BW92" s="29">
        <f>IF(BM92=0,1,VLOOKUP(H92,'Standard AB - 17 Tugs, 8 SuGs'!$M$8:$N$12,2,FALSE))</f>
        <v>1</v>
      </c>
      <c r="BX92" s="32">
        <f t="shared" si="15"/>
        <v>80</v>
      </c>
      <c r="BY92" s="32"/>
      <c r="BZ92" s="32"/>
      <c r="CA92" s="32"/>
      <c r="CB92" s="32"/>
      <c r="CC92" s="33"/>
      <c r="CD92" s="29">
        <f t="shared" si="4"/>
        <v>1</v>
      </c>
      <c r="CE92" s="29">
        <f t="shared" si="5"/>
        <v>0</v>
      </c>
      <c r="CF92" s="29">
        <f t="shared" si="6"/>
        <v>1</v>
      </c>
      <c r="CG92" s="29">
        <f t="shared" si="7"/>
        <v>0</v>
      </c>
      <c r="CH92" s="29">
        <f t="shared" si="8"/>
        <v>0</v>
      </c>
      <c r="CI92" s="29">
        <f t="shared" si="9"/>
        <v>0</v>
      </c>
      <c r="CJ92" s="34"/>
      <c r="CK92" s="35">
        <f t="shared" si="10"/>
        <v>0</v>
      </c>
      <c r="CL92" s="29">
        <f t="shared" si="11"/>
        <v>0</v>
      </c>
      <c r="CM92" s="29">
        <f t="shared" si="12"/>
        <v>0</v>
      </c>
      <c r="CN92" s="29">
        <f t="shared" si="13"/>
        <v>0</v>
      </c>
      <c r="CO92" s="33"/>
      <c r="CP92" s="33"/>
    </row>
    <row r="93" spans="1:94" ht="17.100000000000001" customHeight="1" thickBot="1">
      <c r="A93" s="118"/>
      <c r="B93" s="119"/>
      <c r="C93" s="86" t="s">
        <v>43</v>
      </c>
      <c r="D93" s="87" t="s">
        <v>159</v>
      </c>
      <c r="E93" s="87" t="s">
        <v>10</v>
      </c>
      <c r="F93" s="87" t="s">
        <v>51</v>
      </c>
      <c r="G93" s="87" t="s">
        <v>50</v>
      </c>
      <c r="H93" s="87" t="s">
        <v>50</v>
      </c>
      <c r="I93" s="87" t="s">
        <v>50</v>
      </c>
      <c r="J93" s="87" t="s">
        <v>50</v>
      </c>
      <c r="K93" s="87" t="s">
        <v>50</v>
      </c>
      <c r="L93" s="87" t="s">
        <v>50</v>
      </c>
      <c r="M93" s="87" t="s">
        <v>50</v>
      </c>
      <c r="N93" s="87" t="s">
        <v>50</v>
      </c>
      <c r="O93" s="87"/>
      <c r="P93" s="24">
        <f t="shared" si="0"/>
        <v>0</v>
      </c>
      <c r="Q93" s="25">
        <f t="shared" si="14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AB - 17 Tugs, 8 SuGs'!$B$13:$C$21,2,FALSE)</f>
        <v>3</v>
      </c>
      <c r="BK93" s="29">
        <f>VLOOKUP(D93,'Standard AB - 17 Tugs, 8 SuGs'!$B$2:$K$11,'Standard AB - 17 Tugs, 8 SuGs'!BJ93,FALSE)</f>
        <v>80</v>
      </c>
      <c r="BL93" s="29">
        <f>VLOOKUP(G93,'Standard AB - 17 Tugs, 8 SuGs'!$R$3:$Z$21,BJ93,FALSE)</f>
        <v>0</v>
      </c>
      <c r="BM93" s="30">
        <f>VLOOKUP(I93,'Standard AB - 17 Tugs, 8 SuGs'!$R$12:$Z$21,BJ93,FALSE)</f>
        <v>0</v>
      </c>
      <c r="BN93" s="29">
        <f>IFERROR(VLOOKUP(J93,'Standard AB - 17 Tugs, 8 SuGs'!$AB$3:$AK$55,$BJ93,FALSE),0)</f>
        <v>0</v>
      </c>
      <c r="BO93" s="29">
        <f>IFERROR(VLOOKUP(K93,'Standard AB - 17 Tugs, 8 SuGs'!$AB$3:$AK$55,$BJ93,FALSE),0)</f>
        <v>0</v>
      </c>
      <c r="BP93" s="29">
        <f>IFERROR(VLOOKUP(L93,'Standard AB - 17 Tugs, 8 SuGs'!$AB$3:$AK$55,$BJ93,FALSE),0)</f>
        <v>0</v>
      </c>
      <c r="BQ93" s="29">
        <f>IFERROR(VLOOKUP(M93,'Standard AB - 17 Tugs, 8 SuGs'!$AB$3:$AK$55,$BJ93,FALSE),0)</f>
        <v>0</v>
      </c>
      <c r="BR93" s="29">
        <f>IFERROR(VLOOKUP(N93,'Standard AB - 17 Tugs, 8 SuGs'!$AB$3:$AK$55,$BJ93,FALSE),0)</f>
        <v>0</v>
      </c>
      <c r="BS93" s="29">
        <f t="shared" si="3"/>
        <v>80</v>
      </c>
      <c r="BT93" s="29"/>
      <c r="BU93" s="31">
        <f>VLOOKUP(E93,'Standard AB - 17 Tugs, 8 SuGs'!$M$2:$N$5,2,0)</f>
        <v>1</v>
      </c>
      <c r="BV93" s="31">
        <f>VLOOKUP(F93,'Standard AB - 17 Tugs, 8 SuGs'!$M$14:$N$19,2,0)</f>
        <v>1</v>
      </c>
      <c r="BW93" s="29">
        <f>IF(BM93=0,1,VLOOKUP(H93,'Standard AB - 17 Tugs, 8 SuGs'!$M$8:$N$12,2,FALSE))</f>
        <v>1</v>
      </c>
      <c r="BX93" s="32">
        <f t="shared" si="15"/>
        <v>80</v>
      </c>
      <c r="BY93" s="32"/>
      <c r="BZ93" s="32"/>
      <c r="CA93" s="32"/>
      <c r="CB93" s="32"/>
      <c r="CC93" s="33"/>
      <c r="CD93" s="29">
        <f t="shared" si="4"/>
        <v>1</v>
      </c>
      <c r="CE93" s="29">
        <f t="shared" si="5"/>
        <v>0</v>
      </c>
      <c r="CF93" s="29">
        <f t="shared" si="6"/>
        <v>1</v>
      </c>
      <c r="CG93" s="29">
        <f t="shared" si="7"/>
        <v>0</v>
      </c>
      <c r="CH93" s="29">
        <f t="shared" si="8"/>
        <v>0</v>
      </c>
      <c r="CI93" s="29">
        <f t="shared" si="9"/>
        <v>0</v>
      </c>
      <c r="CJ93" s="34"/>
      <c r="CK93" s="35">
        <f t="shared" si="10"/>
        <v>0</v>
      </c>
      <c r="CL93" s="29">
        <f t="shared" si="11"/>
        <v>0</v>
      </c>
      <c r="CM93" s="29">
        <f t="shared" si="12"/>
        <v>0</v>
      </c>
      <c r="CN93" s="29">
        <f t="shared" si="13"/>
        <v>0</v>
      </c>
      <c r="CO93" s="33"/>
      <c r="CP93" s="33"/>
    </row>
    <row r="94" spans="1:94" ht="17.100000000000001" customHeight="1" thickBot="1">
      <c r="A94" s="118"/>
      <c r="B94" s="119"/>
      <c r="C94" s="86" t="s">
        <v>43</v>
      </c>
      <c r="D94" s="87" t="s">
        <v>159</v>
      </c>
      <c r="E94" s="87" t="s">
        <v>10</v>
      </c>
      <c r="F94" s="87" t="s">
        <v>51</v>
      </c>
      <c r="G94" s="87" t="s">
        <v>50</v>
      </c>
      <c r="H94" s="87" t="s">
        <v>50</v>
      </c>
      <c r="I94" s="87" t="s">
        <v>50</v>
      </c>
      <c r="J94" s="87" t="s">
        <v>50</v>
      </c>
      <c r="K94" s="87" t="s">
        <v>50</v>
      </c>
      <c r="L94" s="87" t="s">
        <v>50</v>
      </c>
      <c r="M94" s="87" t="s">
        <v>50</v>
      </c>
      <c r="N94" s="87" t="s">
        <v>50</v>
      </c>
      <c r="O94" s="87"/>
      <c r="P94" s="24">
        <f t="shared" si="0"/>
        <v>0</v>
      </c>
      <c r="Q94" s="25">
        <f t="shared" si="14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AB - 17 Tugs, 8 SuGs'!$B$13:$C$21,2,FALSE)</f>
        <v>3</v>
      </c>
      <c r="BK94" s="29">
        <f>VLOOKUP(D94,'Standard AB - 17 Tugs, 8 SuGs'!$B$2:$K$11,'Standard AB - 17 Tugs, 8 SuGs'!BJ94,FALSE)</f>
        <v>80</v>
      </c>
      <c r="BL94" s="29">
        <f>VLOOKUP(G94,'Standard AB - 17 Tugs, 8 SuGs'!$R$3:$Z$21,BJ94,FALSE)</f>
        <v>0</v>
      </c>
      <c r="BM94" s="30">
        <f>VLOOKUP(I94,'Standard AB - 17 Tugs, 8 SuGs'!$R$12:$Z$21,BJ94,FALSE)</f>
        <v>0</v>
      </c>
      <c r="BN94" s="29">
        <f>IFERROR(VLOOKUP(J94,'Standard AB - 17 Tugs, 8 SuGs'!$AB$3:$AK$55,$BJ94,FALSE),0)</f>
        <v>0</v>
      </c>
      <c r="BO94" s="29">
        <f>IFERROR(VLOOKUP(K94,'Standard AB - 17 Tugs, 8 SuGs'!$AB$3:$AK$55,$BJ94,FALSE),0)</f>
        <v>0</v>
      </c>
      <c r="BP94" s="29">
        <f>IFERROR(VLOOKUP(L94,'Standard AB - 17 Tugs, 8 SuGs'!$AB$3:$AK$55,$BJ94,FALSE),0)</f>
        <v>0</v>
      </c>
      <c r="BQ94" s="29">
        <f>IFERROR(VLOOKUP(M94,'Standard AB - 17 Tugs, 8 SuGs'!$AB$3:$AK$55,$BJ94,FALSE),0)</f>
        <v>0</v>
      </c>
      <c r="BR94" s="29">
        <f>IFERROR(VLOOKUP(N94,'Standard AB - 17 Tugs, 8 SuGs'!$AB$3:$AK$55,$BJ94,FALSE),0)</f>
        <v>0</v>
      </c>
      <c r="BS94" s="29">
        <f t="shared" si="3"/>
        <v>80</v>
      </c>
      <c r="BT94" s="29"/>
      <c r="BU94" s="31">
        <f>VLOOKUP(E94,'Standard AB - 17 Tugs, 8 SuGs'!$M$2:$N$5,2,0)</f>
        <v>1</v>
      </c>
      <c r="BV94" s="31">
        <f>VLOOKUP(F94,'Standard AB - 17 Tugs, 8 SuGs'!$M$14:$N$19,2,0)</f>
        <v>1</v>
      </c>
      <c r="BW94" s="29">
        <f>IF(BM94=0,1,VLOOKUP(H94,'Standard AB - 17 Tugs, 8 SuGs'!$M$8:$N$12,2,FALSE))</f>
        <v>1</v>
      </c>
      <c r="BX94" s="32">
        <f t="shared" si="15"/>
        <v>80</v>
      </c>
      <c r="BY94" s="32"/>
      <c r="BZ94" s="32"/>
      <c r="CA94" s="32"/>
      <c r="CB94" s="32"/>
      <c r="CC94" s="33"/>
      <c r="CD94" s="29">
        <f t="shared" si="4"/>
        <v>1</v>
      </c>
      <c r="CE94" s="29">
        <f t="shared" si="5"/>
        <v>0</v>
      </c>
      <c r="CF94" s="29">
        <f t="shared" si="6"/>
        <v>1</v>
      </c>
      <c r="CG94" s="29">
        <f t="shared" si="7"/>
        <v>0</v>
      </c>
      <c r="CH94" s="29">
        <f t="shared" si="8"/>
        <v>0</v>
      </c>
      <c r="CI94" s="29">
        <f t="shared" si="9"/>
        <v>0</v>
      </c>
      <c r="CJ94" s="34"/>
      <c r="CK94" s="35">
        <f t="shared" si="10"/>
        <v>0</v>
      </c>
      <c r="CL94" s="29">
        <f t="shared" si="11"/>
        <v>0</v>
      </c>
      <c r="CM94" s="29">
        <f t="shared" si="12"/>
        <v>0</v>
      </c>
      <c r="CN94" s="29">
        <f t="shared" si="13"/>
        <v>0</v>
      </c>
      <c r="CO94" s="33"/>
      <c r="CP94" s="33"/>
    </row>
    <row r="95" spans="1:94" ht="17.100000000000001" customHeight="1" thickBot="1">
      <c r="A95" s="118"/>
      <c r="B95" s="119"/>
      <c r="C95" s="86" t="s">
        <v>43</v>
      </c>
      <c r="D95" s="87" t="s">
        <v>159</v>
      </c>
      <c r="E95" s="87" t="s">
        <v>10</v>
      </c>
      <c r="F95" s="87" t="s">
        <v>51</v>
      </c>
      <c r="G95" s="87" t="s">
        <v>50</v>
      </c>
      <c r="H95" s="87" t="s">
        <v>50</v>
      </c>
      <c r="I95" s="87" t="s">
        <v>50</v>
      </c>
      <c r="J95" s="87" t="s">
        <v>50</v>
      </c>
      <c r="K95" s="87" t="s">
        <v>50</v>
      </c>
      <c r="L95" s="87" t="s">
        <v>50</v>
      </c>
      <c r="M95" s="87" t="s">
        <v>50</v>
      </c>
      <c r="N95" s="87" t="s">
        <v>50</v>
      </c>
      <c r="O95" s="87"/>
      <c r="P95" s="24">
        <f t="shared" si="0"/>
        <v>0</v>
      </c>
      <c r="Q95" s="25">
        <f t="shared" si="14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AB - 17 Tugs, 8 SuGs'!$B$13:$C$21,2,FALSE)</f>
        <v>3</v>
      </c>
      <c r="BK95" s="29">
        <f>VLOOKUP(D95,'Standard AB - 17 Tugs, 8 SuGs'!$B$2:$K$11,'Standard AB - 17 Tugs, 8 SuGs'!BJ95,FALSE)</f>
        <v>80</v>
      </c>
      <c r="BL95" s="29">
        <f>VLOOKUP(G95,'Standard AB - 17 Tugs, 8 SuGs'!$R$3:$Z$21,BJ95,FALSE)</f>
        <v>0</v>
      </c>
      <c r="BM95" s="30">
        <f>VLOOKUP(I95,'Standard AB - 17 Tugs, 8 SuGs'!$R$12:$Z$21,BJ95,FALSE)</f>
        <v>0</v>
      </c>
      <c r="BN95" s="29">
        <f>IFERROR(VLOOKUP(J95,'Standard AB - 17 Tugs, 8 SuGs'!$AB$3:$AK$55,$BJ95,FALSE),0)</f>
        <v>0</v>
      </c>
      <c r="BO95" s="29">
        <f>IFERROR(VLOOKUP(K95,'Standard AB - 17 Tugs, 8 SuGs'!$AB$3:$AK$55,$BJ95,FALSE),0)</f>
        <v>0</v>
      </c>
      <c r="BP95" s="29">
        <f>IFERROR(VLOOKUP(L95,'Standard AB - 17 Tugs, 8 SuGs'!$AB$3:$AK$55,$BJ95,FALSE),0)</f>
        <v>0</v>
      </c>
      <c r="BQ95" s="29">
        <f>IFERROR(VLOOKUP(M95,'Standard AB - 17 Tugs, 8 SuGs'!$AB$3:$AK$55,$BJ95,FALSE),0)</f>
        <v>0</v>
      </c>
      <c r="BR95" s="29">
        <f>IFERROR(VLOOKUP(N95,'Standard AB - 17 Tugs, 8 SuGs'!$AB$3:$AK$55,$BJ95,FALSE),0)</f>
        <v>0</v>
      </c>
      <c r="BS95" s="29">
        <f t="shared" si="3"/>
        <v>80</v>
      </c>
      <c r="BT95" s="29"/>
      <c r="BU95" s="31">
        <f>VLOOKUP(E95,'Standard AB - 17 Tugs, 8 SuGs'!$M$2:$N$5,2,0)</f>
        <v>1</v>
      </c>
      <c r="BV95" s="31">
        <f>VLOOKUP(F95,'Standard AB - 17 Tugs, 8 SuGs'!$M$14:$N$19,2,0)</f>
        <v>1</v>
      </c>
      <c r="BW95" s="29">
        <f>IF(BM95=0,1,VLOOKUP(H95,'Standard AB - 17 Tugs, 8 SuGs'!$M$8:$N$12,2,FALSE))</f>
        <v>1</v>
      </c>
      <c r="BX95" s="32">
        <f t="shared" si="15"/>
        <v>80</v>
      </c>
      <c r="BY95" s="32"/>
      <c r="BZ95" s="32"/>
      <c r="CA95" s="32"/>
      <c r="CB95" s="32"/>
      <c r="CC95" s="33"/>
      <c r="CD95" s="29">
        <f t="shared" si="4"/>
        <v>1</v>
      </c>
      <c r="CE95" s="29">
        <f t="shared" si="5"/>
        <v>0</v>
      </c>
      <c r="CF95" s="29">
        <f t="shared" si="6"/>
        <v>1</v>
      </c>
      <c r="CG95" s="29">
        <f t="shared" si="7"/>
        <v>0</v>
      </c>
      <c r="CH95" s="29">
        <f t="shared" si="8"/>
        <v>0</v>
      </c>
      <c r="CI95" s="29">
        <f t="shared" si="9"/>
        <v>0</v>
      </c>
      <c r="CJ95" s="34"/>
      <c r="CK95" s="35">
        <f t="shared" si="10"/>
        <v>0</v>
      </c>
      <c r="CL95" s="29">
        <f t="shared" si="11"/>
        <v>0</v>
      </c>
      <c r="CM95" s="29">
        <f t="shared" si="12"/>
        <v>0</v>
      </c>
      <c r="CN95" s="29">
        <f t="shared" si="13"/>
        <v>0</v>
      </c>
      <c r="CO95" s="33"/>
      <c r="CP95" s="33"/>
    </row>
    <row r="96" spans="1:94" ht="17.100000000000001" customHeight="1" thickBot="1">
      <c r="A96" s="118"/>
      <c r="B96" s="119"/>
      <c r="C96" s="86" t="s">
        <v>43</v>
      </c>
      <c r="D96" s="87" t="s">
        <v>159</v>
      </c>
      <c r="E96" s="87" t="s">
        <v>10</v>
      </c>
      <c r="F96" s="87" t="s">
        <v>51</v>
      </c>
      <c r="G96" s="87" t="s">
        <v>50</v>
      </c>
      <c r="H96" s="87" t="s">
        <v>50</v>
      </c>
      <c r="I96" s="87" t="s">
        <v>50</v>
      </c>
      <c r="J96" s="87" t="s">
        <v>50</v>
      </c>
      <c r="K96" s="87" t="s">
        <v>50</v>
      </c>
      <c r="L96" s="87" t="s">
        <v>50</v>
      </c>
      <c r="M96" s="87" t="s">
        <v>50</v>
      </c>
      <c r="N96" s="87" t="s">
        <v>50</v>
      </c>
      <c r="O96" s="87"/>
      <c r="P96" s="24">
        <f t="shared" si="0"/>
        <v>0</v>
      </c>
      <c r="Q96" s="25">
        <f t="shared" si="14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AB - 17 Tugs, 8 SuGs'!$B$13:$C$21,2,FALSE)</f>
        <v>3</v>
      </c>
      <c r="BK96" s="29">
        <f>VLOOKUP(D96,'Standard AB - 17 Tugs, 8 SuGs'!$B$2:$K$11,'Standard AB - 17 Tugs, 8 SuGs'!BJ96,FALSE)</f>
        <v>80</v>
      </c>
      <c r="BL96" s="29">
        <f>VLOOKUP(G96,'Standard AB - 17 Tugs, 8 SuGs'!$R$3:$Z$21,BJ96,FALSE)</f>
        <v>0</v>
      </c>
      <c r="BM96" s="30">
        <f>VLOOKUP(I96,'Standard AB - 17 Tugs, 8 SuGs'!$R$12:$Z$21,BJ96,FALSE)</f>
        <v>0</v>
      </c>
      <c r="BN96" s="29">
        <f>IFERROR(VLOOKUP(J96,'Standard AB - 17 Tugs, 8 SuGs'!$AB$3:$AK$55,$BJ96,FALSE),0)</f>
        <v>0</v>
      </c>
      <c r="BO96" s="29">
        <f>IFERROR(VLOOKUP(K96,'Standard AB - 17 Tugs, 8 SuGs'!$AB$3:$AK$55,$BJ96,FALSE),0)</f>
        <v>0</v>
      </c>
      <c r="BP96" s="29">
        <f>IFERROR(VLOOKUP(L96,'Standard AB - 17 Tugs, 8 SuGs'!$AB$3:$AK$55,$BJ96,FALSE),0)</f>
        <v>0</v>
      </c>
      <c r="BQ96" s="29">
        <f>IFERROR(VLOOKUP(M96,'Standard AB - 17 Tugs, 8 SuGs'!$AB$3:$AK$55,$BJ96,FALSE),0)</f>
        <v>0</v>
      </c>
      <c r="BR96" s="29">
        <f>IFERROR(VLOOKUP(N96,'Standard AB - 17 Tugs, 8 SuGs'!$AB$3:$AK$55,$BJ96,FALSE),0)</f>
        <v>0</v>
      </c>
      <c r="BS96" s="29">
        <f t="shared" si="3"/>
        <v>80</v>
      </c>
      <c r="BT96" s="29"/>
      <c r="BU96" s="31">
        <f>VLOOKUP(E96,'Standard AB - 17 Tugs, 8 SuGs'!$M$2:$N$5,2,0)</f>
        <v>1</v>
      </c>
      <c r="BV96" s="31">
        <f>VLOOKUP(F96,'Standard AB - 17 Tugs, 8 SuGs'!$M$14:$N$19,2,0)</f>
        <v>1</v>
      </c>
      <c r="BW96" s="29">
        <f>IF(BM96=0,1,VLOOKUP(H96,'Standard AB - 17 Tugs, 8 SuGs'!$M$8:$N$12,2,FALSE))</f>
        <v>1</v>
      </c>
      <c r="BX96" s="32">
        <f t="shared" si="15"/>
        <v>80</v>
      </c>
      <c r="BY96" s="32"/>
      <c r="BZ96" s="32"/>
      <c r="CA96" s="32"/>
      <c r="CB96" s="32"/>
      <c r="CC96" s="33"/>
      <c r="CD96" s="29">
        <f t="shared" si="4"/>
        <v>1</v>
      </c>
      <c r="CE96" s="29">
        <f t="shared" si="5"/>
        <v>0</v>
      </c>
      <c r="CF96" s="29">
        <f t="shared" si="6"/>
        <v>1</v>
      </c>
      <c r="CG96" s="29">
        <f t="shared" si="7"/>
        <v>0</v>
      </c>
      <c r="CH96" s="29">
        <f t="shared" si="8"/>
        <v>0</v>
      </c>
      <c r="CI96" s="29">
        <f t="shared" si="9"/>
        <v>0</v>
      </c>
      <c r="CJ96" s="34"/>
      <c r="CK96" s="35">
        <f t="shared" si="10"/>
        <v>0</v>
      </c>
      <c r="CL96" s="29">
        <f t="shared" si="11"/>
        <v>0</v>
      </c>
      <c r="CM96" s="29">
        <f t="shared" si="12"/>
        <v>0</v>
      </c>
      <c r="CN96" s="29">
        <f t="shared" si="13"/>
        <v>0</v>
      </c>
      <c r="CO96" s="33"/>
      <c r="CP96" s="33"/>
    </row>
    <row r="97" spans="1:94" ht="17.100000000000001" customHeight="1" thickBot="1">
      <c r="A97" s="118"/>
      <c r="B97" s="119"/>
      <c r="C97" s="86" t="s">
        <v>43</v>
      </c>
      <c r="D97" s="87" t="s">
        <v>159</v>
      </c>
      <c r="E97" s="87" t="s">
        <v>10</v>
      </c>
      <c r="F97" s="87" t="s">
        <v>51</v>
      </c>
      <c r="G97" s="87" t="s">
        <v>50</v>
      </c>
      <c r="H97" s="87" t="s">
        <v>50</v>
      </c>
      <c r="I97" s="87" t="s">
        <v>50</v>
      </c>
      <c r="J97" s="87" t="s">
        <v>50</v>
      </c>
      <c r="K97" s="87" t="s">
        <v>50</v>
      </c>
      <c r="L97" s="87" t="s">
        <v>50</v>
      </c>
      <c r="M97" s="87" t="s">
        <v>50</v>
      </c>
      <c r="N97" s="87" t="s">
        <v>50</v>
      </c>
      <c r="O97" s="87"/>
      <c r="P97" s="24">
        <f t="shared" si="0"/>
        <v>0</v>
      </c>
      <c r="Q97" s="25">
        <f t="shared" si="14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AB - 17 Tugs, 8 SuGs'!$B$13:$C$21,2,FALSE)</f>
        <v>3</v>
      </c>
      <c r="BK97" s="29">
        <f>VLOOKUP(D97,'Standard AB - 17 Tugs, 8 SuGs'!$B$2:$K$11,'Standard AB - 17 Tugs, 8 SuGs'!BJ97,FALSE)</f>
        <v>80</v>
      </c>
      <c r="BL97" s="29">
        <f>VLOOKUP(G97,'Standard AB - 17 Tugs, 8 SuGs'!$R$3:$Z$21,BJ97,FALSE)</f>
        <v>0</v>
      </c>
      <c r="BM97" s="30">
        <f>VLOOKUP(I97,'Standard AB - 17 Tugs, 8 SuGs'!$R$12:$Z$21,BJ97,FALSE)</f>
        <v>0</v>
      </c>
      <c r="BN97" s="29">
        <f>IFERROR(VLOOKUP(J97,'Standard AB - 17 Tugs, 8 SuGs'!$AB$3:$AK$55,$BJ97,FALSE),0)</f>
        <v>0</v>
      </c>
      <c r="BO97" s="29">
        <f>IFERROR(VLOOKUP(K97,'Standard AB - 17 Tugs, 8 SuGs'!$AB$3:$AK$55,$BJ97,FALSE),0)</f>
        <v>0</v>
      </c>
      <c r="BP97" s="29">
        <f>IFERROR(VLOOKUP(L97,'Standard AB - 17 Tugs, 8 SuGs'!$AB$3:$AK$55,$BJ97,FALSE),0)</f>
        <v>0</v>
      </c>
      <c r="BQ97" s="29">
        <f>IFERROR(VLOOKUP(M97,'Standard AB - 17 Tugs, 8 SuGs'!$AB$3:$AK$55,$BJ97,FALSE),0)</f>
        <v>0</v>
      </c>
      <c r="BR97" s="29">
        <f>IFERROR(VLOOKUP(N97,'Standard AB - 17 Tugs, 8 SuGs'!$AB$3:$AK$55,$BJ97,FALSE),0)</f>
        <v>0</v>
      </c>
      <c r="BS97" s="29">
        <f t="shared" si="3"/>
        <v>80</v>
      </c>
      <c r="BT97" s="29"/>
      <c r="BU97" s="31">
        <f>VLOOKUP(E97,'Standard AB - 17 Tugs, 8 SuGs'!$M$2:$N$5,2,0)</f>
        <v>1</v>
      </c>
      <c r="BV97" s="31">
        <f>VLOOKUP(F97,'Standard AB - 17 Tugs, 8 SuGs'!$M$14:$N$19,2,0)</f>
        <v>1</v>
      </c>
      <c r="BW97" s="29">
        <f>IF(BM97=0,1,VLOOKUP(H97,'Standard AB - 17 Tugs, 8 SuGs'!$M$8:$N$12,2,FALSE))</f>
        <v>1</v>
      </c>
      <c r="BX97" s="32">
        <f t="shared" si="15"/>
        <v>80</v>
      </c>
      <c r="BY97" s="32"/>
      <c r="BZ97" s="32"/>
      <c r="CA97" s="32"/>
      <c r="CB97" s="32"/>
      <c r="CC97" s="33"/>
      <c r="CD97" s="29">
        <f t="shared" si="4"/>
        <v>1</v>
      </c>
      <c r="CE97" s="29">
        <f t="shared" si="5"/>
        <v>0</v>
      </c>
      <c r="CF97" s="29">
        <f t="shared" si="6"/>
        <v>1</v>
      </c>
      <c r="CG97" s="29">
        <f t="shared" si="7"/>
        <v>0</v>
      </c>
      <c r="CH97" s="29">
        <f t="shared" si="8"/>
        <v>0</v>
      </c>
      <c r="CI97" s="29">
        <f t="shared" si="9"/>
        <v>0</v>
      </c>
      <c r="CJ97" s="34"/>
      <c r="CK97" s="35">
        <f t="shared" si="10"/>
        <v>0</v>
      </c>
      <c r="CL97" s="29">
        <f t="shared" si="11"/>
        <v>0</v>
      </c>
      <c r="CM97" s="29">
        <f t="shared" si="12"/>
        <v>0</v>
      </c>
      <c r="CN97" s="29">
        <f t="shared" si="13"/>
        <v>0</v>
      </c>
      <c r="CO97" s="33"/>
      <c r="CP97" s="33"/>
    </row>
    <row r="98" spans="1:94" ht="17.100000000000001" customHeight="1" thickBot="1">
      <c r="A98" s="118"/>
      <c r="B98" s="119"/>
      <c r="C98" s="86" t="s">
        <v>43</v>
      </c>
      <c r="D98" s="87" t="s">
        <v>159</v>
      </c>
      <c r="E98" s="87" t="s">
        <v>10</v>
      </c>
      <c r="F98" s="87" t="s">
        <v>51</v>
      </c>
      <c r="G98" s="87" t="s">
        <v>50</v>
      </c>
      <c r="H98" s="87" t="s">
        <v>50</v>
      </c>
      <c r="I98" s="87" t="s">
        <v>50</v>
      </c>
      <c r="J98" s="87" t="s">
        <v>50</v>
      </c>
      <c r="K98" s="87" t="s">
        <v>50</v>
      </c>
      <c r="L98" s="87" t="s">
        <v>50</v>
      </c>
      <c r="M98" s="87" t="s">
        <v>50</v>
      </c>
      <c r="N98" s="87" t="s">
        <v>50</v>
      </c>
      <c r="O98" s="87"/>
      <c r="P98" s="24">
        <f t="shared" si="0"/>
        <v>0</v>
      </c>
      <c r="Q98" s="25">
        <f t="shared" si="14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AB - 17 Tugs, 8 SuGs'!$B$13:$C$21,2,FALSE)</f>
        <v>3</v>
      </c>
      <c r="BK98" s="29">
        <f>VLOOKUP(D98,'Standard AB - 17 Tugs, 8 SuGs'!$B$2:$K$11,'Standard AB - 17 Tugs, 8 SuGs'!BJ98,FALSE)</f>
        <v>80</v>
      </c>
      <c r="BL98" s="29">
        <f>VLOOKUP(G98,'Standard AB - 17 Tugs, 8 SuGs'!$R$3:$Z$21,BJ98,FALSE)</f>
        <v>0</v>
      </c>
      <c r="BM98" s="30">
        <f>VLOOKUP(I98,'Standard AB - 17 Tugs, 8 SuGs'!$R$12:$Z$21,BJ98,FALSE)</f>
        <v>0</v>
      </c>
      <c r="BN98" s="29">
        <f>IFERROR(VLOOKUP(J98,'Standard AB - 17 Tugs, 8 SuGs'!$AB$3:$AK$55,$BJ98,FALSE),0)</f>
        <v>0</v>
      </c>
      <c r="BO98" s="29">
        <f>IFERROR(VLOOKUP(K98,'Standard AB - 17 Tugs, 8 SuGs'!$AB$3:$AK$55,$BJ98,FALSE),0)</f>
        <v>0</v>
      </c>
      <c r="BP98" s="29">
        <f>IFERROR(VLOOKUP(L98,'Standard AB - 17 Tugs, 8 SuGs'!$AB$3:$AK$55,$BJ98,FALSE),0)</f>
        <v>0</v>
      </c>
      <c r="BQ98" s="29">
        <f>IFERROR(VLOOKUP(M98,'Standard AB - 17 Tugs, 8 SuGs'!$AB$3:$AK$55,$BJ98,FALSE),0)</f>
        <v>0</v>
      </c>
      <c r="BR98" s="29">
        <f>IFERROR(VLOOKUP(N98,'Standard AB - 17 Tugs, 8 SuGs'!$AB$3:$AK$55,$BJ98,FALSE),0)</f>
        <v>0</v>
      </c>
      <c r="BS98" s="29">
        <f t="shared" si="3"/>
        <v>80</v>
      </c>
      <c r="BT98" s="29"/>
      <c r="BU98" s="31">
        <f>VLOOKUP(E98,'Standard AB - 17 Tugs, 8 SuGs'!$M$2:$N$5,2,0)</f>
        <v>1</v>
      </c>
      <c r="BV98" s="31">
        <f>VLOOKUP(F98,'Standard AB - 17 Tugs, 8 SuGs'!$M$14:$N$19,2,0)</f>
        <v>1</v>
      </c>
      <c r="BW98" s="29">
        <f>IF(BM98=0,1,VLOOKUP(H98,'Standard AB - 17 Tugs, 8 SuGs'!$M$8:$N$12,2,FALSE))</f>
        <v>1</v>
      </c>
      <c r="BX98" s="32">
        <f t="shared" si="15"/>
        <v>80</v>
      </c>
      <c r="BY98" s="32"/>
      <c r="BZ98" s="32"/>
      <c r="CA98" s="32"/>
      <c r="CB98" s="32"/>
      <c r="CC98" s="33"/>
      <c r="CD98" s="29">
        <f t="shared" si="4"/>
        <v>1</v>
      </c>
      <c r="CE98" s="29">
        <f t="shared" si="5"/>
        <v>0</v>
      </c>
      <c r="CF98" s="29">
        <f t="shared" si="6"/>
        <v>1</v>
      </c>
      <c r="CG98" s="29">
        <f t="shared" si="7"/>
        <v>0</v>
      </c>
      <c r="CH98" s="29">
        <f t="shared" si="8"/>
        <v>0</v>
      </c>
      <c r="CI98" s="29">
        <f t="shared" si="9"/>
        <v>0</v>
      </c>
      <c r="CJ98" s="34"/>
      <c r="CK98" s="35">
        <f t="shared" si="10"/>
        <v>0</v>
      </c>
      <c r="CL98" s="29">
        <f t="shared" si="11"/>
        <v>0</v>
      </c>
      <c r="CM98" s="29">
        <f t="shared" si="12"/>
        <v>0</v>
      </c>
      <c r="CN98" s="29">
        <f t="shared" si="13"/>
        <v>0</v>
      </c>
      <c r="CO98" s="33"/>
      <c r="CP98" s="33"/>
    </row>
    <row r="99" spans="1:94" ht="17.100000000000001" customHeight="1">
      <c r="A99" s="118"/>
      <c r="B99" s="119"/>
      <c r="C99" s="86" t="s">
        <v>43</v>
      </c>
      <c r="D99" s="87" t="s">
        <v>159</v>
      </c>
      <c r="E99" s="87" t="s">
        <v>10</v>
      </c>
      <c r="F99" s="87" t="s">
        <v>51</v>
      </c>
      <c r="G99" s="87" t="s">
        <v>50</v>
      </c>
      <c r="H99" s="87" t="s">
        <v>50</v>
      </c>
      <c r="I99" s="87" t="s">
        <v>50</v>
      </c>
      <c r="J99" s="87" t="s">
        <v>50</v>
      </c>
      <c r="K99" s="87" t="s">
        <v>50</v>
      </c>
      <c r="L99" s="87" t="s">
        <v>50</v>
      </c>
      <c r="M99" s="87" t="s">
        <v>50</v>
      </c>
      <c r="N99" s="87" t="s">
        <v>50</v>
      </c>
      <c r="O99" s="87"/>
      <c r="P99" s="24">
        <f t="shared" si="0"/>
        <v>0</v>
      </c>
      <c r="Q99" s="25">
        <f t="shared" si="14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AB - 17 Tugs, 8 SuGs'!$B$13:$C$21,2,FALSE)</f>
        <v>3</v>
      </c>
      <c r="BK99" s="29">
        <f>VLOOKUP(D99,'Standard AB - 17 Tugs, 8 SuGs'!$B$2:$K$11,'Standard AB - 17 Tugs, 8 SuGs'!BJ99,FALSE)</f>
        <v>80</v>
      </c>
      <c r="BL99" s="29">
        <f>VLOOKUP(G99,'Standard AB - 17 Tugs, 8 SuGs'!$R$3:$Z$21,BJ99,FALSE)</f>
        <v>0</v>
      </c>
      <c r="BM99" s="30">
        <f>VLOOKUP(I99,'Standard AB - 17 Tugs, 8 SuGs'!$R$12:$Z$21,BJ99,FALSE)</f>
        <v>0</v>
      </c>
      <c r="BN99" s="29">
        <f>IFERROR(VLOOKUP(J99,'Standard AB - 17 Tugs, 8 SuGs'!$AB$3:$AK$55,$BJ99,FALSE),0)</f>
        <v>0</v>
      </c>
      <c r="BO99" s="29">
        <f>IFERROR(VLOOKUP(K99,'Standard AB - 17 Tugs, 8 SuGs'!$AB$3:$AK$55,$BJ99,FALSE),0)</f>
        <v>0</v>
      </c>
      <c r="BP99" s="29">
        <f>IFERROR(VLOOKUP(L99,'Standard AB - 17 Tugs, 8 SuGs'!$AB$3:$AK$55,$BJ99,FALSE),0)</f>
        <v>0</v>
      </c>
      <c r="BQ99" s="29">
        <f>IFERROR(VLOOKUP(M99,'Standard AB - 17 Tugs, 8 SuGs'!$AB$3:$AK$55,$BJ99,FALSE),0)</f>
        <v>0</v>
      </c>
      <c r="BR99" s="29">
        <f>IFERROR(VLOOKUP(N99,'Standard AB - 17 Tugs, 8 SuGs'!$AB$3:$AK$55,$BJ99,FALSE),0)</f>
        <v>0</v>
      </c>
      <c r="BS99" s="29">
        <f t="shared" si="3"/>
        <v>80</v>
      </c>
      <c r="BT99" s="29"/>
      <c r="BU99" s="31">
        <f>VLOOKUP(E99,'Standard AB - 17 Tugs, 8 SuGs'!$M$2:$N$5,2,0)</f>
        <v>1</v>
      </c>
      <c r="BV99" s="31">
        <f>VLOOKUP(F99,'Standard AB - 17 Tugs, 8 SuGs'!$M$14:$N$19,2,0)</f>
        <v>1</v>
      </c>
      <c r="BW99" s="29">
        <f>IF(BM99=0,1,VLOOKUP(H99,'Standard AB - 17 Tugs, 8 SuGs'!$M$8:$N$12,2,FALSE))</f>
        <v>1</v>
      </c>
      <c r="BX99" s="32">
        <f t="shared" si="15"/>
        <v>80</v>
      </c>
      <c r="BY99" s="32"/>
      <c r="BZ99" s="32"/>
      <c r="CA99" s="32"/>
      <c r="CB99" s="32"/>
      <c r="CC99" s="33"/>
      <c r="CD99" s="29">
        <f t="shared" si="4"/>
        <v>1</v>
      </c>
      <c r="CE99" s="29">
        <f t="shared" si="5"/>
        <v>0</v>
      </c>
      <c r="CF99" s="29">
        <f t="shared" si="6"/>
        <v>1</v>
      </c>
      <c r="CG99" s="29">
        <f t="shared" si="7"/>
        <v>0</v>
      </c>
      <c r="CH99" s="29">
        <f t="shared" si="8"/>
        <v>0</v>
      </c>
      <c r="CI99" s="29">
        <f t="shared" si="9"/>
        <v>0</v>
      </c>
      <c r="CJ99" s="34"/>
      <c r="CK99" s="35">
        <f t="shared" si="10"/>
        <v>0</v>
      </c>
      <c r="CL99" s="29">
        <f t="shared" si="11"/>
        <v>0</v>
      </c>
      <c r="CM99" s="29">
        <f t="shared" si="12"/>
        <v>0</v>
      </c>
      <c r="CN99" s="29">
        <f t="shared" si="13"/>
        <v>0</v>
      </c>
      <c r="CO99" s="33"/>
      <c r="CP99" s="33"/>
    </row>
    <row r="100" spans="1:94" ht="17.100000000000001" customHeight="1" thickBot="1">
      <c r="A100" s="281" t="s">
        <v>198</v>
      </c>
      <c r="B100" s="282"/>
      <c r="C100" s="282"/>
      <c r="D100" s="282"/>
      <c r="E100" s="282"/>
      <c r="F100" s="282"/>
      <c r="G100" s="282"/>
      <c r="H100" s="282"/>
      <c r="I100" s="282"/>
      <c r="J100" s="282"/>
      <c r="K100" s="282"/>
      <c r="L100" s="282"/>
      <c r="M100" s="282"/>
      <c r="N100" s="282"/>
      <c r="O100" s="282"/>
      <c r="P100" s="282"/>
      <c r="Q100" s="282"/>
      <c r="R100" s="283"/>
      <c r="U100" s="4"/>
      <c r="AD100" s="27"/>
      <c r="AE100" s="27"/>
      <c r="AF100" s="27"/>
      <c r="BI100" s="4" t="s">
        <v>198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55"/>
      <c r="CK100" s="35"/>
      <c r="CL100" s="4"/>
      <c r="CM100" s="4"/>
      <c r="CN100" s="4"/>
      <c r="CO100" s="33"/>
      <c r="CP100" s="33"/>
    </row>
    <row r="101" spans="1:94" ht="17.100000000000001" customHeight="1">
      <c r="A101" s="118"/>
      <c r="B101" s="119"/>
      <c r="C101" s="86"/>
      <c r="D101" s="87"/>
      <c r="E101" s="87"/>
      <c r="F101" s="87" t="s">
        <v>51</v>
      </c>
      <c r="G101" s="87" t="s">
        <v>50</v>
      </c>
      <c r="H101" s="88" t="s">
        <v>50</v>
      </c>
      <c r="I101" s="88" t="s">
        <v>50</v>
      </c>
      <c r="J101" s="87" t="s">
        <v>169</v>
      </c>
      <c r="K101" s="87" t="s">
        <v>50</v>
      </c>
      <c r="L101" s="87" t="s">
        <v>50</v>
      </c>
      <c r="M101" s="87" t="s">
        <v>50</v>
      </c>
      <c r="N101" s="87" t="s">
        <v>50</v>
      </c>
      <c r="O101" s="87"/>
      <c r="P101" s="24">
        <f>IFERROR(IF(A101&gt;0,BX101,0),0)</f>
        <v>0</v>
      </c>
      <c r="Q101" s="25">
        <f t="shared" si="14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AB - 17 Tugs, 8 SuGs'!$B$13:$C$21,2,FALSE)</f>
        <v>#N/A</v>
      </c>
      <c r="BK101" s="29" t="e">
        <f>VLOOKUP(D101,'Standard AB - 17 Tugs, 8 SuGs'!$B$2:$K$11,'Standard AB - 17 Tugs, 8 SuGs'!BJ101,FALSE)</f>
        <v>#N/A</v>
      </c>
      <c r="BL101" s="29" t="e">
        <f>VLOOKUP(G101,'Standard AB - 17 Tugs, 8 SuGs'!$R$3:$Z$21,BJ101,FALSE)</f>
        <v>#REF!</v>
      </c>
      <c r="BM101" s="30" t="e">
        <f>VLOOKUP(I101,'Standard AB - 17 Tugs, 8 SuGs'!$R$12:$Z$21,BJ101,FALSE)</f>
        <v>#REF!</v>
      </c>
      <c r="BN101" s="29">
        <f>IFERROR(VLOOKUP(J101,'Standard AB - 17 Tugs, 8 SuGs'!$AB$3:$AK$55,$BJ101,FALSE),0)</f>
        <v>0</v>
      </c>
      <c r="BO101" s="29">
        <f>IFERROR(VLOOKUP(K101,'Standard AB - 17 Tugs, 8 SuGs'!$AB$3:$AK$55,$BJ101,FALSE),0)</f>
        <v>0</v>
      </c>
      <c r="BP101" s="29">
        <f>IFERROR(VLOOKUP(L101,'Standard AB - 17 Tugs, 8 SuGs'!$AB$3:$AK$55,$BJ101,FALSE),0)</f>
        <v>0</v>
      </c>
      <c r="BQ101" s="29">
        <f>IFERROR(VLOOKUP(M101,'Standard AB - 17 Tugs, 8 SuGs'!$AB$3:$AK$55,$BJ101,FALSE),0)</f>
        <v>0</v>
      </c>
      <c r="BR101" s="29">
        <f>IFERROR(VLOOKUP(N101,'Standard AB - 17 Tugs, 8 SuGs'!$AB$3:$AK$55,$BJ101,FALSE),0)</f>
        <v>0</v>
      </c>
      <c r="BS101" s="29" t="e">
        <f t="shared" ref="BS101:BS118" si="17">SUM(BK101:BR101)-BM101</f>
        <v>#N/A</v>
      </c>
      <c r="BT101" s="29"/>
      <c r="BU101" s="31" t="e">
        <f>VLOOKUP(E101,'Standard AB - 17 Tugs, 8 SuGs'!$M$2:$N$5,2,0)</f>
        <v>#N/A</v>
      </c>
      <c r="BV101" s="31">
        <f>VLOOKUP(F101,'Standard AB - 17 Tugs, 8 SuGs'!$M$14:$N$16,2,0)</f>
        <v>1</v>
      </c>
      <c r="BW101" s="29" t="e">
        <f>IF(BM101=0,1,VLOOKUP(H101,'Standard AB - 17 Tugs, 8 SuGs'!$M$8:$N$12,2,FALSE))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>
        <f>IF(C101="light chariots",1,0)</f>
        <v>0</v>
      </c>
      <c r="CH101" s="29">
        <f>IF(C101="CAMELRY",1,0)</f>
        <v>0</v>
      </c>
      <c r="CI101" s="29">
        <f>IF(D101="Skirmisher",1,0)</f>
        <v>0</v>
      </c>
      <c r="CJ101" s="34"/>
      <c r="CK101" s="35">
        <v>0</v>
      </c>
      <c r="CL101" s="29">
        <v>0</v>
      </c>
      <c r="CM101" s="29">
        <v>0</v>
      </c>
      <c r="CN101" s="29">
        <v>0</v>
      </c>
      <c r="CO101" s="33"/>
      <c r="CP101" s="33"/>
    </row>
    <row r="102" spans="1:94" ht="17.100000000000001" customHeight="1" thickBot="1">
      <c r="A102" s="281" t="s">
        <v>144</v>
      </c>
      <c r="B102" s="282"/>
      <c r="C102" s="282"/>
      <c r="D102" s="282"/>
      <c r="E102" s="282"/>
      <c r="F102" s="282"/>
      <c r="G102" s="282"/>
      <c r="H102" s="282"/>
      <c r="I102" s="282"/>
      <c r="J102" s="282"/>
      <c r="K102" s="282"/>
      <c r="L102" s="282"/>
      <c r="M102" s="282"/>
      <c r="N102" s="282"/>
      <c r="O102" s="282"/>
      <c r="P102" s="282"/>
      <c r="Q102" s="282"/>
      <c r="R102" s="283"/>
      <c r="U102" s="4"/>
      <c r="AD102" s="27"/>
      <c r="AE102" s="27"/>
      <c r="AF102" s="27"/>
      <c r="BI102" s="4" t="s">
        <v>182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55"/>
      <c r="CK102" s="35"/>
      <c r="CL102" s="4"/>
      <c r="CM102" s="4"/>
      <c r="CN102" s="4"/>
      <c r="CO102" s="33"/>
      <c r="CP102" s="33"/>
    </row>
    <row r="103" spans="1:94" ht="17.100000000000001" customHeight="1" thickBot="1">
      <c r="A103" s="118">
        <v>1</v>
      </c>
      <c r="B103" s="119" t="s">
        <v>304</v>
      </c>
      <c r="C103" s="86" t="s">
        <v>43</v>
      </c>
      <c r="D103" s="88" t="s">
        <v>37</v>
      </c>
      <c r="E103" s="87" t="s">
        <v>10</v>
      </c>
      <c r="F103" s="87" t="s">
        <v>108</v>
      </c>
      <c r="G103" s="87" t="s">
        <v>54</v>
      </c>
      <c r="H103" s="87" t="s">
        <v>118</v>
      </c>
      <c r="I103" s="87" t="s">
        <v>62</v>
      </c>
      <c r="J103" s="87" t="s">
        <v>50</v>
      </c>
      <c r="K103" s="87" t="s">
        <v>50</v>
      </c>
      <c r="L103" s="87" t="s">
        <v>50</v>
      </c>
      <c r="M103" s="87" t="s">
        <v>50</v>
      </c>
      <c r="N103" s="87" t="s">
        <v>50</v>
      </c>
      <c r="O103" s="87">
        <v>6</v>
      </c>
      <c r="P103" s="24">
        <f t="shared" ref="P103:P118" si="18">IFERROR(IF(A103&gt;0,BX103,0),0)</f>
        <v>51</v>
      </c>
      <c r="Q103" s="25">
        <f t="shared" si="14"/>
        <v>306</v>
      </c>
      <c r="R103" s="26">
        <f t="shared" ref="R103:R118" si="19">IF(O103=0,0,IF(D103="Skirmisher",INT(2*O103/3)/2+0.5,O103/2+0.5))</f>
        <v>2.5</v>
      </c>
      <c r="U103" s="4"/>
      <c r="BI103" s="28" t="str">
        <f t="shared" ref="BI103:BI118" si="20">B103</f>
        <v>Andalusian Cavalry</v>
      </c>
      <c r="BJ103" s="29">
        <f>VLOOKUP(C103,'Standard AB - 17 Tugs, 8 SuGs'!$B$13:$C$21,2,FALSE)</f>
        <v>3</v>
      </c>
      <c r="BK103" s="29">
        <f>VLOOKUP(D103,'Standard AB - 17 Tugs, 8 SuGs'!$B$2:$K$12,'Standard AB - 17 Tugs, 8 SuGs'!BJ103,FALSE)</f>
        <v>40</v>
      </c>
      <c r="BL103" s="29">
        <f>VLOOKUP(G103,'Standard AB - 17 Tugs, 8 SuGs'!$R$29:$Z$47,$BJ103,FALSE)</f>
        <v>6</v>
      </c>
      <c r="BM103" s="29">
        <f>VLOOKUP(I103,'Standard AB - 17 Tugs, 8 SuGs'!$R$29:$Z$47,$BJ103,FALSE)</f>
        <v>15</v>
      </c>
      <c r="BN103" s="29">
        <f>IFERROR(VLOOKUP(J103,'Standard AB - 17 Tugs, 8 SuGs'!$AB$28:$AK$48,$BJ103,FALSE),0)</f>
        <v>0</v>
      </c>
      <c r="BO103" s="29">
        <f>IFERROR(VLOOKUP(K103,'Standard AB - 17 Tugs, 8 SuGs'!$AB$28:$AK$48,$BJ103,FALSE),0)</f>
        <v>0</v>
      </c>
      <c r="BP103" s="29">
        <f>IFERROR(VLOOKUP(L103,'Standard AB - 17 Tugs, 8 SuGs'!$AB$28:$AK$48,$BJ103,FALSE),0)</f>
        <v>0</v>
      </c>
      <c r="BQ103" s="29">
        <f>IFERROR(VLOOKUP(M103,'Standard AB - 17 Tugs, 8 SuGs'!$AB$28:$AK$48,$BJ103,FALSE),0)</f>
        <v>0</v>
      </c>
      <c r="BR103" s="29">
        <f>IFERROR(VLOOKUP(N103,'Standard AB - 17 Tugs, 8 SuGs'!$AB$28:$AK$48,$BJ103,FALSE),0)</f>
        <v>0</v>
      </c>
      <c r="BS103" s="29">
        <f t="shared" si="17"/>
        <v>46</v>
      </c>
      <c r="BT103" s="29"/>
      <c r="BU103" s="31">
        <f>VLOOKUP(E103,'Standard AB - 17 Tugs, 8 SuGs'!$M$2:$N$5,2,0)</f>
        <v>1</v>
      </c>
      <c r="BV103" s="31">
        <f>VLOOKUP(F103,'Standard AB - 17 Tugs, 8 SuGs'!$M$14:$O$16,3,0)</f>
        <v>0.8</v>
      </c>
      <c r="BW103" s="29">
        <f>IF(BM103=0,1,VLOOKUP(H103,'Standard AB - 17 Tugs, 8 SuGs'!$M$8:$O$12,3,FALSE))</f>
        <v>1</v>
      </c>
      <c r="BX103" s="32">
        <f>INT(BS103*BU103*BV103+BM103*BW103)</f>
        <v>51</v>
      </c>
      <c r="BY103" s="32"/>
      <c r="BZ103" s="32"/>
      <c r="CA103" s="32"/>
      <c r="CB103" s="32"/>
      <c r="CC103" s="33"/>
      <c r="CD103" s="29">
        <f t="shared" ref="CD103:CD118" si="21">IF(C103="CAVALRY",1,0)</f>
        <v>1</v>
      </c>
      <c r="CE103" s="29"/>
      <c r="CF103" s="34"/>
      <c r="CG103" s="29">
        <f t="shared" ref="CG103:CG118" si="22">IF(C103="light chariots",1,0)</f>
        <v>0</v>
      </c>
      <c r="CH103" s="29">
        <f t="shared" ref="CH103:CH118" si="23">IF(C103="CAMELRY",1,0)</f>
        <v>0</v>
      </c>
      <c r="CI103" s="29">
        <f t="shared" ref="CI103:CI118" si="24">IF(D103="Skirmisher",1,0)</f>
        <v>1</v>
      </c>
      <c r="CJ103" s="34"/>
      <c r="CK103" s="35">
        <f t="shared" ref="CK103:CK118" si="25">IF(A103&gt;0,1,0)</f>
        <v>1</v>
      </c>
      <c r="CL103" s="29">
        <f t="shared" ref="CL103:CL118" si="26">O103*CI103*(CD103+CG103+CH103)*CK103</f>
        <v>6</v>
      </c>
      <c r="CM103" s="29">
        <f t="shared" ref="CM103:CM118" si="27">(O103*(CD103+CG103+CH103)-CL103)*CK103</f>
        <v>0</v>
      </c>
      <c r="CN103" s="29">
        <f t="shared" ref="CN103:CN118" si="28">IF(C103="artillery",0,(O103*CI103-CL103)*CK103)</f>
        <v>0</v>
      </c>
      <c r="CO103" s="33"/>
      <c r="CP103" s="33"/>
    </row>
    <row r="104" spans="1:94" ht="17.100000000000001" customHeight="1" thickBot="1">
      <c r="A104" s="118">
        <v>2</v>
      </c>
      <c r="B104" s="119" t="s">
        <v>304</v>
      </c>
      <c r="C104" s="86" t="s">
        <v>43</v>
      </c>
      <c r="D104" s="88" t="s">
        <v>37</v>
      </c>
      <c r="E104" s="87" t="s">
        <v>10</v>
      </c>
      <c r="F104" s="87" t="s">
        <v>108</v>
      </c>
      <c r="G104" s="87" t="s">
        <v>54</v>
      </c>
      <c r="H104" s="87" t="s">
        <v>118</v>
      </c>
      <c r="I104" s="87" t="s">
        <v>62</v>
      </c>
      <c r="J104" s="87" t="s">
        <v>50</v>
      </c>
      <c r="K104" s="87" t="s">
        <v>50</v>
      </c>
      <c r="L104" s="87" t="s">
        <v>50</v>
      </c>
      <c r="M104" s="87" t="s">
        <v>50</v>
      </c>
      <c r="N104" s="87" t="s">
        <v>50</v>
      </c>
      <c r="O104" s="87">
        <v>6</v>
      </c>
      <c r="P104" s="24">
        <f t="shared" si="18"/>
        <v>51</v>
      </c>
      <c r="Q104" s="25">
        <f t="shared" si="14"/>
        <v>306</v>
      </c>
      <c r="R104" s="26">
        <f t="shared" si="19"/>
        <v>2.5</v>
      </c>
      <c r="U104" s="4"/>
      <c r="BI104" s="28" t="str">
        <f t="shared" si="20"/>
        <v>Andalusian Cavalry</v>
      </c>
      <c r="BJ104" s="29">
        <f>VLOOKUP(C104,'Standard AB - 17 Tugs, 8 SuGs'!$B$13:$C$21,2,FALSE)</f>
        <v>3</v>
      </c>
      <c r="BK104" s="29">
        <f>VLOOKUP(D104,'Standard AB - 17 Tugs, 8 SuGs'!$B$2:$K$12,'Standard AB - 17 Tugs, 8 SuGs'!BJ104,FALSE)</f>
        <v>40</v>
      </c>
      <c r="BL104" s="29">
        <f>VLOOKUP(G104,'Standard AB - 17 Tugs, 8 SuGs'!$R$29:$Z$47,$BJ104,FALSE)</f>
        <v>6</v>
      </c>
      <c r="BM104" s="29">
        <f>VLOOKUP(I104,'Standard AB - 17 Tugs, 8 SuGs'!$R$29:$Z$47,$BJ104,FALSE)</f>
        <v>15</v>
      </c>
      <c r="BN104" s="29">
        <f>IFERROR(VLOOKUP(J104,'Standard AB - 17 Tugs, 8 SuGs'!$AB$28:$AK$48,$BJ104,FALSE),0)</f>
        <v>0</v>
      </c>
      <c r="BO104" s="29">
        <f>IFERROR(VLOOKUP(K104,'Standard AB - 17 Tugs, 8 SuGs'!$AB$28:$AK$48,$BJ104,FALSE),0)</f>
        <v>0</v>
      </c>
      <c r="BP104" s="29">
        <f>IFERROR(VLOOKUP(L104,'Standard AB - 17 Tugs, 8 SuGs'!$AB$28:$AK$48,$BJ104,FALSE),0)</f>
        <v>0</v>
      </c>
      <c r="BQ104" s="29">
        <f>IFERROR(VLOOKUP(M104,'Standard AB - 17 Tugs, 8 SuGs'!$AB$28:$AK$48,$BJ104,FALSE),0)</f>
        <v>0</v>
      </c>
      <c r="BR104" s="29">
        <f>IFERROR(VLOOKUP(N104,'Standard AB - 17 Tugs, 8 SuGs'!$AB$28:$AK$48,$BJ104,FALSE),0)</f>
        <v>0</v>
      </c>
      <c r="BS104" s="29">
        <f t="shared" si="17"/>
        <v>46</v>
      </c>
      <c r="BT104" s="29"/>
      <c r="BU104" s="31">
        <f>VLOOKUP(E104,'Standard AB - 17 Tugs, 8 SuGs'!$M$2:$N$5,2,0)</f>
        <v>1</v>
      </c>
      <c r="BV104" s="31">
        <f>VLOOKUP(F104,'Standard AB - 17 Tugs, 8 SuGs'!$M$14:$O$16,3,0)</f>
        <v>0.8</v>
      </c>
      <c r="BW104" s="29">
        <f>IF(BM104=0,1,VLOOKUP(H104,'Standard AB - 17 Tugs, 8 SuGs'!$M$8:$O$12,3,FALSE))</f>
        <v>1</v>
      </c>
      <c r="BX104" s="32">
        <f t="shared" ref="BX104:BX118" si="29">INT(BS104*BU104*BV104+BM104*BW104)</f>
        <v>51</v>
      </c>
      <c r="BY104" s="32"/>
      <c r="BZ104" s="32"/>
      <c r="CA104" s="32"/>
      <c r="CB104" s="32"/>
      <c r="CC104" s="33"/>
      <c r="CD104" s="29">
        <f t="shared" si="21"/>
        <v>1</v>
      </c>
      <c r="CE104" s="29"/>
      <c r="CF104" s="34"/>
      <c r="CG104" s="29">
        <f t="shared" si="22"/>
        <v>0</v>
      </c>
      <c r="CH104" s="29">
        <f t="shared" si="23"/>
        <v>0</v>
      </c>
      <c r="CI104" s="29">
        <f t="shared" si="24"/>
        <v>1</v>
      </c>
      <c r="CJ104" s="34"/>
      <c r="CK104" s="35">
        <f t="shared" si="25"/>
        <v>1</v>
      </c>
      <c r="CL104" s="29">
        <f t="shared" si="26"/>
        <v>6</v>
      </c>
      <c r="CM104" s="29">
        <f t="shared" si="27"/>
        <v>0</v>
      </c>
      <c r="CN104" s="29">
        <f t="shared" si="28"/>
        <v>0</v>
      </c>
      <c r="CO104" s="33"/>
      <c r="CP104" s="33"/>
    </row>
    <row r="105" spans="1:94" ht="17.100000000000001" customHeight="1" thickBot="1">
      <c r="A105" s="118">
        <v>3</v>
      </c>
      <c r="B105" s="119" t="s">
        <v>304</v>
      </c>
      <c r="C105" s="86" t="s">
        <v>43</v>
      </c>
      <c r="D105" s="88" t="s">
        <v>37</v>
      </c>
      <c r="E105" s="87" t="s">
        <v>10</v>
      </c>
      <c r="F105" s="87" t="s">
        <v>108</v>
      </c>
      <c r="G105" s="87" t="s">
        <v>54</v>
      </c>
      <c r="H105" s="87" t="s">
        <v>118</v>
      </c>
      <c r="I105" s="87" t="s">
        <v>62</v>
      </c>
      <c r="J105" s="87" t="s">
        <v>55</v>
      </c>
      <c r="K105" s="87" t="s">
        <v>50</v>
      </c>
      <c r="L105" s="87" t="s">
        <v>50</v>
      </c>
      <c r="M105" s="87" t="s">
        <v>50</v>
      </c>
      <c r="N105" s="87" t="s">
        <v>50</v>
      </c>
      <c r="O105" s="87">
        <v>0</v>
      </c>
      <c r="P105" s="24">
        <f t="shared" si="18"/>
        <v>43</v>
      </c>
      <c r="Q105" s="25">
        <f t="shared" si="14"/>
        <v>0</v>
      </c>
      <c r="R105" s="26">
        <f t="shared" si="19"/>
        <v>0</v>
      </c>
      <c r="U105" s="4"/>
      <c r="BI105" s="28" t="str">
        <f t="shared" si="20"/>
        <v>Andalusian Cavalry</v>
      </c>
      <c r="BJ105" s="29">
        <f>VLOOKUP(C105,'Standard AB - 17 Tugs, 8 SuGs'!$B$13:$C$21,2,FALSE)</f>
        <v>3</v>
      </c>
      <c r="BK105" s="29">
        <f>VLOOKUP(D105,'Standard AB - 17 Tugs, 8 SuGs'!$B$2:$K$12,'Standard AB - 17 Tugs, 8 SuGs'!BJ105,FALSE)</f>
        <v>40</v>
      </c>
      <c r="BL105" s="29">
        <f>VLOOKUP(G105,'Standard AB - 17 Tugs, 8 SuGs'!$R$29:$Z$47,$BJ105,FALSE)</f>
        <v>6</v>
      </c>
      <c r="BM105" s="29">
        <f>VLOOKUP(I105,'Standard AB - 17 Tugs, 8 SuGs'!$R$29:$Z$47,$BJ105,FALSE)</f>
        <v>15</v>
      </c>
      <c r="BN105" s="29">
        <f>IFERROR(VLOOKUP(J105,'Standard AB - 17 Tugs, 8 SuGs'!$AB$28:$AK$48,$BJ105,FALSE),0)</f>
        <v>-10</v>
      </c>
      <c r="BO105" s="29">
        <f>IFERROR(VLOOKUP(K105,'Standard AB - 17 Tugs, 8 SuGs'!$AB$28:$AK$48,$BJ105,FALSE),0)</f>
        <v>0</v>
      </c>
      <c r="BP105" s="29">
        <f>IFERROR(VLOOKUP(L105,'Standard AB - 17 Tugs, 8 SuGs'!$AB$28:$AK$48,$BJ105,FALSE),0)</f>
        <v>0</v>
      </c>
      <c r="BQ105" s="29">
        <f>IFERROR(VLOOKUP(M105,'Standard AB - 17 Tugs, 8 SuGs'!$AB$28:$AK$48,$BJ105,FALSE),0)</f>
        <v>0</v>
      </c>
      <c r="BR105" s="29">
        <f>IFERROR(VLOOKUP(N105,'Standard AB - 17 Tugs, 8 SuGs'!$AB$28:$AK$48,$BJ105,FALSE),0)</f>
        <v>0</v>
      </c>
      <c r="BS105" s="29">
        <f t="shared" si="17"/>
        <v>36</v>
      </c>
      <c r="BT105" s="29"/>
      <c r="BU105" s="31">
        <f>VLOOKUP(E105,'Standard AB - 17 Tugs, 8 SuGs'!$M$2:$N$5,2,0)</f>
        <v>1</v>
      </c>
      <c r="BV105" s="31">
        <f>VLOOKUP(F105,'Standard AB - 17 Tugs, 8 SuGs'!$M$14:$O$16,3,0)</f>
        <v>0.8</v>
      </c>
      <c r="BW105" s="29">
        <f>IF(BM105=0,1,VLOOKUP(H105,'Standard AB - 17 Tugs, 8 SuGs'!$M$8:$O$12,3,FALSE))</f>
        <v>1</v>
      </c>
      <c r="BX105" s="32">
        <f t="shared" si="29"/>
        <v>43</v>
      </c>
      <c r="BY105" s="32"/>
      <c r="BZ105" s="32"/>
      <c r="CA105" s="32"/>
      <c r="CB105" s="32"/>
      <c r="CC105" s="33"/>
      <c r="CD105" s="29">
        <f t="shared" si="21"/>
        <v>1</v>
      </c>
      <c r="CE105" s="29"/>
      <c r="CF105" s="34"/>
      <c r="CG105" s="29">
        <f t="shared" si="22"/>
        <v>0</v>
      </c>
      <c r="CH105" s="29">
        <f t="shared" si="23"/>
        <v>0</v>
      </c>
      <c r="CI105" s="29">
        <f t="shared" si="24"/>
        <v>1</v>
      </c>
      <c r="CJ105" s="34"/>
      <c r="CK105" s="35">
        <f t="shared" si="25"/>
        <v>1</v>
      </c>
      <c r="CL105" s="29">
        <f t="shared" si="26"/>
        <v>0</v>
      </c>
      <c r="CM105" s="29">
        <f t="shared" si="27"/>
        <v>0</v>
      </c>
      <c r="CN105" s="29">
        <f t="shared" si="28"/>
        <v>0</v>
      </c>
      <c r="CO105" s="33"/>
      <c r="CP105" s="33"/>
    </row>
    <row r="106" spans="1:94" ht="17.100000000000001" customHeight="1" thickBot="1">
      <c r="A106" s="118"/>
      <c r="B106" s="119"/>
      <c r="C106" s="86" t="s">
        <v>40</v>
      </c>
      <c r="D106" s="88" t="s">
        <v>37</v>
      </c>
      <c r="E106" s="87" t="s">
        <v>10</v>
      </c>
      <c r="F106" s="87" t="s">
        <v>108</v>
      </c>
      <c r="G106" s="87" t="s">
        <v>50</v>
      </c>
      <c r="H106" s="87" t="s">
        <v>118</v>
      </c>
      <c r="I106" s="87" t="s">
        <v>59</v>
      </c>
      <c r="J106" s="87" t="s">
        <v>50</v>
      </c>
      <c r="K106" s="87" t="s">
        <v>50</v>
      </c>
      <c r="L106" s="87" t="s">
        <v>50</v>
      </c>
      <c r="M106" s="87" t="s">
        <v>50</v>
      </c>
      <c r="N106" s="87" t="s">
        <v>50</v>
      </c>
      <c r="O106" s="87"/>
      <c r="P106" s="24">
        <f t="shared" si="18"/>
        <v>0</v>
      </c>
      <c r="Q106" s="25">
        <f t="shared" si="14"/>
        <v>0</v>
      </c>
      <c r="R106" s="26">
        <f t="shared" si="19"/>
        <v>0</v>
      </c>
      <c r="U106" s="4"/>
      <c r="BI106" s="28">
        <f t="shared" si="20"/>
        <v>0</v>
      </c>
      <c r="BJ106" s="29">
        <f>VLOOKUP(C106,'Standard AB - 17 Tugs, 8 SuGs'!$B$13:$C$21,2,FALSE)</f>
        <v>2</v>
      </c>
      <c r="BK106" s="29">
        <f>VLOOKUP(D106,'Standard AB - 17 Tugs, 8 SuGs'!$B$2:$K$12,'Standard AB - 17 Tugs, 8 SuGs'!BJ106,FALSE)</f>
        <v>30</v>
      </c>
      <c r="BL106" s="29">
        <f>VLOOKUP(G106,'Standard AB - 17 Tugs, 8 SuGs'!$R$29:$Z$47,$BJ106,FALSE)</f>
        <v>0</v>
      </c>
      <c r="BM106" s="29">
        <f>VLOOKUP(I106,'Standard AB - 17 Tugs, 8 SuGs'!$R$29:$Z$47,$BJ106,FALSE)</f>
        <v>20</v>
      </c>
      <c r="BN106" s="29">
        <f>IFERROR(VLOOKUP(J106,'Standard AB - 17 Tugs, 8 SuGs'!$AB$28:$AK$48,$BJ106,FALSE),0)</f>
        <v>0</v>
      </c>
      <c r="BO106" s="29">
        <f>IFERROR(VLOOKUP(K106,'Standard AB - 17 Tugs, 8 SuGs'!$AB$28:$AK$48,$BJ106,FALSE),0)</f>
        <v>0</v>
      </c>
      <c r="BP106" s="29">
        <f>IFERROR(VLOOKUP(L106,'Standard AB - 17 Tugs, 8 SuGs'!$AB$28:$AK$48,$BJ106,FALSE),0)</f>
        <v>0</v>
      </c>
      <c r="BQ106" s="29">
        <f>IFERROR(VLOOKUP(M106,'Standard AB - 17 Tugs, 8 SuGs'!$AB$28:$AK$48,$BJ106,FALSE),0)</f>
        <v>0</v>
      </c>
      <c r="BR106" s="29">
        <f>IFERROR(VLOOKUP(N106,'Standard AB - 17 Tugs, 8 SuGs'!$AB$28:$AK$48,$BJ106,FALSE),0)</f>
        <v>0</v>
      </c>
      <c r="BS106" s="29">
        <f t="shared" ref="BS106:BS111" si="30">SUM(BK106:BR106)-BM106</f>
        <v>30</v>
      </c>
      <c r="BT106" s="29"/>
      <c r="BU106" s="31">
        <f>VLOOKUP(E106,'Standard AB - 17 Tugs, 8 SuGs'!$M$2:$N$5,2,0)</f>
        <v>1</v>
      </c>
      <c r="BV106" s="31">
        <f>VLOOKUP(F106,'Standard AB - 17 Tugs, 8 SuGs'!$M$14:$O$16,3,0)</f>
        <v>0.8</v>
      </c>
      <c r="BW106" s="29">
        <f>IF(BM106=0,1,VLOOKUP(H106,'Standard AB - 17 Tugs, 8 SuGs'!$M$8:$O$12,3,FALSE))</f>
        <v>1</v>
      </c>
      <c r="BX106" s="32">
        <f t="shared" si="29"/>
        <v>44</v>
      </c>
      <c r="BY106" s="32"/>
      <c r="BZ106" s="32"/>
      <c r="CA106" s="32"/>
      <c r="CB106" s="32"/>
      <c r="CC106" s="33"/>
      <c r="CD106" s="29">
        <f t="shared" si="21"/>
        <v>0</v>
      </c>
      <c r="CE106" s="29"/>
      <c r="CF106" s="34"/>
      <c r="CG106" s="29">
        <f t="shared" si="22"/>
        <v>0</v>
      </c>
      <c r="CH106" s="29">
        <f t="shared" si="23"/>
        <v>0</v>
      </c>
      <c r="CI106" s="29">
        <f t="shared" si="24"/>
        <v>1</v>
      </c>
      <c r="CJ106" s="34"/>
      <c r="CK106" s="35">
        <f t="shared" si="25"/>
        <v>0</v>
      </c>
      <c r="CL106" s="29">
        <f t="shared" si="26"/>
        <v>0</v>
      </c>
      <c r="CM106" s="29">
        <f t="shared" si="27"/>
        <v>0</v>
      </c>
      <c r="CN106" s="29">
        <f t="shared" si="28"/>
        <v>0</v>
      </c>
      <c r="CO106" s="33"/>
      <c r="CP106" s="33"/>
    </row>
    <row r="107" spans="1:94" ht="17.100000000000001" customHeight="1" thickBot="1">
      <c r="A107" s="118"/>
      <c r="B107" s="119"/>
      <c r="C107" s="86" t="s">
        <v>40</v>
      </c>
      <c r="D107" s="88" t="s">
        <v>37</v>
      </c>
      <c r="E107" s="87" t="s">
        <v>10</v>
      </c>
      <c r="F107" s="87" t="s">
        <v>108</v>
      </c>
      <c r="G107" s="87" t="s">
        <v>50</v>
      </c>
      <c r="H107" s="87" t="s">
        <v>118</v>
      </c>
      <c r="I107" s="87" t="s">
        <v>59</v>
      </c>
      <c r="J107" s="87" t="s">
        <v>50</v>
      </c>
      <c r="K107" s="87" t="s">
        <v>50</v>
      </c>
      <c r="L107" s="87" t="s">
        <v>50</v>
      </c>
      <c r="M107" s="87" t="s">
        <v>50</v>
      </c>
      <c r="N107" s="87" t="s">
        <v>50</v>
      </c>
      <c r="O107" s="87"/>
      <c r="P107" s="24">
        <f t="shared" si="18"/>
        <v>0</v>
      </c>
      <c r="Q107" s="25">
        <f t="shared" si="14"/>
        <v>0</v>
      </c>
      <c r="R107" s="26">
        <f t="shared" si="19"/>
        <v>0</v>
      </c>
      <c r="U107" s="4"/>
      <c r="BI107" s="28">
        <f t="shared" si="20"/>
        <v>0</v>
      </c>
      <c r="BJ107" s="29">
        <f>VLOOKUP(C107,'Standard AB - 17 Tugs, 8 SuGs'!$B$13:$C$21,2,FALSE)</f>
        <v>2</v>
      </c>
      <c r="BK107" s="29">
        <f>VLOOKUP(D107,'Standard AB - 17 Tugs, 8 SuGs'!$B$2:$K$12,'Standard AB - 17 Tugs, 8 SuGs'!BJ107,FALSE)</f>
        <v>30</v>
      </c>
      <c r="BL107" s="29">
        <f>VLOOKUP(G107,'Standard AB - 17 Tugs, 8 SuGs'!$R$29:$Z$47,$BJ107,FALSE)</f>
        <v>0</v>
      </c>
      <c r="BM107" s="29">
        <f>VLOOKUP(I107,'Standard AB - 17 Tugs, 8 SuGs'!$R$29:$Z$47,$BJ107,FALSE)</f>
        <v>20</v>
      </c>
      <c r="BN107" s="29">
        <f>IFERROR(VLOOKUP(J107,'Standard AB - 17 Tugs, 8 SuGs'!$AB$28:$AK$48,$BJ107,FALSE),0)</f>
        <v>0</v>
      </c>
      <c r="BO107" s="29">
        <f>IFERROR(VLOOKUP(K107,'Standard AB - 17 Tugs, 8 SuGs'!$AB$28:$AK$48,$BJ107,FALSE),0)</f>
        <v>0</v>
      </c>
      <c r="BP107" s="29">
        <f>IFERROR(VLOOKUP(L107,'Standard AB - 17 Tugs, 8 SuGs'!$AB$28:$AK$48,$BJ107,FALSE),0)</f>
        <v>0</v>
      </c>
      <c r="BQ107" s="29">
        <f>IFERROR(VLOOKUP(M107,'Standard AB - 17 Tugs, 8 SuGs'!$AB$28:$AK$48,$BJ107,FALSE),0)</f>
        <v>0</v>
      </c>
      <c r="BR107" s="29">
        <f>IFERROR(VLOOKUP(N107,'Standard AB - 17 Tugs, 8 SuGs'!$AB$28:$AK$48,$BJ107,FALSE),0)</f>
        <v>0</v>
      </c>
      <c r="BS107" s="29">
        <f t="shared" si="30"/>
        <v>30</v>
      </c>
      <c r="BT107" s="29"/>
      <c r="BU107" s="31">
        <f>VLOOKUP(E107,'Standard AB - 17 Tugs, 8 SuGs'!$M$2:$N$5,2,0)</f>
        <v>1</v>
      </c>
      <c r="BV107" s="31">
        <f>VLOOKUP(F107,'Standard AB - 17 Tugs, 8 SuGs'!$M$14:$O$16,3,0)</f>
        <v>0.8</v>
      </c>
      <c r="BW107" s="29">
        <f>IF(BM107=0,1,VLOOKUP(H107,'Standard AB - 17 Tugs, 8 SuGs'!$M$8:$O$12,3,FALSE))</f>
        <v>1</v>
      </c>
      <c r="BX107" s="32">
        <f t="shared" si="29"/>
        <v>44</v>
      </c>
      <c r="BY107" s="32"/>
      <c r="BZ107" s="32"/>
      <c r="CA107" s="32"/>
      <c r="CB107" s="32"/>
      <c r="CC107" s="33"/>
      <c r="CD107" s="29">
        <f t="shared" si="21"/>
        <v>0</v>
      </c>
      <c r="CE107" s="29"/>
      <c r="CF107" s="34"/>
      <c r="CG107" s="29">
        <f t="shared" si="22"/>
        <v>0</v>
      </c>
      <c r="CH107" s="29">
        <f t="shared" si="23"/>
        <v>0</v>
      </c>
      <c r="CI107" s="29">
        <f t="shared" si="24"/>
        <v>1</v>
      </c>
      <c r="CJ107" s="34"/>
      <c r="CK107" s="35">
        <f t="shared" si="25"/>
        <v>0</v>
      </c>
      <c r="CL107" s="29">
        <f t="shared" si="26"/>
        <v>0</v>
      </c>
      <c r="CM107" s="29">
        <f t="shared" si="27"/>
        <v>0</v>
      </c>
      <c r="CN107" s="29">
        <f t="shared" si="28"/>
        <v>0</v>
      </c>
      <c r="CO107" s="33"/>
      <c r="CP107" s="33"/>
    </row>
    <row r="108" spans="1:94" ht="17.100000000000001" customHeight="1" thickBot="1">
      <c r="A108" s="118"/>
      <c r="B108" s="119"/>
      <c r="C108" s="86" t="s">
        <v>40</v>
      </c>
      <c r="D108" s="88" t="s">
        <v>37</v>
      </c>
      <c r="E108" s="87" t="s">
        <v>10</v>
      </c>
      <c r="F108" s="87" t="s">
        <v>108</v>
      </c>
      <c r="G108" s="87" t="s">
        <v>50</v>
      </c>
      <c r="H108" s="87" t="s">
        <v>118</v>
      </c>
      <c r="I108" s="87" t="s">
        <v>59</v>
      </c>
      <c r="J108" s="87" t="s">
        <v>50</v>
      </c>
      <c r="K108" s="87" t="s">
        <v>50</v>
      </c>
      <c r="L108" s="87" t="s">
        <v>50</v>
      </c>
      <c r="M108" s="87" t="s">
        <v>50</v>
      </c>
      <c r="N108" s="87" t="s">
        <v>50</v>
      </c>
      <c r="O108" s="87"/>
      <c r="P108" s="24">
        <f t="shared" si="18"/>
        <v>0</v>
      </c>
      <c r="Q108" s="25">
        <f t="shared" si="14"/>
        <v>0</v>
      </c>
      <c r="R108" s="26">
        <f t="shared" si="19"/>
        <v>0</v>
      </c>
      <c r="U108" s="4"/>
      <c r="BI108" s="28">
        <f t="shared" si="20"/>
        <v>0</v>
      </c>
      <c r="BJ108" s="29">
        <f>VLOOKUP(C108,'Standard AB - 17 Tugs, 8 SuGs'!$B$13:$C$21,2,FALSE)</f>
        <v>2</v>
      </c>
      <c r="BK108" s="29">
        <f>VLOOKUP(D108,'Standard AB - 17 Tugs, 8 SuGs'!$B$2:$K$12,'Standard AB - 17 Tugs, 8 SuGs'!BJ108,FALSE)</f>
        <v>30</v>
      </c>
      <c r="BL108" s="29">
        <f>VLOOKUP(G108,'Standard AB - 17 Tugs, 8 SuGs'!$R$29:$Z$47,$BJ108,FALSE)</f>
        <v>0</v>
      </c>
      <c r="BM108" s="29">
        <f>VLOOKUP(I108,'Standard AB - 17 Tugs, 8 SuGs'!$R$29:$Z$47,$BJ108,FALSE)</f>
        <v>20</v>
      </c>
      <c r="BN108" s="29">
        <f>IFERROR(VLOOKUP(J108,'Standard AB - 17 Tugs, 8 SuGs'!$AB$28:$AK$48,$BJ108,FALSE),0)</f>
        <v>0</v>
      </c>
      <c r="BO108" s="29">
        <f>IFERROR(VLOOKUP(K108,'Standard AB - 17 Tugs, 8 SuGs'!$AB$28:$AK$48,$BJ108,FALSE),0)</f>
        <v>0</v>
      </c>
      <c r="BP108" s="29">
        <f>IFERROR(VLOOKUP(L108,'Standard AB - 17 Tugs, 8 SuGs'!$AB$28:$AK$48,$BJ108,FALSE),0)</f>
        <v>0</v>
      </c>
      <c r="BQ108" s="29">
        <f>IFERROR(VLOOKUP(M108,'Standard AB - 17 Tugs, 8 SuGs'!$AB$28:$AK$48,$BJ108,FALSE),0)</f>
        <v>0</v>
      </c>
      <c r="BR108" s="29">
        <f>IFERROR(VLOOKUP(N108,'Standard AB - 17 Tugs, 8 SuGs'!$AB$28:$AK$48,$BJ108,FALSE),0)</f>
        <v>0</v>
      </c>
      <c r="BS108" s="29">
        <f t="shared" si="30"/>
        <v>30</v>
      </c>
      <c r="BT108" s="29"/>
      <c r="BU108" s="31">
        <f>VLOOKUP(E108,'Standard AB - 17 Tugs, 8 SuGs'!$M$2:$N$5,2,0)</f>
        <v>1</v>
      </c>
      <c r="BV108" s="31">
        <f>VLOOKUP(F108,'Standard AB - 17 Tugs, 8 SuGs'!$M$14:$O$16,3,0)</f>
        <v>0.8</v>
      </c>
      <c r="BW108" s="29">
        <f>IF(BM108=0,1,VLOOKUP(H108,'Standard AB - 17 Tugs, 8 SuGs'!$M$8:$O$12,3,FALSE))</f>
        <v>1</v>
      </c>
      <c r="BX108" s="32">
        <f t="shared" si="29"/>
        <v>44</v>
      </c>
      <c r="BY108" s="32"/>
      <c r="BZ108" s="32"/>
      <c r="CA108" s="32"/>
      <c r="CB108" s="32"/>
      <c r="CC108" s="33"/>
      <c r="CD108" s="29">
        <f t="shared" si="21"/>
        <v>0</v>
      </c>
      <c r="CE108" s="29"/>
      <c r="CF108" s="34"/>
      <c r="CG108" s="29">
        <f t="shared" si="22"/>
        <v>0</v>
      </c>
      <c r="CH108" s="29">
        <f t="shared" si="23"/>
        <v>0</v>
      </c>
      <c r="CI108" s="29">
        <f t="shared" si="24"/>
        <v>1</v>
      </c>
      <c r="CJ108" s="34"/>
      <c r="CK108" s="35">
        <f t="shared" si="25"/>
        <v>0</v>
      </c>
      <c r="CL108" s="29">
        <f t="shared" si="26"/>
        <v>0</v>
      </c>
      <c r="CM108" s="29">
        <f t="shared" si="27"/>
        <v>0</v>
      </c>
      <c r="CN108" s="29">
        <f t="shared" si="28"/>
        <v>0</v>
      </c>
      <c r="CO108" s="33"/>
      <c r="CP108" s="33"/>
    </row>
    <row r="109" spans="1:94" ht="17.100000000000001" customHeight="1" thickBot="1">
      <c r="A109" s="118"/>
      <c r="B109" s="119"/>
      <c r="C109" s="86" t="s">
        <v>40</v>
      </c>
      <c r="D109" s="88" t="s">
        <v>37</v>
      </c>
      <c r="E109" s="87" t="s">
        <v>10</v>
      </c>
      <c r="F109" s="87" t="s">
        <v>108</v>
      </c>
      <c r="G109" s="87" t="s">
        <v>50</v>
      </c>
      <c r="H109" s="87" t="s">
        <v>118</v>
      </c>
      <c r="I109" s="87" t="s">
        <v>59</v>
      </c>
      <c r="J109" s="87" t="s">
        <v>50</v>
      </c>
      <c r="K109" s="87" t="s">
        <v>50</v>
      </c>
      <c r="L109" s="87" t="s">
        <v>50</v>
      </c>
      <c r="M109" s="87" t="s">
        <v>50</v>
      </c>
      <c r="N109" s="87" t="s">
        <v>50</v>
      </c>
      <c r="O109" s="87"/>
      <c r="P109" s="24">
        <f t="shared" si="18"/>
        <v>0</v>
      </c>
      <c r="Q109" s="25">
        <f t="shared" si="14"/>
        <v>0</v>
      </c>
      <c r="R109" s="26">
        <f t="shared" si="19"/>
        <v>0</v>
      </c>
      <c r="U109" s="4"/>
      <c r="BI109" s="28">
        <f t="shared" si="20"/>
        <v>0</v>
      </c>
      <c r="BJ109" s="29">
        <f>VLOOKUP(C109,'Standard AB - 17 Tugs, 8 SuGs'!$B$13:$C$21,2,FALSE)</f>
        <v>2</v>
      </c>
      <c r="BK109" s="29">
        <f>VLOOKUP(D109,'Standard AB - 17 Tugs, 8 SuGs'!$B$2:$K$12,'Standard AB - 17 Tugs, 8 SuGs'!BJ109,FALSE)</f>
        <v>30</v>
      </c>
      <c r="BL109" s="29">
        <f>VLOOKUP(G109,'Standard AB - 17 Tugs, 8 SuGs'!$R$29:$Z$47,$BJ109,FALSE)</f>
        <v>0</v>
      </c>
      <c r="BM109" s="29">
        <f>VLOOKUP(I109,'Standard AB - 17 Tugs, 8 SuGs'!$R$29:$Z$47,$BJ109,FALSE)</f>
        <v>20</v>
      </c>
      <c r="BN109" s="29">
        <f>IFERROR(VLOOKUP(J109,'Standard AB - 17 Tugs, 8 SuGs'!$AB$28:$AK$48,$BJ109,FALSE),0)</f>
        <v>0</v>
      </c>
      <c r="BO109" s="29">
        <f>IFERROR(VLOOKUP(K109,'Standard AB - 17 Tugs, 8 SuGs'!$AB$28:$AK$48,$BJ109,FALSE),0)</f>
        <v>0</v>
      </c>
      <c r="BP109" s="29">
        <f>IFERROR(VLOOKUP(L109,'Standard AB - 17 Tugs, 8 SuGs'!$AB$28:$AK$48,$BJ109,FALSE),0)</f>
        <v>0</v>
      </c>
      <c r="BQ109" s="29">
        <f>IFERROR(VLOOKUP(M109,'Standard AB - 17 Tugs, 8 SuGs'!$AB$28:$AK$48,$BJ109,FALSE),0)</f>
        <v>0</v>
      </c>
      <c r="BR109" s="29">
        <f>IFERROR(VLOOKUP(N109,'Standard AB - 17 Tugs, 8 SuGs'!$AB$28:$AK$48,$BJ109,FALSE),0)</f>
        <v>0</v>
      </c>
      <c r="BS109" s="29">
        <f t="shared" si="30"/>
        <v>30</v>
      </c>
      <c r="BT109" s="29"/>
      <c r="BU109" s="31">
        <f>VLOOKUP(E109,'Standard AB - 17 Tugs, 8 SuGs'!$M$2:$N$5,2,0)</f>
        <v>1</v>
      </c>
      <c r="BV109" s="31">
        <f>VLOOKUP(F109,'Standard AB - 17 Tugs, 8 SuGs'!$M$14:$O$16,3,0)</f>
        <v>0.8</v>
      </c>
      <c r="BW109" s="29">
        <f>IF(BM109=0,1,VLOOKUP(H109,'Standard AB - 17 Tugs, 8 SuGs'!$M$8:$O$12,3,FALSE))</f>
        <v>1</v>
      </c>
      <c r="BX109" s="32">
        <f t="shared" si="29"/>
        <v>44</v>
      </c>
      <c r="BY109" s="32"/>
      <c r="BZ109" s="32"/>
      <c r="CA109" s="32"/>
      <c r="CB109" s="32"/>
      <c r="CC109" s="33"/>
      <c r="CD109" s="29">
        <f t="shared" si="21"/>
        <v>0</v>
      </c>
      <c r="CE109" s="29"/>
      <c r="CF109" s="34"/>
      <c r="CG109" s="29">
        <f t="shared" si="22"/>
        <v>0</v>
      </c>
      <c r="CH109" s="29">
        <f t="shared" si="23"/>
        <v>0</v>
      </c>
      <c r="CI109" s="29">
        <f t="shared" si="24"/>
        <v>1</v>
      </c>
      <c r="CJ109" s="34"/>
      <c r="CK109" s="35">
        <f t="shared" si="25"/>
        <v>0</v>
      </c>
      <c r="CL109" s="29">
        <f t="shared" si="26"/>
        <v>0</v>
      </c>
      <c r="CM109" s="29">
        <f t="shared" si="27"/>
        <v>0</v>
      </c>
      <c r="CN109" s="29">
        <f t="shared" si="28"/>
        <v>0</v>
      </c>
      <c r="CO109" s="33"/>
      <c r="CP109" s="33"/>
    </row>
    <row r="110" spans="1:94" ht="17.100000000000001" customHeight="1" thickBot="1">
      <c r="A110" s="118"/>
      <c r="B110" s="119"/>
      <c r="C110" s="86" t="s">
        <v>43</v>
      </c>
      <c r="D110" s="88" t="s">
        <v>37</v>
      </c>
      <c r="E110" s="87" t="s">
        <v>10</v>
      </c>
      <c r="F110" s="87" t="s">
        <v>108</v>
      </c>
      <c r="G110" s="87" t="s">
        <v>50</v>
      </c>
      <c r="H110" s="87" t="s">
        <v>118</v>
      </c>
      <c r="I110" s="87" t="s">
        <v>59</v>
      </c>
      <c r="J110" s="87" t="s">
        <v>50</v>
      </c>
      <c r="K110" s="87" t="s">
        <v>50</v>
      </c>
      <c r="L110" s="87" t="s">
        <v>50</v>
      </c>
      <c r="M110" s="87" t="s">
        <v>50</v>
      </c>
      <c r="N110" s="87" t="s">
        <v>50</v>
      </c>
      <c r="O110" s="87"/>
      <c r="P110" s="24">
        <f t="shared" si="18"/>
        <v>0</v>
      </c>
      <c r="Q110" s="25">
        <f t="shared" si="14"/>
        <v>0</v>
      </c>
      <c r="R110" s="26">
        <f t="shared" si="19"/>
        <v>0</v>
      </c>
      <c r="U110" s="4"/>
      <c r="BI110" s="28">
        <f t="shared" si="20"/>
        <v>0</v>
      </c>
      <c r="BJ110" s="29">
        <f>VLOOKUP(C110,'Standard AB - 17 Tugs, 8 SuGs'!$B$13:$C$21,2,FALSE)</f>
        <v>3</v>
      </c>
      <c r="BK110" s="29">
        <f>VLOOKUP(D110,'Standard AB - 17 Tugs, 8 SuGs'!$B$2:$K$12,'Standard AB - 17 Tugs, 8 SuGs'!BJ110,FALSE)</f>
        <v>40</v>
      </c>
      <c r="BL110" s="29">
        <f>VLOOKUP(G110,'Standard AB - 17 Tugs, 8 SuGs'!$R$29:$Z$47,$BJ110,FALSE)</f>
        <v>0</v>
      </c>
      <c r="BM110" s="29">
        <f>VLOOKUP(I110,'Standard AB - 17 Tugs, 8 SuGs'!$R$29:$Z$47,$BJ110,FALSE)</f>
        <v>25</v>
      </c>
      <c r="BN110" s="29">
        <f>IFERROR(VLOOKUP(J110,'Standard AB - 17 Tugs, 8 SuGs'!$AB$28:$AK$48,$BJ110,FALSE),0)</f>
        <v>0</v>
      </c>
      <c r="BO110" s="29">
        <f>IFERROR(VLOOKUP(K110,'Standard AB - 17 Tugs, 8 SuGs'!$AB$28:$AK$48,$BJ110,FALSE),0)</f>
        <v>0</v>
      </c>
      <c r="BP110" s="29">
        <f>IFERROR(VLOOKUP(L110,'Standard AB - 17 Tugs, 8 SuGs'!$AB$28:$AK$48,$BJ110,FALSE),0)</f>
        <v>0</v>
      </c>
      <c r="BQ110" s="29">
        <f>IFERROR(VLOOKUP(M110,'Standard AB - 17 Tugs, 8 SuGs'!$AB$28:$AK$48,$BJ110,FALSE),0)</f>
        <v>0</v>
      </c>
      <c r="BR110" s="29">
        <f>IFERROR(VLOOKUP(N110,'Standard AB - 17 Tugs, 8 SuGs'!$AB$28:$AK$48,$BJ110,FALSE),0)</f>
        <v>0</v>
      </c>
      <c r="BS110" s="29">
        <f t="shared" si="30"/>
        <v>40</v>
      </c>
      <c r="BT110" s="29"/>
      <c r="BU110" s="31">
        <f>VLOOKUP(E110,'Standard AB - 17 Tugs, 8 SuGs'!$M$2:$N$5,2,0)</f>
        <v>1</v>
      </c>
      <c r="BV110" s="31">
        <f>VLOOKUP(F110,'Standard AB - 17 Tugs, 8 SuGs'!$M$14:$O$16,3,0)</f>
        <v>0.8</v>
      </c>
      <c r="BW110" s="29">
        <f>IF(BM110=0,1,VLOOKUP(H110,'Standard AB - 17 Tugs, 8 SuGs'!$M$8:$O$12,3,FALSE))</f>
        <v>1</v>
      </c>
      <c r="BX110" s="32">
        <f t="shared" si="29"/>
        <v>57</v>
      </c>
      <c r="BY110" s="32"/>
      <c r="BZ110" s="32"/>
      <c r="CA110" s="32"/>
      <c r="CB110" s="32"/>
      <c r="CC110" s="33"/>
      <c r="CD110" s="29">
        <f t="shared" si="21"/>
        <v>1</v>
      </c>
      <c r="CE110" s="29"/>
      <c r="CF110" s="34"/>
      <c r="CG110" s="29">
        <f t="shared" si="22"/>
        <v>0</v>
      </c>
      <c r="CH110" s="29">
        <f t="shared" si="23"/>
        <v>0</v>
      </c>
      <c r="CI110" s="29">
        <f t="shared" si="24"/>
        <v>1</v>
      </c>
      <c r="CJ110" s="34"/>
      <c r="CK110" s="35">
        <f t="shared" si="25"/>
        <v>0</v>
      </c>
      <c r="CL110" s="29">
        <f t="shared" si="26"/>
        <v>0</v>
      </c>
      <c r="CM110" s="29">
        <f t="shared" si="27"/>
        <v>0</v>
      </c>
      <c r="CN110" s="29">
        <f t="shared" si="28"/>
        <v>0</v>
      </c>
      <c r="CO110" s="33"/>
      <c r="CP110" s="33"/>
    </row>
    <row r="111" spans="1:94" ht="17.100000000000001" customHeight="1" thickBot="1">
      <c r="A111" s="118"/>
      <c r="B111" s="119"/>
      <c r="C111" s="86" t="s">
        <v>43</v>
      </c>
      <c r="D111" s="88" t="s">
        <v>37</v>
      </c>
      <c r="E111" s="87" t="s">
        <v>10</v>
      </c>
      <c r="F111" s="87" t="s">
        <v>108</v>
      </c>
      <c r="G111" s="87" t="s">
        <v>50</v>
      </c>
      <c r="H111" s="87" t="s">
        <v>118</v>
      </c>
      <c r="I111" s="87" t="s">
        <v>59</v>
      </c>
      <c r="J111" s="87" t="s">
        <v>50</v>
      </c>
      <c r="K111" s="87" t="s">
        <v>50</v>
      </c>
      <c r="L111" s="87" t="s">
        <v>50</v>
      </c>
      <c r="M111" s="87" t="s">
        <v>50</v>
      </c>
      <c r="N111" s="87" t="s">
        <v>50</v>
      </c>
      <c r="O111" s="87"/>
      <c r="P111" s="24">
        <f t="shared" si="18"/>
        <v>0</v>
      </c>
      <c r="Q111" s="25">
        <f t="shared" si="14"/>
        <v>0</v>
      </c>
      <c r="R111" s="26">
        <f t="shared" si="19"/>
        <v>0</v>
      </c>
      <c r="U111" s="4"/>
      <c r="BI111" s="28">
        <f t="shared" si="20"/>
        <v>0</v>
      </c>
      <c r="BJ111" s="29">
        <f>VLOOKUP(C111,'Standard AB - 17 Tugs, 8 SuGs'!$B$13:$C$21,2,FALSE)</f>
        <v>3</v>
      </c>
      <c r="BK111" s="29">
        <f>VLOOKUP(D111,'Standard AB - 17 Tugs, 8 SuGs'!$B$2:$K$12,'Standard AB - 17 Tugs, 8 SuGs'!BJ111,FALSE)</f>
        <v>40</v>
      </c>
      <c r="BL111" s="29">
        <f>VLOOKUP(G111,'Standard AB - 17 Tugs, 8 SuGs'!$R$29:$Z$47,$BJ111,FALSE)</f>
        <v>0</v>
      </c>
      <c r="BM111" s="29">
        <f>VLOOKUP(I111,'Standard AB - 17 Tugs, 8 SuGs'!$R$29:$Z$47,$BJ111,FALSE)</f>
        <v>25</v>
      </c>
      <c r="BN111" s="29">
        <f>IFERROR(VLOOKUP(J111,'Standard AB - 17 Tugs, 8 SuGs'!$AB$28:$AK$48,$BJ111,FALSE),0)</f>
        <v>0</v>
      </c>
      <c r="BO111" s="29">
        <f>IFERROR(VLOOKUP(K111,'Standard AB - 17 Tugs, 8 SuGs'!$AB$28:$AK$48,$BJ111,FALSE),0)</f>
        <v>0</v>
      </c>
      <c r="BP111" s="29">
        <f>IFERROR(VLOOKUP(L111,'Standard AB - 17 Tugs, 8 SuGs'!$AB$28:$AK$48,$BJ111,FALSE),0)</f>
        <v>0</v>
      </c>
      <c r="BQ111" s="29">
        <f>IFERROR(VLOOKUP(M111,'Standard AB - 17 Tugs, 8 SuGs'!$AB$28:$AK$48,$BJ111,FALSE),0)</f>
        <v>0</v>
      </c>
      <c r="BR111" s="29">
        <f>IFERROR(VLOOKUP(N111,'Standard AB - 17 Tugs, 8 SuGs'!$AB$28:$AK$48,$BJ111,FALSE),0)</f>
        <v>0</v>
      </c>
      <c r="BS111" s="29">
        <f t="shared" si="30"/>
        <v>40</v>
      </c>
      <c r="BT111" s="29"/>
      <c r="BU111" s="31">
        <f>VLOOKUP(E111,'Standard AB - 17 Tugs, 8 SuGs'!$M$2:$N$5,2,0)</f>
        <v>1</v>
      </c>
      <c r="BV111" s="31">
        <f>VLOOKUP(F111,'Standard AB - 17 Tugs, 8 SuGs'!$M$14:$O$16,3,0)</f>
        <v>0.8</v>
      </c>
      <c r="BW111" s="29">
        <f>IF(BM111=0,1,VLOOKUP(H111,'Standard AB - 17 Tugs, 8 SuGs'!$M$8:$O$12,3,FALSE))</f>
        <v>1</v>
      </c>
      <c r="BX111" s="32">
        <f t="shared" si="29"/>
        <v>57</v>
      </c>
      <c r="BY111" s="32"/>
      <c r="BZ111" s="32"/>
      <c r="CA111" s="32"/>
      <c r="CB111" s="32"/>
      <c r="CC111" s="33"/>
      <c r="CD111" s="29">
        <f t="shared" si="21"/>
        <v>1</v>
      </c>
      <c r="CE111" s="29"/>
      <c r="CF111" s="34"/>
      <c r="CG111" s="29">
        <f t="shared" si="22"/>
        <v>0</v>
      </c>
      <c r="CH111" s="29">
        <f t="shared" si="23"/>
        <v>0</v>
      </c>
      <c r="CI111" s="29">
        <f t="shared" si="24"/>
        <v>1</v>
      </c>
      <c r="CJ111" s="34"/>
      <c r="CK111" s="35">
        <f t="shared" si="25"/>
        <v>0</v>
      </c>
      <c r="CL111" s="29">
        <f t="shared" si="26"/>
        <v>0</v>
      </c>
      <c r="CM111" s="29">
        <f t="shared" si="27"/>
        <v>0</v>
      </c>
      <c r="CN111" s="29">
        <f t="shared" si="28"/>
        <v>0</v>
      </c>
      <c r="CO111" s="33"/>
      <c r="CP111" s="33"/>
    </row>
    <row r="112" spans="1:94" ht="17.100000000000001" customHeight="1" thickBot="1">
      <c r="A112" s="118"/>
      <c r="B112" s="119"/>
      <c r="C112" s="86" t="s">
        <v>43</v>
      </c>
      <c r="D112" s="88" t="s">
        <v>37</v>
      </c>
      <c r="E112" s="87" t="s">
        <v>10</v>
      </c>
      <c r="F112" s="87" t="s">
        <v>108</v>
      </c>
      <c r="G112" s="87" t="s">
        <v>50</v>
      </c>
      <c r="H112" s="87" t="s">
        <v>118</v>
      </c>
      <c r="I112" s="87" t="s">
        <v>59</v>
      </c>
      <c r="J112" s="87" t="s">
        <v>50</v>
      </c>
      <c r="K112" s="87" t="s">
        <v>50</v>
      </c>
      <c r="L112" s="87" t="s">
        <v>50</v>
      </c>
      <c r="M112" s="87" t="s">
        <v>50</v>
      </c>
      <c r="N112" s="87" t="s">
        <v>50</v>
      </c>
      <c r="O112" s="87"/>
      <c r="P112" s="24">
        <f t="shared" si="18"/>
        <v>0</v>
      </c>
      <c r="Q112" s="25">
        <f t="shared" si="14"/>
        <v>0</v>
      </c>
      <c r="R112" s="26">
        <f t="shared" si="19"/>
        <v>0</v>
      </c>
      <c r="U112" s="4"/>
      <c r="BI112" s="28">
        <f t="shared" si="20"/>
        <v>0</v>
      </c>
      <c r="BJ112" s="29">
        <f>VLOOKUP(C112,'Standard AB - 17 Tugs, 8 SuGs'!$B$13:$C$21,2,FALSE)</f>
        <v>3</v>
      </c>
      <c r="BK112" s="29">
        <f>VLOOKUP(D112,'Standard AB - 17 Tugs, 8 SuGs'!$B$2:$K$12,'Standard AB - 17 Tugs, 8 SuGs'!BJ112,FALSE)</f>
        <v>40</v>
      </c>
      <c r="BL112" s="29">
        <f>VLOOKUP(G112,'Standard AB - 17 Tugs, 8 SuGs'!$R$29:$Z$47,$BJ112,FALSE)</f>
        <v>0</v>
      </c>
      <c r="BM112" s="29">
        <f>VLOOKUP(I112,'Standard AB - 17 Tugs, 8 SuGs'!$R$29:$Z$47,$BJ112,FALSE)</f>
        <v>25</v>
      </c>
      <c r="BN112" s="29">
        <f>IFERROR(VLOOKUP(J112,'Standard AB - 17 Tugs, 8 SuGs'!$AB$28:$AK$48,$BJ112,FALSE),0)</f>
        <v>0</v>
      </c>
      <c r="BO112" s="29">
        <f>IFERROR(VLOOKUP(K112,'Standard AB - 17 Tugs, 8 SuGs'!$AB$28:$AK$48,$BJ112,FALSE),0)</f>
        <v>0</v>
      </c>
      <c r="BP112" s="29">
        <f>IFERROR(VLOOKUP(L112,'Standard AB - 17 Tugs, 8 SuGs'!$AB$28:$AK$48,$BJ112,FALSE),0)</f>
        <v>0</v>
      </c>
      <c r="BQ112" s="29">
        <f>IFERROR(VLOOKUP(M112,'Standard AB - 17 Tugs, 8 SuGs'!$AB$28:$AK$48,$BJ112,FALSE),0)</f>
        <v>0</v>
      </c>
      <c r="BR112" s="29">
        <f>IFERROR(VLOOKUP(N112,'Standard AB - 17 Tugs, 8 SuGs'!$AB$28:$AK$48,$BJ112,FALSE),0)</f>
        <v>0</v>
      </c>
      <c r="BS112" s="29">
        <f t="shared" si="17"/>
        <v>40</v>
      </c>
      <c r="BT112" s="29"/>
      <c r="BU112" s="31">
        <f>VLOOKUP(E112,'Standard AB - 17 Tugs, 8 SuGs'!$M$2:$N$5,2,0)</f>
        <v>1</v>
      </c>
      <c r="BV112" s="31">
        <f>VLOOKUP(F112,'Standard AB - 17 Tugs, 8 SuGs'!$M$14:$O$16,3,0)</f>
        <v>0.8</v>
      </c>
      <c r="BW112" s="29">
        <f>IF(BM112=0,1,VLOOKUP(H112,'Standard AB - 17 Tugs, 8 SuGs'!$M$8:$O$12,3,FALSE))</f>
        <v>1</v>
      </c>
      <c r="BX112" s="32">
        <f t="shared" si="29"/>
        <v>57</v>
      </c>
      <c r="BY112" s="32"/>
      <c r="BZ112" s="32"/>
      <c r="CA112" s="32"/>
      <c r="CB112" s="32"/>
      <c r="CC112" s="33"/>
      <c r="CD112" s="29">
        <f t="shared" si="21"/>
        <v>1</v>
      </c>
      <c r="CE112" s="29"/>
      <c r="CF112" s="34"/>
      <c r="CG112" s="29">
        <f t="shared" si="22"/>
        <v>0</v>
      </c>
      <c r="CH112" s="29">
        <f t="shared" si="23"/>
        <v>0</v>
      </c>
      <c r="CI112" s="29">
        <f t="shared" si="24"/>
        <v>1</v>
      </c>
      <c r="CJ112" s="34"/>
      <c r="CK112" s="35">
        <f t="shared" si="25"/>
        <v>0</v>
      </c>
      <c r="CL112" s="29">
        <f t="shared" si="26"/>
        <v>0</v>
      </c>
      <c r="CM112" s="29">
        <f t="shared" si="27"/>
        <v>0</v>
      </c>
      <c r="CN112" s="29">
        <f t="shared" si="28"/>
        <v>0</v>
      </c>
      <c r="CO112" s="33"/>
      <c r="CP112" s="33"/>
    </row>
    <row r="113" spans="1:94" ht="17.100000000000001" customHeight="1" thickBot="1">
      <c r="A113" s="118"/>
      <c r="B113" s="119"/>
      <c r="C113" s="86" t="s">
        <v>43</v>
      </c>
      <c r="D113" s="88" t="s">
        <v>37</v>
      </c>
      <c r="E113" s="87" t="s">
        <v>10</v>
      </c>
      <c r="F113" s="87" t="s">
        <v>108</v>
      </c>
      <c r="G113" s="87" t="s">
        <v>50</v>
      </c>
      <c r="H113" s="87" t="s">
        <v>118</v>
      </c>
      <c r="I113" s="87" t="s">
        <v>59</v>
      </c>
      <c r="J113" s="87" t="s">
        <v>50</v>
      </c>
      <c r="K113" s="87" t="s">
        <v>50</v>
      </c>
      <c r="L113" s="87" t="s">
        <v>50</v>
      </c>
      <c r="M113" s="87" t="s">
        <v>50</v>
      </c>
      <c r="N113" s="87" t="s">
        <v>50</v>
      </c>
      <c r="O113" s="87"/>
      <c r="P113" s="24">
        <f t="shared" si="18"/>
        <v>0</v>
      </c>
      <c r="Q113" s="25">
        <f t="shared" si="14"/>
        <v>0</v>
      </c>
      <c r="R113" s="26">
        <f t="shared" si="19"/>
        <v>0</v>
      </c>
      <c r="U113" s="4"/>
      <c r="BI113" s="28">
        <f t="shared" si="20"/>
        <v>0</v>
      </c>
      <c r="BJ113" s="29">
        <f>VLOOKUP(C113,'Standard AB - 17 Tugs, 8 SuGs'!$B$13:$C$21,2,FALSE)</f>
        <v>3</v>
      </c>
      <c r="BK113" s="29">
        <f>VLOOKUP(D113,'Standard AB - 17 Tugs, 8 SuGs'!$B$2:$K$12,'Standard AB - 17 Tugs, 8 SuGs'!BJ113,FALSE)</f>
        <v>40</v>
      </c>
      <c r="BL113" s="29">
        <f>VLOOKUP(G113,'Standard AB - 17 Tugs, 8 SuGs'!$R$29:$Z$47,$BJ113,FALSE)</f>
        <v>0</v>
      </c>
      <c r="BM113" s="29">
        <f>VLOOKUP(I113,'Standard AB - 17 Tugs, 8 SuGs'!$R$29:$Z$47,$BJ113,FALSE)</f>
        <v>25</v>
      </c>
      <c r="BN113" s="29">
        <f>IFERROR(VLOOKUP(J113,'Standard AB - 17 Tugs, 8 SuGs'!$AB$28:$AK$48,$BJ113,FALSE),0)</f>
        <v>0</v>
      </c>
      <c r="BO113" s="29">
        <f>IFERROR(VLOOKUP(K113,'Standard AB - 17 Tugs, 8 SuGs'!$AB$28:$AK$48,$BJ113,FALSE),0)</f>
        <v>0</v>
      </c>
      <c r="BP113" s="29">
        <f>IFERROR(VLOOKUP(L113,'Standard AB - 17 Tugs, 8 SuGs'!$AB$28:$AK$48,$BJ113,FALSE),0)</f>
        <v>0</v>
      </c>
      <c r="BQ113" s="29">
        <f>IFERROR(VLOOKUP(M113,'Standard AB - 17 Tugs, 8 SuGs'!$AB$28:$AK$48,$BJ113,FALSE),0)</f>
        <v>0</v>
      </c>
      <c r="BR113" s="29">
        <f>IFERROR(VLOOKUP(N113,'Standard AB - 17 Tugs, 8 SuGs'!$AB$28:$AK$48,$BJ113,FALSE),0)</f>
        <v>0</v>
      </c>
      <c r="BS113" s="29">
        <f t="shared" si="17"/>
        <v>40</v>
      </c>
      <c r="BT113" s="29"/>
      <c r="BU113" s="31">
        <f>VLOOKUP(E113,'Standard AB - 17 Tugs, 8 SuGs'!$M$2:$N$5,2,0)</f>
        <v>1</v>
      </c>
      <c r="BV113" s="31">
        <f>VLOOKUP(F113,'Standard AB - 17 Tugs, 8 SuGs'!$M$14:$O$16,3,0)</f>
        <v>0.8</v>
      </c>
      <c r="BW113" s="29">
        <f>IF(BM113=0,1,VLOOKUP(H113,'Standard AB - 17 Tugs, 8 SuGs'!$M$8:$O$12,3,FALSE))</f>
        <v>1</v>
      </c>
      <c r="BX113" s="32">
        <f t="shared" si="29"/>
        <v>57</v>
      </c>
      <c r="BY113" s="32"/>
      <c r="BZ113" s="32"/>
      <c r="CA113" s="32"/>
      <c r="CB113" s="32"/>
      <c r="CC113" s="33"/>
      <c r="CD113" s="29">
        <f t="shared" si="21"/>
        <v>1</v>
      </c>
      <c r="CE113" s="29"/>
      <c r="CF113" s="34"/>
      <c r="CG113" s="29">
        <f t="shared" si="22"/>
        <v>0</v>
      </c>
      <c r="CH113" s="29">
        <f t="shared" si="23"/>
        <v>0</v>
      </c>
      <c r="CI113" s="29">
        <f t="shared" si="24"/>
        <v>1</v>
      </c>
      <c r="CJ113" s="34"/>
      <c r="CK113" s="35">
        <f t="shared" si="25"/>
        <v>0</v>
      </c>
      <c r="CL113" s="29">
        <f t="shared" si="26"/>
        <v>0</v>
      </c>
      <c r="CM113" s="29">
        <f t="shared" si="27"/>
        <v>0</v>
      </c>
      <c r="CN113" s="29">
        <f t="shared" si="28"/>
        <v>0</v>
      </c>
      <c r="CO113" s="33"/>
      <c r="CP113" s="33"/>
    </row>
    <row r="114" spans="1:94" ht="17.100000000000001" customHeight="1" thickBot="1">
      <c r="A114" s="118"/>
      <c r="B114" s="119"/>
      <c r="C114" s="86" t="s">
        <v>43</v>
      </c>
      <c r="D114" s="88" t="s">
        <v>37</v>
      </c>
      <c r="E114" s="87" t="s">
        <v>10</v>
      </c>
      <c r="F114" s="87" t="s">
        <v>108</v>
      </c>
      <c r="G114" s="87" t="s">
        <v>50</v>
      </c>
      <c r="H114" s="87" t="s">
        <v>118</v>
      </c>
      <c r="I114" s="87" t="s">
        <v>59</v>
      </c>
      <c r="J114" s="87" t="s">
        <v>50</v>
      </c>
      <c r="K114" s="87" t="s">
        <v>50</v>
      </c>
      <c r="L114" s="87" t="s">
        <v>50</v>
      </c>
      <c r="M114" s="87" t="s">
        <v>50</v>
      </c>
      <c r="N114" s="87" t="s">
        <v>50</v>
      </c>
      <c r="O114" s="87"/>
      <c r="P114" s="24">
        <f t="shared" si="18"/>
        <v>0</v>
      </c>
      <c r="Q114" s="25">
        <f t="shared" si="14"/>
        <v>0</v>
      </c>
      <c r="R114" s="26">
        <f t="shared" si="19"/>
        <v>0</v>
      </c>
      <c r="U114" s="4"/>
      <c r="BI114" s="28">
        <f t="shared" si="20"/>
        <v>0</v>
      </c>
      <c r="BJ114" s="29">
        <f>VLOOKUP(C114,'Standard AB - 17 Tugs, 8 SuGs'!$B$13:$C$21,2,FALSE)</f>
        <v>3</v>
      </c>
      <c r="BK114" s="29">
        <f>VLOOKUP(D114,'Standard AB - 17 Tugs, 8 SuGs'!$B$2:$K$12,'Standard AB - 17 Tugs, 8 SuGs'!BJ114,FALSE)</f>
        <v>40</v>
      </c>
      <c r="BL114" s="29">
        <f>VLOOKUP(G114,'Standard AB - 17 Tugs, 8 SuGs'!$R$29:$Z$47,$BJ114,FALSE)</f>
        <v>0</v>
      </c>
      <c r="BM114" s="29">
        <f>VLOOKUP(I114,'Standard AB - 17 Tugs, 8 SuGs'!$R$29:$Z$47,$BJ114,FALSE)</f>
        <v>25</v>
      </c>
      <c r="BN114" s="29">
        <f>IFERROR(VLOOKUP(J114,'Standard AB - 17 Tugs, 8 SuGs'!$AB$28:$AK$48,$BJ114,FALSE),0)</f>
        <v>0</v>
      </c>
      <c r="BO114" s="29">
        <f>IFERROR(VLOOKUP(K114,'Standard AB - 17 Tugs, 8 SuGs'!$AB$28:$AK$48,$BJ114,FALSE),0)</f>
        <v>0</v>
      </c>
      <c r="BP114" s="29">
        <f>IFERROR(VLOOKUP(L114,'Standard AB - 17 Tugs, 8 SuGs'!$AB$28:$AK$48,$BJ114,FALSE),0)</f>
        <v>0</v>
      </c>
      <c r="BQ114" s="29">
        <f>IFERROR(VLOOKUP(M114,'Standard AB - 17 Tugs, 8 SuGs'!$AB$28:$AK$48,$BJ114,FALSE),0)</f>
        <v>0</v>
      </c>
      <c r="BR114" s="29">
        <f>IFERROR(VLOOKUP(N114,'Standard AB - 17 Tugs, 8 SuGs'!$AB$28:$AK$48,$BJ114,FALSE),0)</f>
        <v>0</v>
      </c>
      <c r="BS114" s="29">
        <f t="shared" si="17"/>
        <v>40</v>
      </c>
      <c r="BT114" s="29"/>
      <c r="BU114" s="31">
        <f>VLOOKUP(E114,'Standard AB - 17 Tugs, 8 SuGs'!$M$2:$N$5,2,0)</f>
        <v>1</v>
      </c>
      <c r="BV114" s="31">
        <f>VLOOKUP(F114,'Standard AB - 17 Tugs, 8 SuGs'!$M$14:$O$16,3,0)</f>
        <v>0.8</v>
      </c>
      <c r="BW114" s="29">
        <f>IF(BM114=0,1,VLOOKUP(H114,'Standard AB - 17 Tugs, 8 SuGs'!$M$8:$O$12,3,FALSE))</f>
        <v>1</v>
      </c>
      <c r="BX114" s="32">
        <f t="shared" si="29"/>
        <v>57</v>
      </c>
      <c r="BY114" s="32"/>
      <c r="BZ114" s="32"/>
      <c r="CA114" s="32"/>
      <c r="CB114" s="32"/>
      <c r="CC114" s="33"/>
      <c r="CD114" s="29">
        <f t="shared" si="21"/>
        <v>1</v>
      </c>
      <c r="CE114" s="29"/>
      <c r="CF114" s="34"/>
      <c r="CG114" s="29">
        <f t="shared" si="22"/>
        <v>0</v>
      </c>
      <c r="CH114" s="29">
        <f t="shared" si="23"/>
        <v>0</v>
      </c>
      <c r="CI114" s="29">
        <f t="shared" si="24"/>
        <v>1</v>
      </c>
      <c r="CJ114" s="34"/>
      <c r="CK114" s="35">
        <f t="shared" si="25"/>
        <v>0</v>
      </c>
      <c r="CL114" s="29">
        <f t="shared" si="26"/>
        <v>0</v>
      </c>
      <c r="CM114" s="29">
        <f t="shared" si="27"/>
        <v>0</v>
      </c>
      <c r="CN114" s="29">
        <f t="shared" si="28"/>
        <v>0</v>
      </c>
      <c r="CO114" s="33"/>
      <c r="CP114" s="33"/>
    </row>
    <row r="115" spans="1:94" ht="17.100000000000001" customHeight="1" thickBot="1">
      <c r="A115" s="118"/>
      <c r="B115" s="119"/>
      <c r="C115" s="86" t="s">
        <v>43</v>
      </c>
      <c r="D115" s="88" t="s">
        <v>37</v>
      </c>
      <c r="E115" s="87" t="s">
        <v>10</v>
      </c>
      <c r="F115" s="87" t="s">
        <v>108</v>
      </c>
      <c r="G115" s="87" t="s">
        <v>50</v>
      </c>
      <c r="H115" s="87" t="s">
        <v>118</v>
      </c>
      <c r="I115" s="87" t="s">
        <v>59</v>
      </c>
      <c r="J115" s="87" t="s">
        <v>50</v>
      </c>
      <c r="K115" s="87" t="s">
        <v>50</v>
      </c>
      <c r="L115" s="87" t="s">
        <v>50</v>
      </c>
      <c r="M115" s="87" t="s">
        <v>50</v>
      </c>
      <c r="N115" s="87" t="s">
        <v>50</v>
      </c>
      <c r="O115" s="87"/>
      <c r="P115" s="24">
        <f t="shared" si="18"/>
        <v>0</v>
      </c>
      <c r="Q115" s="25">
        <f t="shared" si="14"/>
        <v>0</v>
      </c>
      <c r="R115" s="26">
        <f t="shared" si="19"/>
        <v>0</v>
      </c>
      <c r="U115" s="4"/>
      <c r="BI115" s="28">
        <f t="shared" si="20"/>
        <v>0</v>
      </c>
      <c r="BJ115" s="29">
        <f>VLOOKUP(C115,'Standard AB - 17 Tugs, 8 SuGs'!$B$13:$C$21,2,FALSE)</f>
        <v>3</v>
      </c>
      <c r="BK115" s="29">
        <f>VLOOKUP(D115,'Standard AB - 17 Tugs, 8 SuGs'!$B$2:$K$12,'Standard AB - 17 Tugs, 8 SuGs'!BJ115,FALSE)</f>
        <v>40</v>
      </c>
      <c r="BL115" s="29">
        <f>VLOOKUP(G115,'Standard AB - 17 Tugs, 8 SuGs'!$R$29:$Z$47,$BJ115,FALSE)</f>
        <v>0</v>
      </c>
      <c r="BM115" s="29">
        <f>VLOOKUP(I115,'Standard AB - 17 Tugs, 8 SuGs'!$R$29:$Z$47,$BJ115,FALSE)</f>
        <v>25</v>
      </c>
      <c r="BN115" s="29">
        <f>IFERROR(VLOOKUP(J115,'Standard AB - 17 Tugs, 8 SuGs'!$AB$28:$AK$48,$BJ115,FALSE),0)</f>
        <v>0</v>
      </c>
      <c r="BO115" s="29">
        <f>IFERROR(VLOOKUP(K115,'Standard AB - 17 Tugs, 8 SuGs'!$AB$28:$AK$48,$BJ115,FALSE),0)</f>
        <v>0</v>
      </c>
      <c r="BP115" s="29">
        <f>IFERROR(VLOOKUP(L115,'Standard AB - 17 Tugs, 8 SuGs'!$AB$28:$AK$48,$BJ115,FALSE),0)</f>
        <v>0</v>
      </c>
      <c r="BQ115" s="29">
        <f>IFERROR(VLOOKUP(M115,'Standard AB - 17 Tugs, 8 SuGs'!$AB$28:$AK$48,$BJ115,FALSE),0)</f>
        <v>0</v>
      </c>
      <c r="BR115" s="29">
        <f>IFERROR(VLOOKUP(N115,'Standard AB - 17 Tugs, 8 SuGs'!$AB$28:$AK$48,$BJ115,FALSE),0)</f>
        <v>0</v>
      </c>
      <c r="BS115" s="29">
        <f t="shared" si="17"/>
        <v>40</v>
      </c>
      <c r="BT115" s="29"/>
      <c r="BU115" s="31">
        <f>VLOOKUP(E115,'Standard AB - 17 Tugs, 8 SuGs'!$M$2:$N$5,2,0)</f>
        <v>1</v>
      </c>
      <c r="BV115" s="31">
        <f>VLOOKUP(F115,'Standard AB - 17 Tugs, 8 SuGs'!$M$14:$O$16,3,0)</f>
        <v>0.8</v>
      </c>
      <c r="BW115" s="29">
        <f>IF(BM115=0,1,VLOOKUP(H115,'Standard AB - 17 Tugs, 8 SuGs'!$M$8:$O$12,3,FALSE))</f>
        <v>1</v>
      </c>
      <c r="BX115" s="32">
        <f t="shared" si="29"/>
        <v>57</v>
      </c>
      <c r="BY115" s="32"/>
      <c r="BZ115" s="32"/>
      <c r="CA115" s="32"/>
      <c r="CB115" s="32"/>
      <c r="CC115" s="33"/>
      <c r="CD115" s="29">
        <f t="shared" si="21"/>
        <v>1</v>
      </c>
      <c r="CE115" s="29"/>
      <c r="CF115" s="34"/>
      <c r="CG115" s="29">
        <f t="shared" si="22"/>
        <v>0</v>
      </c>
      <c r="CH115" s="29">
        <f t="shared" si="23"/>
        <v>0</v>
      </c>
      <c r="CI115" s="29">
        <f t="shared" si="24"/>
        <v>1</v>
      </c>
      <c r="CJ115" s="34"/>
      <c r="CK115" s="35">
        <f t="shared" si="25"/>
        <v>0</v>
      </c>
      <c r="CL115" s="29">
        <f t="shared" si="26"/>
        <v>0</v>
      </c>
      <c r="CM115" s="29">
        <f t="shared" si="27"/>
        <v>0</v>
      </c>
      <c r="CN115" s="29">
        <f t="shared" si="28"/>
        <v>0</v>
      </c>
      <c r="CO115" s="33"/>
      <c r="CP115" s="33"/>
    </row>
    <row r="116" spans="1:94" ht="17.100000000000001" customHeight="1" thickBot="1">
      <c r="A116" s="118"/>
      <c r="B116" s="119"/>
      <c r="C116" s="86" t="s">
        <v>43</v>
      </c>
      <c r="D116" s="88" t="s">
        <v>37</v>
      </c>
      <c r="E116" s="87" t="s">
        <v>10</v>
      </c>
      <c r="F116" s="87" t="s">
        <v>108</v>
      </c>
      <c r="G116" s="87" t="s">
        <v>50</v>
      </c>
      <c r="H116" s="87" t="s">
        <v>118</v>
      </c>
      <c r="I116" s="87" t="s">
        <v>59</v>
      </c>
      <c r="J116" s="87" t="s">
        <v>50</v>
      </c>
      <c r="K116" s="87" t="s">
        <v>50</v>
      </c>
      <c r="L116" s="87" t="s">
        <v>50</v>
      </c>
      <c r="M116" s="87" t="s">
        <v>50</v>
      </c>
      <c r="N116" s="87" t="s">
        <v>50</v>
      </c>
      <c r="O116" s="87"/>
      <c r="P116" s="24">
        <f t="shared" si="18"/>
        <v>0</v>
      </c>
      <c r="Q116" s="25">
        <f t="shared" si="14"/>
        <v>0</v>
      </c>
      <c r="R116" s="26">
        <f t="shared" si="19"/>
        <v>0</v>
      </c>
      <c r="U116" s="4"/>
      <c r="BI116" s="28">
        <f t="shared" si="20"/>
        <v>0</v>
      </c>
      <c r="BJ116" s="29">
        <f>VLOOKUP(C116,'Standard AB - 17 Tugs, 8 SuGs'!$B$13:$C$21,2,FALSE)</f>
        <v>3</v>
      </c>
      <c r="BK116" s="29">
        <f>VLOOKUP(D116,'Standard AB - 17 Tugs, 8 SuGs'!$B$2:$K$12,'Standard AB - 17 Tugs, 8 SuGs'!BJ116,FALSE)</f>
        <v>40</v>
      </c>
      <c r="BL116" s="29">
        <f>VLOOKUP(G116,'Standard AB - 17 Tugs, 8 SuGs'!$R$29:$Z$47,$BJ116,FALSE)</f>
        <v>0</v>
      </c>
      <c r="BM116" s="29">
        <f>VLOOKUP(I116,'Standard AB - 17 Tugs, 8 SuGs'!$R$29:$Z$47,$BJ116,FALSE)</f>
        <v>25</v>
      </c>
      <c r="BN116" s="29">
        <f>IFERROR(VLOOKUP(J116,'Standard AB - 17 Tugs, 8 SuGs'!$AB$28:$AK$48,$BJ116,FALSE),0)</f>
        <v>0</v>
      </c>
      <c r="BO116" s="29">
        <f>IFERROR(VLOOKUP(K116,'Standard AB - 17 Tugs, 8 SuGs'!$AB$28:$AK$48,$BJ116,FALSE),0)</f>
        <v>0</v>
      </c>
      <c r="BP116" s="29">
        <f>IFERROR(VLOOKUP(L116,'Standard AB - 17 Tugs, 8 SuGs'!$AB$28:$AK$48,$BJ116,FALSE),0)</f>
        <v>0</v>
      </c>
      <c r="BQ116" s="29">
        <f>IFERROR(VLOOKUP(M116,'Standard AB - 17 Tugs, 8 SuGs'!$AB$28:$AK$48,$BJ116,FALSE),0)</f>
        <v>0</v>
      </c>
      <c r="BR116" s="29">
        <f>IFERROR(VLOOKUP(N116,'Standard AB - 17 Tugs, 8 SuGs'!$AB$28:$AK$48,$BJ116,FALSE),0)</f>
        <v>0</v>
      </c>
      <c r="BS116" s="29">
        <f t="shared" si="17"/>
        <v>40</v>
      </c>
      <c r="BT116" s="29"/>
      <c r="BU116" s="31">
        <f>VLOOKUP(E116,'Standard AB - 17 Tugs, 8 SuGs'!$M$2:$N$5,2,0)</f>
        <v>1</v>
      </c>
      <c r="BV116" s="31">
        <f>VLOOKUP(F116,'Standard AB - 17 Tugs, 8 SuGs'!$M$14:$O$16,3,0)</f>
        <v>0.8</v>
      </c>
      <c r="BW116" s="29">
        <f>IF(BM116=0,1,VLOOKUP(H116,'Standard AB - 17 Tugs, 8 SuGs'!$M$8:$O$12,3,FALSE))</f>
        <v>1</v>
      </c>
      <c r="BX116" s="32">
        <f t="shared" si="29"/>
        <v>57</v>
      </c>
      <c r="BY116" s="32"/>
      <c r="BZ116" s="32"/>
      <c r="CA116" s="32"/>
      <c r="CB116" s="32"/>
      <c r="CC116" s="33"/>
      <c r="CD116" s="29">
        <f t="shared" si="21"/>
        <v>1</v>
      </c>
      <c r="CE116" s="29"/>
      <c r="CF116" s="34"/>
      <c r="CG116" s="29">
        <f t="shared" si="22"/>
        <v>0</v>
      </c>
      <c r="CH116" s="29">
        <f t="shared" si="23"/>
        <v>0</v>
      </c>
      <c r="CI116" s="29">
        <f t="shared" si="24"/>
        <v>1</v>
      </c>
      <c r="CJ116" s="34"/>
      <c r="CK116" s="35">
        <f t="shared" si="25"/>
        <v>0</v>
      </c>
      <c r="CL116" s="29">
        <f t="shared" si="26"/>
        <v>0</v>
      </c>
      <c r="CM116" s="29">
        <f t="shared" si="27"/>
        <v>0</v>
      </c>
      <c r="CN116" s="29">
        <f t="shared" si="28"/>
        <v>0</v>
      </c>
      <c r="CO116" s="33"/>
      <c r="CP116" s="33"/>
    </row>
    <row r="117" spans="1:94" ht="17.100000000000001" customHeight="1" thickBot="1">
      <c r="A117" s="118"/>
      <c r="B117" s="119"/>
      <c r="C117" s="86" t="s">
        <v>43</v>
      </c>
      <c r="D117" s="88" t="s">
        <v>37</v>
      </c>
      <c r="E117" s="87" t="s">
        <v>10</v>
      </c>
      <c r="F117" s="87" t="s">
        <v>108</v>
      </c>
      <c r="G117" s="87" t="s">
        <v>50</v>
      </c>
      <c r="H117" s="87" t="s">
        <v>118</v>
      </c>
      <c r="I117" s="87" t="s">
        <v>59</v>
      </c>
      <c r="J117" s="87" t="s">
        <v>50</v>
      </c>
      <c r="K117" s="87" t="s">
        <v>50</v>
      </c>
      <c r="L117" s="87" t="s">
        <v>50</v>
      </c>
      <c r="M117" s="87" t="s">
        <v>50</v>
      </c>
      <c r="N117" s="87" t="s">
        <v>50</v>
      </c>
      <c r="O117" s="87"/>
      <c r="P117" s="24">
        <f t="shared" si="18"/>
        <v>0</v>
      </c>
      <c r="Q117" s="25">
        <f t="shared" si="14"/>
        <v>0</v>
      </c>
      <c r="R117" s="26">
        <f t="shared" si="19"/>
        <v>0</v>
      </c>
      <c r="U117" s="4"/>
      <c r="BI117" s="28">
        <f t="shared" si="20"/>
        <v>0</v>
      </c>
      <c r="BJ117" s="29">
        <f>VLOOKUP(C117,'Standard AB - 17 Tugs, 8 SuGs'!$B$13:$C$21,2,FALSE)</f>
        <v>3</v>
      </c>
      <c r="BK117" s="29">
        <f>VLOOKUP(D117,'Standard AB - 17 Tugs, 8 SuGs'!$B$2:$K$12,'Standard AB - 17 Tugs, 8 SuGs'!BJ117,FALSE)</f>
        <v>40</v>
      </c>
      <c r="BL117" s="29">
        <f>VLOOKUP(G117,'Standard AB - 17 Tugs, 8 SuGs'!$R$29:$Z$47,$BJ117,FALSE)</f>
        <v>0</v>
      </c>
      <c r="BM117" s="29">
        <f>VLOOKUP(I117,'Standard AB - 17 Tugs, 8 SuGs'!$R$29:$Z$47,$BJ117,FALSE)</f>
        <v>25</v>
      </c>
      <c r="BN117" s="29">
        <f>IFERROR(VLOOKUP(J117,'Standard AB - 17 Tugs, 8 SuGs'!$AB$28:$AK$48,$BJ117,FALSE),0)</f>
        <v>0</v>
      </c>
      <c r="BO117" s="29">
        <f>IFERROR(VLOOKUP(K117,'Standard AB - 17 Tugs, 8 SuGs'!$AB$28:$AK$48,$BJ117,FALSE),0)</f>
        <v>0</v>
      </c>
      <c r="BP117" s="29">
        <f>IFERROR(VLOOKUP(L117,'Standard AB - 17 Tugs, 8 SuGs'!$AB$28:$AK$48,$BJ117,FALSE),0)</f>
        <v>0</v>
      </c>
      <c r="BQ117" s="29">
        <f>IFERROR(VLOOKUP(M117,'Standard AB - 17 Tugs, 8 SuGs'!$AB$28:$AK$48,$BJ117,FALSE),0)</f>
        <v>0</v>
      </c>
      <c r="BR117" s="29">
        <f>IFERROR(VLOOKUP(N117,'Standard AB - 17 Tugs, 8 SuGs'!$AB$28:$AK$48,$BJ117,FALSE),0)</f>
        <v>0</v>
      </c>
      <c r="BS117" s="29">
        <f t="shared" si="17"/>
        <v>40</v>
      </c>
      <c r="BT117" s="29"/>
      <c r="BU117" s="31">
        <f>VLOOKUP(E117,'Standard AB - 17 Tugs, 8 SuGs'!$M$2:$N$5,2,0)</f>
        <v>1</v>
      </c>
      <c r="BV117" s="31">
        <f>VLOOKUP(F117,'Standard AB - 17 Tugs, 8 SuGs'!$M$14:$O$16,3,0)</f>
        <v>0.8</v>
      </c>
      <c r="BW117" s="29">
        <f>IF(BM117=0,1,VLOOKUP(H117,'Standard AB - 17 Tugs, 8 SuGs'!$M$8:$O$12,3,FALSE))</f>
        <v>1</v>
      </c>
      <c r="BX117" s="32">
        <f t="shared" si="29"/>
        <v>57</v>
      </c>
      <c r="BY117" s="32"/>
      <c r="BZ117" s="32"/>
      <c r="CA117" s="32"/>
      <c r="CB117" s="32"/>
      <c r="CC117" s="33"/>
      <c r="CD117" s="29">
        <f t="shared" si="21"/>
        <v>1</v>
      </c>
      <c r="CE117" s="29"/>
      <c r="CF117" s="34"/>
      <c r="CG117" s="29">
        <f t="shared" si="22"/>
        <v>0</v>
      </c>
      <c r="CH117" s="29">
        <f t="shared" si="23"/>
        <v>0</v>
      </c>
      <c r="CI117" s="29">
        <f t="shared" si="24"/>
        <v>1</v>
      </c>
      <c r="CJ117" s="34"/>
      <c r="CK117" s="35">
        <f t="shared" si="25"/>
        <v>0</v>
      </c>
      <c r="CL117" s="29">
        <f t="shared" si="26"/>
        <v>0</v>
      </c>
      <c r="CM117" s="29">
        <f t="shared" si="27"/>
        <v>0</v>
      </c>
      <c r="CN117" s="29">
        <f t="shared" si="28"/>
        <v>0</v>
      </c>
      <c r="CO117" s="33"/>
      <c r="CP117" s="33"/>
    </row>
    <row r="118" spans="1:94" ht="17.100000000000001" customHeight="1">
      <c r="A118" s="118"/>
      <c r="B118" s="119"/>
      <c r="C118" s="86" t="s">
        <v>43</v>
      </c>
      <c r="D118" s="88" t="s">
        <v>37</v>
      </c>
      <c r="E118" s="87" t="s">
        <v>10</v>
      </c>
      <c r="F118" s="87" t="s">
        <v>108</v>
      </c>
      <c r="G118" s="87" t="s">
        <v>50</v>
      </c>
      <c r="H118" s="87" t="s">
        <v>118</v>
      </c>
      <c r="I118" s="87" t="s">
        <v>59</v>
      </c>
      <c r="J118" s="87" t="s">
        <v>50</v>
      </c>
      <c r="K118" s="87" t="s">
        <v>50</v>
      </c>
      <c r="L118" s="87" t="s">
        <v>50</v>
      </c>
      <c r="M118" s="87" t="s">
        <v>50</v>
      </c>
      <c r="N118" s="87" t="s">
        <v>50</v>
      </c>
      <c r="O118" s="87"/>
      <c r="P118" s="24">
        <f t="shared" si="18"/>
        <v>0</v>
      </c>
      <c r="Q118" s="25">
        <f t="shared" si="14"/>
        <v>0</v>
      </c>
      <c r="R118" s="26">
        <f t="shared" si="19"/>
        <v>0</v>
      </c>
      <c r="U118" s="4"/>
      <c r="BI118" s="28">
        <f t="shared" si="20"/>
        <v>0</v>
      </c>
      <c r="BJ118" s="29">
        <f>VLOOKUP(C118,'Standard AB - 17 Tugs, 8 SuGs'!$B$13:$C$21,2,FALSE)</f>
        <v>3</v>
      </c>
      <c r="BK118" s="29">
        <f>VLOOKUP(D118,'Standard AB - 17 Tugs, 8 SuGs'!$B$2:$K$12,'Standard AB - 17 Tugs, 8 SuGs'!BJ118,FALSE)</f>
        <v>40</v>
      </c>
      <c r="BL118" s="29">
        <f>VLOOKUP(G118,'Standard AB - 17 Tugs, 8 SuGs'!$R$29:$Z$47,$BJ118,FALSE)</f>
        <v>0</v>
      </c>
      <c r="BM118" s="29">
        <f>VLOOKUP(I118,'Standard AB - 17 Tugs, 8 SuGs'!$R$29:$Z$47,$BJ118,FALSE)</f>
        <v>25</v>
      </c>
      <c r="BN118" s="29">
        <f>IFERROR(VLOOKUP(J118,'Standard AB - 17 Tugs, 8 SuGs'!$AB$28:$AK$48,$BJ118,FALSE),0)</f>
        <v>0</v>
      </c>
      <c r="BO118" s="29">
        <f>IFERROR(VLOOKUP(K118,'Standard AB - 17 Tugs, 8 SuGs'!$AB$28:$AK$48,$BJ118,FALSE),0)</f>
        <v>0</v>
      </c>
      <c r="BP118" s="29">
        <f>IFERROR(VLOOKUP(L118,'Standard AB - 17 Tugs, 8 SuGs'!$AB$28:$AK$48,$BJ118,FALSE),0)</f>
        <v>0</v>
      </c>
      <c r="BQ118" s="29">
        <f>IFERROR(VLOOKUP(M118,'Standard AB - 17 Tugs, 8 SuGs'!$AB$28:$AK$48,$BJ118,FALSE),0)</f>
        <v>0</v>
      </c>
      <c r="BR118" s="29">
        <f>IFERROR(VLOOKUP(N118,'Standard AB - 17 Tugs, 8 SuGs'!$AB$28:$AK$48,$BJ118,FALSE),0)</f>
        <v>0</v>
      </c>
      <c r="BS118" s="29">
        <f t="shared" si="17"/>
        <v>40</v>
      </c>
      <c r="BT118" s="29"/>
      <c r="BU118" s="31">
        <f>VLOOKUP(E118,'Standard AB - 17 Tugs, 8 SuGs'!$M$2:$N$5,2,0)</f>
        <v>1</v>
      </c>
      <c r="BV118" s="31">
        <f>VLOOKUP(F118,'Standard AB - 17 Tugs, 8 SuGs'!$M$14:$O$16,3,0)</f>
        <v>0.8</v>
      </c>
      <c r="BW118" s="29">
        <f>IF(BM118=0,1,VLOOKUP(H118,'Standard AB - 17 Tugs, 8 SuGs'!$M$8:$O$12,3,FALSE))</f>
        <v>1</v>
      </c>
      <c r="BX118" s="32">
        <f t="shared" si="29"/>
        <v>57</v>
      </c>
      <c r="BY118" s="32"/>
      <c r="BZ118" s="32"/>
      <c r="CA118" s="32"/>
      <c r="CB118" s="32"/>
      <c r="CC118" s="33"/>
      <c r="CD118" s="29">
        <f t="shared" si="21"/>
        <v>1</v>
      </c>
      <c r="CE118" s="29"/>
      <c r="CF118" s="34"/>
      <c r="CG118" s="29">
        <f t="shared" si="22"/>
        <v>0</v>
      </c>
      <c r="CH118" s="29">
        <f t="shared" si="23"/>
        <v>0</v>
      </c>
      <c r="CI118" s="29">
        <f t="shared" si="24"/>
        <v>1</v>
      </c>
      <c r="CJ118" s="34"/>
      <c r="CK118" s="35">
        <f t="shared" si="25"/>
        <v>0</v>
      </c>
      <c r="CL118" s="29">
        <f t="shared" si="26"/>
        <v>0</v>
      </c>
      <c r="CM118" s="29">
        <f t="shared" si="27"/>
        <v>0</v>
      </c>
      <c r="CN118" s="29">
        <f t="shared" si="28"/>
        <v>0</v>
      </c>
      <c r="CO118" s="33"/>
      <c r="CP118" s="33"/>
    </row>
    <row r="119" spans="1:94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171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60"/>
      <c r="CK119" s="60"/>
      <c r="CL119" s="60"/>
      <c r="CM119" s="60"/>
      <c r="CN119" s="60"/>
      <c r="CO119" s="60"/>
      <c r="CP119" s="60"/>
    </row>
    <row r="120" spans="1:94" s="19" customFormat="1" ht="21" customHeight="1" thickBot="1">
      <c r="A120" s="61"/>
      <c r="B120" s="62"/>
      <c r="C120" s="63" t="s">
        <v>136</v>
      </c>
      <c r="D120" s="64">
        <f>SUM($H$67:$H$70)</f>
        <v>2500</v>
      </c>
      <c r="E120" s="65"/>
      <c r="F120" s="65"/>
      <c r="G120" s="66" t="s">
        <v>143</v>
      </c>
      <c r="H120" s="67">
        <f>SUM(Q76:Q101)</f>
        <v>7048</v>
      </c>
      <c r="I120" s="61"/>
      <c r="J120" s="68" t="s">
        <v>144</v>
      </c>
      <c r="K120" s="69">
        <f>SUM(Q103:Q118)</f>
        <v>612</v>
      </c>
      <c r="L120" s="70"/>
      <c r="M120" s="70"/>
      <c r="N120" s="62"/>
      <c r="O120" s="71" t="s">
        <v>8</v>
      </c>
      <c r="P120" s="72">
        <f>Q74</f>
        <v>288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74"/>
      <c r="CK120" s="74"/>
      <c r="CL120" s="74">
        <f>SUM(CL74:CL118)</f>
        <v>12</v>
      </c>
      <c r="CM120" s="74">
        <f>SUM(CM74:CM118)</f>
        <v>36</v>
      </c>
      <c r="CN120" s="74">
        <f>SUM(CN74:CN118)</f>
        <v>0</v>
      </c>
      <c r="CO120" s="73"/>
      <c r="CP120" s="73"/>
    </row>
    <row r="121" spans="1:94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11" t="s">
        <v>98</v>
      </c>
      <c r="CK121" s="11"/>
      <c r="CL121" s="75">
        <v>10</v>
      </c>
      <c r="CM121" s="75">
        <v>20</v>
      </c>
      <c r="CN121" s="75">
        <v>30</v>
      </c>
      <c r="CP121" s="5" t="s">
        <v>201</v>
      </c>
    </row>
    <row r="122" spans="1:94" ht="29.1" customHeight="1" thickBot="1">
      <c r="A122" s="249" t="s">
        <v>164</v>
      </c>
      <c r="B122" s="250"/>
      <c r="C122" s="250"/>
      <c r="D122" s="250"/>
      <c r="E122" s="250"/>
      <c r="F122" s="250"/>
      <c r="G122" s="250"/>
      <c r="H122" s="250"/>
      <c r="I122" s="250"/>
      <c r="J122" s="250"/>
      <c r="K122" s="250"/>
      <c r="L122" s="250"/>
      <c r="M122" s="250"/>
      <c r="N122" s="250"/>
      <c r="O122" s="250"/>
      <c r="P122" s="250"/>
      <c r="Q122" s="250"/>
      <c r="R122" s="251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J122" s="11"/>
      <c r="CK122" s="11"/>
      <c r="CL122" s="11">
        <f>CL120/CL121</f>
        <v>1.2</v>
      </c>
      <c r="CM122" s="11">
        <f t="shared" ref="CM122:CN122" si="31">CM120/CM121</f>
        <v>1.8</v>
      </c>
      <c r="CN122" s="11">
        <f t="shared" si="31"/>
        <v>0</v>
      </c>
    </row>
    <row r="123" spans="1:94" s="6" customFormat="1" ht="26.1" customHeight="1" thickBot="1">
      <c r="A123" s="249" t="s">
        <v>129</v>
      </c>
      <c r="B123" s="250"/>
      <c r="C123" s="250"/>
      <c r="D123" s="251"/>
      <c r="E123" s="261" t="s">
        <v>157</v>
      </c>
      <c r="F123" s="262"/>
      <c r="G123" s="262"/>
      <c r="H123" s="262"/>
      <c r="I123" s="262"/>
      <c r="J123" s="263"/>
      <c r="K123" s="252" t="s">
        <v>162</v>
      </c>
      <c r="L123" s="253"/>
      <c r="M123" s="253"/>
      <c r="N123" s="253"/>
      <c r="O123" s="253"/>
      <c r="P123" s="253"/>
      <c r="Q123" s="253"/>
      <c r="R123" s="254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</row>
    <row r="124" spans="1:94" s="12" customFormat="1" ht="20.100000000000001" customHeight="1">
      <c r="A124" s="255" t="s">
        <v>131</v>
      </c>
      <c r="B124" s="256"/>
      <c r="C124" s="256"/>
      <c r="D124" s="257"/>
      <c r="E124" s="264" t="s">
        <v>134</v>
      </c>
      <c r="F124" s="265"/>
      <c r="G124" s="266"/>
      <c r="H124" s="270" t="s">
        <v>132</v>
      </c>
      <c r="I124" s="271"/>
      <c r="J124" s="122" t="s">
        <v>130</v>
      </c>
      <c r="K124" s="274" t="s">
        <v>137</v>
      </c>
      <c r="L124" s="266"/>
      <c r="M124" s="266"/>
      <c r="N124" s="275"/>
      <c r="O124" s="275"/>
      <c r="P124" s="275"/>
      <c r="Q124" s="275"/>
      <c r="R124" s="276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23" t="s">
        <v>185</v>
      </c>
      <c r="CM124" s="36">
        <f>SUM(CL122:CN122)</f>
        <v>3</v>
      </c>
      <c r="CN124" s="13"/>
      <c r="CO124" s="13"/>
      <c r="CP124" s="13"/>
    </row>
    <row r="125" spans="1:94" s="12" customFormat="1" ht="20.100000000000001" customHeight="1" thickBot="1">
      <c r="A125" s="258" t="s">
        <v>156</v>
      </c>
      <c r="B125" s="259"/>
      <c r="C125" s="259"/>
      <c r="D125" s="260"/>
      <c r="E125" s="267" t="s">
        <v>135</v>
      </c>
      <c r="F125" s="268"/>
      <c r="G125" s="269"/>
      <c r="H125" s="272" t="s">
        <v>133</v>
      </c>
      <c r="I125" s="273"/>
      <c r="J125" s="15">
        <v>10</v>
      </c>
      <c r="K125" s="277" t="s">
        <v>163</v>
      </c>
      <c r="L125" s="278"/>
      <c r="M125" s="278"/>
      <c r="N125" s="279"/>
      <c r="O125" s="279"/>
      <c r="P125" s="279"/>
      <c r="Q125" s="279"/>
      <c r="R125" s="280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</row>
    <row r="126" spans="1:94" ht="21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4">
      <c r="C127" s="4"/>
      <c r="CL127" s="247" t="s">
        <v>85</v>
      </c>
      <c r="CM127" s="248"/>
    </row>
    <row r="128" spans="1:94">
      <c r="C128" s="4"/>
      <c r="CL128" s="223" t="s">
        <v>5</v>
      </c>
      <c r="CM128" s="77">
        <f>IF(H67&gt;0,I67,0)</f>
        <v>4</v>
      </c>
    </row>
    <row r="129" spans="3:91" s="4" customFormat="1" ht="21">
      <c r="P129" s="141"/>
      <c r="Q129" s="141"/>
      <c r="R129" s="39"/>
      <c r="U129" s="22"/>
      <c r="AG129" s="12"/>
      <c r="AV129" s="39"/>
      <c r="AW129" s="39"/>
      <c r="AX129" s="39"/>
      <c r="AY129" s="39"/>
      <c r="AZ129" s="39"/>
      <c r="BA129" s="39"/>
      <c r="BE129" s="39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41"/>
      <c r="BV129" s="41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223" t="s">
        <v>4</v>
      </c>
      <c r="CM129" s="224">
        <f>VLOOKUP(C68,'Standard AB - 17 Tugs, 8 SuGs'!$AM$3:$AQ$11,5,FALSE)</f>
        <v>1</v>
      </c>
    </row>
    <row r="130" spans="3:91" s="4" customFormat="1" ht="21">
      <c r="P130" s="141"/>
      <c r="Q130" s="141"/>
      <c r="R130" s="39"/>
      <c r="U130" s="22"/>
      <c r="AF130" s="12"/>
      <c r="AG130" s="12"/>
      <c r="AV130" s="39"/>
      <c r="AW130" s="39"/>
      <c r="AX130" s="39"/>
      <c r="AY130" s="39"/>
      <c r="AZ130" s="39"/>
      <c r="BA130" s="39"/>
      <c r="BE130" s="39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41"/>
      <c r="BV130" s="41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223" t="s">
        <v>4</v>
      </c>
      <c r="CM130" s="224">
        <f>IFERROR(VLOOKUP(C69,'Standard AB - 17 Tugs, 8 SuGs'!$AM$3:$AQ$11,5,FALSE),0)</f>
        <v>1</v>
      </c>
    </row>
    <row r="131" spans="3:91" s="4" customFormat="1" ht="21">
      <c r="P131" s="141"/>
      <c r="Q131" s="141"/>
      <c r="R131" s="39"/>
      <c r="U131" s="22"/>
      <c r="AD131" s="12"/>
      <c r="AE131" s="12"/>
      <c r="AF131" s="12"/>
      <c r="AV131" s="39"/>
      <c r="AW131" s="39"/>
      <c r="AX131" s="39"/>
      <c r="AY131" s="39"/>
      <c r="AZ131" s="39"/>
      <c r="BA131" s="39"/>
      <c r="BE131" s="39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41"/>
      <c r="BV131" s="41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223" t="s">
        <v>4</v>
      </c>
      <c r="CM131" s="224">
        <f>IFERROR(VLOOKUP(C70,'Standard AB - 17 Tugs, 8 SuGs'!$AM$3:$AQ$11,5,FALSE),0)</f>
        <v>0</v>
      </c>
    </row>
    <row r="132" spans="3:91" s="4" customFormat="1" ht="21">
      <c r="P132" s="141"/>
      <c r="Q132" s="141"/>
      <c r="R132" s="39"/>
      <c r="U132" s="22"/>
      <c r="AD132" s="12"/>
      <c r="AE132" s="12"/>
      <c r="AV132" s="39"/>
      <c r="AW132" s="39"/>
      <c r="AX132" s="39"/>
      <c r="AY132" s="39"/>
      <c r="AZ132" s="39"/>
      <c r="BA132" s="39"/>
      <c r="BE132" s="39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41"/>
      <c r="BV132" s="41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225" t="s">
        <v>99</v>
      </c>
      <c r="CM132" s="226">
        <f>SUM(CM128:CM131)</f>
        <v>6</v>
      </c>
    </row>
    <row r="133" spans="3:91" s="4" customFormat="1">
      <c r="C133" s="39"/>
      <c r="P133" s="141"/>
      <c r="Q133" s="141">
        <f>SUM(Q74:Q101)+SUM(Q103:Q118)+D120</f>
        <v>10448</v>
      </c>
      <c r="R133" s="39"/>
      <c r="U133" s="22"/>
      <c r="AV133" s="39"/>
      <c r="AW133" s="39"/>
      <c r="AX133" s="39"/>
      <c r="AY133" s="39"/>
      <c r="AZ133" s="39"/>
      <c r="BA133" s="39"/>
      <c r="BE133" s="39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41"/>
      <c r="BV133" s="41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</row>
  </sheetData>
  <sheetProtection sheet="1" objects="1" scenarios="1"/>
  <sortState ref="AB29:AK42">
    <sortCondition ref="AB28"/>
  </sortState>
  <dataConsolidate/>
  <mergeCells count="73">
    <mergeCell ref="J63:N63"/>
    <mergeCell ref="J64:N64"/>
    <mergeCell ref="O63:R63"/>
    <mergeCell ref="C72:C73"/>
    <mergeCell ref="D72:D73"/>
    <mergeCell ref="J72:N72"/>
    <mergeCell ref="K68:O69"/>
    <mergeCell ref="P68:R69"/>
    <mergeCell ref="O64:R64"/>
    <mergeCell ref="K65:R65"/>
    <mergeCell ref="A65:I65"/>
    <mergeCell ref="A63:C63"/>
    <mergeCell ref="A64:C64"/>
    <mergeCell ref="E63:F63"/>
    <mergeCell ref="E64:F64"/>
    <mergeCell ref="G63:I63"/>
    <mergeCell ref="R27:Z27"/>
    <mergeCell ref="AB26:AK26"/>
    <mergeCell ref="R2:Z2"/>
    <mergeCell ref="AB2:AK2"/>
    <mergeCell ref="AB50:AK50"/>
    <mergeCell ref="P70:R71"/>
    <mergeCell ref="C69:F69"/>
    <mergeCell ref="C67:F67"/>
    <mergeCell ref="C68:F68"/>
    <mergeCell ref="BJ71:BX71"/>
    <mergeCell ref="A71:I71"/>
    <mergeCell ref="J66:J71"/>
    <mergeCell ref="K66:O66"/>
    <mergeCell ref="K67:O67"/>
    <mergeCell ref="K70:O71"/>
    <mergeCell ref="C70:F70"/>
    <mergeCell ref="C66:F66"/>
    <mergeCell ref="P66:Q66"/>
    <mergeCell ref="P67:Q67"/>
    <mergeCell ref="BI71:BI73"/>
    <mergeCell ref="A102:R102"/>
    <mergeCell ref="O72:O73"/>
    <mergeCell ref="P72:P73"/>
    <mergeCell ref="Q72:Q73"/>
    <mergeCell ref="R72:R73"/>
    <mergeCell ref="H72:I72"/>
    <mergeCell ref="A72:A73"/>
    <mergeCell ref="B72:B73"/>
    <mergeCell ref="A75:O75"/>
    <mergeCell ref="P75:R75"/>
    <mergeCell ref="A100:R100"/>
    <mergeCell ref="E72:E73"/>
    <mergeCell ref="F72:F73"/>
    <mergeCell ref="G72:G73"/>
    <mergeCell ref="CL127:CM127"/>
    <mergeCell ref="A122:R122"/>
    <mergeCell ref="K123:R123"/>
    <mergeCell ref="A123:D123"/>
    <mergeCell ref="A124:D124"/>
    <mergeCell ref="A125:D125"/>
    <mergeCell ref="E123:J123"/>
    <mergeCell ref="E124:G124"/>
    <mergeCell ref="E125:G125"/>
    <mergeCell ref="H124:I124"/>
    <mergeCell ref="H125:I125"/>
    <mergeCell ref="K124:R124"/>
    <mergeCell ref="K125:R125"/>
    <mergeCell ref="CN73:CN74"/>
    <mergeCell ref="CM73:CM74"/>
    <mergeCell ref="CL73:CL74"/>
    <mergeCell ref="CK73:CK74"/>
    <mergeCell ref="CI73:CI74"/>
    <mergeCell ref="CH73:CH74"/>
    <mergeCell ref="CG73:CG74"/>
    <mergeCell ref="CF73:CF74"/>
    <mergeCell ref="CE73:CE74"/>
    <mergeCell ref="CD73:CD74"/>
  </mergeCells>
  <phoneticPr fontId="21" type="noConversion"/>
  <dataValidations count="21">
    <dataValidation type="list" allowBlank="1" showInputMessage="1" showErrorMessage="1" sqref="G68:G70">
      <formula1>$AN$14:$AN$15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E101 E103:E118 E76:E99">
      <formula1>$M$2:$M$5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C101 C103:C118 C76:C99">
      <formula1>$B$13:$B$20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G76:G99">
      <formula1>$R$3:$R$11</formula1>
    </dataValidation>
    <dataValidation type="list" allowBlank="1" showInputMessage="1" showErrorMessage="1" sqref="I103:I118 I101 I76:I99">
      <formula1>$R$12:$R$21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H101 H103:H118 H76:H99">
      <formula1>$M$8:$M$12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F103:F118">
      <formula1>$M$14:$M$15</formula1>
    </dataValidation>
    <dataValidation type="list" allowBlank="1" showInputMessage="1" showErrorMessage="1" sqref="J76:N99">
      <formula1>$H$27:$H$46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C68:F68">
      <formula1>$AM$28:$AM$35</formula1>
    </dataValidation>
    <dataValidation type="list" allowBlank="1" showInputMessage="1" showErrorMessage="1" sqref="G101 G103:G118">
      <formula1>$F$26:$F$30</formula1>
    </dataValidation>
  </dataValidations>
  <pageMargins left="0.70000000000000007" right="0.70000000000000007" top="0.75000000000000011" bottom="0.75000000000000011" header="0.30000000000000004" footer="0.30000000000000004"/>
  <pageSetup paperSize="9" scale="49" orientation="landscape"/>
  <ignoredErrors>
    <ignoredError sqref="P68 N100:R100 N102:R102 D103 H69:I70 P101 P88:P99 CK103:CK105 P112:P118 CK116:CK118 A102:K102 A100:K100 P105 P77:P80 CK99:CK100 CK102 P76 R76 R88:R99 R77:R80 R101 P103 R103 P104 R104 R112:R118 R105" emptyCellReference="1"/>
    <ignoredError sqref="K120" evalError="1"/>
    <ignoredError sqref="BJ76:BM79 BS103:BW103 BJ101:BM101 BS101:BW101 BY101:CD101 BR102:CD102 BJ99:BM99 BT99:BU99 CF99:CI99 BY99:CD99 BY76:CD79 CF76:CI79 BS76:BU76 BY103:CD105 CF103:CI105 BT104:BW105 BJ103:BM105 BJ116:BM118 BT116:BW118 CF116:CI118 BY116:CD118 BJ102:BO102 BT77:BU79 BW99 BW76:BW79 CF101:CI102" evalError="1" emptyCellReference="1"/>
    <ignoredError sqref="AZ7" twoDigitTextYear="1"/>
  </ignoredErrors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READ THESE INSTIRUCTIONS</vt:lpstr>
      <vt:lpstr>Standard AB - 17 Tugs, 8 SuGs</vt:lpstr>
      <vt:lpstr>'Standard AB - 17 Tugs, 8 SuGs'!Print_Area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Riddick, Stewart H</cp:lastModifiedBy>
  <cp:lastPrinted>2018-11-12T05:18:30Z</cp:lastPrinted>
  <dcterms:created xsi:type="dcterms:W3CDTF">2014-11-06T21:51:03Z</dcterms:created>
  <dcterms:modified xsi:type="dcterms:W3CDTF">2018-11-27T13:44:30Z</dcterms:modified>
</cp:coreProperties>
</file>