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 activeTab="1"/>
  </bookViews>
  <sheets>
    <sheet name="READ THESE INSTIRUCTIONS" sheetId="4" r:id="rId1"/>
    <sheet name="Standard AB - 17 Tugs, 8 SuGs" sheetId="2" r:id="rId2"/>
  </sheets>
  <definedNames>
    <definedName name="_xlnm.Print_Area" localSheetId="1">'Standard AB - 17 Tugs, 8 SuGs'!$A$63:$R$125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76" i="2" l="1"/>
  <c r="BJ77" i="2"/>
  <c r="BJ78" i="2"/>
  <c r="BJ79" i="2"/>
  <c r="BJ80" i="2"/>
  <c r="BJ81" i="2"/>
  <c r="BJ82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<sst xmlns="http://schemas.openxmlformats.org/spreadsheetml/2006/main" count="1576" uniqueCount="306">
  <si>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</si>
  <si>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</si>
  <si>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</si>
  <si>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</si>
  <si>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</si>
  <si>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</si>
  <si>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</si>
  <si>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</si>
  <si>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</si>
  <si>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</si>
  <si>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</si>
  <si>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</si>
  <si>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</si>
  <si>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</si>
  <si>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</si>
  <si>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</si>
  <si>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</si>
  <si>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</si>
  <si>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</si>
  <si>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</si>
  <si>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</si>
  <si>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</si>
  <si>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</si>
  <si>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</si>
  <si>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</si>
  <si>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</si>
  <si>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</si>
  <si>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</si>
  <si>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</si>
  <si>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</si>
  <si>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</si>
  <si>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</si>
  <si>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</si>
  <si>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</si>
  <si>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</si>
  <si>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</si>
  <si>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</si>
  <si>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</si>
  <si>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</si>
  <si>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</si>
  <si>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</si>
  <si>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</si>
  <si>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</si>
  <si>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</si>
  <si>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</si>
  <si>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</si>
  <si>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</si>
  <si>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</si>
  <si>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</si>
  <si>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</si>
  <si>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</si>
  <si>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</si>
  <si>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</si>
  <si>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</si>
  <si>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</si>
  <si>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</si>
  <si>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</si>
  <si>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</si>
  <si>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</si>
  <si>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</si>
  <si>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</si>
  <si>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</si>
  <si>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</si>
  <si>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</si>
  <si>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</si>
  <si>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</si>
  <si>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</si>
  <si>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</si>
  <si>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</si>
  <si>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</si>
  <si>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</si>
  <si>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</si>
  <si>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</si>
  <si>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</si>
  <si>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</si>
  <si>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</si>
  <si>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</si>
  <si>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</si>
  <si>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</si>
  <si>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</si>
  <si>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</si>
  <si>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</si>
  <si>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</si>
  <si>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</si>
  <si>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</si>
  <si>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</si>
  <si>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</si>
  <si>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</si>
  <si>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</si>
  <si>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</si>
  <si>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</si>
  <si>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</si>
  <si>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</si>
  <si>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</si>
  <si>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</si>
  <si>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</si>
  <si>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</si>
  <si>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</si>
  <si>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</si>
  <si>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</si>
  <si>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</si>
  <si>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</si>
  <si>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</si>
  <si>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</si>
  <si>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</si>
  <si>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</si>
  <si>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</si>
  <si>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</si>
  <si>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</si>
  <si>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</si>
  <si>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</si>
  <si>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</si>
  <si>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</si>
  <si>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</si>
  <si>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</si>
  <si>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</si>
  <si>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</si>
  <si>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</si>
  <si>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</si>
  <si>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</si>
  <si>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</si>
  <si>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</si>
  <si>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</si>
  <si>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</si>
  <si>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</si>
  <si>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</si>
  <si>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</si>
  <si>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</si>
  <si>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</si>
  <si>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</si>
  <si>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</si>
  <si>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</si>
  <si>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</si>
  <si>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</si>
  <si>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</si>
  <si>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</si>
  <si>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</si>
  <si>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</si>
  <si>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</si>
  <si>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</si>
  <si>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</si>
  <si>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</si>
  <si>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</si>
  <si>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</si>
  <si>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</si>
  <si>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</si>
  <si>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</si>
  <si>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</si>
  <si>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</si>
  <si>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</si>
  <si>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</si>
  <si>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</si>
  <si>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</si>
  <si>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</si>
  <si>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</si>
  <si>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</si>
  <si>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</si>
  <si>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</si>
  <si>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</si>
  <si>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</si>
  <si>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</si>
  <si>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</si>
  <si>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</si>
  <si>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</si>
  <si>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</si>
  <si>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</si>
  <si>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</si>
  <si>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</si>
  <si>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</si>
  <si>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</si>
  <si>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</si>
  <si>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</si>
  <si>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</si>
  <si>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</si>
  <si>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</si>
  <si>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</si>
  <si>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</si>
  <si>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</si>
  <si>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</si>
  <si>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</si>
  <si>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</si>
  <si>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</si>
  <si>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</si>
  <si>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</si>
  <si>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</si>
  <si>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</si>
  <si>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</si>
  <si>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</si>
  <si>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</si>
  <si>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</si>
  <si>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</si>
  <si>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</si>
  <si>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</si>
  <si>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</si>
  <si>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</si>
  <si>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</si>
  <si>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</si>
  <si>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</si>
  <si>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</si>
  <si>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</si>
  <si>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</si>
  <si>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</si>
  <si>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</si>
  <si>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</si>
  <si>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</si>
  <si>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</si>
  <si>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</si>
  <si>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</si>
  <si>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</si>
  <si>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</si>
  <si>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</si>
  <si>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</si>
  <si>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</si>
  <si>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</si>
  <si>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</si>
  <si>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</si>
  <si>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</si>
  <si>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</si>
  <si>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</si>
  <si>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</si>
  <si>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</si>
  <si>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</si>
  <si>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</si>
  <si>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</si>
  <si>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</si>
  <si>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</si>
  <si>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</si>
  <si>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</si>
  <si>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</si>
  <si>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</si>
  <si>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</si>
  <si>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</si>
  <si>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</si>
  <si>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</si>
  <si>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</si>
  <si>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</si>
  <si>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</si>
  <si>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</si>
  <si>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</si>
  <si>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</si>
  <si>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</si>
  <si>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</si>
  <si>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</si>
  <si>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</si>
  <si>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</si>
  <si>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</si>
  <si>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</si>
  <si>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</si>
  <si>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</si>
  <si>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</si>
  <si>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</si>
  <si>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</si>
  <si>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</si>
  <si>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</si>
  <si>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</si>
  <si>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</si>
  <si>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</si>
  <si>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</si>
  <si>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</si>
  <si>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</si>
  <si>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</si>
  <si>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</si>
  <si>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</si>
  <si>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</si>
  <si>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</si>
  <si>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</si>
  <si>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</si>
  <si>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</si>
  <si>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</si>
  <si>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</si>
  <si>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</si>
  <si>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</si>
  <si>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</si>
  <si>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</si>
  <si>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</si>
  <si>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</si>
  <si>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</si>
  <si>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</si>
  <si>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</si>
  <si>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</si>
  <si>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</si>
  <si>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</si>
  <si>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</si>
  <si>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</si>
  <si>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</si>
  <si>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</si>
  <si>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</si>
  <si>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</si>
  <si>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</si>
  <si>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</si>
  <si>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</si>
  <si>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</si>
  <si>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</si>
  <si>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</si>
  <si>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</si>
  <si>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</si>
  <si>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</si>
  <si>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</si>
  <si>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</si>
  <si>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</si>
  <si>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SuG Melee Weapons</t>
  </si>
  <si>
    <t>Royal Banderium</t>
  </si>
  <si>
    <t>Nobles</t>
  </si>
  <si>
    <t>Lesser Nobles</t>
  </si>
  <si>
    <t>Szekelers</t>
  </si>
  <si>
    <t>Handgunners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</si>
</sst>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</cellXfs>
  <cellStyles count="83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188544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6.950000000000003" customHeight="1">
      <c r="A2" s="81"/>
      <c r="B2" s="56"/>
      <c r="C2" s="231" t="s">
        <v>265</v>
      </c>
      <c r="D2" s="231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.100000000000001" customHeight="1" thickBot="1">
      <c r="A3" s="89"/>
      <c r="B3" s="90"/>
      <c r="C3" s="232" t="s">
        <v>266</v>
      </c>
      <c r="D3" s="232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.100000000000001" customHeight="1">
      <c r="A4" s="89"/>
      <c r="B4" s="90"/>
      <c r="C4" s="229" t="s">
        <v>285</v>
      </c>
      <c r="D4" s="230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.100000000000001" customHeight="1">
      <c r="A5" s="89"/>
      <c r="B5" s="90"/>
      <c r="C5" s="233" t="s">
        <v>286</v>
      </c>
      <c r="D5" s="234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.100000000000001" customHeight="1">
      <c r="A6" s="89"/>
      <c r="B6" s="90"/>
      <c r="C6" s="235" t="s">
        <v>269</v>
      </c>
      <c r="D6" s="236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.100000000000001" customHeight="1">
      <c r="A7" s="89"/>
      <c r="B7" s="90"/>
      <c r="C7" s="235" t="s">
        <v>270</v>
      </c>
      <c r="D7" s="236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.100000000000001" customHeight="1" thickBot="1">
      <c r="A8" s="89"/>
      <c r="B8" s="90"/>
      <c r="C8" s="227" t="s">
        <v>267</v>
      </c>
      <c r="D8" s="228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.100000000000001" customHeight="1">
      <c r="A9" s="89"/>
      <c r="B9" s="90"/>
      <c r="C9" s="229" t="s">
        <v>268</v>
      </c>
      <c r="D9" s="230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20.25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20.25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20.25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42" t="s">
        <v>282</v>
      </c>
      <c r="E13" s="90"/>
      <c r="F13" s="89"/>
      <c r="G13" s="89"/>
      <c r="H13" s="89"/>
    </row>
    <row r="14" spans="1:34" s="103" customFormat="1" ht="21" thickBot="1">
      <c r="A14" s="100"/>
      <c r="B14" s="101"/>
      <c r="C14" s="102" t="s">
        <v>167</v>
      </c>
      <c r="D14" s="243"/>
      <c r="E14" s="101"/>
      <c r="F14" s="100"/>
      <c r="G14" s="100"/>
      <c r="H14" s="100"/>
    </row>
    <row r="15" spans="1:34" s="91" customFormat="1" ht="20.100000000000001" customHeight="1" thickBot="1">
      <c r="A15" s="89"/>
      <c r="B15" s="90"/>
      <c r="C15" s="229" t="s">
        <v>271</v>
      </c>
      <c r="D15" s="230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20.25">
      <c r="A16" s="104"/>
      <c r="B16" s="105"/>
      <c r="C16" s="106" t="s">
        <v>277</v>
      </c>
      <c r="D16" s="239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20.25">
      <c r="A17" s="104"/>
      <c r="B17" s="105"/>
      <c r="C17" s="110" t="s">
        <v>276</v>
      </c>
      <c r="D17" s="240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20.25">
      <c r="A18" s="104"/>
      <c r="B18" s="105"/>
      <c r="C18" s="110" t="s">
        <v>278</v>
      </c>
      <c r="D18" s="240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20.25">
      <c r="A19" s="100"/>
      <c r="B19" s="101"/>
      <c r="C19" s="110" t="s">
        <v>168</v>
      </c>
      <c r="D19" s="240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20.25">
      <c r="A20" s="100"/>
      <c r="B20" s="101"/>
      <c r="C20" s="110" t="s">
        <v>284</v>
      </c>
      <c r="D20" s="240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20.25">
      <c r="A21" s="100"/>
      <c r="B21" s="101"/>
      <c r="C21" s="110" t="s">
        <v>106</v>
      </c>
      <c r="D21" s="240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21" thickBot="1">
      <c r="A22" s="113"/>
      <c r="B22" s="114"/>
      <c r="C22" s="115" t="s">
        <v>275</v>
      </c>
      <c r="D22" s="241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.100000000000001" customHeight="1">
      <c r="A23" s="89"/>
      <c r="B23" s="90"/>
      <c r="C23" s="229" t="s">
        <v>272</v>
      </c>
      <c r="D23" s="230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.100000000000001" customHeight="1">
      <c r="A24" s="89"/>
      <c r="B24" s="90"/>
      <c r="C24" s="237" t="s">
        <v>287</v>
      </c>
      <c r="D24" s="238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.100000000000001" customHeight="1">
      <c r="A25" s="89"/>
      <c r="B25" s="90"/>
      <c r="C25" s="237" t="s">
        <v>273</v>
      </c>
      <c r="D25" s="238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C63" zoomScale="70" zoomScaleNormal="70" zoomScalePageLayoutView="70" workbookViewId="0">
      <selection activeCell="F76" sqref="F76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4" width="18.7109375" style="4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30.95" hidden="1" customHeight="1" outlineLevel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 outlineLevel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332" t="s">
        <v>173</v>
      </c>
      <c r="S2" s="332"/>
      <c r="T2" s="332"/>
      <c r="U2" s="332"/>
      <c r="V2" s="332"/>
      <c r="W2" s="332"/>
      <c r="X2" s="332"/>
      <c r="Y2" s="332"/>
      <c r="Z2" s="332"/>
      <c r="AA2" s="138"/>
      <c r="AB2" s="332" t="s">
        <v>173</v>
      </c>
      <c r="AC2" s="332"/>
      <c r="AD2" s="332"/>
      <c r="AE2" s="332"/>
      <c r="AF2" s="332"/>
      <c r="AG2" s="332"/>
      <c r="AH2" s="332"/>
      <c r="AI2" s="332"/>
      <c r="AJ2" s="332"/>
      <c r="AK2" s="332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.1" hidden="1" customHeight="1" outlineLevel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.1" hidden="1" customHeight="1" outlineLevel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5.95" hidden="1" customHeight="1" outlineLevel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 outlineLevel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4.95" hidden="1" customHeight="1" outlineLevel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 t="s">
        <v>300</v>
      </c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139" t="s">
        <v>67</v>
      </c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333" t="s">
        <v>182</v>
      </c>
      <c r="AC26" s="333"/>
      <c r="AD26" s="333"/>
      <c r="AE26" s="333"/>
      <c r="AF26" s="333"/>
      <c r="AG26" s="333"/>
      <c r="AH26" s="333"/>
      <c r="AI26" s="333"/>
      <c r="AJ26" s="333"/>
      <c r="AK26" s="333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 outlineLevel="1">
      <c r="B27" s="4" t="s">
        <v>293</v>
      </c>
      <c r="F27" s="139" t="s">
        <v>178</v>
      </c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332" t="s">
        <v>182</v>
      </c>
      <c r="S27" s="332"/>
      <c r="T27" s="332"/>
      <c r="U27" s="332"/>
      <c r="V27" s="332"/>
      <c r="W27" s="332"/>
      <c r="X27" s="332"/>
      <c r="Y27" s="332"/>
      <c r="Z27" s="332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139" t="s">
        <v>53</v>
      </c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139" t="s">
        <v>54</v>
      </c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152" t="s">
        <v>50</v>
      </c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1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1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1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78"/>
      <c r="C34" s="4"/>
      <c r="D34" s="39"/>
      <c r="F34" s="152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15</v>
      </c>
      <c r="U38" s="132">
        <v>15</v>
      </c>
      <c r="V38" s="46" t="s">
        <v>109</v>
      </c>
      <c r="W38" s="46" t="s">
        <v>109</v>
      </c>
      <c r="X38" s="46" t="s">
        <v>109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25</v>
      </c>
      <c r="U39" s="132">
        <v>25</v>
      </c>
      <c r="V39" s="46" t="s">
        <v>109</v>
      </c>
      <c r="W39" s="46" t="s">
        <v>109</v>
      </c>
      <c r="X39" s="46" t="s">
        <v>109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30</v>
      </c>
      <c r="U41" s="46">
        <v>30</v>
      </c>
      <c r="V41" s="46" t="s">
        <v>109</v>
      </c>
      <c r="W41" s="46" t="s">
        <v>109</v>
      </c>
      <c r="X41" s="46" t="s">
        <v>109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 t="s">
        <v>109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 t="s">
        <v>109</v>
      </c>
      <c r="W43" s="46" t="s">
        <v>109</v>
      </c>
      <c r="X43" s="46" t="s">
        <v>109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6"/>
      <c r="U50" s="4"/>
      <c r="AB50" s="333" t="s">
        <v>179</v>
      </c>
      <c r="AC50" s="333"/>
      <c r="AD50" s="333"/>
      <c r="AE50" s="333"/>
      <c r="AF50" s="333"/>
      <c r="AG50" s="333"/>
      <c r="AH50" s="333"/>
      <c r="AI50" s="333"/>
      <c r="AJ50" s="333"/>
      <c r="AK50" s="333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58" t="s">
        <v>1</v>
      </c>
      <c r="B63" s="359"/>
      <c r="C63" s="359"/>
      <c r="D63" s="120" t="s">
        <v>20</v>
      </c>
      <c r="E63" s="362" t="s">
        <v>127</v>
      </c>
      <c r="F63" s="359"/>
      <c r="G63" s="334" t="s">
        <v>128</v>
      </c>
      <c r="H63" s="335"/>
      <c r="I63" s="336"/>
      <c r="J63" s="334" t="s">
        <v>141</v>
      </c>
      <c r="K63" s="335"/>
      <c r="L63" s="335"/>
      <c r="M63" s="335"/>
      <c r="N63" s="336"/>
      <c r="O63" s="334" t="s">
        <v>140</v>
      </c>
      <c r="P63" s="335"/>
      <c r="Q63" s="335"/>
      <c r="R63" s="33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360"/>
      <c r="B64" s="361"/>
      <c r="C64" s="361"/>
      <c r="D64" s="82"/>
      <c r="E64" s="360"/>
      <c r="F64" s="361"/>
      <c r="G64" s="83" t="s">
        <v>50</v>
      </c>
      <c r="H64" s="84" t="s">
        <v>50</v>
      </c>
      <c r="I64" s="85" t="s">
        <v>50</v>
      </c>
      <c r="J64" s="337"/>
      <c r="K64" s="338"/>
      <c r="L64" s="338"/>
      <c r="M64" s="338"/>
      <c r="N64" s="339"/>
      <c r="O64" s="348"/>
      <c r="P64" s="349"/>
      <c r="Q64" s="349"/>
      <c r="R64" s="350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355" t="s">
        <v>84</v>
      </c>
      <c r="B65" s="356"/>
      <c r="C65" s="356"/>
      <c r="D65" s="356"/>
      <c r="E65" s="356"/>
      <c r="F65" s="356"/>
      <c r="G65" s="356"/>
      <c r="H65" s="356"/>
      <c r="I65" s="357"/>
      <c r="J65" s="184"/>
      <c r="K65" s="351" t="s">
        <v>82</v>
      </c>
      <c r="L65" s="352"/>
      <c r="M65" s="352"/>
      <c r="N65" s="353"/>
      <c r="O65" s="353"/>
      <c r="P65" s="353"/>
      <c r="Q65" s="353"/>
      <c r="R65" s="354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25" t="s">
        <v>2</v>
      </c>
      <c r="D66" s="325"/>
      <c r="E66" s="325"/>
      <c r="F66" s="325"/>
      <c r="G66" s="189" t="s">
        <v>87</v>
      </c>
      <c r="H66" s="189" t="s">
        <v>0</v>
      </c>
      <c r="I66" s="190" t="s">
        <v>81</v>
      </c>
      <c r="J66" s="310"/>
      <c r="K66" s="313" t="s">
        <v>138</v>
      </c>
      <c r="L66" s="314"/>
      <c r="M66" s="314"/>
      <c r="N66" s="315"/>
      <c r="O66" s="315"/>
      <c r="P66" s="326">
        <f>IFERROR(INT(CM132+CM124/3),0)+1</f>
        <v>10</v>
      </c>
      <c r="Q66" s="327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305" t="s">
        <v>22</v>
      </c>
      <c r="D67" s="305"/>
      <c r="E67" s="305"/>
      <c r="F67" s="305"/>
      <c r="G67" s="196" t="s">
        <v>105</v>
      </c>
      <c r="H67" s="197">
        <f>VLOOKUP(C67,'Standard AB - 17 Tugs, 8 SuGs'!AM3:AO11,2,FALSE)-IF(G67="yes",100,0)</f>
        <v>1600</v>
      </c>
      <c r="I67" s="198">
        <f>VLOOKUP(C67,'Standard AB - 17 Tugs, 8 SuGs'!AM3:AQ138,4,FALSE)</f>
        <v>5</v>
      </c>
      <c r="J67" s="311"/>
      <c r="K67" s="316" t="s">
        <v>139</v>
      </c>
      <c r="L67" s="317"/>
      <c r="M67" s="317"/>
      <c r="N67" s="318"/>
      <c r="O67" s="318"/>
      <c r="P67" s="328">
        <f>IFERROR(INT(CM132/3+CM124),0)</f>
        <v>5</v>
      </c>
      <c r="Q67" s="329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305" t="s">
        <v>24</v>
      </c>
      <c r="D68" s="305"/>
      <c r="E68" s="305"/>
      <c r="F68" s="305"/>
      <c r="G68" s="86" t="s">
        <v>89</v>
      </c>
      <c r="H68" s="197">
        <f>VLOOKUP(C68,'Standard AB - 17 Tugs, 8 SuGs'!AM3:AO11,3,FALSE)-IF(G68="yes",$AP$15,0)</f>
        <v>600</v>
      </c>
      <c r="I68" s="198">
        <f>VLOOKUP(C68,'Standard AB - 17 Tugs, 8 SuGs'!AM3:AQ11,4,FALSE)</f>
        <v>3</v>
      </c>
      <c r="J68" s="311"/>
      <c r="K68" s="343" t="s">
        <v>161</v>
      </c>
      <c r="L68" s="344"/>
      <c r="M68" s="344"/>
      <c r="N68" s="345"/>
      <c r="O68" s="345"/>
      <c r="P68" s="346">
        <f>INT((SUMPRODUCT((A76:A99 &lt;&gt; "")/COUNTIF(A76:A99,A76:A99 &amp; ""))+1)/2)</f>
        <v>5</v>
      </c>
      <c r="Q68" s="346"/>
      <c r="R68" s="347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305" t="s">
        <v>24</v>
      </c>
      <c r="D69" s="305"/>
      <c r="E69" s="305"/>
      <c r="F69" s="305"/>
      <c r="G69" s="86" t="s">
        <v>89</v>
      </c>
      <c r="H69" s="197">
        <f>IFERROR(VLOOKUP(C69,'Standard AB - 17 Tugs, 8 SuGs'!AM4:AO12,3,FALSE)-IF(G69="yes",$AP$15,0),0)</f>
        <v>600</v>
      </c>
      <c r="I69" s="198">
        <f>IFERROR(VLOOKUP(C69,'Standard AB - 17 Tugs, 8 SuGs'!AM3:AQ11,4,FALSE),0)</f>
        <v>3</v>
      </c>
      <c r="J69" s="311"/>
      <c r="K69" s="343"/>
      <c r="L69" s="344"/>
      <c r="M69" s="344"/>
      <c r="N69" s="345"/>
      <c r="O69" s="345"/>
      <c r="P69" s="346"/>
      <c r="Q69" s="346"/>
      <c r="R69" s="347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305" t="s">
        <v>24</v>
      </c>
      <c r="D70" s="305"/>
      <c r="E70" s="305"/>
      <c r="F70" s="305"/>
      <c r="G70" s="207" t="s">
        <v>89</v>
      </c>
      <c r="H70" s="197">
        <f>IFERROR(VLOOKUP(C70,'Standard AB - 17 Tugs, 8 SuGs'!AM5:AO13,3,FALSE)-IF(G70="yes",$AP$15,0),0)</f>
        <v>600</v>
      </c>
      <c r="I70" s="208">
        <f>IFERROR(VLOOKUP(C70,'Standard AB - 17 Tugs, 8 SuGs'!AM3:AQ11,4,FALSE),0)</f>
        <v>3</v>
      </c>
      <c r="J70" s="311"/>
      <c r="K70" s="319" t="s">
        <v>100</v>
      </c>
      <c r="L70" s="320"/>
      <c r="M70" s="320"/>
      <c r="N70" s="321"/>
      <c r="O70" s="321"/>
      <c r="P70" s="301">
        <f>Q133</f>
        <v>10352</v>
      </c>
      <c r="Q70" s="301"/>
      <c r="R70" s="302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307" t="s">
        <v>264</v>
      </c>
      <c r="B71" s="308"/>
      <c r="C71" s="308"/>
      <c r="D71" s="308"/>
      <c r="E71" s="308"/>
      <c r="F71" s="308"/>
      <c r="G71" s="308"/>
      <c r="H71" s="308"/>
      <c r="I71" s="309"/>
      <c r="J71" s="312"/>
      <c r="K71" s="322"/>
      <c r="L71" s="323"/>
      <c r="M71" s="323"/>
      <c r="N71" s="324"/>
      <c r="O71" s="324"/>
      <c r="P71" s="303"/>
      <c r="Q71" s="303"/>
      <c r="R71" s="304"/>
      <c r="U71" s="4"/>
      <c r="W71" s="27"/>
      <c r="AD71" s="19"/>
      <c r="AE71" s="19"/>
      <c r="AF71" s="12"/>
      <c r="BI71" s="330" t="s">
        <v>6</v>
      </c>
      <c r="BJ71" s="306" t="s">
        <v>80</v>
      </c>
      <c r="BK71" s="306"/>
      <c r="BL71" s="306"/>
      <c r="BM71" s="306"/>
      <c r="BN71" s="306"/>
      <c r="BO71" s="306"/>
      <c r="BP71" s="306"/>
      <c r="BQ71" s="306"/>
      <c r="BR71" s="306"/>
      <c r="BS71" s="306"/>
      <c r="BT71" s="306"/>
      <c r="BU71" s="306"/>
      <c r="BV71" s="306"/>
      <c r="BW71" s="306"/>
      <c r="BX71" s="306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292" t="s">
        <v>142</v>
      </c>
      <c r="B72" s="290" t="s">
        <v>6</v>
      </c>
      <c r="C72" s="290" t="s">
        <v>2</v>
      </c>
      <c r="D72" s="284" t="s">
        <v>46</v>
      </c>
      <c r="E72" s="299" t="s">
        <v>47</v>
      </c>
      <c r="F72" s="299" t="s">
        <v>207</v>
      </c>
      <c r="G72" s="299" t="s">
        <v>210</v>
      </c>
      <c r="H72" s="290" t="s">
        <v>14</v>
      </c>
      <c r="I72" s="291"/>
      <c r="J72" s="340" t="s">
        <v>49</v>
      </c>
      <c r="K72" s="341"/>
      <c r="L72" s="341"/>
      <c r="M72" s="341"/>
      <c r="N72" s="342"/>
      <c r="O72" s="284" t="s">
        <v>7</v>
      </c>
      <c r="P72" s="286" t="s">
        <v>18</v>
      </c>
      <c r="Q72" s="286" t="s">
        <v>19</v>
      </c>
      <c r="R72" s="288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0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293"/>
      <c r="B73" s="294"/>
      <c r="C73" s="294"/>
      <c r="D73" s="285"/>
      <c r="E73" s="300"/>
      <c r="F73" s="300"/>
      <c r="G73" s="300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85"/>
      <c r="P73" s="287"/>
      <c r="Q73" s="287"/>
      <c r="R73" s="289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1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244" t="s">
        <v>94</v>
      </c>
      <c r="CE73" s="244" t="s">
        <v>202</v>
      </c>
      <c r="CF73" s="244" t="s">
        <v>184</v>
      </c>
      <c r="CG73" s="244" t="s">
        <v>110</v>
      </c>
      <c r="CH73" s="244" t="s">
        <v>95</v>
      </c>
      <c r="CI73" s="244" t="s">
        <v>96</v>
      </c>
      <c r="CJ73" s="220"/>
      <c r="CK73" s="246" t="s">
        <v>199</v>
      </c>
      <c r="CL73" s="245" t="s">
        <v>97</v>
      </c>
      <c r="CM73" s="245" t="s">
        <v>111</v>
      </c>
      <c r="CN73" s="245" t="s">
        <v>211</v>
      </c>
      <c r="CO73" s="192"/>
      <c r="CP73" s="192"/>
    </row>
    <row r="74" spans="1:94" ht="17.100000000000001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4"/>
      <c r="CE74" s="244"/>
      <c r="CF74" s="244"/>
      <c r="CG74" s="244"/>
      <c r="CH74" s="244"/>
      <c r="CI74" s="244"/>
      <c r="CJ74" s="34"/>
      <c r="CK74" s="246"/>
      <c r="CL74" s="245"/>
      <c r="CM74" s="245"/>
      <c r="CN74" s="245"/>
      <c r="CO74" s="33"/>
      <c r="CP74" s="33"/>
    </row>
    <row r="75" spans="1:94" ht="17.100000000000001" customHeight="1" thickBot="1">
      <c r="A75" s="295" t="s">
        <v>143</v>
      </c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7" t="s">
        <v>171</v>
      </c>
      <c r="Q75" s="297"/>
      <c r="R75" s="298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7.100000000000001" customHeight="1" thickBot="1">
      <c r="A76" s="118">
        <v>1</v>
      </c>
      <c r="B76" s="119" t="s">
        <v>301</v>
      </c>
      <c r="C76" s="86" t="s">
        <v>43</v>
      </c>
      <c r="D76" s="87" t="s">
        <v>159</v>
      </c>
      <c r="E76" s="87" t="s">
        <v>38</v>
      </c>
      <c r="F76" s="87" t="s">
        <v>261</v>
      </c>
      <c r="G76" s="87" t="s">
        <v>67</v>
      </c>
      <c r="H76" s="87" t="s">
        <v>50</v>
      </c>
      <c r="I76" s="87" t="s">
        <v>50</v>
      </c>
      <c r="J76" s="87" t="s">
        <v>52</v>
      </c>
      <c r="K76" s="87" t="s">
        <v>50</v>
      </c>
      <c r="L76" s="87" t="s">
        <v>50</v>
      </c>
      <c r="M76" s="87" t="s">
        <v>50</v>
      </c>
      <c r="N76" s="87" t="s">
        <v>50</v>
      </c>
      <c r="O76" s="87">
        <v>6</v>
      </c>
      <c r="P76" s="24">
        <f t="shared" ref="P76:P99" si="0">IFERROR(IF(A76&gt;0,BX76,0),0)</f>
        <v>218</v>
      </c>
      <c r="Q76" s="25">
        <f>IFERROR(IF(76&gt;0,O76*P76,0),0)</f>
        <v>1308</v>
      </c>
      <c r="R76" s="26">
        <f t="shared" ref="R76:R99" si="1">IF(O76=0,0,O76/IF(D76="Skirmisher",3,2)+0.5)</f>
        <v>3.5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Royal Banderium</v>
      </c>
      <c r="BJ76" s="29">
        <f>VLOOKUP(C76,'Standard AB - 17 Tugs, 8 SuGs'!$B$13:$C$21,2,FALSE)</f>
        <v>3</v>
      </c>
      <c r="BK76" s="29">
        <f>VLOOKUP(D76,'Standard AB - 17 Tugs, 8 SuGs'!$B$2:$K$11,'Standard AB - 17 Tugs, 8 SuGs'!BJ76,FALSE)</f>
        <v>80</v>
      </c>
      <c r="BL76" s="29">
        <f>VLOOKUP(G76,'Standard AB - 17 Tugs, 8 SuGs'!$R$3:$Z$21,BJ76,FALSE)</f>
        <v>25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20</v>
      </c>
      <c r="BO76" s="29">
        <f>IFERROR(VLOOKUP(K76,'Standard AB - 17 Tugs, 8 SuGs'!$AB$3:$AK$55,$BJ76,FALSE),0)</f>
        <v>0</v>
      </c>
      <c r="BP76" s="29">
        <f>IFERROR(VLOOKUP(L76,'Standard AB - 17 Tugs, 8 SuGs'!$AB$3:$AK$55,$BJ76,FALSE),0)</f>
        <v>0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125</v>
      </c>
      <c r="BT76" s="29"/>
      <c r="BU76" s="31">
        <f>VLOOKUP(E76,'Standard AB - 17 Tugs, 8 SuGs'!$M$2:$N$5,2,0)</f>
        <v>1.4</v>
      </c>
      <c r="BV76" s="31">
        <f>VLOOKUP(F76,'Standard AB - 17 Tugs, 8 SuGs'!$M$14:$N$19,2,0)</f>
        <v>1.25</v>
      </c>
      <c r="BW76" s="29">
        <f>IF(BM76=0,1,VLOOKUP(H76,'Standard AB - 17 Tugs, 8 SuGs'!$M$8:$N$12,2,FALSE))</f>
        <v>1</v>
      </c>
      <c r="BX76" s="32">
        <f>INT(BS76*BU76*BV76+BM76*BW76)</f>
        <v>218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6</v>
      </c>
      <c r="CN76" s="29">
        <f t="shared" ref="CN76:CN99" si="13">(O76*CI76-CL76)*CK76</f>
        <v>0</v>
      </c>
      <c r="CO76" s="33"/>
      <c r="CP76" s="33"/>
    </row>
    <row r="77" spans="1:94" ht="17.100000000000001" customHeight="1" thickBot="1">
      <c r="A77" s="118">
        <v>2</v>
      </c>
      <c r="B77" s="119" t="s">
        <v>302</v>
      </c>
      <c r="C77" s="86" t="s">
        <v>43</v>
      </c>
      <c r="D77" s="87" t="s">
        <v>159</v>
      </c>
      <c r="E77" s="87" t="s">
        <v>38</v>
      </c>
      <c r="F77" s="87" t="s">
        <v>261</v>
      </c>
      <c r="G77" s="87" t="s">
        <v>67</v>
      </c>
      <c r="H77" s="87" t="s">
        <v>50</v>
      </c>
      <c r="I77" s="87" t="s">
        <v>50</v>
      </c>
      <c r="J77" s="87" t="s">
        <v>52</v>
      </c>
      <c r="K77" s="87" t="s">
        <v>50</v>
      </c>
      <c r="L77" s="87" t="s">
        <v>50</v>
      </c>
      <c r="M77" s="87" t="s">
        <v>50</v>
      </c>
      <c r="N77" s="87" t="s">
        <v>50</v>
      </c>
      <c r="O77" s="87">
        <v>2</v>
      </c>
      <c r="P77" s="24">
        <f t="shared" si="0"/>
        <v>218</v>
      </c>
      <c r="Q77" s="25">
        <f t="shared" ref="Q77:Q118" si="14">IFERROR(IF(76&gt;0,O77*P77,0),0)</f>
        <v>436</v>
      </c>
      <c r="R77" s="26">
        <f t="shared" si="1"/>
        <v>1.5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Nobles</v>
      </c>
      <c r="BJ77" s="29">
        <f>VLOOKUP(C77,'Standard AB - 17 Tugs, 8 SuGs'!$B$13:$C$21,2,FALSE)</f>
        <v>3</v>
      </c>
      <c r="BK77" s="29">
        <f>VLOOKUP(D77,'Standard AB - 17 Tugs, 8 SuGs'!$B$2:$K$11,'Standard AB - 17 Tugs, 8 SuGs'!BJ77,FALSE)</f>
        <v>80</v>
      </c>
      <c r="BL77" s="29">
        <f>VLOOKUP(G77,'Standard AB - 17 Tugs, 8 SuGs'!$R$3:$Z$21,BJ77,FALSE)</f>
        <v>25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20</v>
      </c>
      <c r="BO77" s="29">
        <f>IFERROR(VLOOKUP(K77,'Standard AB - 17 Tugs, 8 SuGs'!$AB$3:$AK$55,$BJ77,FALSE),0)</f>
        <v>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125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1.25</v>
      </c>
      <c r="BW77" s="29">
        <f>IF(BM77=0,1,VLOOKUP(H77,'Standard AB - 17 Tugs, 8 SuGs'!$M$8:$N$12,2,FALSE))</f>
        <v>1</v>
      </c>
      <c r="BX77" s="32">
        <f t="shared" ref="BX77:BX99" si="15">INT(BS77*BU77*BV77+BM77*BW77)</f>
        <v>218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2</v>
      </c>
      <c r="CN77" s="29">
        <f t="shared" si="13"/>
        <v>0</v>
      </c>
      <c r="CO77" s="33"/>
      <c r="CP77" s="33"/>
    </row>
    <row r="78" spans="1:94" ht="17.100000000000001" customHeight="1" thickBot="1">
      <c r="A78" s="118">
        <v>2</v>
      </c>
      <c r="B78" s="119" t="s">
        <v>303</v>
      </c>
      <c r="C78" s="86" t="s">
        <v>43</v>
      </c>
      <c r="D78" s="87" t="s">
        <v>159</v>
      </c>
      <c r="E78" s="87" t="s">
        <v>38</v>
      </c>
      <c r="F78" s="87" t="s">
        <v>51</v>
      </c>
      <c r="G78" s="87" t="s">
        <v>67</v>
      </c>
      <c r="H78" s="87" t="s">
        <v>50</v>
      </c>
      <c r="I78" s="87" t="s">
        <v>50</v>
      </c>
      <c r="J78" s="87" t="s">
        <v>52</v>
      </c>
      <c r="K78" s="87" t="s">
        <v>50</v>
      </c>
      <c r="L78" s="87" t="s">
        <v>50</v>
      </c>
      <c r="M78" s="87" t="s">
        <v>50</v>
      </c>
      <c r="N78" s="87" t="s">
        <v>50</v>
      </c>
      <c r="O78" s="87">
        <v>2</v>
      </c>
      <c r="P78" s="24">
        <f t="shared" si="0"/>
        <v>175</v>
      </c>
      <c r="Q78" s="25">
        <f t="shared" si="14"/>
        <v>350</v>
      </c>
      <c r="R78" s="26">
        <f t="shared" si="1"/>
        <v>1.5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Lesser Nobles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80</v>
      </c>
      <c r="BL78" s="29">
        <f>VLOOKUP(G78,'Standard AB - 17 Tugs, 8 SuGs'!$R$3:$Z$21,BJ78,FALSE)</f>
        <v>25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20</v>
      </c>
      <c r="BO78" s="29">
        <f>IFERROR(VLOOKUP(K78,'Standard AB - 17 Tugs, 8 SuGs'!$AB$3:$AK$55,$BJ78,FALSE),0)</f>
        <v>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125</v>
      </c>
      <c r="BT78" s="29"/>
      <c r="BU78" s="31">
        <f>VLOOKUP(E78,'Standard AB - 17 Tugs, 8 SuGs'!$M$2:$N$5,2,0)</f>
        <v>1.4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175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2</v>
      </c>
      <c r="CN78" s="29">
        <f t="shared" si="13"/>
        <v>0</v>
      </c>
      <c r="CO78" s="33"/>
      <c r="CP78" s="33"/>
    </row>
    <row r="79" spans="1:94" ht="17.100000000000001" customHeight="1" thickBot="1">
      <c r="A79" s="118">
        <v>3</v>
      </c>
      <c r="B79" s="119" t="s">
        <v>302</v>
      </c>
      <c r="C79" s="86" t="s">
        <v>43</v>
      </c>
      <c r="D79" s="87" t="s">
        <v>159</v>
      </c>
      <c r="E79" s="87" t="s">
        <v>38</v>
      </c>
      <c r="F79" s="87" t="s">
        <v>261</v>
      </c>
      <c r="G79" s="87" t="s">
        <v>67</v>
      </c>
      <c r="H79" s="87" t="s">
        <v>50</v>
      </c>
      <c r="I79" s="87" t="s">
        <v>50</v>
      </c>
      <c r="J79" s="87" t="s">
        <v>52</v>
      </c>
      <c r="K79" s="87" t="s">
        <v>50</v>
      </c>
      <c r="L79" s="87" t="s">
        <v>50</v>
      </c>
      <c r="M79" s="87" t="s">
        <v>50</v>
      </c>
      <c r="N79" s="87" t="s">
        <v>50</v>
      </c>
      <c r="O79" s="87">
        <v>2</v>
      </c>
      <c r="P79" s="24">
        <f t="shared" si="0"/>
        <v>218</v>
      </c>
      <c r="Q79" s="25">
        <f t="shared" si="14"/>
        <v>436</v>
      </c>
      <c r="R79" s="26">
        <f t="shared" si="1"/>
        <v>1.5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Nobles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25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20</v>
      </c>
      <c r="BO79" s="29">
        <f>IFERROR(VLOOKUP(K79,'Standard AB - 17 Tugs, 8 SuGs'!$AB$3:$AK$55,$BJ79,FALSE),0)</f>
        <v>0</v>
      </c>
      <c r="BP79" s="29">
        <f>IFERROR(VLOOKUP(L79,'Standard AB - 17 Tugs, 8 SuGs'!$AB$3:$AK$55,$BJ79,FALSE),0)</f>
        <v>0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125</v>
      </c>
      <c r="BT79" s="29"/>
      <c r="BU79" s="31">
        <f>VLOOKUP(E79,'Standard AB - 17 Tugs, 8 SuGs'!$M$2:$N$5,2,0)</f>
        <v>1.4</v>
      </c>
      <c r="BV79" s="31">
        <f>VLOOKUP(F79,'Standard AB - 17 Tugs, 8 SuGs'!$M$14:$N$19,2,0)</f>
        <v>1.25</v>
      </c>
      <c r="BW79" s="29">
        <f>IF(BM79=0,1,VLOOKUP(H79,'Standard AB - 17 Tugs, 8 SuGs'!$M$8:$N$12,2,FALSE))</f>
        <v>1</v>
      </c>
      <c r="BX79" s="32">
        <f t="shared" si="15"/>
        <v>218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2</v>
      </c>
      <c r="CN79" s="29">
        <f t="shared" si="13"/>
        <v>0</v>
      </c>
      <c r="CO79" s="33"/>
      <c r="CP79" s="33"/>
    </row>
    <row r="80" spans="1:94" ht="17.100000000000001" customHeight="1" thickBot="1">
      <c r="A80" s="118">
        <v>3</v>
      </c>
      <c r="B80" s="119" t="s">
        <v>303</v>
      </c>
      <c r="C80" s="86" t="s">
        <v>43</v>
      </c>
      <c r="D80" s="87" t="s">
        <v>159</v>
      </c>
      <c r="E80" s="87" t="s">
        <v>38</v>
      </c>
      <c r="F80" s="87" t="s">
        <v>51</v>
      </c>
      <c r="G80" s="87" t="s">
        <v>67</v>
      </c>
      <c r="H80" s="87" t="s">
        <v>50</v>
      </c>
      <c r="I80" s="87" t="s">
        <v>50</v>
      </c>
      <c r="J80" s="87" t="s">
        <v>52</v>
      </c>
      <c r="K80" s="87" t="s">
        <v>50</v>
      </c>
      <c r="L80" s="87" t="s">
        <v>50</v>
      </c>
      <c r="M80" s="87" t="s">
        <v>50</v>
      </c>
      <c r="N80" s="87" t="s">
        <v>50</v>
      </c>
      <c r="O80" s="87">
        <v>2</v>
      </c>
      <c r="P80" s="24">
        <f t="shared" si="0"/>
        <v>175</v>
      </c>
      <c r="Q80" s="25">
        <f t="shared" si="14"/>
        <v>350</v>
      </c>
      <c r="R80" s="26">
        <f t="shared" si="1"/>
        <v>1.5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Lesser Nobles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80</v>
      </c>
      <c r="BL80" s="29">
        <f>VLOOKUP(G80,'Standard AB - 17 Tugs, 8 SuGs'!$R$3:$Z$21,BJ80,FALSE)</f>
        <v>25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20</v>
      </c>
      <c r="BO80" s="29">
        <f>IFERROR(VLOOKUP(K80,'Standard AB - 17 Tugs, 8 SuGs'!$AB$3:$AK$55,$BJ80,FALSE),0)</f>
        <v>0</v>
      </c>
      <c r="BP80" s="29">
        <f>IFERROR(VLOOKUP(L80,'Standard AB - 17 Tugs, 8 SuGs'!$AB$3:$AK$55,$BJ80,FALSE),0)</f>
        <v>0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125</v>
      </c>
      <c r="BT80" s="29"/>
      <c r="BU80" s="31">
        <f>VLOOKUP(E80,'Standard AB - 17 Tugs, 8 SuGs'!$M$2:$N$5,2,0)</f>
        <v>1.4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175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0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2</v>
      </c>
      <c r="CN80" s="29">
        <f t="shared" si="13"/>
        <v>0</v>
      </c>
      <c r="CO80" s="33"/>
      <c r="CP80" s="33"/>
    </row>
    <row r="81" spans="1:94" ht="17.100000000000001" customHeight="1" thickBot="1">
      <c r="A81" s="118">
        <v>4</v>
      </c>
      <c r="B81" s="119" t="s">
        <v>302</v>
      </c>
      <c r="C81" s="86" t="s">
        <v>43</v>
      </c>
      <c r="D81" s="87" t="s">
        <v>159</v>
      </c>
      <c r="E81" s="87" t="s">
        <v>38</v>
      </c>
      <c r="F81" s="87" t="s">
        <v>261</v>
      </c>
      <c r="G81" s="87" t="s">
        <v>67</v>
      </c>
      <c r="H81" s="87" t="s">
        <v>50</v>
      </c>
      <c r="I81" s="87" t="s">
        <v>50</v>
      </c>
      <c r="J81" s="87" t="s">
        <v>52</v>
      </c>
      <c r="K81" s="87" t="s">
        <v>50</v>
      </c>
      <c r="L81" s="87" t="s">
        <v>50</v>
      </c>
      <c r="M81" s="87" t="s">
        <v>50</v>
      </c>
      <c r="N81" s="87" t="s">
        <v>50</v>
      </c>
      <c r="O81" s="87">
        <v>2</v>
      </c>
      <c r="P81" s="24">
        <f t="shared" si="0"/>
        <v>218</v>
      </c>
      <c r="Q81" s="25">
        <f t="shared" si="14"/>
        <v>436</v>
      </c>
      <c r="R81" s="26">
        <f t="shared" si="1"/>
        <v>1.5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Nobles</v>
      </c>
      <c r="BJ81" s="29">
        <f>VLOOKUP(C81,'Standard AB - 17 Tugs, 8 SuGs'!$B$13:$C$21,2,FALSE)</f>
        <v>3</v>
      </c>
      <c r="BK81" s="29">
        <f>VLOOKUP(D81,'Standard AB - 17 Tugs, 8 SuGs'!$B$2:$K$11,'Standard AB - 17 Tugs, 8 SuGs'!BJ81,FALSE)</f>
        <v>80</v>
      </c>
      <c r="BL81" s="29">
        <f>VLOOKUP(G81,'Standard AB - 17 Tugs, 8 SuGs'!$R$3:$Z$21,BJ81,FALSE)</f>
        <v>25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20</v>
      </c>
      <c r="BO81" s="29">
        <f>IFERROR(VLOOKUP(K81,'Standard AB - 17 Tugs, 8 SuGs'!$AB$3:$AK$55,$BJ81,FALSE),0)</f>
        <v>0</v>
      </c>
      <c r="BP81" s="29">
        <f>IFERROR(VLOOKUP(L81,'Standard AB - 17 Tugs, 8 SuGs'!$AB$3:$AK$55,$BJ81,FALSE),0)</f>
        <v>0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125</v>
      </c>
      <c r="BT81" s="29"/>
      <c r="BU81" s="31">
        <f>VLOOKUP(E81,'Standard AB - 17 Tugs, 8 SuGs'!$M$2:$N$5,2,0)</f>
        <v>1.4</v>
      </c>
      <c r="BV81" s="31">
        <f>VLOOKUP(F81,'Standard AB - 17 Tugs, 8 SuGs'!$M$14:$N$19,2,0)</f>
        <v>1.25</v>
      </c>
      <c r="BW81" s="29">
        <f>IF(BM81=0,1,VLOOKUP(H81,'Standard AB - 17 Tugs, 8 SuGs'!$M$8:$N$12,2,FALSE))</f>
        <v>1</v>
      </c>
      <c r="BX81" s="32">
        <f t="shared" si="15"/>
        <v>218</v>
      </c>
      <c r="BY81" s="32"/>
      <c r="BZ81" s="32"/>
      <c r="CA81" s="32"/>
      <c r="CB81" s="32"/>
      <c r="CC81" s="33"/>
      <c r="CD81" s="29">
        <f t="shared" si="4"/>
        <v>1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2</v>
      </c>
      <c r="CN81" s="29">
        <f t="shared" si="13"/>
        <v>0</v>
      </c>
      <c r="CO81" s="33"/>
      <c r="CP81" s="33"/>
    </row>
    <row r="82" spans="1:94" ht="17.100000000000001" customHeight="1" thickBot="1">
      <c r="A82" s="118">
        <v>4</v>
      </c>
      <c r="B82" s="119" t="s">
        <v>303</v>
      </c>
      <c r="C82" s="86" t="s">
        <v>43</v>
      </c>
      <c r="D82" s="87" t="s">
        <v>159</v>
      </c>
      <c r="E82" s="87" t="s">
        <v>38</v>
      </c>
      <c r="F82" s="87" t="s">
        <v>51</v>
      </c>
      <c r="G82" s="87" t="s">
        <v>67</v>
      </c>
      <c r="H82" s="87" t="s">
        <v>50</v>
      </c>
      <c r="I82" s="87" t="s">
        <v>50</v>
      </c>
      <c r="J82" s="87" t="s">
        <v>52</v>
      </c>
      <c r="K82" s="87" t="s">
        <v>50</v>
      </c>
      <c r="L82" s="87" t="s">
        <v>50</v>
      </c>
      <c r="M82" s="87" t="s">
        <v>50</v>
      </c>
      <c r="N82" s="87" t="s">
        <v>50</v>
      </c>
      <c r="O82" s="87">
        <v>2</v>
      </c>
      <c r="P82" s="24">
        <f t="shared" si="0"/>
        <v>175</v>
      </c>
      <c r="Q82" s="25">
        <f t="shared" si="14"/>
        <v>350</v>
      </c>
      <c r="R82" s="26">
        <f t="shared" si="1"/>
        <v>1.5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Lesser Nobles</v>
      </c>
      <c r="BJ82" s="29">
        <f>VLOOKUP(C82,'Standard AB - 17 Tugs, 8 SuGs'!$B$13:$C$21,2,FALSE)</f>
        <v>3</v>
      </c>
      <c r="BK82" s="29">
        <f>VLOOKUP(D82,'Standard AB - 17 Tugs, 8 SuGs'!$B$2:$K$11,'Standard AB - 17 Tugs, 8 SuGs'!BJ82,FALSE)</f>
        <v>80</v>
      </c>
      <c r="BL82" s="29">
        <f>VLOOKUP(G82,'Standard AB - 17 Tugs, 8 SuGs'!$R$3:$Z$21,BJ82,FALSE)</f>
        <v>25</v>
      </c>
      <c r="BM82" s="30">
        <f>VLOOKUP(I82,'Standard AB - 17 Tugs, 8 SuGs'!$R$12:$Z$21,BJ82,FALSE)</f>
        <v>0</v>
      </c>
      <c r="BN82" s="29">
        <f>IFERROR(VLOOKUP(J82,'Standard AB - 17 Tugs, 8 SuGs'!$AB$3:$AK$55,$BJ82,FALSE),0)</f>
        <v>20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125</v>
      </c>
      <c r="BT82" s="29"/>
      <c r="BU82" s="31">
        <f>VLOOKUP(E82,'Standard AB - 17 Tugs, 8 SuGs'!$M$2:$N$5,2,0)</f>
        <v>1.4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175</v>
      </c>
      <c r="BY82" s="32"/>
      <c r="BZ82" s="32"/>
      <c r="CA82" s="32"/>
      <c r="CB82" s="32"/>
      <c r="CC82" s="33"/>
      <c r="CD82" s="29">
        <f t="shared" si="4"/>
        <v>1</v>
      </c>
      <c r="CE82" s="29">
        <f t="shared" si="5"/>
        <v>0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2</v>
      </c>
      <c r="CN82" s="29">
        <f t="shared" si="13"/>
        <v>0</v>
      </c>
      <c r="CO82" s="33"/>
      <c r="CP82" s="33"/>
    </row>
    <row r="83" spans="1:94" ht="17.100000000000001" customHeight="1" thickBot="1">
      <c r="A83" s="118">
        <v>5</v>
      </c>
      <c r="B83" s="119" t="s">
        <v>304</v>
      </c>
      <c r="C83" s="86" t="s">
        <v>43</v>
      </c>
      <c r="D83" s="87" t="s">
        <v>35</v>
      </c>
      <c r="E83" s="87" t="s">
        <v>10</v>
      </c>
      <c r="F83" s="87" t="s">
        <v>51</v>
      </c>
      <c r="G83" s="87" t="s">
        <v>54</v>
      </c>
      <c r="H83" s="87" t="s">
        <v>118</v>
      </c>
      <c r="I83" s="87" t="s">
        <v>59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>
        <v>4</v>
      </c>
      <c r="P83" s="24">
        <f t="shared" si="0"/>
        <v>140</v>
      </c>
      <c r="Q83" s="25">
        <f t="shared" si="14"/>
        <v>560</v>
      </c>
      <c r="R83" s="26">
        <f t="shared" si="1"/>
        <v>2.5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Szekelers</v>
      </c>
      <c r="BJ83" s="29">
        <f>VLOOKUP(C83,'Standard AB - 17 Tugs, 8 SuGs'!$B$13:$C$21,2,FALSE)</f>
        <v>3</v>
      </c>
      <c r="BK83" s="29">
        <f>VLOOKUP(D83,'Standard AB - 17 Tugs, 8 SuGs'!$B$2:$K$11,'Standard AB - 17 Tugs, 8 SuGs'!BJ83,FALSE)</f>
        <v>90</v>
      </c>
      <c r="BL83" s="29">
        <f>VLOOKUP(G83,'Standard AB - 17 Tugs, 8 SuGs'!$R$3:$Z$21,BJ83,FALSE)</f>
        <v>10</v>
      </c>
      <c r="BM83" s="30">
        <f>VLOOKUP(I83,'Standard AB - 17 Tugs, 8 SuGs'!$R$12:$Z$21,BJ83,FALSE)</f>
        <v>40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100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140</v>
      </c>
      <c r="BY83" s="32"/>
      <c r="BZ83" s="32"/>
      <c r="CA83" s="32"/>
      <c r="CB83" s="32"/>
      <c r="CC83" s="33"/>
      <c r="CD83" s="29">
        <f t="shared" si="4"/>
        <v>1</v>
      </c>
      <c r="CE83" s="29">
        <f t="shared" si="5"/>
        <v>1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8</v>
      </c>
      <c r="CN83" s="29">
        <f t="shared" si="13"/>
        <v>0</v>
      </c>
      <c r="CO83" s="33"/>
      <c r="CP83" s="33"/>
    </row>
    <row r="84" spans="1:94" ht="17.100000000000001" customHeight="1" thickBot="1">
      <c r="A84" s="118">
        <v>6</v>
      </c>
      <c r="B84" s="119" t="s">
        <v>304</v>
      </c>
      <c r="C84" s="86" t="s">
        <v>43</v>
      </c>
      <c r="D84" s="87" t="s">
        <v>35</v>
      </c>
      <c r="E84" s="87" t="s">
        <v>10</v>
      </c>
      <c r="F84" s="87" t="s">
        <v>51</v>
      </c>
      <c r="G84" s="87" t="s">
        <v>54</v>
      </c>
      <c r="H84" s="87" t="s">
        <v>118</v>
      </c>
      <c r="I84" s="87" t="s">
        <v>59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>
        <v>4</v>
      </c>
      <c r="P84" s="24">
        <f t="shared" si="0"/>
        <v>140</v>
      </c>
      <c r="Q84" s="25">
        <f t="shared" si="14"/>
        <v>560</v>
      </c>
      <c r="R84" s="26">
        <f t="shared" si="1"/>
        <v>2.5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Szekelers</v>
      </c>
      <c r="BJ84" s="29">
        <f>VLOOKUP(C84,'Standard AB - 17 Tugs, 8 SuGs'!$B$13:$C$21,2,FALSE)</f>
        <v>3</v>
      </c>
      <c r="BK84" s="29">
        <f>VLOOKUP(D84,'Standard AB - 17 Tugs, 8 SuGs'!$B$2:$K$11,'Standard AB - 17 Tugs, 8 SuGs'!BJ84,FALSE)</f>
        <v>90</v>
      </c>
      <c r="BL84" s="29">
        <f>VLOOKUP(G84,'Standard AB - 17 Tugs, 8 SuGs'!$R$3:$Z$21,BJ84,FALSE)</f>
        <v>10</v>
      </c>
      <c r="BM84" s="30">
        <f>VLOOKUP(I84,'Standard AB - 17 Tugs, 8 SuGs'!$R$12:$Z$21,BJ84,FALSE)</f>
        <v>40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100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140</v>
      </c>
      <c r="BY84" s="32"/>
      <c r="BZ84" s="32"/>
      <c r="CA84" s="32"/>
      <c r="CB84" s="32"/>
      <c r="CC84" s="33"/>
      <c r="CD84" s="29">
        <f t="shared" si="4"/>
        <v>1</v>
      </c>
      <c r="CE84" s="29">
        <f t="shared" si="5"/>
        <v>1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8</v>
      </c>
      <c r="CN84" s="29">
        <f t="shared" si="13"/>
        <v>0</v>
      </c>
      <c r="CO84" s="33"/>
      <c r="CP84" s="33"/>
    </row>
    <row r="85" spans="1:94" ht="17.100000000000001" customHeight="1" thickBot="1">
      <c r="A85" s="118">
        <v>7</v>
      </c>
      <c r="B85" s="119" t="s">
        <v>304</v>
      </c>
      <c r="C85" s="86" t="s">
        <v>43</v>
      </c>
      <c r="D85" s="87" t="s">
        <v>35</v>
      </c>
      <c r="E85" s="87" t="s">
        <v>10</v>
      </c>
      <c r="F85" s="87" t="s">
        <v>51</v>
      </c>
      <c r="G85" s="87" t="s">
        <v>54</v>
      </c>
      <c r="H85" s="87" t="s">
        <v>118</v>
      </c>
      <c r="I85" s="87" t="s">
        <v>59</v>
      </c>
      <c r="J85" s="87" t="s">
        <v>50</v>
      </c>
      <c r="K85" s="87" t="s">
        <v>50</v>
      </c>
      <c r="L85" s="87" t="s">
        <v>50</v>
      </c>
      <c r="M85" s="87" t="s">
        <v>50</v>
      </c>
      <c r="N85" s="87" t="s">
        <v>50</v>
      </c>
      <c r="O85" s="87">
        <v>4</v>
      </c>
      <c r="P85" s="24">
        <f t="shared" si="0"/>
        <v>140</v>
      </c>
      <c r="Q85" s="25">
        <f t="shared" si="14"/>
        <v>560</v>
      </c>
      <c r="R85" s="26">
        <f t="shared" si="1"/>
        <v>2.5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Szekelers</v>
      </c>
      <c r="BJ85" s="29">
        <f>VLOOKUP(C85,'Standard AB - 17 Tugs, 8 SuGs'!$B$13:$C$21,2,FALSE)</f>
        <v>3</v>
      </c>
      <c r="BK85" s="29">
        <f>VLOOKUP(D85,'Standard AB - 17 Tugs, 8 SuGs'!$B$2:$K$11,'Standard AB - 17 Tugs, 8 SuGs'!BJ85,FALSE)</f>
        <v>90</v>
      </c>
      <c r="BL85" s="29">
        <f>VLOOKUP(G85,'Standard AB - 17 Tugs, 8 SuGs'!$R$3:$Z$21,BJ85,FALSE)</f>
        <v>10</v>
      </c>
      <c r="BM85" s="30">
        <f>VLOOKUP(I85,'Standard AB - 17 Tugs, 8 SuGs'!$R$12:$Z$21,BJ85,FALSE)</f>
        <v>40</v>
      </c>
      <c r="BN85" s="29">
        <f>IFERROR(VLOOKUP(J85,'Standard AB - 17 Tugs, 8 SuGs'!$AB$3:$AK$55,$BJ85,FALSE),0)</f>
        <v>0</v>
      </c>
      <c r="BO85" s="29">
        <f>IFERROR(VLOOKUP(K85,'Standard AB - 17 Tugs, 8 SuGs'!$AB$3:$AK$55,$BJ85,FALSE),0)</f>
        <v>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100</v>
      </c>
      <c r="BT85" s="29"/>
      <c r="BU85" s="31">
        <f>VLOOKUP(E85,'Standard AB - 17 Tugs, 8 SuGs'!$M$2:$N$5,2,0)</f>
        <v>1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140</v>
      </c>
      <c r="BY85" s="32"/>
      <c r="BZ85" s="32"/>
      <c r="CA85" s="32"/>
      <c r="CB85" s="32"/>
      <c r="CC85" s="33"/>
      <c r="CD85" s="29">
        <f t="shared" si="4"/>
        <v>1</v>
      </c>
      <c r="CE85" s="29">
        <f t="shared" si="5"/>
        <v>1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8</v>
      </c>
      <c r="CN85" s="29">
        <f t="shared" si="13"/>
        <v>0</v>
      </c>
      <c r="CO85" s="33"/>
      <c r="CP85" s="33"/>
    </row>
    <row r="86" spans="1:94" ht="17.100000000000001" customHeight="1" thickBot="1">
      <c r="A86" s="118">
        <v>8</v>
      </c>
      <c r="B86" s="119" t="s">
        <v>304</v>
      </c>
      <c r="C86" s="86" t="s">
        <v>43</v>
      </c>
      <c r="D86" s="87" t="s">
        <v>35</v>
      </c>
      <c r="E86" s="87" t="s">
        <v>10</v>
      </c>
      <c r="F86" s="87" t="s">
        <v>51</v>
      </c>
      <c r="G86" s="87" t="s">
        <v>54</v>
      </c>
      <c r="H86" s="87" t="s">
        <v>118</v>
      </c>
      <c r="I86" s="87" t="s">
        <v>59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>
        <v>4</v>
      </c>
      <c r="P86" s="24">
        <f t="shared" si="0"/>
        <v>140</v>
      </c>
      <c r="Q86" s="25">
        <f t="shared" si="14"/>
        <v>560</v>
      </c>
      <c r="R86" s="26">
        <f t="shared" si="1"/>
        <v>2.5</v>
      </c>
      <c r="U86" s="4"/>
      <c r="X86" s="27"/>
      <c r="Y86" s="27"/>
      <c r="Z86" s="27"/>
      <c r="AA86" s="27"/>
      <c r="AB86" s="27"/>
      <c r="AC86" s="27"/>
      <c r="AF86" s="27"/>
      <c r="AG86" s="27"/>
      <c r="BI86" s="28" t="str">
        <f t="shared" si="2"/>
        <v>Szekelers</v>
      </c>
      <c r="BJ86" s="29">
        <f>VLOOKUP(C86,'Standard AB - 17 Tugs, 8 SuGs'!$B$13:$C$21,2,FALSE)</f>
        <v>3</v>
      </c>
      <c r="BK86" s="29">
        <f>VLOOKUP(D86,'Standard AB - 17 Tugs, 8 SuGs'!$B$2:$K$11,'Standard AB - 17 Tugs, 8 SuGs'!BJ86,FALSE)</f>
        <v>90</v>
      </c>
      <c r="BL86" s="29">
        <f>VLOOKUP(G86,'Standard AB - 17 Tugs, 8 SuGs'!$R$3:$Z$21,BJ86,FALSE)</f>
        <v>10</v>
      </c>
      <c r="BM86" s="30">
        <f>VLOOKUP(I86,'Standard AB - 17 Tugs, 8 SuGs'!$R$12:$Z$21,BJ86,FALSE)</f>
        <v>40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100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140</v>
      </c>
      <c r="BY86" s="32"/>
      <c r="BZ86" s="32"/>
      <c r="CA86" s="32"/>
      <c r="CB86" s="32"/>
      <c r="CC86" s="33"/>
      <c r="CD86" s="29">
        <f t="shared" si="4"/>
        <v>1</v>
      </c>
      <c r="CE86" s="29">
        <f t="shared" si="5"/>
        <v>1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1</v>
      </c>
      <c r="CL86" s="29">
        <f t="shared" si="11"/>
        <v>0</v>
      </c>
      <c r="CM86" s="29">
        <f t="shared" si="12"/>
        <v>8</v>
      </c>
      <c r="CN86" s="29">
        <f t="shared" si="13"/>
        <v>0</v>
      </c>
      <c r="CO86" s="33"/>
      <c r="CP86" s="33"/>
    </row>
    <row r="87" spans="1:94" ht="17.100000000000001" customHeight="1" thickBot="1">
      <c r="A87" s="118">
        <v>9</v>
      </c>
      <c r="B87" s="119" t="s">
        <v>304</v>
      </c>
      <c r="C87" s="86" t="s">
        <v>43</v>
      </c>
      <c r="D87" s="87" t="s">
        <v>35</v>
      </c>
      <c r="E87" s="87" t="s">
        <v>10</v>
      </c>
      <c r="F87" s="87" t="s">
        <v>51</v>
      </c>
      <c r="G87" s="87" t="s">
        <v>54</v>
      </c>
      <c r="H87" s="87" t="s">
        <v>118</v>
      </c>
      <c r="I87" s="87" t="s">
        <v>59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>
        <v>4</v>
      </c>
      <c r="P87" s="24">
        <f t="shared" si="0"/>
        <v>140</v>
      </c>
      <c r="Q87" s="25">
        <f t="shared" si="14"/>
        <v>560</v>
      </c>
      <c r="R87" s="26">
        <f t="shared" si="1"/>
        <v>2.5</v>
      </c>
      <c r="U87" s="4"/>
      <c r="X87" s="27"/>
      <c r="Y87" s="27"/>
      <c r="Z87" s="27"/>
      <c r="AA87" s="27"/>
      <c r="AB87" s="27"/>
      <c r="AC87" s="27"/>
      <c r="AF87" s="27"/>
      <c r="AG87" s="27"/>
      <c r="BI87" s="28" t="str">
        <f t="shared" si="2"/>
        <v>Szekelers</v>
      </c>
      <c r="BJ87" s="29">
        <f>VLOOKUP(C87,'Standard AB - 17 Tugs, 8 SuGs'!$B$13:$C$21,2,FALSE)</f>
        <v>3</v>
      </c>
      <c r="BK87" s="29">
        <f>VLOOKUP(D87,'Standard AB - 17 Tugs, 8 SuGs'!$B$2:$K$11,'Standard AB - 17 Tugs, 8 SuGs'!BJ87,FALSE)</f>
        <v>90</v>
      </c>
      <c r="BL87" s="29">
        <f>VLOOKUP(G87,'Standard AB - 17 Tugs, 8 SuGs'!$R$3:$Z$21,BJ87,FALSE)</f>
        <v>10</v>
      </c>
      <c r="BM87" s="30">
        <f>VLOOKUP(I87,'Standard AB - 17 Tugs, 8 SuGs'!$R$12:$Z$21,BJ87,FALSE)</f>
        <v>40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100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140</v>
      </c>
      <c r="BY87" s="32"/>
      <c r="BZ87" s="32"/>
      <c r="CA87" s="32"/>
      <c r="CB87" s="32"/>
      <c r="CC87" s="33"/>
      <c r="CD87" s="29">
        <f t="shared" si="4"/>
        <v>1</v>
      </c>
      <c r="CE87" s="29">
        <f t="shared" si="5"/>
        <v>1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1</v>
      </c>
      <c r="CL87" s="29">
        <f t="shared" si="11"/>
        <v>0</v>
      </c>
      <c r="CM87" s="29">
        <f t="shared" si="12"/>
        <v>8</v>
      </c>
      <c r="CN87" s="29">
        <f t="shared" si="13"/>
        <v>0</v>
      </c>
      <c r="CO87" s="33"/>
      <c r="CP87" s="33"/>
    </row>
    <row r="88" spans="1:94" ht="17.100000000000001" customHeight="1" thickBot="1">
      <c r="A88" s="118"/>
      <c r="B88" s="119"/>
      <c r="C88" s="86" t="s">
        <v>43</v>
      </c>
      <c r="D88" s="87" t="s">
        <v>158</v>
      </c>
      <c r="E88" s="87" t="s">
        <v>10</v>
      </c>
      <c r="F88" s="87" t="s">
        <v>51</v>
      </c>
      <c r="G88" s="87"/>
      <c r="H88" s="87"/>
      <c r="I88" s="87"/>
      <c r="J88" s="87"/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90</v>
      </c>
      <c r="BL88" s="29" t="e">
        <f>VLOOKUP(G88,'Standard AB - 17 Tugs, 8 SuGs'!$R$3:$Z$21,BJ88,FALSE)</f>
        <v>#N/A</v>
      </c>
      <c r="BM88" s="30" t="e">
        <f>VLOOKUP(I88,'Standard AB - 17 Tugs, 8 SuGs'!$R$12:$Z$21,BJ88,FALSE)</f>
        <v>#N/A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 t="e">
        <f t="shared" si="3"/>
        <v>#N/A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 t="e">
        <f>IF(BM88=0,1,VLOOKUP(H88,'Standard AB - 17 Tugs, 8 SuGs'!$M$8:$N$12,2,FALSE))</f>
        <v>#N/A</v>
      </c>
      <c r="BX88" s="32" t="e">
        <f t="shared" si="15"/>
        <v>#N/A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7.100000000000001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7.100000000000001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7.100000000000001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7.10000000000000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7.10000000000000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7.10000000000000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7.10000000000000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7.10000000000000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7.10000000000000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7.10000000000000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7.100000000000001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7.100000000000001" customHeight="1" thickBot="1">
      <c r="A100" s="281" t="s">
        <v>198</v>
      </c>
      <c r="B100" s="282"/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  <c r="Q100" s="282"/>
      <c r="R100" s="283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7.100000000000001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7.100000000000001" customHeight="1" thickBot="1">
      <c r="A102" s="281" t="s">
        <v>144</v>
      </c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  <c r="Q102" s="282"/>
      <c r="R102" s="283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17.100000000000001" customHeight="1" thickBot="1">
      <c r="A103" s="118">
        <v>1</v>
      </c>
      <c r="B103" s="119" t="s">
        <v>305</v>
      </c>
      <c r="C103" s="86" t="s">
        <v>40</v>
      </c>
      <c r="D103" s="88" t="s">
        <v>37</v>
      </c>
      <c r="E103" s="87" t="s">
        <v>10</v>
      </c>
      <c r="F103" s="87" t="s">
        <v>108</v>
      </c>
      <c r="G103" s="87" t="s">
        <v>50</v>
      </c>
      <c r="H103" s="87" t="s">
        <v>118</v>
      </c>
      <c r="I103" s="87" t="s">
        <v>70</v>
      </c>
      <c r="J103" s="87" t="s">
        <v>55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>
        <v>6</v>
      </c>
      <c r="P103" s="24">
        <f t="shared" ref="P103:P118" si="18">IFERROR(IF(A103&gt;0,BX103,0),0)</f>
        <v>30</v>
      </c>
      <c r="Q103" s="25">
        <f t="shared" si="14"/>
        <v>180</v>
      </c>
      <c r="R103" s="26">
        <f t="shared" ref="R103:R118" si="19">IF(O103=0,0,IF(D103="Skirmisher",INT(2*O103/3)/2+0.5,O103/2+0.5))</f>
        <v>2.5</v>
      </c>
      <c r="U103" s="4"/>
      <c r="BI103" s="28" t="str">
        <f t="shared" ref="BI103:BI118" si="20">B103</f>
        <v>Handgunners</v>
      </c>
      <c r="BJ103" s="29">
        <f>VLOOKUP(C103,'Standard AB - 17 Tugs, 8 SuGs'!$B$13:$C$21,2,FALSE)</f>
        <v>2</v>
      </c>
      <c r="BK103" s="29">
        <f>VLOOKUP(D103,'Standard AB - 17 Tugs, 8 SuGs'!$B$2:$K$12,'Standard AB - 17 Tugs, 8 SuGs'!BJ103,FALSE)</f>
        <v>30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10</v>
      </c>
      <c r="BN103" s="29">
        <f>IFERROR(VLOOKUP(J103,'Standard AB - 17 Tugs, 8 SuGs'!$AB$28:$AK$48,$BJ103,FALSE),0)</f>
        <v>-5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25</v>
      </c>
      <c r="BT103" s="29"/>
      <c r="BU103" s="31">
        <f>VLOOKUP(E103,'Standard AB - 17 Tugs, 8 SuGs'!$M$2:$N$5,2,0)</f>
        <v>1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30</v>
      </c>
      <c r="BY103" s="32"/>
      <c r="BZ103" s="32"/>
      <c r="CA103" s="32"/>
      <c r="CB103" s="32"/>
      <c r="CC103" s="33"/>
      <c r="CD103" s="29">
        <f t="shared" ref="CD103:CD118" si="21">IF(C103="CAVALRY",1,0)</f>
        <v>0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0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6</v>
      </c>
      <c r="CO103" s="33"/>
      <c r="CP103" s="33"/>
    </row>
    <row r="104" spans="1:94" ht="17.100000000000001" customHeight="1" thickBot="1">
      <c r="A104" s="118">
        <v>2</v>
      </c>
      <c r="B104" s="119" t="s">
        <v>305</v>
      </c>
      <c r="C104" s="86" t="s">
        <v>40</v>
      </c>
      <c r="D104" s="88" t="s">
        <v>37</v>
      </c>
      <c r="E104" s="87" t="s">
        <v>10</v>
      </c>
      <c r="F104" s="87" t="s">
        <v>108</v>
      </c>
      <c r="G104" s="87" t="s">
        <v>50</v>
      </c>
      <c r="H104" s="87" t="s">
        <v>118</v>
      </c>
      <c r="I104" s="87" t="s">
        <v>70</v>
      </c>
      <c r="J104" s="87" t="s">
        <v>55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>
        <v>6</v>
      </c>
      <c r="P104" s="24">
        <f t="shared" si="18"/>
        <v>30</v>
      </c>
      <c r="Q104" s="25">
        <f t="shared" si="14"/>
        <v>180</v>
      </c>
      <c r="R104" s="26">
        <f t="shared" si="19"/>
        <v>2.5</v>
      </c>
      <c r="U104" s="4"/>
      <c r="BI104" s="28" t="str">
        <f t="shared" si="20"/>
        <v>Handgunners</v>
      </c>
      <c r="BJ104" s="29">
        <f>VLOOKUP(C104,'Standard AB - 17 Tugs, 8 SuGs'!$B$13:$C$21,2,FALSE)</f>
        <v>2</v>
      </c>
      <c r="BK104" s="29">
        <f>VLOOKUP(D104,'Standard AB - 17 Tugs, 8 SuGs'!$B$2:$K$12,'Standard AB - 17 Tugs, 8 SuGs'!BJ104,FALSE)</f>
        <v>30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10</v>
      </c>
      <c r="BN104" s="29">
        <f>IFERROR(VLOOKUP(J104,'Standard AB - 17 Tugs, 8 SuGs'!$AB$28:$AK$48,$BJ104,FALSE),0)</f>
        <v>-5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25</v>
      </c>
      <c r="BT104" s="29"/>
      <c r="BU104" s="31">
        <f>VLOOKUP(E104,'Standard AB - 17 Tugs, 8 SuGs'!$M$2:$N$5,2,0)</f>
        <v>1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1</v>
      </c>
      <c r="BX104" s="32">
        <f t="shared" ref="BX104:BX118" si="29">INT(BS104*BU104*BV104+BM104*BW104)</f>
        <v>30</v>
      </c>
      <c r="BY104" s="32"/>
      <c r="BZ104" s="32"/>
      <c r="CA104" s="32"/>
      <c r="CB104" s="32"/>
      <c r="CC104" s="33"/>
      <c r="CD104" s="29">
        <f t="shared" si="21"/>
        <v>0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1</v>
      </c>
      <c r="CL104" s="29">
        <f t="shared" si="26"/>
        <v>0</v>
      </c>
      <c r="CM104" s="29">
        <f t="shared" si="27"/>
        <v>0</v>
      </c>
      <c r="CN104" s="29">
        <f t="shared" si="28"/>
        <v>6</v>
      </c>
      <c r="CO104" s="33"/>
      <c r="CP104" s="33"/>
    </row>
    <row r="105" spans="1:94" ht="17.100000000000001" customHeight="1" thickBot="1">
      <c r="A105" s="118"/>
      <c r="B105" s="119"/>
      <c r="C105" s="86" t="s">
        <v>40</v>
      </c>
      <c r="D105" s="88" t="s">
        <v>37</v>
      </c>
      <c r="E105" s="87" t="s">
        <v>10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50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8"/>
        <v>0</v>
      </c>
      <c r="Q105" s="25">
        <f t="shared" si="14"/>
        <v>0</v>
      </c>
      <c r="R105" s="26">
        <f t="shared" si="19"/>
        <v>0</v>
      </c>
      <c r="U105" s="4"/>
      <c r="BI105" s="28">
        <f t="shared" si="20"/>
        <v>0</v>
      </c>
      <c r="BJ105" s="29">
        <f>VLOOKUP(C105,'Standard AB - 17 Tugs, 8 SuGs'!$B$13:$C$21,2,FALSE)</f>
        <v>2</v>
      </c>
      <c r="BK105" s="29">
        <f>VLOOKUP(D105,'Standard AB - 17 Tugs, 8 SuGs'!$B$2:$K$12,'Standard AB - 17 Tugs, 8 SuGs'!BJ105,FALSE)</f>
        <v>30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20</v>
      </c>
      <c r="BN105" s="29">
        <f>IFERROR(VLOOKUP(J105,'Standard AB - 17 Tugs, 8 SuGs'!$AB$28:$AK$48,$BJ105,FALSE),0)</f>
        <v>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30</v>
      </c>
      <c r="BT105" s="29"/>
      <c r="BU105" s="31">
        <f>VLOOKUP(E105,'Standard AB - 17 Tugs, 8 SuGs'!$M$2:$N$5,2,0)</f>
        <v>1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44</v>
      </c>
      <c r="BY105" s="32"/>
      <c r="BZ105" s="32"/>
      <c r="CA105" s="32"/>
      <c r="CB105" s="32"/>
      <c r="CC105" s="33"/>
      <c r="CD105" s="29">
        <f t="shared" si="21"/>
        <v>0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0</v>
      </c>
      <c r="CL105" s="29">
        <f t="shared" si="26"/>
        <v>0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17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17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17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17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7.10000000000000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25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57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7.10000000000000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25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57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7.10000000000000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25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57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7.10000000000000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25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57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7.10000000000000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25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57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7.10000000000000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25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57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7.10000000000000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25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57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7.10000000000000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25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57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17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25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57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3400</v>
      </c>
      <c r="E120" s="65"/>
      <c r="F120" s="65"/>
      <c r="G120" s="66" t="s">
        <v>143</v>
      </c>
      <c r="H120" s="67">
        <f>SUM(Q76:Q101)</f>
        <v>6466</v>
      </c>
      <c r="I120" s="61"/>
      <c r="J120" s="68" t="s">
        <v>144</v>
      </c>
      <c r="K120" s="69">
        <f>SUM(Q103:Q118)</f>
        <v>360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58</v>
      </c>
      <c r="CN120" s="74">
        <f>SUM(CN74:CN118)</f>
        <v>12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249" t="s">
        <v>164</v>
      </c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1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31">CM120/CM121</f>
        <v>2.9</v>
      </c>
      <c r="CN122" s="11">
        <f t="shared" si="31"/>
        <v>0.4</v>
      </c>
    </row>
    <row r="123" spans="1:94" s="6" customFormat="1" ht="26.1" customHeight="1" thickBot="1">
      <c r="A123" s="249" t="s">
        <v>129</v>
      </c>
      <c r="B123" s="250"/>
      <c r="C123" s="250"/>
      <c r="D123" s="251"/>
      <c r="E123" s="261" t="s">
        <v>157</v>
      </c>
      <c r="F123" s="262"/>
      <c r="G123" s="262"/>
      <c r="H123" s="262"/>
      <c r="I123" s="262"/>
      <c r="J123" s="263"/>
      <c r="K123" s="252" t="s">
        <v>162</v>
      </c>
      <c r="L123" s="253"/>
      <c r="M123" s="253"/>
      <c r="N123" s="253"/>
      <c r="O123" s="253"/>
      <c r="P123" s="253"/>
      <c r="Q123" s="253"/>
      <c r="R123" s="254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255" t="s">
        <v>131</v>
      </c>
      <c r="B124" s="256"/>
      <c r="C124" s="256"/>
      <c r="D124" s="257"/>
      <c r="E124" s="264" t="s">
        <v>134</v>
      </c>
      <c r="F124" s="265"/>
      <c r="G124" s="266"/>
      <c r="H124" s="270" t="s">
        <v>132</v>
      </c>
      <c r="I124" s="271"/>
      <c r="J124" s="122" t="s">
        <v>130</v>
      </c>
      <c r="K124" s="274" t="s">
        <v>137</v>
      </c>
      <c r="L124" s="266"/>
      <c r="M124" s="266"/>
      <c r="N124" s="275"/>
      <c r="O124" s="275"/>
      <c r="P124" s="275"/>
      <c r="Q124" s="275"/>
      <c r="R124" s="276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3.3</v>
      </c>
      <c r="CN124" s="13"/>
      <c r="CO124" s="13"/>
      <c r="CP124" s="13"/>
    </row>
    <row r="125" spans="1:94" s="12" customFormat="1" ht="20.100000000000001" customHeight="1" thickBot="1">
      <c r="A125" s="258" t="s">
        <v>156</v>
      </c>
      <c r="B125" s="259"/>
      <c r="C125" s="259"/>
      <c r="D125" s="260"/>
      <c r="E125" s="267" t="s">
        <v>135</v>
      </c>
      <c r="F125" s="268"/>
      <c r="G125" s="269"/>
      <c r="H125" s="272" t="s">
        <v>133</v>
      </c>
      <c r="I125" s="273"/>
      <c r="J125" s="15">
        <v>10</v>
      </c>
      <c r="K125" s="277" t="s">
        <v>163</v>
      </c>
      <c r="L125" s="278"/>
      <c r="M125" s="278"/>
      <c r="N125" s="279"/>
      <c r="O125" s="279"/>
      <c r="P125" s="279"/>
      <c r="Q125" s="279"/>
      <c r="R125" s="280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47" t="s">
        <v>85</v>
      </c>
      <c r="CM127" s="248"/>
    </row>
    <row r="128" spans="1:94">
      <c r="C128" s="4"/>
      <c r="CL128" s="223" t="s">
        <v>5</v>
      </c>
      <c r="CM128" s="77">
        <f>IF(H67&gt;0,I67,0)</f>
        <v>5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1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1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1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8</v>
      </c>
    </row>
    <row r="133" spans="3:91" s="4" customFormat="1">
      <c r="C133" s="39"/>
      <c r="P133" s="141"/>
      <c r="Q133" s="141">
        <f>SUM(Q74:Q101)+SUM(Q103:Q118)+D120</f>
        <v>10352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N73:CN74"/>
    <mergeCell ref="CM73:CM74"/>
    <mergeCell ref="CL73:CL74"/>
    <mergeCell ref="CK73:CK74"/>
    <mergeCell ref="CI73:CI74"/>
    <mergeCell ref="CH73:CH74"/>
    <mergeCell ref="CG73:CG74"/>
    <mergeCell ref="CF73:CF74"/>
    <mergeCell ref="CE73:CE74"/>
    <mergeCell ref="CD73:CD74"/>
  </mergeCells>
  <phoneticPr fontId="21" type="noConversion"/>
  <dataValidations count="21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 THESE INSTIRUCTIONS</vt:lpstr>
      <vt:lpstr>Standard AB - 17 Tugs, 8 SuGs</vt:lpstr>
      <vt:lpstr>'Standard AB - 17 Tugs, 8 SuGs'!Print_Area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2018-11-12T05:18:30Z</cp:lastPrinted>
  <dcterms:created xsi:type="dcterms:W3CDTF">2014-11-06T21:51:03Z</dcterms:created>
  <dcterms:modified xsi:type="dcterms:W3CDTF">2018-11-20T11:58:04Z</dcterms:modified>
</cp:coreProperties>
</file>