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AB - 17 Tugs, 8 SuGs" sheetId="2" r:id="rId2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6" i="2" l="1"/>
  <c r="BJ77" i="2"/>
  <c r="BJ78" i="2"/>
  <c r="BJ79" i="2"/>
  <c r="BJ80" i="2"/>
  <c r="BJ81" i="2"/>
  <c r="BJ82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<sst xmlns="http://schemas.openxmlformats.org/spreadsheetml/2006/main" count="1582" uniqueCount="313">
  <si>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</si>
  <si>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</si>
  <si>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</si>
  <si>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</si>
  <si>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</si>
  <si>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</si>
  <si>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</si>
  <si>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</si>
  <si>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</si>
  <si>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</si>
  <si>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</si>
  <si>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</si>
  <si>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</si>
  <si>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</si>
  <si>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</si>
  <si>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</si>
  <si>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</si>
  <si>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</si>
  <si>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</si>
  <si>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</si>
  <si>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</si>
  <si>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</si>
  <si>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</si>
  <si>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</si>
  <si>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</si>
  <si>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</si>
  <si>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</si>
  <si>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</si>
  <si>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</si>
  <si>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</si>
  <si>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</si>
  <si>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</si>
  <si>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</si>
  <si>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</si>
  <si>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</si>
  <si>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</si>
  <si>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</si>
  <si>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</si>
  <si>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</si>
  <si>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</si>
  <si>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</si>
  <si>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</si>
  <si>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</si>
  <si>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</si>
  <si>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</si>
  <si>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</si>
  <si>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</si>
  <si>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</si>
  <si>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</si>
  <si>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</si>
  <si>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</si>
  <si>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</si>
  <si>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</si>
  <si>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</si>
  <si>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</si>
  <si>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</si>
  <si>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</si>
  <si>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</si>
  <si>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</si>
  <si>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</si>
  <si>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</si>
  <si>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</si>
  <si>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</si>
  <si>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</si>
  <si>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</si>
  <si>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</si>
  <si>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</si>
  <si>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</si>
  <si>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</si>
  <si>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</si>
  <si>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</si>
  <si>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</si>
  <si>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</si>
  <si>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</si>
  <si>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</si>
  <si>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</si>
  <si>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</si>
  <si>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</si>
  <si>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</si>
  <si>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</si>
  <si>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</si>
  <si>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</si>
  <si>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</si>
  <si>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</si>
  <si>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</si>
  <si>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</si>
  <si>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</si>
  <si>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</si>
  <si>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</si>
  <si>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</si>
  <si>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</si>
  <si>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</si>
  <si>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</si>
  <si>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</si>
  <si>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</si>
  <si>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</si>
  <si>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</si>
  <si>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</si>
  <si>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</si>
  <si>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</si>
  <si>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</si>
  <si>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</si>
  <si>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</si>
  <si>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</si>
  <si>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</si>
  <si>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</si>
  <si>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</si>
  <si>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</si>
  <si>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</si>
  <si>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</si>
  <si>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</si>
  <si>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</si>
  <si>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</si>
  <si>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</si>
  <si>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</si>
  <si>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</si>
  <si>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</si>
  <si>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</si>
  <si>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</si>
  <si>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</si>
  <si>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</si>
  <si>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</si>
  <si>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</si>
  <si>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</si>
  <si>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</si>
  <si>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</si>
  <si>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</si>
  <si>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</si>
  <si>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</si>
  <si>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</si>
  <si>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</si>
  <si>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</si>
  <si>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</si>
  <si>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</si>
  <si>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</si>
  <si>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</si>
  <si>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</si>
  <si>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</si>
  <si>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</si>
  <si>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</si>
  <si>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</si>
  <si>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</si>
  <si>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</si>
  <si>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</si>
  <si>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</si>
  <si>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</si>
  <si>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</si>
  <si>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</si>
  <si>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</si>
  <si>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</si>
  <si>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</si>
  <si>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</si>
  <si>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</si>
  <si>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</si>
  <si>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</si>
  <si>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</si>
  <si>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</si>
  <si>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</si>
  <si>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</si>
  <si>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</si>
  <si>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</si>
  <si>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</si>
  <si>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</si>
  <si>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</si>
  <si>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</si>
  <si>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</si>
  <si>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</si>
  <si>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</si>
  <si>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</si>
  <si>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</si>
  <si>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</si>
  <si>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</si>
  <si>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</si>
  <si>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</si>
  <si>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</si>
  <si>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</si>
  <si>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</si>
  <si>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</si>
  <si>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</si>
  <si>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</si>
  <si>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</si>
  <si>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</si>
  <si>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</si>
  <si>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</si>
  <si>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</si>
  <si>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</si>
  <si>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</si>
  <si>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</si>
  <si>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</si>
  <si>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</si>
  <si>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</si>
  <si>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</si>
  <si>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</si>
  <si>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</si>
  <si>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</si>
  <si>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</si>
  <si>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</si>
  <si>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</si>
  <si>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</si>
  <si>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</si>
  <si>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</si>
  <si>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</si>
  <si>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</si>
  <si>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</si>
  <si>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</si>
  <si>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</si>
  <si>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</si>
  <si>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</si>
  <si>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</si>
  <si>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</si>
  <si>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</si>
  <si>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</si>
  <si>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</si>
  <si>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</si>
  <si>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</si>
  <si>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</si>
  <si>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</si>
  <si>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</si>
  <si>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</si>
  <si>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</si>
  <si>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</si>
  <si>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</si>
  <si>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</si>
  <si>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</si>
  <si>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</si>
  <si>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</si>
  <si>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</si>
  <si>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</si>
  <si>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</si>
  <si>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</si>
  <si>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</si>
  <si>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</si>
  <si>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</si>
  <si>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</si>
  <si>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</si>
  <si>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</si>
  <si>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</si>
  <si>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</si>
  <si>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</si>
  <si>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</si>
  <si>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</si>
  <si>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</si>
  <si>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</si>
  <si>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</si>
  <si>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</si>
  <si>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</si>
  <si>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</si>
  <si>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</si>
  <si>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</si>
  <si>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</si>
  <si>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</si>
  <si>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</si>
  <si>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</si>
  <si>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</si>
  <si>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</si>
  <si>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</si>
  <si>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</si>
  <si>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</si>
  <si>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</si>
  <si>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</si>
  <si>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</si>
  <si>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</si>
  <si>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</si>
  <si>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</si>
  <si>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</si>
  <si>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</si>
  <si>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</si>
  <si>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</si>
  <si>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</si>
  <si>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</si>
  <si>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</si>
  <si>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</si>
  <si>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</si>
  <si>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</si>
  <si>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</si>
  <si>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</si>
  <si>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</si>
  <si>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</si>
  <si>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</si>
  <si>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</si>
  <si>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</si>
  <si>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</si>
  <si>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</si>
  <si>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</si>
  <si>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</si>
  <si>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</si>
  <si>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</si>
  <si>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</si>
  <si>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</si>
  <si>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</si>
  <si>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</si>
  <si>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</si>
  <si>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</si>
  <si>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</si>
  <si>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</si>
  <si>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</si>
  <si>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</si>
  <si>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</si>
  <si>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</si>
  <si>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</si>
  <si>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</si>
  <si>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Royal Mamluks</t>
  </si>
  <si>
    <t>Mamluks</t>
  </si>
  <si>
    <t>Lancers</t>
  </si>
  <si>
    <t>abid 'al shira</t>
  </si>
  <si>
    <t>lutat</t>
  </si>
  <si>
    <t>sariraya</t>
  </si>
  <si>
    <t>dailami</t>
  </si>
  <si>
    <t>Berber LH</t>
  </si>
  <si>
    <t>Nafatun</t>
  </si>
  <si>
    <t>Early Fatamid Egyptian</t>
  </si>
  <si>
    <t>1000CE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</si>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</sst>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3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188544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1" t="s">
        <v>265</v>
      </c>
      <c r="D2" s="231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2" t="s">
        <v>266</v>
      </c>
      <c r="D3" s="232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9" t="s">
        <v>285</v>
      </c>
      <c r="D4" s="230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33" t="s">
        <v>286</v>
      </c>
      <c r="D5" s="234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35" t="s">
        <v>269</v>
      </c>
      <c r="D6" s="236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35" t="s">
        <v>270</v>
      </c>
      <c r="D7" s="236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27" t="s">
        <v>267</v>
      </c>
      <c r="D8" s="228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9" t="s">
        <v>268</v>
      </c>
      <c r="D9" s="230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2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43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9" t="s">
        <v>271</v>
      </c>
      <c r="D15" s="230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9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40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40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40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40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40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41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9" t="s">
        <v>272</v>
      </c>
      <c r="D23" s="230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7" t="s">
        <v>287</v>
      </c>
      <c r="D24" s="238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7" t="s">
        <v>273</v>
      </c>
      <c r="D25" s="238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A63" zoomScale="60" zoomScaleNormal="60" zoomScalePageLayoutView="70" workbookViewId="0">
      <selection activeCell="E74" sqref="E74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332" t="s">
        <v>173</v>
      </c>
      <c r="S2" s="332"/>
      <c r="T2" s="332"/>
      <c r="U2" s="332"/>
      <c r="V2" s="332"/>
      <c r="W2" s="332"/>
      <c r="X2" s="332"/>
      <c r="Y2" s="332"/>
      <c r="Z2" s="332"/>
      <c r="AA2" s="138"/>
      <c r="AB2" s="332" t="s">
        <v>173</v>
      </c>
      <c r="AC2" s="332"/>
      <c r="AD2" s="332"/>
      <c r="AE2" s="332"/>
      <c r="AF2" s="332"/>
      <c r="AG2" s="332"/>
      <c r="AH2" s="332"/>
      <c r="AI2" s="332"/>
      <c r="AJ2" s="332"/>
      <c r="AK2" s="332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 t="s">
        <v>300</v>
      </c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139" t="s">
        <v>67</v>
      </c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333" t="s">
        <v>182</v>
      </c>
      <c r="AC26" s="333"/>
      <c r="AD26" s="333"/>
      <c r="AE26" s="333"/>
      <c r="AF26" s="333"/>
      <c r="AG26" s="333"/>
      <c r="AH26" s="333"/>
      <c r="AI26" s="333"/>
      <c r="AJ26" s="333"/>
      <c r="AK26" s="333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139" t="s">
        <v>178</v>
      </c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332" t="s">
        <v>182</v>
      </c>
      <c r="S27" s="332"/>
      <c r="T27" s="332"/>
      <c r="U27" s="332"/>
      <c r="V27" s="332"/>
      <c r="W27" s="332"/>
      <c r="X27" s="332"/>
      <c r="Y27" s="332"/>
      <c r="Z27" s="332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139" t="s">
        <v>53</v>
      </c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139" t="s">
        <v>54</v>
      </c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152" t="s">
        <v>50</v>
      </c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1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1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1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152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15</v>
      </c>
      <c r="U38" s="132">
        <v>15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25</v>
      </c>
      <c r="U39" s="132">
        <v>25</v>
      </c>
      <c r="V39" s="46" t="s">
        <v>109</v>
      </c>
      <c r="W39" s="46" t="s">
        <v>109</v>
      </c>
      <c r="X39" s="46" t="s">
        <v>109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30</v>
      </c>
      <c r="U41" s="46">
        <v>30</v>
      </c>
      <c r="V41" s="46" t="s">
        <v>109</v>
      </c>
      <c r="W41" s="46" t="s">
        <v>109</v>
      </c>
      <c r="X41" s="46" t="s">
        <v>109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 t="s">
        <v>109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 t="s">
        <v>109</v>
      </c>
      <c r="W43" s="46" t="s">
        <v>109</v>
      </c>
      <c r="X43" s="46" t="s">
        <v>109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333" t="s">
        <v>179</v>
      </c>
      <c r="AC50" s="333"/>
      <c r="AD50" s="333"/>
      <c r="AE50" s="333"/>
      <c r="AF50" s="333"/>
      <c r="AG50" s="333"/>
      <c r="AH50" s="333"/>
      <c r="AI50" s="333"/>
      <c r="AJ50" s="333"/>
      <c r="AK50" s="333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58" t="s">
        <v>1</v>
      </c>
      <c r="B63" s="359"/>
      <c r="C63" s="359"/>
      <c r="D63" s="120" t="s">
        <v>20</v>
      </c>
      <c r="E63" s="362" t="s">
        <v>127</v>
      </c>
      <c r="F63" s="359"/>
      <c r="G63" s="334" t="s">
        <v>128</v>
      </c>
      <c r="H63" s="335"/>
      <c r="I63" s="336"/>
      <c r="J63" s="334" t="s">
        <v>141</v>
      </c>
      <c r="K63" s="335"/>
      <c r="L63" s="335"/>
      <c r="M63" s="335"/>
      <c r="N63" s="336"/>
      <c r="O63" s="334" t="s">
        <v>140</v>
      </c>
      <c r="P63" s="335"/>
      <c r="Q63" s="335"/>
      <c r="R63" s="33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0" t="s">
        <v>310</v>
      </c>
      <c r="B64" s="361"/>
      <c r="C64" s="361"/>
      <c r="D64" s="82" t="s">
        <v>311</v>
      </c>
      <c r="E64" s="360"/>
      <c r="F64" s="361"/>
      <c r="G64" s="83" t="s">
        <v>191</v>
      </c>
      <c r="H64" s="84" t="s">
        <v>192</v>
      </c>
      <c r="I64" s="85" t="s">
        <v>50</v>
      </c>
      <c r="J64" s="337" t="s">
        <v>312</v>
      </c>
      <c r="K64" s="338"/>
      <c r="L64" s="338"/>
      <c r="M64" s="338"/>
      <c r="N64" s="339"/>
      <c r="O64" s="348"/>
      <c r="P64" s="349"/>
      <c r="Q64" s="349"/>
      <c r="R64" s="350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5" t="s">
        <v>84</v>
      </c>
      <c r="B65" s="356"/>
      <c r="C65" s="356"/>
      <c r="D65" s="356"/>
      <c r="E65" s="356"/>
      <c r="F65" s="356"/>
      <c r="G65" s="356"/>
      <c r="H65" s="356"/>
      <c r="I65" s="357"/>
      <c r="J65" s="184"/>
      <c r="K65" s="351" t="s">
        <v>82</v>
      </c>
      <c r="L65" s="352"/>
      <c r="M65" s="352"/>
      <c r="N65" s="353"/>
      <c r="O65" s="353"/>
      <c r="P65" s="353"/>
      <c r="Q65" s="353"/>
      <c r="R65" s="354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25" t="s">
        <v>2</v>
      </c>
      <c r="D66" s="325"/>
      <c r="E66" s="325"/>
      <c r="F66" s="325"/>
      <c r="G66" s="189" t="s">
        <v>87</v>
      </c>
      <c r="H66" s="189" t="s">
        <v>0</v>
      </c>
      <c r="I66" s="190" t="s">
        <v>81</v>
      </c>
      <c r="J66" s="310"/>
      <c r="K66" s="313" t="s">
        <v>138</v>
      </c>
      <c r="L66" s="314"/>
      <c r="M66" s="314"/>
      <c r="N66" s="315"/>
      <c r="O66" s="315"/>
      <c r="P66" s="326">
        <f>IFERROR(INT(CM132+CM124/3),0)+1</f>
        <v>7</v>
      </c>
      <c r="Q66" s="327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305" t="s">
        <v>25</v>
      </c>
      <c r="D67" s="305"/>
      <c r="E67" s="305"/>
      <c r="F67" s="305"/>
      <c r="G67" s="196" t="s">
        <v>105</v>
      </c>
      <c r="H67" s="197">
        <f>VLOOKUP(C67,'Standard AB - 17 Tugs, 8 SuGs'!AM3:AO11,2,FALSE)-IF(G67="yes",100,0)</f>
        <v>1100</v>
      </c>
      <c r="I67" s="198">
        <f>VLOOKUP(C67,'Standard AB - 17 Tugs, 8 SuGs'!AM3:AQ138,4,FALSE)</f>
        <v>4</v>
      </c>
      <c r="J67" s="311"/>
      <c r="K67" s="316" t="s">
        <v>139</v>
      </c>
      <c r="L67" s="317"/>
      <c r="M67" s="317"/>
      <c r="N67" s="318"/>
      <c r="O67" s="318"/>
      <c r="P67" s="328">
        <f>IFERROR(INT(CM132/3+CM124),0)</f>
        <v>4</v>
      </c>
      <c r="Q67" s="329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305" t="s">
        <v>24</v>
      </c>
      <c r="D68" s="305"/>
      <c r="E68" s="305"/>
      <c r="F68" s="305"/>
      <c r="G68" s="86" t="s">
        <v>89</v>
      </c>
      <c r="H68" s="197">
        <f>VLOOKUP(C68,'Standard AB - 17 Tugs, 8 SuGs'!AM3:AO11,3,FALSE)-IF(G68="yes",$AP$15,0)</f>
        <v>600</v>
      </c>
      <c r="I68" s="198">
        <f>VLOOKUP(C68,'Standard AB - 17 Tugs, 8 SuGs'!AM3:AQ11,4,FALSE)</f>
        <v>3</v>
      </c>
      <c r="J68" s="311"/>
      <c r="K68" s="343" t="s">
        <v>161</v>
      </c>
      <c r="L68" s="344"/>
      <c r="M68" s="344"/>
      <c r="N68" s="345"/>
      <c r="O68" s="345"/>
      <c r="P68" s="346">
        <f>INT((SUMPRODUCT((A76:A99 &lt;&gt; "")/COUNTIF(A76:A99,A76:A99 &amp; ""))+1)/2)</f>
        <v>5</v>
      </c>
      <c r="Q68" s="346"/>
      <c r="R68" s="347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305" t="s">
        <v>24</v>
      </c>
      <c r="D69" s="305"/>
      <c r="E69" s="305"/>
      <c r="F69" s="305"/>
      <c r="G69" s="86" t="s">
        <v>89</v>
      </c>
      <c r="H69" s="197">
        <f>IFERROR(VLOOKUP(C69,'Standard AB - 17 Tugs, 8 SuGs'!AM4:AO12,3,FALSE)-IF(G69="yes",$AP$15,0),0)</f>
        <v>600</v>
      </c>
      <c r="I69" s="198">
        <f>IFERROR(VLOOKUP(C69,'Standard AB - 17 Tugs, 8 SuGs'!AM3:AQ11,4,FALSE),0)</f>
        <v>3</v>
      </c>
      <c r="J69" s="311"/>
      <c r="K69" s="343"/>
      <c r="L69" s="344"/>
      <c r="M69" s="344"/>
      <c r="N69" s="345"/>
      <c r="O69" s="345"/>
      <c r="P69" s="346"/>
      <c r="Q69" s="346"/>
      <c r="R69" s="347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305" t="s">
        <v>15</v>
      </c>
      <c r="D70" s="305"/>
      <c r="E70" s="305"/>
      <c r="F70" s="305"/>
      <c r="G70" s="207" t="s">
        <v>89</v>
      </c>
      <c r="H70" s="197">
        <f>IFERROR(VLOOKUP(C70,'Standard AB - 17 Tugs, 8 SuGs'!AM5:AO13,3,FALSE)-IF(G70="yes",$AP$15,0),0)</f>
        <v>0</v>
      </c>
      <c r="I70" s="208">
        <f>IFERROR(VLOOKUP(C70,'Standard AB - 17 Tugs, 8 SuGs'!AM3:AQ11,4,FALSE),0)</f>
        <v>0</v>
      </c>
      <c r="J70" s="311"/>
      <c r="K70" s="319" t="s">
        <v>100</v>
      </c>
      <c r="L70" s="320"/>
      <c r="M70" s="320"/>
      <c r="N70" s="321"/>
      <c r="O70" s="321"/>
      <c r="P70" s="301">
        <f>Q133</f>
        <v>10450</v>
      </c>
      <c r="Q70" s="301"/>
      <c r="R70" s="302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307" t="s">
        <v>264</v>
      </c>
      <c r="B71" s="308"/>
      <c r="C71" s="308"/>
      <c r="D71" s="308"/>
      <c r="E71" s="308"/>
      <c r="F71" s="308"/>
      <c r="G71" s="308"/>
      <c r="H71" s="308"/>
      <c r="I71" s="309"/>
      <c r="J71" s="312"/>
      <c r="K71" s="322"/>
      <c r="L71" s="323"/>
      <c r="M71" s="323"/>
      <c r="N71" s="324"/>
      <c r="O71" s="324"/>
      <c r="P71" s="303"/>
      <c r="Q71" s="303"/>
      <c r="R71" s="304"/>
      <c r="U71" s="4"/>
      <c r="W71" s="27"/>
      <c r="AD71" s="19"/>
      <c r="AE71" s="19"/>
      <c r="AF71" s="12"/>
      <c r="BI71" s="330" t="s">
        <v>6</v>
      </c>
      <c r="BJ71" s="306" t="s">
        <v>80</v>
      </c>
      <c r="BK71" s="306"/>
      <c r="BL71" s="306"/>
      <c r="BM71" s="306"/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292" t="s">
        <v>142</v>
      </c>
      <c r="B72" s="290" t="s">
        <v>6</v>
      </c>
      <c r="C72" s="290" t="s">
        <v>2</v>
      </c>
      <c r="D72" s="284" t="s">
        <v>46</v>
      </c>
      <c r="E72" s="299" t="s">
        <v>47</v>
      </c>
      <c r="F72" s="299" t="s">
        <v>207</v>
      </c>
      <c r="G72" s="299" t="s">
        <v>210</v>
      </c>
      <c r="H72" s="290" t="s">
        <v>14</v>
      </c>
      <c r="I72" s="291"/>
      <c r="J72" s="340" t="s">
        <v>49</v>
      </c>
      <c r="K72" s="341"/>
      <c r="L72" s="341"/>
      <c r="M72" s="341"/>
      <c r="N72" s="342"/>
      <c r="O72" s="284" t="s">
        <v>7</v>
      </c>
      <c r="P72" s="286" t="s">
        <v>18</v>
      </c>
      <c r="Q72" s="286" t="s">
        <v>19</v>
      </c>
      <c r="R72" s="288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0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293"/>
      <c r="B73" s="294"/>
      <c r="C73" s="294"/>
      <c r="D73" s="285"/>
      <c r="E73" s="300"/>
      <c r="F73" s="300"/>
      <c r="G73" s="300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5"/>
      <c r="P73" s="287"/>
      <c r="Q73" s="287"/>
      <c r="R73" s="289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1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244" t="s">
        <v>94</v>
      </c>
      <c r="CE73" s="244" t="s">
        <v>202</v>
      </c>
      <c r="CF73" s="244" t="s">
        <v>184</v>
      </c>
      <c r="CG73" s="244" t="s">
        <v>110</v>
      </c>
      <c r="CH73" s="244" t="s">
        <v>95</v>
      </c>
      <c r="CI73" s="244" t="s">
        <v>96</v>
      </c>
      <c r="CJ73" s="220"/>
      <c r="CK73" s="246" t="s">
        <v>199</v>
      </c>
      <c r="CL73" s="245" t="s">
        <v>97</v>
      </c>
      <c r="CM73" s="245" t="s">
        <v>111</v>
      </c>
      <c r="CN73" s="245" t="s">
        <v>211</v>
      </c>
      <c r="CO73" s="192"/>
      <c r="CP73" s="192"/>
    </row>
    <row r="74" spans="1:94" ht="17.100000000000001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4"/>
      <c r="CE74" s="244"/>
      <c r="CF74" s="244"/>
      <c r="CG74" s="244"/>
      <c r="CH74" s="244"/>
      <c r="CI74" s="244"/>
      <c r="CJ74" s="34"/>
      <c r="CK74" s="246"/>
      <c r="CL74" s="245"/>
      <c r="CM74" s="245"/>
      <c r="CN74" s="245"/>
      <c r="CO74" s="33"/>
      <c r="CP74" s="33"/>
    </row>
    <row r="75" spans="1:94" ht="17.100000000000001" customHeight="1" thickBot="1">
      <c r="A75" s="295" t="s">
        <v>143</v>
      </c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7" t="s">
        <v>171</v>
      </c>
      <c r="Q75" s="297"/>
      <c r="R75" s="298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7.100000000000001" customHeight="1" thickBot="1">
      <c r="A76" s="118">
        <v>1</v>
      </c>
      <c r="B76" s="119" t="s">
        <v>301</v>
      </c>
      <c r="C76" s="86" t="s">
        <v>43</v>
      </c>
      <c r="D76" s="87" t="s">
        <v>158</v>
      </c>
      <c r="E76" s="87" t="s">
        <v>38</v>
      </c>
      <c r="F76" s="87" t="s">
        <v>51</v>
      </c>
      <c r="G76" s="87" t="s">
        <v>54</v>
      </c>
      <c r="H76" s="87" t="s">
        <v>118</v>
      </c>
      <c r="I76" s="87" t="s">
        <v>59</v>
      </c>
      <c r="J76" s="87" t="s">
        <v>52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6</v>
      </c>
      <c r="P76" s="24">
        <f t="shared" ref="P76:P99" si="0">IFERROR(IF(A76&gt;0,BX76,0),0)</f>
        <v>208</v>
      </c>
      <c r="Q76" s="25">
        <f>IFERROR(IF(76&gt;0,O76*P76,0),0)</f>
        <v>1248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Royal Mamluks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90</v>
      </c>
      <c r="BL76" s="29">
        <f>VLOOKUP(G76,'Standard AB - 17 Tugs, 8 SuGs'!$R$3:$Z$21,BJ76,FALSE)</f>
        <v>10</v>
      </c>
      <c r="BM76" s="30">
        <f>VLOOKUP(I76,'Standard AB - 17 Tugs, 8 SuGs'!$R$12:$Z$21,BJ76,FALSE)</f>
        <v>40</v>
      </c>
      <c r="BN76" s="29">
        <f>IFERROR(VLOOKUP(J76,'Standard AB - 17 Tugs, 8 SuGs'!$AB$3:$AK$55,$BJ76,FALSE),0)</f>
        <v>20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120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208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6</v>
      </c>
      <c r="CN76" s="29">
        <f t="shared" ref="CN76:CN99" si="13">(O76*CI76-CL76)*CK76</f>
        <v>0</v>
      </c>
      <c r="CO76" s="33"/>
      <c r="CP76" s="33"/>
    </row>
    <row r="77" spans="1:94" ht="17.100000000000001" customHeight="1" thickBot="1">
      <c r="A77" s="118">
        <v>2</v>
      </c>
      <c r="B77" s="119" t="s">
        <v>302</v>
      </c>
      <c r="C77" s="86" t="s">
        <v>43</v>
      </c>
      <c r="D77" s="87" t="s">
        <v>158</v>
      </c>
      <c r="E77" s="87" t="s">
        <v>38</v>
      </c>
      <c r="F77" s="87" t="s">
        <v>51</v>
      </c>
      <c r="G77" s="87" t="s">
        <v>54</v>
      </c>
      <c r="H77" s="87" t="s">
        <v>118</v>
      </c>
      <c r="I77" s="87" t="s">
        <v>59</v>
      </c>
      <c r="J77" s="87" t="s">
        <v>50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4</v>
      </c>
      <c r="P77" s="24">
        <f t="shared" si="0"/>
        <v>180</v>
      </c>
      <c r="Q77" s="25">
        <f t="shared" ref="Q77:Q118" si="14">IFERROR(IF(76&gt;0,O77*P77,0),0)</f>
        <v>720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Mamluks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90</v>
      </c>
      <c r="BL77" s="29">
        <f>VLOOKUP(G77,'Standard AB - 17 Tugs, 8 SuGs'!$R$3:$Z$21,BJ77,FALSE)</f>
        <v>10</v>
      </c>
      <c r="BM77" s="30">
        <f>VLOOKUP(I77,'Standard AB - 17 Tugs, 8 SuGs'!$R$12:$Z$21,BJ77,FALSE)</f>
        <v>40</v>
      </c>
      <c r="BN77" s="29">
        <f>IFERROR(VLOOKUP(J77,'Standard AB - 17 Tugs, 8 SuGs'!$AB$3:$AK$55,$BJ77,FALSE),0)</f>
        <v>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100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180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4</v>
      </c>
      <c r="CN77" s="29">
        <f t="shared" si="13"/>
        <v>0</v>
      </c>
      <c r="CO77" s="33"/>
      <c r="CP77" s="33"/>
    </row>
    <row r="78" spans="1:94" ht="17.100000000000001" customHeight="1" thickBot="1">
      <c r="A78" s="118">
        <v>3</v>
      </c>
      <c r="B78" s="119" t="s">
        <v>302</v>
      </c>
      <c r="C78" s="86" t="s">
        <v>43</v>
      </c>
      <c r="D78" s="87" t="s">
        <v>158</v>
      </c>
      <c r="E78" s="87" t="s">
        <v>38</v>
      </c>
      <c r="F78" s="87" t="s">
        <v>51</v>
      </c>
      <c r="G78" s="87" t="s">
        <v>54</v>
      </c>
      <c r="H78" s="87" t="s">
        <v>118</v>
      </c>
      <c r="I78" s="87" t="s">
        <v>59</v>
      </c>
      <c r="J78" s="87" t="s">
        <v>50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4</v>
      </c>
      <c r="P78" s="24">
        <f t="shared" si="0"/>
        <v>180</v>
      </c>
      <c r="Q78" s="25">
        <f t="shared" si="14"/>
        <v>720</v>
      </c>
      <c r="R78" s="26">
        <f t="shared" si="1"/>
        <v>2.5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Mamluks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90</v>
      </c>
      <c r="BL78" s="29">
        <f>VLOOKUP(G78,'Standard AB - 17 Tugs, 8 SuGs'!$R$3:$Z$21,BJ78,FALSE)</f>
        <v>10</v>
      </c>
      <c r="BM78" s="30">
        <f>VLOOKUP(I78,'Standard AB - 17 Tugs, 8 SuGs'!$R$12:$Z$21,BJ78,FALSE)</f>
        <v>40</v>
      </c>
      <c r="BN78" s="29">
        <f>IFERROR(VLOOKUP(J78,'Standard AB - 17 Tugs, 8 SuGs'!$AB$3:$AK$55,$BJ78,FALSE),0)</f>
        <v>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100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180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4</v>
      </c>
      <c r="CN78" s="29">
        <f t="shared" si="13"/>
        <v>0</v>
      </c>
      <c r="CO78" s="33"/>
      <c r="CP78" s="33"/>
    </row>
    <row r="79" spans="1:94" ht="17.100000000000001" customHeight="1" thickBot="1">
      <c r="A79" s="118">
        <v>4</v>
      </c>
      <c r="B79" s="119" t="s">
        <v>302</v>
      </c>
      <c r="C79" s="86" t="s">
        <v>43</v>
      </c>
      <c r="D79" s="87" t="s">
        <v>158</v>
      </c>
      <c r="E79" s="87" t="s">
        <v>38</v>
      </c>
      <c r="F79" s="87" t="s">
        <v>51</v>
      </c>
      <c r="G79" s="87" t="s">
        <v>54</v>
      </c>
      <c r="H79" s="87" t="s">
        <v>118</v>
      </c>
      <c r="I79" s="87" t="s">
        <v>59</v>
      </c>
      <c r="J79" s="87" t="s">
        <v>50</v>
      </c>
      <c r="K79" s="87" t="s">
        <v>50</v>
      </c>
      <c r="L79" s="87" t="s">
        <v>50</v>
      </c>
      <c r="M79" s="87" t="s">
        <v>50</v>
      </c>
      <c r="N79" s="87" t="s">
        <v>50</v>
      </c>
      <c r="O79" s="87">
        <v>4</v>
      </c>
      <c r="P79" s="24">
        <f t="shared" si="0"/>
        <v>180</v>
      </c>
      <c r="Q79" s="25">
        <f t="shared" si="14"/>
        <v>720</v>
      </c>
      <c r="R79" s="26">
        <f t="shared" si="1"/>
        <v>2.5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Mamluks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90</v>
      </c>
      <c r="BL79" s="29">
        <f>VLOOKUP(G79,'Standard AB - 17 Tugs, 8 SuGs'!$R$3:$Z$21,BJ79,FALSE)</f>
        <v>10</v>
      </c>
      <c r="BM79" s="30">
        <f>VLOOKUP(I79,'Standard AB - 17 Tugs, 8 SuGs'!$R$12:$Z$21,BJ79,FALSE)</f>
        <v>40</v>
      </c>
      <c r="BN79" s="29">
        <f>IFERROR(VLOOKUP(J79,'Standard AB - 17 Tugs, 8 SuGs'!$AB$3:$AK$55,$BJ79,FALSE),0)</f>
        <v>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100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180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4</v>
      </c>
      <c r="CN79" s="29">
        <f t="shared" si="13"/>
        <v>0</v>
      </c>
      <c r="CO79" s="33"/>
      <c r="CP79" s="33"/>
    </row>
    <row r="80" spans="1:94" ht="17.100000000000001" customHeight="1" thickBot="1">
      <c r="A80" s="118">
        <v>5</v>
      </c>
      <c r="B80" s="119" t="s">
        <v>303</v>
      </c>
      <c r="C80" s="86" t="s">
        <v>43</v>
      </c>
      <c r="D80" s="87" t="s">
        <v>159</v>
      </c>
      <c r="E80" s="87" t="s">
        <v>10</v>
      </c>
      <c r="F80" s="87" t="s">
        <v>51</v>
      </c>
      <c r="G80" s="87" t="s">
        <v>53</v>
      </c>
      <c r="H80" s="87" t="s">
        <v>50</v>
      </c>
      <c r="I80" s="87" t="s">
        <v>50</v>
      </c>
      <c r="J80" s="87" t="s">
        <v>50</v>
      </c>
      <c r="K80" s="87" t="s">
        <v>50</v>
      </c>
      <c r="L80" s="87" t="s">
        <v>50</v>
      </c>
      <c r="M80" s="87" t="s">
        <v>50</v>
      </c>
      <c r="N80" s="87" t="s">
        <v>50</v>
      </c>
      <c r="O80" s="87">
        <v>6</v>
      </c>
      <c r="P80" s="24">
        <f t="shared" si="0"/>
        <v>115</v>
      </c>
      <c r="Q80" s="25">
        <f t="shared" si="14"/>
        <v>690</v>
      </c>
      <c r="R80" s="26">
        <f t="shared" si="1"/>
        <v>3.5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Lancers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35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115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115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6</v>
      </c>
      <c r="CN80" s="29">
        <f t="shared" si="13"/>
        <v>0</v>
      </c>
      <c r="CO80" s="33"/>
      <c r="CP80" s="33"/>
    </row>
    <row r="81" spans="1:94" ht="17.100000000000001" customHeight="1" thickBot="1">
      <c r="A81" s="118">
        <v>6</v>
      </c>
      <c r="B81" s="119" t="s">
        <v>303</v>
      </c>
      <c r="C81" s="86" t="s">
        <v>43</v>
      </c>
      <c r="D81" s="87" t="s">
        <v>159</v>
      </c>
      <c r="E81" s="87" t="s">
        <v>10</v>
      </c>
      <c r="F81" s="87" t="s">
        <v>51</v>
      </c>
      <c r="G81" s="87" t="s">
        <v>53</v>
      </c>
      <c r="H81" s="87" t="s">
        <v>50</v>
      </c>
      <c r="I81" s="87" t="s">
        <v>50</v>
      </c>
      <c r="J81" s="87" t="s">
        <v>50</v>
      </c>
      <c r="K81" s="87" t="s">
        <v>50</v>
      </c>
      <c r="L81" s="87" t="s">
        <v>50</v>
      </c>
      <c r="M81" s="87" t="s">
        <v>50</v>
      </c>
      <c r="N81" s="87" t="s">
        <v>50</v>
      </c>
      <c r="O81" s="87">
        <v>6</v>
      </c>
      <c r="P81" s="24">
        <f t="shared" si="0"/>
        <v>115</v>
      </c>
      <c r="Q81" s="25">
        <f t="shared" si="14"/>
        <v>690</v>
      </c>
      <c r="R81" s="26">
        <f t="shared" si="1"/>
        <v>3.5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Lancers</v>
      </c>
      <c r="BJ81" s="29">
        <f>VLOOKUP(C81,'Standard AB - 17 Tugs, 8 SuGs'!$B$13:$C$21,2,FALSE)</f>
        <v>3</v>
      </c>
      <c r="BK81" s="29">
        <f>VLOOKUP(D81,'Standard AB - 17 Tugs, 8 SuGs'!$B$2:$K$11,'Standard AB - 17 Tugs, 8 SuGs'!BJ81,FALSE)</f>
        <v>80</v>
      </c>
      <c r="BL81" s="29">
        <f>VLOOKUP(G81,'Standard AB - 17 Tugs, 8 SuGs'!$R$3:$Z$21,BJ81,FALSE)</f>
        <v>35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115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115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6</v>
      </c>
      <c r="CN81" s="29">
        <f t="shared" si="13"/>
        <v>0</v>
      </c>
      <c r="CO81" s="33"/>
      <c r="CP81" s="33"/>
    </row>
    <row r="82" spans="1:94" ht="17.100000000000001" customHeight="1" thickBot="1">
      <c r="A82" s="118">
        <v>7</v>
      </c>
      <c r="B82" s="119" t="s">
        <v>304</v>
      </c>
      <c r="C82" s="86" t="s">
        <v>40</v>
      </c>
      <c r="D82" s="87" t="s">
        <v>119</v>
      </c>
      <c r="E82" s="87" t="s">
        <v>10</v>
      </c>
      <c r="F82" s="87" t="s">
        <v>51</v>
      </c>
      <c r="G82" s="87" t="s">
        <v>54</v>
      </c>
      <c r="H82" s="87" t="s">
        <v>50</v>
      </c>
      <c r="I82" s="87" t="s">
        <v>50</v>
      </c>
      <c r="J82" s="87" t="s">
        <v>123</v>
      </c>
      <c r="K82" s="87" t="s">
        <v>50</v>
      </c>
      <c r="L82" s="87" t="s">
        <v>50</v>
      </c>
      <c r="M82" s="87" t="s">
        <v>50</v>
      </c>
      <c r="N82" s="87" t="s">
        <v>50</v>
      </c>
      <c r="O82" s="87">
        <v>6</v>
      </c>
      <c r="P82" s="24">
        <f t="shared" si="0"/>
        <v>83</v>
      </c>
      <c r="Q82" s="25">
        <f t="shared" si="14"/>
        <v>498</v>
      </c>
      <c r="R82" s="26">
        <f t="shared" si="1"/>
        <v>3.5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abid 'al shira</v>
      </c>
      <c r="BJ82" s="29">
        <f>VLOOKUP(C82,'Standard AB - 17 Tugs, 8 SuGs'!$B$13:$C$21,2,FALSE)</f>
        <v>2</v>
      </c>
      <c r="BK82" s="29">
        <f>VLOOKUP(D82,'Standard AB - 17 Tugs, 8 SuGs'!$B$2:$K$11,'Standard AB - 17 Tugs, 8 SuGs'!BJ82,FALSE)</f>
        <v>70</v>
      </c>
      <c r="BL82" s="29">
        <f>VLOOKUP(G82,'Standard AB - 17 Tugs, 8 SuGs'!$R$3:$Z$21,BJ82,FALSE)</f>
        <v>7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6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83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83</v>
      </c>
      <c r="BY82" s="32"/>
      <c r="BZ82" s="32"/>
      <c r="CA82" s="32"/>
      <c r="CB82" s="32"/>
      <c r="CC82" s="33"/>
      <c r="CD82" s="29">
        <f t="shared" si="4"/>
        <v>0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0</v>
      </c>
      <c r="CN82" s="29">
        <f t="shared" si="13"/>
        <v>0</v>
      </c>
      <c r="CO82" s="33"/>
      <c r="CP82" s="33"/>
    </row>
    <row r="83" spans="1:94" ht="17.100000000000001" customHeight="1" thickBot="1">
      <c r="A83" s="118">
        <v>7</v>
      </c>
      <c r="B83" s="119" t="s">
        <v>305</v>
      </c>
      <c r="C83" s="86" t="s">
        <v>40</v>
      </c>
      <c r="D83" s="87" t="s">
        <v>158</v>
      </c>
      <c r="E83" s="87" t="s">
        <v>10</v>
      </c>
      <c r="F83" s="87" t="s">
        <v>51</v>
      </c>
      <c r="G83" s="87" t="s">
        <v>66</v>
      </c>
      <c r="H83" s="87" t="s">
        <v>50</v>
      </c>
      <c r="I83" s="87" t="s">
        <v>50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2</v>
      </c>
      <c r="P83" s="24">
        <f t="shared" si="0"/>
        <v>97</v>
      </c>
      <c r="Q83" s="25">
        <f t="shared" si="14"/>
        <v>194</v>
      </c>
      <c r="R83" s="26">
        <f t="shared" si="1"/>
        <v>1.5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lutat</v>
      </c>
      <c r="BJ83" s="29">
        <f>VLOOKUP(C83,'Standard AB - 17 Tugs, 8 SuGs'!$B$13:$C$21,2,FALSE)</f>
        <v>2</v>
      </c>
      <c r="BK83" s="29">
        <f>VLOOKUP(D83,'Standard AB - 17 Tugs, 8 SuGs'!$B$2:$K$11,'Standard AB - 17 Tugs, 8 SuGs'!BJ83,FALSE)</f>
        <v>65</v>
      </c>
      <c r="BL83" s="29">
        <f>VLOOKUP(G83,'Standard AB - 17 Tugs, 8 SuGs'!$R$3:$Z$21,BJ83,FALSE)</f>
        <v>32</v>
      </c>
      <c r="BM83" s="30">
        <f>VLOOKUP(I83,'Standard AB - 17 Tugs, 8 SuGs'!$R$12:$Z$21,BJ83,FALSE)</f>
        <v>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97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97</v>
      </c>
      <c r="BY83" s="32"/>
      <c r="BZ83" s="32"/>
      <c r="CA83" s="32"/>
      <c r="CB83" s="32"/>
      <c r="CC83" s="33"/>
      <c r="CD83" s="29">
        <f t="shared" si="4"/>
        <v>0</v>
      </c>
      <c r="CE83" s="29">
        <f t="shared" si="5"/>
        <v>0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0</v>
      </c>
      <c r="CN83" s="29">
        <f t="shared" si="13"/>
        <v>0</v>
      </c>
      <c r="CO83" s="33"/>
      <c r="CP83" s="33"/>
    </row>
    <row r="84" spans="1:94" ht="17.100000000000001" customHeight="1" thickBot="1">
      <c r="A84" s="118">
        <v>8</v>
      </c>
      <c r="B84" s="119" t="s">
        <v>306</v>
      </c>
      <c r="C84" s="86" t="s">
        <v>40</v>
      </c>
      <c r="D84" s="87" t="s">
        <v>119</v>
      </c>
      <c r="E84" s="87" t="s">
        <v>10</v>
      </c>
      <c r="F84" s="87" t="s">
        <v>51</v>
      </c>
      <c r="G84" s="87" t="s">
        <v>53</v>
      </c>
      <c r="H84" s="87" t="s">
        <v>50</v>
      </c>
      <c r="I84" s="87" t="s">
        <v>50</v>
      </c>
      <c r="J84" s="87" t="s">
        <v>123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8</v>
      </c>
      <c r="P84" s="24">
        <f t="shared" si="0"/>
        <v>99</v>
      </c>
      <c r="Q84" s="25">
        <f t="shared" si="14"/>
        <v>792</v>
      </c>
      <c r="R84" s="26">
        <f t="shared" si="1"/>
        <v>4.5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sariraya</v>
      </c>
      <c r="BJ84" s="29">
        <f>VLOOKUP(C84,'Standard AB - 17 Tugs, 8 SuGs'!$B$13:$C$21,2,FALSE)</f>
        <v>2</v>
      </c>
      <c r="BK84" s="29">
        <f>VLOOKUP(D84,'Standard AB - 17 Tugs, 8 SuGs'!$B$2:$K$11,'Standard AB - 17 Tugs, 8 SuGs'!BJ84,FALSE)</f>
        <v>70</v>
      </c>
      <c r="BL84" s="29">
        <f>VLOOKUP(G84,'Standard AB - 17 Tugs, 8 SuGs'!$R$3:$Z$21,BJ84,FALSE)</f>
        <v>23</v>
      </c>
      <c r="BM84" s="30">
        <f>VLOOKUP(I84,'Standard AB - 17 Tugs, 8 SuGs'!$R$12:$Z$21,BJ84,FALSE)</f>
        <v>0</v>
      </c>
      <c r="BN84" s="29">
        <f>IFERROR(VLOOKUP(J84,'Standard AB - 17 Tugs, 8 SuGs'!$AB$3:$AK$55,$BJ84,FALSE),0)</f>
        <v>6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99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99</v>
      </c>
      <c r="BY84" s="32"/>
      <c r="BZ84" s="32"/>
      <c r="CA84" s="32"/>
      <c r="CB84" s="32"/>
      <c r="CC84" s="33"/>
      <c r="CD84" s="29">
        <f t="shared" si="4"/>
        <v>0</v>
      </c>
      <c r="CE84" s="29">
        <f t="shared" si="5"/>
        <v>0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0</v>
      </c>
      <c r="CN84" s="29">
        <f t="shared" si="13"/>
        <v>0</v>
      </c>
      <c r="CO84" s="33"/>
      <c r="CP84" s="33"/>
    </row>
    <row r="85" spans="1:94" ht="17.100000000000001" customHeight="1" thickBot="1">
      <c r="A85" s="118">
        <v>9</v>
      </c>
      <c r="B85" s="119" t="s">
        <v>307</v>
      </c>
      <c r="C85" s="86" t="s">
        <v>40</v>
      </c>
      <c r="D85" s="87" t="s">
        <v>35</v>
      </c>
      <c r="E85" s="87" t="s">
        <v>10</v>
      </c>
      <c r="F85" s="87" t="s">
        <v>51</v>
      </c>
      <c r="G85" s="87" t="s">
        <v>50</v>
      </c>
      <c r="H85" s="87" t="s">
        <v>50</v>
      </c>
      <c r="I85" s="87" t="s">
        <v>50</v>
      </c>
      <c r="J85" s="87" t="s">
        <v>79</v>
      </c>
      <c r="K85" s="87" t="s">
        <v>52</v>
      </c>
      <c r="L85" s="87" t="s">
        <v>50</v>
      </c>
      <c r="M85" s="87" t="s">
        <v>50</v>
      </c>
      <c r="N85" s="87" t="s">
        <v>50</v>
      </c>
      <c r="O85" s="87">
        <v>8</v>
      </c>
      <c r="P85" s="24">
        <f t="shared" si="0"/>
        <v>99</v>
      </c>
      <c r="Q85" s="25">
        <f t="shared" si="14"/>
        <v>792</v>
      </c>
      <c r="R85" s="26">
        <f t="shared" si="1"/>
        <v>4.5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dailami</v>
      </c>
      <c r="BJ85" s="29">
        <f>VLOOKUP(C85,'Standard AB - 17 Tugs, 8 SuGs'!$B$13:$C$21,2,FALSE)</f>
        <v>2</v>
      </c>
      <c r="BK85" s="29">
        <f>VLOOKUP(D85,'Standard AB - 17 Tugs, 8 SuGs'!$B$2:$K$11,'Standard AB - 17 Tugs, 8 SuGs'!BJ85,FALSE)</f>
        <v>70</v>
      </c>
      <c r="BL85" s="29">
        <f>VLOOKUP(G85,'Standard AB - 17 Tugs, 8 SuGs'!$R$3:$Z$21,BJ85,FALSE)</f>
        <v>0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13</v>
      </c>
      <c r="BO85" s="29">
        <f>IFERROR(VLOOKUP(K85,'Standard AB - 17 Tugs, 8 SuGs'!$AB$3:$AK$55,$BJ85,FALSE),0)</f>
        <v>16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99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99</v>
      </c>
      <c r="BY85" s="32"/>
      <c r="BZ85" s="32"/>
      <c r="CA85" s="32"/>
      <c r="CB85" s="32"/>
      <c r="CC85" s="33"/>
      <c r="CD85" s="29">
        <f t="shared" si="4"/>
        <v>0</v>
      </c>
      <c r="CE85" s="29">
        <f t="shared" si="5"/>
        <v>1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0</v>
      </c>
      <c r="CN85" s="29">
        <f t="shared" si="13"/>
        <v>0</v>
      </c>
      <c r="CO85" s="33"/>
      <c r="CP85" s="33"/>
    </row>
    <row r="86" spans="1:94" ht="17.100000000000001" customHeight="1" thickBot="1">
      <c r="A86" s="118"/>
      <c r="B86" s="119"/>
      <c r="C86" s="86" t="s">
        <v>43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80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80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7.100000000000001" customHeight="1" thickBot="1">
      <c r="A87" s="118"/>
      <c r="B87" s="119"/>
      <c r="C87" s="86" t="s">
        <v>43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3</v>
      </c>
      <c r="BK87" s="29">
        <f>VLOOKUP(D87,'Standard AB - 17 Tugs, 8 SuGs'!$B$2:$K$11,'Standard AB - 17 Tugs, 8 SuGs'!BJ87,FALSE)</f>
        <v>80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80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80</v>
      </c>
      <c r="BY87" s="32"/>
      <c r="BZ87" s="32"/>
      <c r="CA87" s="32"/>
      <c r="CB87" s="32"/>
      <c r="CC87" s="33"/>
      <c r="CD87" s="29">
        <f t="shared" si="4"/>
        <v>1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7.100000000000001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7.100000000000001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7.100000000000001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7.100000000000001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7.10000000000000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7.10000000000000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7.10000000000000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7.10000000000000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7.10000000000000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7.10000000000000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7.10000000000000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7.10000000000000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7.100000000000001" customHeight="1" thickBot="1">
      <c r="A100" s="281" t="s">
        <v>198</v>
      </c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3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7.100000000000001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7.100000000000001" customHeight="1" thickBot="1">
      <c r="A102" s="281" t="s">
        <v>144</v>
      </c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3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17.100000000000001" customHeight="1" thickBot="1">
      <c r="A103" s="118">
        <v>1</v>
      </c>
      <c r="B103" s="119" t="s">
        <v>308</v>
      </c>
      <c r="C103" s="86" t="s">
        <v>43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62</v>
      </c>
      <c r="J103" s="87" t="s">
        <v>57</v>
      </c>
      <c r="K103" s="87" t="s">
        <v>55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63</v>
      </c>
      <c r="Q103" s="25">
        <f t="shared" si="14"/>
        <v>378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Berber LH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15</v>
      </c>
      <c r="BN103" s="29">
        <f>IFERROR(VLOOKUP(J103,'Standard AB - 17 Tugs, 8 SuGs'!$AB$28:$AK$48,$BJ103,FALSE),0)</f>
        <v>30</v>
      </c>
      <c r="BO103" s="29">
        <f>IFERROR(VLOOKUP(K103,'Standard AB - 17 Tugs, 8 SuGs'!$AB$28:$AK$48,$BJ103,FALSE),0)</f>
        <v>-10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60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63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6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17.100000000000001" customHeight="1" thickBot="1">
      <c r="A104" s="118">
        <v>2</v>
      </c>
      <c r="B104" s="119" t="s">
        <v>308</v>
      </c>
      <c r="C104" s="86" t="s">
        <v>43</v>
      </c>
      <c r="D104" s="88" t="s">
        <v>37</v>
      </c>
      <c r="E104" s="87" t="s">
        <v>10</v>
      </c>
      <c r="F104" s="87" t="s">
        <v>108</v>
      </c>
      <c r="G104" s="87" t="s">
        <v>50</v>
      </c>
      <c r="H104" s="87" t="s">
        <v>118</v>
      </c>
      <c r="I104" s="87" t="s">
        <v>62</v>
      </c>
      <c r="J104" s="87" t="s">
        <v>57</v>
      </c>
      <c r="K104" s="87" t="s">
        <v>55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63</v>
      </c>
      <c r="Q104" s="25">
        <f t="shared" si="14"/>
        <v>378</v>
      </c>
      <c r="R104" s="26">
        <f t="shared" si="19"/>
        <v>2.5</v>
      </c>
      <c r="U104" s="4"/>
      <c r="BI104" s="28" t="str">
        <f t="shared" si="20"/>
        <v>Berber LH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15</v>
      </c>
      <c r="BN104" s="29">
        <f>IFERROR(VLOOKUP(J104,'Standard AB - 17 Tugs, 8 SuGs'!$AB$28:$AK$48,$BJ104,FALSE),0)</f>
        <v>30</v>
      </c>
      <c r="BO104" s="29">
        <f>IFERROR(VLOOKUP(K104,'Standard AB - 17 Tugs, 8 SuGs'!$AB$28:$AK$48,$BJ104,FALSE),0)</f>
        <v>-10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60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63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6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17.100000000000001" customHeight="1" thickBot="1">
      <c r="A105" s="118">
        <v>3</v>
      </c>
      <c r="B105" s="119" t="s">
        <v>309</v>
      </c>
      <c r="C105" s="86" t="s">
        <v>40</v>
      </c>
      <c r="D105" s="88" t="s">
        <v>37</v>
      </c>
      <c r="E105" s="87" t="s">
        <v>10</v>
      </c>
      <c r="F105" s="87" t="s">
        <v>108</v>
      </c>
      <c r="G105" s="87" t="s">
        <v>50</v>
      </c>
      <c r="H105" s="87" t="s">
        <v>118</v>
      </c>
      <c r="I105" s="87" t="s">
        <v>70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>
        <v>6</v>
      </c>
      <c r="P105" s="24">
        <f t="shared" si="18"/>
        <v>34</v>
      </c>
      <c r="Q105" s="25">
        <f t="shared" si="14"/>
        <v>204</v>
      </c>
      <c r="R105" s="26">
        <f t="shared" si="19"/>
        <v>2.5</v>
      </c>
      <c r="U105" s="4"/>
      <c r="BI105" s="28" t="str">
        <f t="shared" si="20"/>
        <v>Nafatun</v>
      </c>
      <c r="BJ105" s="29">
        <f>VLOOKUP(C105,'Standard AB - 17 Tugs, 8 SuGs'!$B$13:$C$21,2,FALSE)</f>
        <v>2</v>
      </c>
      <c r="BK105" s="29">
        <f>VLOOKUP(D105,'Standard AB - 17 Tugs, 8 SuGs'!$B$2:$K$12,'Standard AB - 17 Tugs, 8 SuGs'!BJ105,FALSE)</f>
        <v>30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10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30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34</v>
      </c>
      <c r="BY105" s="32"/>
      <c r="BZ105" s="32"/>
      <c r="CA105" s="32"/>
      <c r="CB105" s="32"/>
      <c r="CC105" s="33"/>
      <c r="CD105" s="29">
        <f t="shared" si="21"/>
        <v>0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0</v>
      </c>
      <c r="CM105" s="29">
        <f t="shared" si="27"/>
        <v>0</v>
      </c>
      <c r="CN105" s="29">
        <f t="shared" si="28"/>
        <v>6</v>
      </c>
      <c r="CO105" s="33"/>
      <c r="CP105" s="33"/>
    </row>
    <row r="106" spans="1:94" ht="17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17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17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17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7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25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57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7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25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57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7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25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57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7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25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57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7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25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57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7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25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57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7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25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57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7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25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57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17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25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57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2300</v>
      </c>
      <c r="E120" s="65"/>
      <c r="F120" s="65"/>
      <c r="G120" s="66" t="s">
        <v>143</v>
      </c>
      <c r="H120" s="67">
        <f>SUM(Q76:Q101)</f>
        <v>7064</v>
      </c>
      <c r="I120" s="61"/>
      <c r="J120" s="68" t="s">
        <v>144</v>
      </c>
      <c r="K120" s="69">
        <f>SUM(Q103:Q118)</f>
        <v>960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12</v>
      </c>
      <c r="CM120" s="74">
        <f>SUM(CM74:CM118)</f>
        <v>30</v>
      </c>
      <c r="CN120" s="74">
        <f>SUM(CN74:CN118)</f>
        <v>6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49" t="s">
        <v>164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1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1.2</v>
      </c>
      <c r="CM122" s="11">
        <f t="shared" ref="CM122:CN122" si="31">CM120/CM121</f>
        <v>1.5</v>
      </c>
      <c r="CN122" s="11">
        <f t="shared" si="31"/>
        <v>0.2</v>
      </c>
    </row>
    <row r="123" spans="1:94" s="6" customFormat="1" ht="26.1" customHeight="1" thickBot="1">
      <c r="A123" s="249" t="s">
        <v>129</v>
      </c>
      <c r="B123" s="250"/>
      <c r="C123" s="250"/>
      <c r="D123" s="251"/>
      <c r="E123" s="261" t="s">
        <v>157</v>
      </c>
      <c r="F123" s="262"/>
      <c r="G123" s="262"/>
      <c r="H123" s="262"/>
      <c r="I123" s="262"/>
      <c r="J123" s="263"/>
      <c r="K123" s="252" t="s">
        <v>162</v>
      </c>
      <c r="L123" s="253"/>
      <c r="M123" s="253"/>
      <c r="N123" s="253"/>
      <c r="O123" s="253"/>
      <c r="P123" s="253"/>
      <c r="Q123" s="253"/>
      <c r="R123" s="254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5" t="s">
        <v>131</v>
      </c>
      <c r="B124" s="256"/>
      <c r="C124" s="256"/>
      <c r="D124" s="257"/>
      <c r="E124" s="264" t="s">
        <v>134</v>
      </c>
      <c r="F124" s="265"/>
      <c r="G124" s="266"/>
      <c r="H124" s="270" t="s">
        <v>132</v>
      </c>
      <c r="I124" s="271"/>
      <c r="J124" s="122" t="s">
        <v>130</v>
      </c>
      <c r="K124" s="274" t="s">
        <v>137</v>
      </c>
      <c r="L124" s="266"/>
      <c r="M124" s="266"/>
      <c r="N124" s="275"/>
      <c r="O124" s="275"/>
      <c r="P124" s="275"/>
      <c r="Q124" s="275"/>
      <c r="R124" s="276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2.9000000000000004</v>
      </c>
      <c r="CN124" s="13"/>
      <c r="CO124" s="13"/>
      <c r="CP124" s="13"/>
    </row>
    <row r="125" spans="1:94" s="12" customFormat="1" ht="20.100000000000001" customHeight="1" thickBot="1">
      <c r="A125" s="258" t="s">
        <v>156</v>
      </c>
      <c r="B125" s="259"/>
      <c r="C125" s="259"/>
      <c r="D125" s="260"/>
      <c r="E125" s="267" t="s">
        <v>135</v>
      </c>
      <c r="F125" s="268"/>
      <c r="G125" s="269"/>
      <c r="H125" s="272" t="s">
        <v>133</v>
      </c>
      <c r="I125" s="273"/>
      <c r="J125" s="15">
        <v>10</v>
      </c>
      <c r="K125" s="277" t="s">
        <v>163</v>
      </c>
      <c r="L125" s="278"/>
      <c r="M125" s="278"/>
      <c r="N125" s="279"/>
      <c r="O125" s="279"/>
      <c r="P125" s="279"/>
      <c r="Q125" s="279"/>
      <c r="R125" s="280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47" t="s">
        <v>85</v>
      </c>
      <c r="CM127" s="248"/>
    </row>
    <row r="128" spans="1:94">
      <c r="C128" s="4"/>
      <c r="CL128" s="223" t="s">
        <v>5</v>
      </c>
      <c r="CM128" s="77">
        <f>IF(H67&gt;0,I67,0)</f>
        <v>4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1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1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6</v>
      </c>
    </row>
    <row r="133" spans="3:91" s="4" customFormat="1">
      <c r="C133" s="39"/>
      <c r="P133" s="141"/>
      <c r="Q133" s="141">
        <f>SUM(Q74:Q101)+SUM(Q103:Q118)+D120</f>
        <v>10450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1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THESE INSTIRUCTIONS</vt:lpstr>
      <vt:lpstr>Standard AB - 17 Tugs, 8 SuGs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2018-11-27T14:41:58Z</dcterms:modified>
</cp:coreProperties>
</file>