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0" yWindow="0" windowWidth="25120" windowHeight="17020" activeTab="1"/>
  </bookViews>
  <sheets>
    <sheet name="READ THESE INSTIRUCTIONS" sheetId="4" r:id="rId1"/>
    <sheet name="Standard AB - 17 Tugs, 8 SuGs" sheetId="2" r:id="rId2"/>
  </sheets>
  <definedNames>
    <definedName name="_xlnm.Print_Area" localSheetId="1">'Standard AB - 17 Tugs, 8 SuGs'!$A$63:$R$125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76" i="2" l="1"/>
  <c r="BJ77" i="2"/>
  <c r="BJ78" i="2"/>
  <c r="BJ79" i="2"/>
  <c r="BJ80" i="2"/>
  <c r="BJ81" i="2"/>
  <c r="BJ82" i="2"/>
  <c r="BJ118" i="2"/>
  <c r="BJ117" i="2"/>
  <c r="BJ116" i="2"/>
  <c r="BJ115" i="2"/>
  <c r="BJ114" i="2"/>
  <c r="BJ113" i="2"/>
  <c r="BJ112" i="2"/>
  <c r="BJ111" i="2"/>
  <c r="BJ110" i="2"/>
  <c r="BJ109" i="2"/>
  <c r="BJ108" i="2"/>
  <c r="BJ107" i="2"/>
  <c r="BJ106" i="2"/>
  <c r="BJ105" i="2"/>
  <c r="BJ104" i="2"/>
  <c r="BJ103" i="2"/>
  <c r="BJ99" i="2"/>
  <c r="BJ98" i="2"/>
  <c r="BJ97" i="2"/>
  <c r="BJ96" i="2"/>
  <c r="BJ95" i="2"/>
  <c r="BJ94" i="2"/>
  <c r="BJ93" i="2"/>
  <c r="BJ92" i="2"/>
  <c r="BJ91" i="2"/>
  <c r="BJ90" i="2"/>
  <c r="BJ89" i="2"/>
  <c r="BJ88" i="2"/>
  <c r="BJ87" i="2"/>
  <c r="BJ86" i="2"/>
  <c r="BJ85" i="2"/>
  <c r="BJ84" i="2"/>
  <c r="BJ83" i="2"/>
  <c r="BK93" i="2"/>
  <c r="BM93" i="2"/>
  <c r="BL93" i="2"/>
  <c r="BN93" i="2"/>
  <c r="BO93" i="2"/>
  <c r="BP93" i="2"/>
  <c r="BQ93" i="2"/>
  <c r="BR93" i="2"/>
  <c r="BS93" i="2"/>
  <c r="BU93" i="2"/>
  <c r="BV93" i="2"/>
  <c r="BW93" i="2"/>
  <c r="BX93" i="2"/>
  <c r="P93" i="2"/>
  <c r="Q93" i="2"/>
  <c r="R93" i="2"/>
  <c r="BI93" i="2"/>
  <c r="CD93" i="2"/>
  <c r="CE93" i="2"/>
  <c r="CF93" i="2"/>
  <c r="CG93" i="2"/>
  <c r="CH93" i="2"/>
  <c r="CI93" i="2"/>
  <c r="CK93" i="2"/>
  <c r="CL93" i="2"/>
  <c r="CM93" i="2"/>
  <c r="CN93" i="2"/>
  <c r="BK94" i="2"/>
  <c r="BM94" i="2"/>
  <c r="BL94" i="2"/>
  <c r="BN94" i="2"/>
  <c r="BO94" i="2"/>
  <c r="BP94" i="2"/>
  <c r="BQ94" i="2"/>
  <c r="BR94" i="2"/>
  <c r="BS94" i="2"/>
  <c r="BU94" i="2"/>
  <c r="BV94" i="2"/>
  <c r="BW94" i="2"/>
  <c r="BX94" i="2"/>
  <c r="P94" i="2"/>
  <c r="Q94" i="2"/>
  <c r="R94" i="2"/>
  <c r="BI94" i="2"/>
  <c r="CD94" i="2"/>
  <c r="CE94" i="2"/>
  <c r="CF94" i="2"/>
  <c r="CG94" i="2"/>
  <c r="CH94" i="2"/>
  <c r="CI94" i="2"/>
  <c r="CK94" i="2"/>
  <c r="CL94" i="2"/>
  <c r="CM94" i="2"/>
  <c r="CN94" i="2"/>
  <c r="BK95" i="2"/>
  <c r="BM95" i="2"/>
  <c r="BL95" i="2"/>
  <c r="BN95" i="2"/>
  <c r="BO95" i="2"/>
  <c r="BP95" i="2"/>
  <c r="BQ95" i="2"/>
  <c r="BR95" i="2"/>
  <c r="BS95" i="2"/>
  <c r="BU95" i="2"/>
  <c r="BV95" i="2"/>
  <c r="BW95" i="2"/>
  <c r="BX95" i="2"/>
  <c r="P95" i="2"/>
  <c r="Q95" i="2"/>
  <c r="R95" i="2"/>
  <c r="BI95" i="2"/>
  <c r="CD95" i="2"/>
  <c r="CE95" i="2"/>
  <c r="CF95" i="2"/>
  <c r="CG95" i="2"/>
  <c r="CH95" i="2"/>
  <c r="CI95" i="2"/>
  <c r="CK95" i="2"/>
  <c r="CL95" i="2"/>
  <c r="CM95" i="2"/>
  <c r="CN95" i="2"/>
  <c r="BK96" i="2"/>
  <c r="BM96" i="2"/>
  <c r="BL96" i="2"/>
  <c r="BN96" i="2"/>
  <c r="BO96" i="2"/>
  <c r="BP96" i="2"/>
  <c r="BQ96" i="2"/>
  <c r="BR96" i="2"/>
  <c r="BS96" i="2"/>
  <c r="BU96" i="2"/>
  <c r="BV96" i="2"/>
  <c r="BW96" i="2"/>
  <c r="BX96" i="2"/>
  <c r="P96" i="2"/>
  <c r="Q96" i="2"/>
  <c r="R96" i="2"/>
  <c r="BI96" i="2"/>
  <c r="CD96" i="2"/>
  <c r="CE96" i="2"/>
  <c r="CF96" i="2"/>
  <c r="CG96" i="2"/>
  <c r="CH96" i="2"/>
  <c r="CI96" i="2"/>
  <c r="CK96" i="2"/>
  <c r="CL96" i="2"/>
  <c r="CM96" i="2"/>
  <c r="CN96" i="2"/>
  <c r="BK97" i="2"/>
  <c r="BM97" i="2"/>
  <c r="BL97" i="2"/>
  <c r="BN97" i="2"/>
  <c r="BO97" i="2"/>
  <c r="BP97" i="2"/>
  <c r="BQ97" i="2"/>
  <c r="BR97" i="2"/>
  <c r="BS97" i="2"/>
  <c r="BU97" i="2"/>
  <c r="BV97" i="2"/>
  <c r="BW97" i="2"/>
  <c r="BX97" i="2"/>
  <c r="P97" i="2"/>
  <c r="Q97" i="2"/>
  <c r="R97" i="2"/>
  <c r="BI97" i="2"/>
  <c r="CD97" i="2"/>
  <c r="CE97" i="2"/>
  <c r="CF97" i="2"/>
  <c r="CG97" i="2"/>
  <c r="CH97" i="2"/>
  <c r="CI97" i="2"/>
  <c r="CK97" i="2"/>
  <c r="CL97" i="2"/>
  <c r="CM97" i="2"/>
  <c r="CN97" i="2"/>
  <c r="BK98" i="2"/>
  <c r="BM98" i="2"/>
  <c r="BL98" i="2"/>
  <c r="BN98" i="2"/>
  <c r="BO98" i="2"/>
  <c r="BP98" i="2"/>
  <c r="BQ98" i="2"/>
  <c r="BR98" i="2"/>
  <c r="BS98" i="2"/>
  <c r="BU98" i="2"/>
  <c r="BV98" i="2"/>
  <c r="BW98" i="2"/>
  <c r="BX98" i="2"/>
  <c r="P98" i="2"/>
  <c r="Q98" i="2"/>
  <c r="R98" i="2"/>
  <c r="BI98" i="2"/>
  <c r="CD98" i="2"/>
  <c r="CE98" i="2"/>
  <c r="CF98" i="2"/>
  <c r="CG98" i="2"/>
  <c r="CH98" i="2"/>
  <c r="CI98" i="2"/>
  <c r="CK98" i="2"/>
  <c r="CL98" i="2"/>
  <c r="CM98" i="2"/>
  <c r="CN98" i="2"/>
  <c r="BK99" i="2"/>
  <c r="BM99" i="2"/>
  <c r="BL99" i="2"/>
  <c r="BN99" i="2"/>
  <c r="BO99" i="2"/>
  <c r="BP99" i="2"/>
  <c r="BQ99" i="2"/>
  <c r="BR99" i="2"/>
  <c r="BS99" i="2"/>
  <c r="BU99" i="2"/>
  <c r="BV99" i="2"/>
  <c r="BW99" i="2"/>
  <c r="BX99" i="2"/>
  <c r="P99" i="2"/>
  <c r="Q99" i="2"/>
  <c r="R99" i="2"/>
  <c r="BI99" i="2"/>
  <c r="CD99" i="2"/>
  <c r="CE99" i="2"/>
  <c r="CF99" i="2"/>
  <c r="CG99" i="2"/>
  <c r="CH99" i="2"/>
  <c r="CI99" i="2"/>
  <c r="CK99" i="2"/>
  <c r="CL99" i="2"/>
  <c r="CM99" i="2"/>
  <c r="CN99" i="2"/>
  <c r="BK105" i="2"/>
  <c r="BL105" i="2"/>
  <c r="BM105" i="2"/>
  <c r="BN105" i="2"/>
  <c r="BO105" i="2"/>
  <c r="BP105" i="2"/>
  <c r="BQ105" i="2"/>
  <c r="BR105" i="2"/>
  <c r="BS105" i="2"/>
  <c r="BU105" i="2"/>
  <c r="BV105" i="2"/>
  <c r="BW105" i="2"/>
  <c r="BX105" i="2"/>
  <c r="P105" i="2"/>
  <c r="Q105" i="2"/>
  <c r="P106" i="2"/>
  <c r="Q106" i="2"/>
  <c r="BK107" i="2"/>
  <c r="BM107" i="2"/>
  <c r="BL107" i="2"/>
  <c r="BN107" i="2"/>
  <c r="BO107" i="2"/>
  <c r="BP107" i="2"/>
  <c r="BQ107" i="2"/>
  <c r="BR107" i="2"/>
  <c r="BS107" i="2"/>
  <c r="BU107" i="2"/>
  <c r="BV107" i="2"/>
  <c r="BW107" i="2"/>
  <c r="BX107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BK104" i="2"/>
  <c r="BL104" i="2"/>
  <c r="BM104" i="2"/>
  <c r="BN104" i="2"/>
  <c r="BO104" i="2"/>
  <c r="BP104" i="2"/>
  <c r="BQ104" i="2"/>
  <c r="BR104" i="2"/>
  <c r="BS104" i="2"/>
  <c r="BU104" i="2"/>
  <c r="BV104" i="2"/>
  <c r="BW104" i="2"/>
  <c r="BX104" i="2"/>
  <c r="P104" i="2"/>
  <c r="Q104" i="2"/>
  <c r="BK103" i="2"/>
  <c r="BL103" i="2"/>
  <c r="BM103" i="2"/>
  <c r="BN103" i="2"/>
  <c r="BO103" i="2"/>
  <c r="BP103" i="2"/>
  <c r="BQ103" i="2"/>
  <c r="BR103" i="2"/>
  <c r="BS103" i="2"/>
  <c r="BU103" i="2"/>
  <c r="BV103" i="2"/>
  <c r="BW103" i="2"/>
  <c r="BX103" i="2"/>
  <c r="P103" i="2"/>
  <c r="Q103" i="2"/>
  <c r="P101" i="2"/>
  <c r="Q101" i="2"/>
  <c r="BK77" i="2"/>
  <c r="BL77" i="2"/>
  <c r="BM77" i="2"/>
  <c r="BN77" i="2"/>
  <c r="BO77" i="2"/>
  <c r="BP77" i="2"/>
  <c r="BQ77" i="2"/>
  <c r="BR77" i="2"/>
  <c r="BS77" i="2"/>
  <c r="BU77" i="2"/>
  <c r="BV77" i="2"/>
  <c r="BW77" i="2"/>
  <c r="BX77" i="2"/>
  <c r="P77" i="2"/>
  <c r="Q77" i="2"/>
  <c r="BK78" i="2"/>
  <c r="BL78" i="2"/>
  <c r="BM78" i="2"/>
  <c r="BN78" i="2"/>
  <c r="BO78" i="2"/>
  <c r="BP78" i="2"/>
  <c r="BQ78" i="2"/>
  <c r="BR78" i="2"/>
  <c r="BS78" i="2"/>
  <c r="BU78" i="2"/>
  <c r="BV78" i="2"/>
  <c r="BW78" i="2"/>
  <c r="BX78" i="2"/>
  <c r="P78" i="2"/>
  <c r="Q78" i="2"/>
  <c r="BK79" i="2"/>
  <c r="BL79" i="2"/>
  <c r="BM79" i="2"/>
  <c r="BN79" i="2"/>
  <c r="BO79" i="2"/>
  <c r="BP79" i="2"/>
  <c r="BQ79" i="2"/>
  <c r="BR79" i="2"/>
  <c r="BS79" i="2"/>
  <c r="BU79" i="2"/>
  <c r="BV79" i="2"/>
  <c r="BW79" i="2"/>
  <c r="BX79" i="2"/>
  <c r="P79" i="2"/>
  <c r="Q79" i="2"/>
  <c r="BK80" i="2"/>
  <c r="BL80" i="2"/>
  <c r="BM80" i="2"/>
  <c r="BN80" i="2"/>
  <c r="BO80" i="2"/>
  <c r="BP80" i="2"/>
  <c r="BQ80" i="2"/>
  <c r="BR80" i="2"/>
  <c r="BS80" i="2"/>
  <c r="BU80" i="2"/>
  <c r="BV80" i="2"/>
  <c r="BW80" i="2"/>
  <c r="BX80" i="2"/>
  <c r="P80" i="2"/>
  <c r="Q80" i="2"/>
  <c r="BK81" i="2"/>
  <c r="BL81" i="2"/>
  <c r="BM81" i="2"/>
  <c r="BN81" i="2"/>
  <c r="BO81" i="2"/>
  <c r="BP81" i="2"/>
  <c r="BQ81" i="2"/>
  <c r="BR81" i="2"/>
  <c r="BS81" i="2"/>
  <c r="BU81" i="2"/>
  <c r="BV81" i="2"/>
  <c r="BW81" i="2"/>
  <c r="BX81" i="2"/>
  <c r="P81" i="2"/>
  <c r="Q81" i="2"/>
  <c r="BK82" i="2"/>
  <c r="BL82" i="2"/>
  <c r="BM82" i="2"/>
  <c r="BN82" i="2"/>
  <c r="BO82" i="2"/>
  <c r="BP82" i="2"/>
  <c r="BQ82" i="2"/>
  <c r="BR82" i="2"/>
  <c r="BS82" i="2"/>
  <c r="BU82" i="2"/>
  <c r="BV82" i="2"/>
  <c r="BW82" i="2"/>
  <c r="BX82" i="2"/>
  <c r="P82" i="2"/>
  <c r="Q82" i="2"/>
  <c r="BK83" i="2"/>
  <c r="BL83" i="2"/>
  <c r="BM83" i="2"/>
  <c r="BN83" i="2"/>
  <c r="BO83" i="2"/>
  <c r="BP83" i="2"/>
  <c r="BQ83" i="2"/>
  <c r="BR83" i="2"/>
  <c r="BS83" i="2"/>
  <c r="BU83" i="2"/>
  <c r="BV83" i="2"/>
  <c r="BW83" i="2"/>
  <c r="BX83" i="2"/>
  <c r="P83" i="2"/>
  <c r="Q83" i="2"/>
  <c r="BK84" i="2"/>
  <c r="BL84" i="2"/>
  <c r="BM84" i="2"/>
  <c r="BN84" i="2"/>
  <c r="BO84" i="2"/>
  <c r="BP84" i="2"/>
  <c r="BQ84" i="2"/>
  <c r="BR84" i="2"/>
  <c r="BS84" i="2"/>
  <c r="BU84" i="2"/>
  <c r="BV84" i="2"/>
  <c r="BW84" i="2"/>
  <c r="BX84" i="2"/>
  <c r="P84" i="2"/>
  <c r="Q84" i="2"/>
  <c r="BK85" i="2"/>
  <c r="BL85" i="2"/>
  <c r="BM85" i="2"/>
  <c r="BN85" i="2"/>
  <c r="BO85" i="2"/>
  <c r="BP85" i="2"/>
  <c r="BQ85" i="2"/>
  <c r="BR85" i="2"/>
  <c r="BS85" i="2"/>
  <c r="BU85" i="2"/>
  <c r="BV85" i="2"/>
  <c r="BW85" i="2"/>
  <c r="BX85" i="2"/>
  <c r="P85" i="2"/>
  <c r="Q85" i="2"/>
  <c r="BK86" i="2"/>
  <c r="BL86" i="2"/>
  <c r="BM86" i="2"/>
  <c r="BN86" i="2"/>
  <c r="BO86" i="2"/>
  <c r="BP86" i="2"/>
  <c r="BQ86" i="2"/>
  <c r="BR86" i="2"/>
  <c r="BS86" i="2"/>
  <c r="BU86" i="2"/>
  <c r="BV86" i="2"/>
  <c r="BW86" i="2"/>
  <c r="BX86" i="2"/>
  <c r="P86" i="2"/>
  <c r="Q86" i="2"/>
  <c r="BK87" i="2"/>
  <c r="BL87" i="2"/>
  <c r="BM87" i="2"/>
  <c r="BN87" i="2"/>
  <c r="BO87" i="2"/>
  <c r="BP87" i="2"/>
  <c r="BQ87" i="2"/>
  <c r="BR87" i="2"/>
  <c r="BS87" i="2"/>
  <c r="BU87" i="2"/>
  <c r="BV87" i="2"/>
  <c r="BW87" i="2"/>
  <c r="BX87" i="2"/>
  <c r="P87" i="2"/>
  <c r="Q87" i="2"/>
  <c r="BK88" i="2"/>
  <c r="BM88" i="2"/>
  <c r="BL88" i="2"/>
  <c r="BN88" i="2"/>
  <c r="BO88" i="2"/>
  <c r="BP88" i="2"/>
  <c r="BQ88" i="2"/>
  <c r="BR88" i="2"/>
  <c r="BS88" i="2"/>
  <c r="BU88" i="2"/>
  <c r="BV88" i="2"/>
  <c r="BW88" i="2"/>
  <c r="BX88" i="2"/>
  <c r="P88" i="2"/>
  <c r="Q88" i="2"/>
  <c r="BK89" i="2"/>
  <c r="BM89" i="2"/>
  <c r="BL89" i="2"/>
  <c r="BN89" i="2"/>
  <c r="BO89" i="2"/>
  <c r="BP89" i="2"/>
  <c r="BQ89" i="2"/>
  <c r="BR89" i="2"/>
  <c r="BS89" i="2"/>
  <c r="BU89" i="2"/>
  <c r="BV89" i="2"/>
  <c r="BW89" i="2"/>
  <c r="BX89" i="2"/>
  <c r="P89" i="2"/>
  <c r="Q89" i="2"/>
  <c r="BK90" i="2"/>
  <c r="BM90" i="2"/>
  <c r="BL90" i="2"/>
  <c r="BN90" i="2"/>
  <c r="BO90" i="2"/>
  <c r="BP90" i="2"/>
  <c r="BQ90" i="2"/>
  <c r="BR90" i="2"/>
  <c r="BS90" i="2"/>
  <c r="BU90" i="2"/>
  <c r="BV90" i="2"/>
  <c r="BW90" i="2"/>
  <c r="BX90" i="2"/>
  <c r="P90" i="2"/>
  <c r="Q90" i="2"/>
  <c r="BK91" i="2"/>
  <c r="BM91" i="2"/>
  <c r="BL91" i="2"/>
  <c r="BN91" i="2"/>
  <c r="BO91" i="2"/>
  <c r="BP91" i="2"/>
  <c r="BQ91" i="2"/>
  <c r="BR91" i="2"/>
  <c r="BS91" i="2"/>
  <c r="BU91" i="2"/>
  <c r="BV91" i="2"/>
  <c r="BW91" i="2"/>
  <c r="BX91" i="2"/>
  <c r="P91" i="2"/>
  <c r="Q91" i="2"/>
  <c r="BK92" i="2"/>
  <c r="BM92" i="2"/>
  <c r="BL92" i="2"/>
  <c r="BN92" i="2"/>
  <c r="BO92" i="2"/>
  <c r="BP92" i="2"/>
  <c r="BQ92" i="2"/>
  <c r="BR92" i="2"/>
  <c r="BS92" i="2"/>
  <c r="BU92" i="2"/>
  <c r="BV92" i="2"/>
  <c r="BW92" i="2"/>
  <c r="BX92" i="2"/>
  <c r="P92" i="2"/>
  <c r="Q92" i="2"/>
  <c r="BK76" i="2"/>
  <c r="BL76" i="2"/>
  <c r="BM76" i="2"/>
  <c r="BN76" i="2"/>
  <c r="BO76" i="2"/>
  <c r="BP76" i="2"/>
  <c r="BQ76" i="2"/>
  <c r="BR76" i="2"/>
  <c r="BS76" i="2"/>
  <c r="BU76" i="2"/>
  <c r="BV76" i="2"/>
  <c r="BW76" i="2"/>
  <c r="BX76" i="2"/>
  <c r="P76" i="2"/>
  <c r="Q76" i="2"/>
  <c r="BM106" i="2"/>
  <c r="BW106" i="2"/>
  <c r="BK106" i="2"/>
  <c r="BL106" i="2"/>
  <c r="BN106" i="2"/>
  <c r="BO106" i="2"/>
  <c r="BP106" i="2"/>
  <c r="BQ106" i="2"/>
  <c r="BR106" i="2"/>
  <c r="BS106" i="2"/>
  <c r="BU106" i="2"/>
  <c r="BV106" i="2"/>
  <c r="BX106" i="2"/>
  <c r="BM108" i="2"/>
  <c r="BW108" i="2"/>
  <c r="BK108" i="2"/>
  <c r="BL108" i="2"/>
  <c r="BN108" i="2"/>
  <c r="BO108" i="2"/>
  <c r="BP108" i="2"/>
  <c r="BQ108" i="2"/>
  <c r="BR108" i="2"/>
  <c r="BS108" i="2"/>
  <c r="BU108" i="2"/>
  <c r="BV108" i="2"/>
  <c r="BX108" i="2"/>
  <c r="BM109" i="2"/>
  <c r="BW109" i="2"/>
  <c r="BK109" i="2"/>
  <c r="BL109" i="2"/>
  <c r="BN109" i="2"/>
  <c r="BO109" i="2"/>
  <c r="BP109" i="2"/>
  <c r="BQ109" i="2"/>
  <c r="BR109" i="2"/>
  <c r="BS109" i="2"/>
  <c r="BU109" i="2"/>
  <c r="BV109" i="2"/>
  <c r="BX109" i="2"/>
  <c r="BM110" i="2"/>
  <c r="BW110" i="2"/>
  <c r="BK110" i="2"/>
  <c r="BL110" i="2"/>
  <c r="BN110" i="2"/>
  <c r="BO110" i="2"/>
  <c r="BP110" i="2"/>
  <c r="BQ110" i="2"/>
  <c r="BR110" i="2"/>
  <c r="BS110" i="2"/>
  <c r="BU110" i="2"/>
  <c r="BV110" i="2"/>
  <c r="BX110" i="2"/>
  <c r="BM111" i="2"/>
  <c r="BW111" i="2"/>
  <c r="BK111" i="2"/>
  <c r="BL111" i="2"/>
  <c r="BN111" i="2"/>
  <c r="BO111" i="2"/>
  <c r="BP111" i="2"/>
  <c r="BQ111" i="2"/>
  <c r="BR111" i="2"/>
  <c r="BS111" i="2"/>
  <c r="BU111" i="2"/>
  <c r="BV111" i="2"/>
  <c r="BX111" i="2"/>
  <c r="BM112" i="2"/>
  <c r="BW112" i="2"/>
  <c r="BK112" i="2"/>
  <c r="BL112" i="2"/>
  <c r="BN112" i="2"/>
  <c r="BO112" i="2"/>
  <c r="BP112" i="2"/>
  <c r="BQ112" i="2"/>
  <c r="BR112" i="2"/>
  <c r="BS112" i="2"/>
  <c r="BU112" i="2"/>
  <c r="BV112" i="2"/>
  <c r="BX112" i="2"/>
  <c r="BM113" i="2"/>
  <c r="BW113" i="2"/>
  <c r="BK113" i="2"/>
  <c r="BL113" i="2"/>
  <c r="BN113" i="2"/>
  <c r="BO113" i="2"/>
  <c r="BP113" i="2"/>
  <c r="BQ113" i="2"/>
  <c r="BR113" i="2"/>
  <c r="BS113" i="2"/>
  <c r="BU113" i="2"/>
  <c r="BV113" i="2"/>
  <c r="BX113" i="2"/>
  <c r="BM114" i="2"/>
  <c r="BW114" i="2"/>
  <c r="BK114" i="2"/>
  <c r="BL114" i="2"/>
  <c r="BN114" i="2"/>
  <c r="BO114" i="2"/>
  <c r="BP114" i="2"/>
  <c r="BQ114" i="2"/>
  <c r="BR114" i="2"/>
  <c r="BS114" i="2"/>
  <c r="BU114" i="2"/>
  <c r="BV114" i="2"/>
  <c r="BX114" i="2"/>
  <c r="BM115" i="2"/>
  <c r="BW115" i="2"/>
  <c r="BK115" i="2"/>
  <c r="BL115" i="2"/>
  <c r="BN115" i="2"/>
  <c r="BO115" i="2"/>
  <c r="BP115" i="2"/>
  <c r="BQ115" i="2"/>
  <c r="BR115" i="2"/>
  <c r="BS115" i="2"/>
  <c r="BU115" i="2"/>
  <c r="BV115" i="2"/>
  <c r="BX115" i="2"/>
  <c r="BM116" i="2"/>
  <c r="BW116" i="2"/>
  <c r="BK116" i="2"/>
  <c r="BL116" i="2"/>
  <c r="BN116" i="2"/>
  <c r="BO116" i="2"/>
  <c r="BP116" i="2"/>
  <c r="BQ116" i="2"/>
  <c r="BR116" i="2"/>
  <c r="BS116" i="2"/>
  <c r="BU116" i="2"/>
  <c r="BV116" i="2"/>
  <c r="BX116" i="2"/>
  <c r="BM117" i="2"/>
  <c r="BW117" i="2"/>
  <c r="BK117" i="2"/>
  <c r="BL117" i="2"/>
  <c r="BN117" i="2"/>
  <c r="BO117" i="2"/>
  <c r="BP117" i="2"/>
  <c r="BQ117" i="2"/>
  <c r="BR117" i="2"/>
  <c r="BS117" i="2"/>
  <c r="BU117" i="2"/>
  <c r="BV117" i="2"/>
  <c r="BX117" i="2"/>
  <c r="BM118" i="2"/>
  <c r="BW118" i="2"/>
  <c r="BK118" i="2"/>
  <c r="BL118" i="2"/>
  <c r="BN118" i="2"/>
  <c r="BO118" i="2"/>
  <c r="BP118" i="2"/>
  <c r="BQ118" i="2"/>
  <c r="BR118" i="2"/>
  <c r="BS118" i="2"/>
  <c r="BU118" i="2"/>
  <c r="BV118" i="2"/>
  <c r="BX118" i="2"/>
  <c r="BJ101" i="2"/>
  <c r="BM101" i="2"/>
  <c r="BK101" i="2"/>
  <c r="BS101" i="2"/>
  <c r="BW101" i="2"/>
  <c r="BU101" i="2"/>
  <c r="BV101" i="2"/>
  <c r="BX101" i="2"/>
  <c r="CI76" i="2"/>
  <c r="CD76" i="2"/>
  <c r="CG76" i="2"/>
  <c r="CH76" i="2"/>
  <c r="CK76" i="2"/>
  <c r="CL76" i="2"/>
  <c r="CI77" i="2"/>
  <c r="CD77" i="2"/>
  <c r="CG77" i="2"/>
  <c r="CH77" i="2"/>
  <c r="CK77" i="2"/>
  <c r="CL77" i="2"/>
  <c r="CI78" i="2"/>
  <c r="CD78" i="2"/>
  <c r="CG78" i="2"/>
  <c r="CH78" i="2"/>
  <c r="CK78" i="2"/>
  <c r="CL78" i="2"/>
  <c r="CI79" i="2"/>
  <c r="CD79" i="2"/>
  <c r="CG79" i="2"/>
  <c r="CH79" i="2"/>
  <c r="CK79" i="2"/>
  <c r="CL79" i="2"/>
  <c r="CI80" i="2"/>
  <c r="CD80" i="2"/>
  <c r="CG80" i="2"/>
  <c r="CH80" i="2"/>
  <c r="CK80" i="2"/>
  <c r="CL80" i="2"/>
  <c r="CI81" i="2"/>
  <c r="CD81" i="2"/>
  <c r="CG81" i="2"/>
  <c r="CH81" i="2"/>
  <c r="CK81" i="2"/>
  <c r="CL81" i="2"/>
  <c r="CI82" i="2"/>
  <c r="CD82" i="2"/>
  <c r="CG82" i="2"/>
  <c r="CH82" i="2"/>
  <c r="CK82" i="2"/>
  <c r="CL82" i="2"/>
  <c r="CI83" i="2"/>
  <c r="CD83" i="2"/>
  <c r="CG83" i="2"/>
  <c r="CH83" i="2"/>
  <c r="CK83" i="2"/>
  <c r="CL83" i="2"/>
  <c r="CI84" i="2"/>
  <c r="CD84" i="2"/>
  <c r="CG84" i="2"/>
  <c r="CH84" i="2"/>
  <c r="CK84" i="2"/>
  <c r="CL84" i="2"/>
  <c r="CI85" i="2"/>
  <c r="CD85" i="2"/>
  <c r="CG85" i="2"/>
  <c r="CH85" i="2"/>
  <c r="CK85" i="2"/>
  <c r="CL85" i="2"/>
  <c r="CI86" i="2"/>
  <c r="CD86" i="2"/>
  <c r="CG86" i="2"/>
  <c r="CH86" i="2"/>
  <c r="CK86" i="2"/>
  <c r="CL86" i="2"/>
  <c r="CI87" i="2"/>
  <c r="CD87" i="2"/>
  <c r="CG87" i="2"/>
  <c r="CH87" i="2"/>
  <c r="CK87" i="2"/>
  <c r="CL87" i="2"/>
  <c r="CI88" i="2"/>
  <c r="CD88" i="2"/>
  <c r="CG88" i="2"/>
  <c r="CH88" i="2"/>
  <c r="CK88" i="2"/>
  <c r="CL88" i="2"/>
  <c r="CI89" i="2"/>
  <c r="CD89" i="2"/>
  <c r="CG89" i="2"/>
  <c r="CH89" i="2"/>
  <c r="CK89" i="2"/>
  <c r="CL89" i="2"/>
  <c r="CI90" i="2"/>
  <c r="CD90" i="2"/>
  <c r="CG90" i="2"/>
  <c r="CH90" i="2"/>
  <c r="CK90" i="2"/>
  <c r="CL90" i="2"/>
  <c r="CI91" i="2"/>
  <c r="CD91" i="2"/>
  <c r="CG91" i="2"/>
  <c r="CH91" i="2"/>
  <c r="CK91" i="2"/>
  <c r="CL91" i="2"/>
  <c r="CI92" i="2"/>
  <c r="CD92" i="2"/>
  <c r="CG92" i="2"/>
  <c r="CH92" i="2"/>
  <c r="CK92" i="2"/>
  <c r="CL92" i="2"/>
  <c r="CI103" i="2"/>
  <c r="CD103" i="2"/>
  <c r="CG103" i="2"/>
  <c r="CH103" i="2"/>
  <c r="CK103" i="2"/>
  <c r="CL103" i="2"/>
  <c r="CI104" i="2"/>
  <c r="CD104" i="2"/>
  <c r="CG104" i="2"/>
  <c r="CH104" i="2"/>
  <c r="CK104" i="2"/>
  <c r="CL104" i="2"/>
  <c r="CI105" i="2"/>
  <c r="CD105" i="2"/>
  <c r="CG105" i="2"/>
  <c r="CH105" i="2"/>
  <c r="CK105" i="2"/>
  <c r="CL105" i="2"/>
  <c r="CI106" i="2"/>
  <c r="CD106" i="2"/>
  <c r="CG106" i="2"/>
  <c r="CH106" i="2"/>
  <c r="CK106" i="2"/>
  <c r="CL106" i="2"/>
  <c r="CI107" i="2"/>
  <c r="CD107" i="2"/>
  <c r="CG107" i="2"/>
  <c r="CH107" i="2"/>
  <c r="CK107" i="2"/>
  <c r="CL107" i="2"/>
  <c r="CI108" i="2"/>
  <c r="CD108" i="2"/>
  <c r="CG108" i="2"/>
  <c r="CH108" i="2"/>
  <c r="CK108" i="2"/>
  <c r="CL108" i="2"/>
  <c r="CI109" i="2"/>
  <c r="CD109" i="2"/>
  <c r="CG109" i="2"/>
  <c r="CH109" i="2"/>
  <c r="CK109" i="2"/>
  <c r="CL109" i="2"/>
  <c r="CI110" i="2"/>
  <c r="CD110" i="2"/>
  <c r="CG110" i="2"/>
  <c r="CH110" i="2"/>
  <c r="CK110" i="2"/>
  <c r="CL110" i="2"/>
  <c r="CI111" i="2"/>
  <c r="CD111" i="2"/>
  <c r="CG111" i="2"/>
  <c r="CH111" i="2"/>
  <c r="CK111" i="2"/>
  <c r="CL111" i="2"/>
  <c r="CI112" i="2"/>
  <c r="CD112" i="2"/>
  <c r="CG112" i="2"/>
  <c r="CH112" i="2"/>
  <c r="CK112" i="2"/>
  <c r="CL112" i="2"/>
  <c r="CI113" i="2"/>
  <c r="CD113" i="2"/>
  <c r="CG113" i="2"/>
  <c r="CH113" i="2"/>
  <c r="CK113" i="2"/>
  <c r="CL113" i="2"/>
  <c r="CI114" i="2"/>
  <c r="CD114" i="2"/>
  <c r="CG114" i="2"/>
  <c r="CH114" i="2"/>
  <c r="CK114" i="2"/>
  <c r="CL114" i="2"/>
  <c r="CI115" i="2"/>
  <c r="CD115" i="2"/>
  <c r="CG115" i="2"/>
  <c r="CH115" i="2"/>
  <c r="CK115" i="2"/>
  <c r="CL115" i="2"/>
  <c r="CI116" i="2"/>
  <c r="CD116" i="2"/>
  <c r="CG116" i="2"/>
  <c r="CH116" i="2"/>
  <c r="CK116" i="2"/>
  <c r="CL116" i="2"/>
  <c r="CI117" i="2"/>
  <c r="CD117" i="2"/>
  <c r="CG117" i="2"/>
  <c r="CH117" i="2"/>
  <c r="CK117" i="2"/>
  <c r="CL117" i="2"/>
  <c r="CI118" i="2"/>
  <c r="CD118" i="2"/>
  <c r="CG118" i="2"/>
  <c r="CH118" i="2"/>
  <c r="CK118" i="2"/>
  <c r="CL118" i="2"/>
  <c r="CL120" i="2"/>
  <c r="CL122" i="2"/>
  <c r="CF76" i="2"/>
  <c r="CE76" i="2"/>
  <c r="CM76" i="2"/>
  <c r="CF77" i="2"/>
  <c r="CE77" i="2"/>
  <c r="CM77" i="2"/>
  <c r="CF78" i="2"/>
  <c r="CE78" i="2"/>
  <c r="CM78" i="2"/>
  <c r="CF79" i="2"/>
  <c r="CE79" i="2"/>
  <c r="CM79" i="2"/>
  <c r="CF80" i="2"/>
  <c r="CE80" i="2"/>
  <c r="CM80" i="2"/>
  <c r="CF81" i="2"/>
  <c r="CE81" i="2"/>
  <c r="CM81" i="2"/>
  <c r="CF82" i="2"/>
  <c r="CE82" i="2"/>
  <c r="CM82" i="2"/>
  <c r="CF83" i="2"/>
  <c r="CE83" i="2"/>
  <c r="CM83" i="2"/>
  <c r="CF84" i="2"/>
  <c r="CE84" i="2"/>
  <c r="CM84" i="2"/>
  <c r="CF85" i="2"/>
  <c r="CE85" i="2"/>
  <c r="CM85" i="2"/>
  <c r="CF86" i="2"/>
  <c r="CE86" i="2"/>
  <c r="CM86" i="2"/>
  <c r="CF87" i="2"/>
  <c r="CE87" i="2"/>
  <c r="CM87" i="2"/>
  <c r="CF88" i="2"/>
  <c r="CE88" i="2"/>
  <c r="CM88" i="2"/>
  <c r="CF89" i="2"/>
  <c r="CE89" i="2"/>
  <c r="CM89" i="2"/>
  <c r="CF90" i="2"/>
  <c r="CE90" i="2"/>
  <c r="CM90" i="2"/>
  <c r="CF91" i="2"/>
  <c r="CE91" i="2"/>
  <c r="CM91" i="2"/>
  <c r="CF92" i="2"/>
  <c r="CE92" i="2"/>
  <c r="CM9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20" i="2"/>
  <c r="CM122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20" i="2"/>
  <c r="CN122" i="2"/>
  <c r="CM124" i="2"/>
  <c r="I67" i="2"/>
  <c r="R81" i="2"/>
  <c r="BI81" i="2"/>
  <c r="R82" i="2"/>
  <c r="BI82" i="2"/>
  <c r="R83" i="2"/>
  <c r="BI83" i="2"/>
  <c r="R84" i="2"/>
  <c r="BI84" i="2"/>
  <c r="R85" i="2"/>
  <c r="BI85" i="2"/>
  <c r="R86" i="2"/>
  <c r="BI86" i="2"/>
  <c r="R87" i="2"/>
  <c r="BI87" i="2"/>
  <c r="R106" i="2"/>
  <c r="BI106" i="2"/>
  <c r="R107" i="2"/>
  <c r="BI107" i="2"/>
  <c r="R108" i="2"/>
  <c r="BI108" i="2"/>
  <c r="R109" i="2"/>
  <c r="BI109" i="2"/>
  <c r="R110" i="2"/>
  <c r="BI110" i="2"/>
  <c r="R111" i="2"/>
  <c r="BI111" i="2"/>
  <c r="BP101" i="2"/>
  <c r="BQ101" i="2"/>
  <c r="BN74" i="2"/>
  <c r="BR101" i="2"/>
  <c r="BO101" i="2"/>
  <c r="BN101" i="2"/>
  <c r="R112" i="2"/>
  <c r="BI112" i="2"/>
  <c r="R113" i="2"/>
  <c r="BI113" i="2"/>
  <c r="R114" i="2"/>
  <c r="BI114" i="2"/>
  <c r="R115" i="2"/>
  <c r="BI115" i="2"/>
  <c r="R80" i="2"/>
  <c r="BI80" i="2"/>
  <c r="R88" i="2"/>
  <c r="BI88" i="2"/>
  <c r="R89" i="2"/>
  <c r="BI89" i="2"/>
  <c r="R90" i="2"/>
  <c r="BI90" i="2"/>
  <c r="R91" i="2"/>
  <c r="BI91" i="2"/>
  <c r="R92" i="2"/>
  <c r="BI92" i="2"/>
  <c r="H67" i="2"/>
  <c r="CM128" i="2"/>
  <c r="CM129" i="2"/>
  <c r="CM130" i="2"/>
  <c r="CM131" i="2"/>
  <c r="CM132" i="2"/>
  <c r="P66" i="2"/>
  <c r="P67" i="2"/>
  <c r="I70" i="2"/>
  <c r="I69" i="2"/>
  <c r="H70" i="2"/>
  <c r="H69" i="2"/>
  <c r="BL101" i="2"/>
  <c r="P68" i="2"/>
  <c r="R77" i="2"/>
  <c r="BI77" i="2"/>
  <c r="R78" i="2"/>
  <c r="BI78" i="2"/>
  <c r="R79" i="2"/>
  <c r="BI79" i="2"/>
  <c r="H68" i="2"/>
  <c r="CI101" i="2"/>
  <c r="CD101" i="2"/>
  <c r="CG101" i="2"/>
  <c r="CH101" i="2"/>
  <c r="CF101" i="2"/>
  <c r="I68" i="2"/>
  <c r="BK74" i="2"/>
  <c r="BS74" i="2"/>
  <c r="BU74" i="2"/>
  <c r="BX74" i="2"/>
  <c r="P74" i="2"/>
  <c r="R104" i="2"/>
  <c r="R105" i="2"/>
  <c r="R116" i="2"/>
  <c r="R117" i="2"/>
  <c r="R118" i="2"/>
  <c r="R76" i="2"/>
  <c r="R103" i="2"/>
  <c r="R101" i="2"/>
  <c r="Q74" i="2"/>
  <c r="P120" i="2"/>
  <c r="H120" i="2"/>
  <c r="BI105" i="2"/>
  <c r="BI116" i="2"/>
  <c r="BI117" i="2"/>
  <c r="BI101" i="2"/>
  <c r="BI76" i="2"/>
  <c r="D120" i="2"/>
  <c r="Q133" i="2"/>
  <c r="P70" i="2"/>
  <c r="BI104" i="2"/>
  <c r="K120" i="2"/>
  <c r="BI103" i="2"/>
  <c r="BI118" i="2"/>
  <c r="BI74" i="2"/>
  <c r="R74" i="2"/>
</calcChain>
</file>

<file path=xl/comments1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<sst xmlns="http://schemas.openxmlformats.org/spreadsheetml/2006/main" count="1582" uniqueCount="317">
  <si>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</si>
  <si>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</si>
  <si>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</si>
  <si>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</si>
  <si>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</si>
  <si>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</si>
  <si>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</si>
  <si>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</si>
  <si>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</si>
  <si>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</si>
  <si>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</si>
  <si>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</si>
  <si>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</si>
  <si>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</si>
  <si>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</si>
  <si>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</si>
  <si>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</si>
  <si>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</si>
  <si>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</si>
  <si>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</si>
  <si>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</si>
  <si>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</si>
  <si>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</si>
  <si>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</si>
  <si>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</si>
  <si>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</si>
  <si>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</si>
  <si>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</si>
  <si>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</si>
  <si>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</si>
  <si>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</si>
  <si>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</si>
  <si>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</si>
  <si>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</si>
  <si>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</si>
  <si>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</si>
  <si>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</si>
  <si>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</si>
  <si>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</si>
  <si>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</si>
  <si>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</si>
  <si>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</si>
  <si>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</si>
  <si>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</si>
  <si>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</si>
  <si>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</si>
  <si>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</si>
  <si>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</si>
  <si>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</si>
  <si>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</si>
  <si>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</si>
  <si>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</si>
  <si>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</si>
  <si>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</si>
  <si>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</si>
  <si>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</si>
  <si>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</si>
  <si>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</si>
  <si>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</si>
  <si>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</si>
  <si>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</si>
  <si>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</si>
  <si>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</si>
  <si>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</si>
  <si>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</si>
  <si>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</si>
  <si>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</si>
  <si>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</si>
  <si>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</si>
  <si>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</si>
  <si>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</si>
  <si>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</si>
  <si>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</si>
  <si>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</si>
  <si>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</si>
  <si>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</si>
  <si>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</si>
  <si>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</si>
  <si>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</si>
  <si>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</si>
  <si>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</si>
  <si>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</si>
  <si>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</si>
  <si>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</si>
  <si>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</si>
  <si>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</si>
  <si>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cards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</si>
  <si>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</si>
  <si>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</si>
  <si>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</si>
  <si>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</si>
  <si>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</si>
  <si>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</si>
  <si>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</si>
  <si>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</si>
  <si>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</si>
  <si>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</si>
  <si>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Mtd Skirmish</t>
  </si>
  <si>
    <t>Per</t>
  </si>
  <si>
    <t>GENREALS PBS</t>
  </si>
  <si>
    <t>Points total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</si>
  <si>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</si>
  <si>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</si>
  <si>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</si>
  <si>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</si>
  <si>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</si>
  <si>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</si>
  <si>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</si>
  <si>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</si>
  <si>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</si>
  <si>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</si>
  <si>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Other Mounted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</si>
  <si>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</si>
  <si>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</si>
  <si>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</si>
  <si>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</si>
  <si>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</si>
  <si>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</si>
  <si>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</si>
  <si>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</si>
  <si>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</si>
  <si>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</si>
  <si>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</si>
  <si>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</si>
  <si>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</si>
  <si>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</si>
  <si>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</si>
  <si>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</si>
  <si>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</si>
  <si>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</si>
  <si>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</si>
  <si>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</si>
  <si>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</si>
  <si>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</si>
  <si>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</si>
  <si>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</si>
  <si>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</si>
  <si>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</si>
  <si>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PBS MAP CARDS</t>
  </si>
  <si>
    <t>SCOUTING CARDS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</si>
  <si>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</si>
  <si>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</si>
  <si>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</si>
  <si>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</si>
  <si>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</si>
  <si>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</si>
  <si>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</si>
  <si>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</si>
  <si>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</si>
  <si>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</si>
  <si>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</si>
  <si>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</si>
  <si>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</si>
  <si>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</si>
  <si>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</si>
  <si>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</si>
  <si>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</si>
  <si>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</si>
  <si>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</si>
  <si>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</si>
  <si>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</si>
  <si>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</si>
  <si>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</si>
  <si>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</si>
  <si>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</si>
  <si>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</si>
  <si>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</si>
  <si>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</si>
  <si>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</si>
  <si>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</si>
  <si>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</si>
  <si>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</si>
  <si>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</si>
  <si>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</si>
  <si>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</si>
  <si>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</si>
  <si>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</si>
  <si>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</si>
  <si>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</si>
  <si>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</si>
  <si>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</si>
  <si>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</si>
  <si>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</si>
  <si>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</si>
  <si>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F ARM?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</si>
  <si>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</si>
  <si>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</si>
  <si>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</si>
  <si>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</si>
  <si>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</si>
  <si>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</si>
  <si>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</si>
  <si>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</si>
  <si>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</si>
  <si>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</si>
  <si>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</si>
  <si>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</si>
  <si>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</si>
  <si>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</si>
  <si>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</si>
  <si>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</si>
  <si>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</si>
  <si>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</si>
  <si>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</si>
  <si>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</si>
  <si>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</si>
  <si>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</si>
  <si>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</si>
  <si>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</si>
  <si>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</si>
  <si>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</si>
  <si>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</si>
  <si>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</si>
  <si>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</si>
  <si>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</si>
  <si>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</si>
  <si>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</si>
  <si>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</si>
  <si>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</si>
  <si>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</si>
  <si>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</si>
  <si>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</si>
  <si>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</si>
  <si>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</si>
  <si>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</si>
  <si>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</si>
  <si>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</si>
  <si>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</si>
  <si>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</si>
  <si>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</si>
  <si>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</si>
  <si>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</si>
  <si>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</si>
  <si>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</si>
  <si>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</si>
  <si>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</si>
  <si>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</si>
  <si>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</si>
  <si>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</si>
  <si>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</si>
  <si>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</si>
  <si>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</si>
  <si>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</si>
  <si>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</si>
  <si>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</si>
  <si>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</si>
  <si>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</si>
  <si>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</si>
  <si>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</si>
  <si>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</si>
  <si>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</si>
  <si>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</si>
  <si>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</si>
  <si>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</si>
  <si>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</si>
  <si>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</si>
  <si>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</si>
  <si>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</si>
  <si>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</si>
  <si>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</si>
  <si>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</si>
  <si>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</si>
  <si>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</si>
  <si>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</si>
  <si>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2019 Changes: Charge only and ArmHrs added, Generals up, Ch Lancer, Dev Charger down, S&amp;C down, Skilled up, Pike Up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</si>
  <si>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</si>
  <si>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</si>
  <si>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</si>
  <si>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</si>
  <si>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</si>
  <si>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</si>
  <si>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</si>
  <si>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>Variants</t>
  </si>
  <si>
    <t>We therefore provide two versions for these on separate sheets so the master one suits most armies: "5 characteristics" and "Large"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</si>
  <si>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</si>
  <si>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</si>
  <si>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</si>
  <si>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</si>
  <si>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</si>
  <si>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</si>
  <si>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</si>
  <si>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</si>
  <si>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</si>
  <si>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</si>
  <si>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</si>
  <si>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</si>
  <si>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</si>
  <si>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A few armies need more than 3 characteristics (e.g. fully loaded Spartans) and a few need more Ugs (slave revolt or mass skirmish)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</si>
  <si>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</si>
  <si>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</si>
  <si>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</si>
  <si>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</si>
  <si>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</si>
  <si>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</si>
  <si>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</si>
  <si>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</si>
  <si>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</si>
  <si>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</si>
  <si>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</si>
  <si>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Legendary Instinctive (list special only)</t>
  </si>
  <si>
    <t>Charging Lancer 2018 150</t>
  </si>
  <si>
    <t>Medieval Knight 2018 238</t>
  </si>
  <si>
    <t>Egyptian Chariot 2018 202</t>
  </si>
  <si>
    <t>Roman Legionary 2018 140</t>
  </si>
  <si>
    <t>Gallic Warband 2018 90</t>
  </si>
  <si>
    <t>Byzatine Lancer/Bow 2018 230</t>
  </si>
  <si>
    <t>Shooty cav 2018 140</t>
  </si>
  <si>
    <t>Mongol Cav 2018 230</t>
  </si>
  <si>
    <t>Spartan Hoplite 2018 171</t>
  </si>
  <si>
    <t>Macedonain Pikeman 2018 110</t>
  </si>
  <si>
    <t>Assyrian Chariot 2018 260</t>
  </si>
  <si>
    <t>Indian Chariot 2018 176</t>
  </si>
  <si>
    <t>LH 2018 62</t>
  </si>
  <si>
    <t>LH Skilled 2018 101</t>
  </si>
  <si>
    <t>LH Cantabrian 2018 86</t>
  </si>
  <si>
    <t>Cataphracts 2018 182</t>
  </si>
  <si>
    <t>SuG Melee Weapons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</si>
</sst>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20"/>
      <color theme="7" tint="0.79998168889431442"/>
      <name val="Calibri"/>
      <scheme val="minor"/>
    </font>
    <font>
      <b/>
      <sz val="24"/>
      <color theme="7" tint="0.79998168889431442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FCF4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3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/>
    <xf numFmtId="0" fontId="0" fillId="0" borderId="0" xfId="0" applyFill="1"/>
    <xf numFmtId="0" fontId="13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3" fillId="11" borderId="10" xfId="0" applyFont="1" applyFill="1" applyBorder="1" applyAlignment="1">
      <alignment horizontal="center" vertical="center"/>
    </xf>
    <xf numFmtId="0" fontId="0" fillId="10" borderId="0" xfId="0" applyFill="1"/>
    <xf numFmtId="0" fontId="26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2" xfId="0" applyFont="1" applyFill="1" applyBorder="1" applyAlignment="1">
      <alignment vertical="center"/>
    </xf>
    <xf numFmtId="1" fontId="3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7" fillId="16" borderId="2" xfId="0" applyNumberFormat="1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13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34" fillId="10" borderId="0" xfId="0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5" fillId="10" borderId="0" xfId="0" applyFont="1" applyFill="1" applyAlignment="1">
      <alignment vertical="center"/>
    </xf>
    <xf numFmtId="0" fontId="15" fillId="10" borderId="0" xfId="0" applyFont="1" applyFill="1" applyBorder="1" applyAlignment="1">
      <alignment vertical="center"/>
    </xf>
    <xf numFmtId="0" fontId="15" fillId="6" borderId="12" xfId="0" applyFont="1" applyFill="1" applyBorder="1" applyAlignment="1">
      <alignment vertical="center"/>
    </xf>
    <xf numFmtId="1" fontId="15" fillId="6" borderId="13" xfId="0" applyNumberFormat="1" applyFont="1" applyFill="1" applyBorder="1" applyAlignment="1">
      <alignment vertical="center"/>
    </xf>
    <xf numFmtId="0" fontId="15" fillId="10" borderId="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" fontId="15" fillId="4" borderId="13" xfId="0" applyNumberFormat="1" applyFont="1" applyFill="1" applyBorder="1" applyAlignment="1">
      <alignment vertical="center"/>
    </xf>
    <xf numFmtId="0" fontId="15" fillId="5" borderId="11" xfId="0" applyFont="1" applyFill="1" applyBorder="1" applyAlignment="1">
      <alignment horizontal="center" vertical="center"/>
    </xf>
    <xf numFmtId="1" fontId="15" fillId="5" borderId="13" xfId="0" applyNumberFormat="1" applyFont="1" applyFill="1" applyBorder="1" applyAlignment="1">
      <alignment vertical="center"/>
    </xf>
    <xf numFmtId="1" fontId="15" fillId="10" borderId="0" xfId="0" applyNumberFormat="1" applyFont="1" applyFill="1" applyBorder="1" applyAlignment="1">
      <alignment vertical="center"/>
    </xf>
    <xf numFmtId="0" fontId="15" fillId="13" borderId="2" xfId="0" applyFont="1" applyFill="1" applyBorder="1" applyAlignment="1">
      <alignment horizontal="center" vertical="center"/>
    </xf>
    <xf numFmtId="1" fontId="23" fillId="13" borderId="2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 applyProtection="1">
      <alignment horizontal="center" vertical="center" wrapText="1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30" fillId="13" borderId="31" xfId="0" applyFont="1" applyFill="1" applyBorder="1" applyAlignment="1" applyProtection="1">
      <alignment vertical="center"/>
      <protection locked="0"/>
    </xf>
    <xf numFmtId="0" fontId="30" fillId="20" borderId="40" xfId="0" applyFont="1" applyFill="1" applyBorder="1" applyAlignment="1" applyProtection="1">
      <alignment horizontal="center" vertical="center"/>
      <protection locked="0"/>
    </xf>
    <xf numFmtId="0" fontId="30" fillId="20" borderId="41" xfId="0" applyFont="1" applyFill="1" applyBorder="1" applyAlignment="1" applyProtection="1">
      <alignment horizontal="center" vertical="center"/>
      <protection locked="0"/>
    </xf>
    <xf numFmtId="0" fontId="30" fillId="20" borderId="47" xfId="0" applyFont="1" applyFill="1" applyBorder="1" applyAlignment="1" applyProtection="1">
      <alignment horizontal="center" vertical="center"/>
      <protection locked="0"/>
    </xf>
    <xf numFmtId="0" fontId="0" fillId="20" borderId="2" xfId="0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</xf>
    <xf numFmtId="0" fontId="46" fillId="13" borderId="0" xfId="0" applyFont="1" applyFill="1"/>
    <xf numFmtId="0" fontId="46" fillId="10" borderId="0" xfId="0" applyFont="1" applyFill="1"/>
    <xf numFmtId="0" fontId="46" fillId="0" borderId="0" xfId="0" applyFont="1"/>
    <xf numFmtId="0" fontId="46" fillId="0" borderId="0" xfId="0" applyFont="1" applyFill="1"/>
    <xf numFmtId="0" fontId="48" fillId="0" borderId="0" xfId="0" applyFont="1" applyFill="1"/>
    <xf numFmtId="0" fontId="46" fillId="0" borderId="37" xfId="0" applyFont="1" applyBorder="1" applyAlignment="1">
      <alignment horizontal="right" indent="1"/>
    </xf>
    <xf numFmtId="0" fontId="46" fillId="13" borderId="23" xfId="0" applyFont="1" applyFill="1" applyBorder="1" applyAlignment="1">
      <alignment horizontal="center" vertical="center"/>
    </xf>
    <xf numFmtId="0" fontId="46" fillId="2" borderId="23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indent="1"/>
    </xf>
    <xf numFmtId="0" fontId="46" fillId="12" borderId="7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vertical="center" indent="1"/>
    </xf>
    <xf numFmtId="0" fontId="49" fillId="13" borderId="0" xfId="0" applyFont="1" applyFill="1"/>
    <xf numFmtId="0" fontId="49" fillId="10" borderId="0" xfId="0" applyFont="1" applyFill="1"/>
    <xf numFmtId="0" fontId="46" fillId="0" borderId="8" xfId="0" applyFont="1" applyBorder="1" applyAlignment="1">
      <alignment horizontal="right" indent="1"/>
    </xf>
    <xf numFmtId="0" fontId="49" fillId="0" borderId="0" xfId="0" applyFont="1"/>
    <xf numFmtId="0" fontId="50" fillId="13" borderId="0" xfId="0" applyFont="1" applyFill="1"/>
    <xf numFmtId="0" fontId="50" fillId="10" borderId="0" xfId="0" applyFont="1" applyFill="1"/>
    <xf numFmtId="0" fontId="46" fillId="0" borderId="3" xfId="0" applyFont="1" applyBorder="1"/>
    <xf numFmtId="0" fontId="50" fillId="0" borderId="0" xfId="0" applyFont="1"/>
    <xf numFmtId="0" fontId="50" fillId="0" borderId="0" xfId="0" applyFont="1" applyFill="1"/>
    <xf numFmtId="0" fontId="52" fillId="0" borderId="0" xfId="0" applyFont="1" applyFill="1"/>
    <xf numFmtId="0" fontId="46" fillId="0" borderId="6" xfId="0" applyFont="1" applyBorder="1"/>
    <xf numFmtId="0" fontId="49" fillId="0" borderId="0" xfId="0" applyFont="1" applyFill="1"/>
    <xf numFmtId="0" fontId="53" fillId="0" borderId="0" xfId="0" applyFont="1" applyFill="1"/>
    <xf numFmtId="0" fontId="55" fillId="13" borderId="0" xfId="0" applyFont="1" applyFill="1"/>
    <xf numFmtId="0" fontId="55" fillId="10" borderId="0" xfId="0" applyFont="1" applyFill="1"/>
    <xf numFmtId="0" fontId="46" fillId="0" borderId="8" xfId="0" applyFont="1" applyBorder="1"/>
    <xf numFmtId="0" fontId="55" fillId="0" borderId="0" xfId="0" applyFont="1" applyFill="1"/>
    <xf numFmtId="0" fontId="55" fillId="0" borderId="0" xfId="0" applyFont="1"/>
    <xf numFmtId="0" fontId="3" fillId="13" borderId="2" xfId="0" applyFont="1" applyFill="1" applyBorder="1" applyAlignment="1" applyProtection="1">
      <alignment horizontal="center" vertical="center"/>
      <protection locked="0"/>
    </xf>
    <xf numFmtId="0" fontId="3" fillId="13" borderId="2" xfId="0" applyFont="1" applyFill="1" applyBorder="1" applyAlignment="1" applyProtection="1">
      <alignment vertical="center"/>
      <protection locked="0"/>
    </xf>
    <xf numFmtId="0" fontId="26" fillId="8" borderId="11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23" fillId="11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3" fillId="3" borderId="0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3" fillId="3" borderId="0" xfId="0" applyFont="1" applyFill="1" applyAlignment="1">
      <alignment horizontal="right" vertical="center"/>
    </xf>
    <xf numFmtId="0" fontId="43" fillId="3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3" fillId="3" borderId="0" xfId="0" quotePrefix="1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7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7" fillId="5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0" fillId="0" borderId="0" xfId="0" quotePrefix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2" fillId="0" borderId="0" xfId="0" quotePrefix="1" applyFont="1" applyAlignment="1">
      <alignment vertical="center"/>
    </xf>
    <xf numFmtId="0" fontId="26" fillId="8" borderId="11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left" vertical="center"/>
    </xf>
    <xf numFmtId="0" fontId="25" fillId="8" borderId="21" xfId="0" applyFont="1" applyFill="1" applyBorder="1" applyAlignment="1">
      <alignment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  <protection locked="0"/>
    </xf>
    <xf numFmtId="0" fontId="7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5" fillId="2" borderId="7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7" fillId="9" borderId="6" xfId="0" applyFont="1" applyFill="1" applyBorder="1" applyAlignment="1" applyProtection="1">
      <alignment horizontal="center" vertical="center"/>
      <protection locked="0"/>
    </xf>
    <xf numFmtId="0" fontId="7" fillId="13" borderId="2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7" fillId="9" borderId="8" xfId="0" applyFont="1" applyFill="1" applyBorder="1" applyAlignment="1" applyProtection="1">
      <alignment horizontal="center" vertical="center"/>
      <protection locked="0"/>
    </xf>
    <xf numFmtId="0" fontId="7" fillId="13" borderId="9" xfId="0" applyFont="1" applyFill="1" applyBorder="1" applyAlignment="1" applyProtection="1">
      <alignment vertical="center"/>
      <protection locked="0"/>
    </xf>
    <xf numFmtId="0" fontId="0" fillId="20" borderId="9" xfId="0" applyFill="1" applyBorder="1" applyAlignment="1" applyProtection="1">
      <alignment horizontal="center" vertical="center"/>
      <protection locked="0"/>
    </xf>
    <xf numFmtId="0" fontId="0" fillId="15" borderId="10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0" fontId="3" fillId="12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horizontal="left" vertical="center"/>
    </xf>
    <xf numFmtId="0" fontId="6" fillId="12" borderId="0" xfId="0" applyFont="1" applyFill="1" applyBorder="1" applyAlignment="1">
      <alignment horizontal="left" vertical="center"/>
    </xf>
    <xf numFmtId="0" fontId="5" fillId="8" borderId="51" xfId="0" applyFont="1" applyFill="1" applyBorder="1" applyAlignment="1">
      <alignment horizontal="center" vertical="center" wrapText="1"/>
    </xf>
    <xf numFmtId="0" fontId="5" fillId="8" borderId="52" xfId="0" applyFont="1" applyFill="1" applyBorder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/>
    </xf>
    <xf numFmtId="0" fontId="0" fillId="20" borderId="37" xfId="0" applyFill="1" applyBorder="1" applyAlignment="1" applyProtection="1">
      <alignment horizontal="center" vertical="center"/>
      <protection locked="0"/>
    </xf>
    <xf numFmtId="0" fontId="3" fillId="20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47" fillId="18" borderId="16" xfId="0" applyFont="1" applyFill="1" applyBorder="1" applyAlignment="1">
      <alignment horizontal="left"/>
    </xf>
    <xf numFmtId="0" fontId="47" fillId="18" borderId="27" xfId="0" applyFont="1" applyFill="1" applyBorder="1" applyAlignment="1">
      <alignment horizontal="left"/>
    </xf>
    <xf numFmtId="0" fontId="46" fillId="0" borderId="6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51" fillId="0" borderId="5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0" fontId="46" fillId="20" borderId="7" xfId="0" applyFont="1" applyFill="1" applyBorder="1" applyAlignment="1">
      <alignment horizontal="center" vertical="center" wrapText="1"/>
    </xf>
    <xf numFmtId="0" fontId="46" fillId="20" borderId="10" xfId="0" applyFont="1" applyFill="1" applyBorder="1" applyAlignment="1">
      <alignment horizontal="center" vertical="center" wrapText="1"/>
    </xf>
    <xf numFmtId="0" fontId="46" fillId="0" borderId="8" xfId="0" applyFont="1" applyBorder="1" applyAlignment="1">
      <alignment horizontal="right"/>
    </xf>
    <xf numFmtId="0" fontId="46" fillId="0" borderId="10" xfId="0" applyFont="1" applyBorder="1" applyAlignment="1">
      <alignment horizontal="right"/>
    </xf>
    <xf numFmtId="0" fontId="45" fillId="10" borderId="56" xfId="0" applyFont="1" applyFill="1" applyBorder="1" applyAlignment="1">
      <alignment horizontal="center" vertical="center"/>
    </xf>
    <xf numFmtId="0" fontId="47" fillId="0" borderId="25" xfId="0" applyFont="1" applyBorder="1" applyAlignment="1">
      <alignment horizontal="center"/>
    </xf>
    <xf numFmtId="0" fontId="46" fillId="0" borderId="6" xfId="0" applyFont="1" applyBorder="1" applyAlignment="1">
      <alignment horizontal="left"/>
    </xf>
    <xf numFmtId="0" fontId="46" fillId="0" borderId="7" xfId="0" applyFont="1" applyBorder="1" applyAlignment="1">
      <alignment horizontal="left"/>
    </xf>
    <xf numFmtId="0" fontId="46" fillId="0" borderId="6" xfId="0" applyFont="1" applyBorder="1" applyAlignment="1">
      <alignment horizontal="right"/>
    </xf>
    <xf numFmtId="0" fontId="46" fillId="0" borderId="7" xfId="0" applyFont="1" applyBorder="1" applyAlignment="1">
      <alignment horizontal="right"/>
    </xf>
    <xf numFmtId="0" fontId="26" fillId="8" borderId="11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30" fillId="13" borderId="11" xfId="0" applyFont="1" applyFill="1" applyBorder="1" applyAlignment="1" applyProtection="1">
      <alignment horizontal="center" vertical="center"/>
      <protection locked="0"/>
    </xf>
    <xf numFmtId="0" fontId="30" fillId="13" borderId="12" xfId="0" applyFont="1" applyFill="1" applyBorder="1" applyAlignment="1" applyProtection="1">
      <alignment horizontal="center" vertical="center"/>
      <protection locked="0"/>
    </xf>
    <xf numFmtId="0" fontId="30" fillId="13" borderId="13" xfId="0" applyFont="1" applyFill="1" applyBorder="1" applyAlignment="1" applyProtection="1">
      <alignment horizontal="center" vertical="center"/>
      <protection locked="0"/>
    </xf>
    <xf numFmtId="0" fontId="5" fillId="8" borderId="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right" vertical="center"/>
    </xf>
    <xf numFmtId="0" fontId="19" fillId="8" borderId="44" xfId="0" applyFont="1" applyFill="1" applyBorder="1" applyAlignment="1">
      <alignment horizontal="right" vertical="center"/>
    </xf>
    <xf numFmtId="0" fontId="19" fillId="8" borderId="2" xfId="0" applyFont="1" applyFill="1" applyBorder="1" applyAlignment="1">
      <alignment horizontal="right" vertical="center"/>
    </xf>
    <xf numFmtId="0" fontId="18" fillId="15" borderId="2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29" fillId="13" borderId="11" xfId="439" applyFont="1" applyFill="1" applyBorder="1" applyAlignment="1" applyProtection="1">
      <alignment vertical="center"/>
      <protection locked="0"/>
    </xf>
    <xf numFmtId="0" fontId="29" fillId="13" borderId="12" xfId="0" applyFont="1" applyFill="1" applyBorder="1" applyAlignment="1" applyProtection="1">
      <alignment vertical="center"/>
      <protection locked="0"/>
    </xf>
    <xf numFmtId="0" fontId="29" fillId="13" borderId="13" xfId="0" applyFont="1" applyFill="1" applyBorder="1" applyAlignment="1" applyProtection="1">
      <alignment vertical="center"/>
      <protection locked="0"/>
    </xf>
    <xf numFmtId="0" fontId="38" fillId="8" borderId="48" xfId="0" applyFont="1" applyFill="1" applyBorder="1" applyAlignment="1">
      <alignment horizontal="center" vertical="center"/>
    </xf>
    <xf numFmtId="0" fontId="38" fillId="8" borderId="54" xfId="0" applyFont="1" applyFill="1" applyBorder="1" applyAlignment="1">
      <alignment horizontal="center" vertical="center"/>
    </xf>
    <xf numFmtId="0" fontId="38" fillId="8" borderId="49" xfId="0" applyFont="1" applyFill="1" applyBorder="1" applyAlignment="1">
      <alignment horizontal="center" vertical="center"/>
    </xf>
    <xf numFmtId="0" fontId="38" fillId="8" borderId="50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30" fillId="13" borderId="45" xfId="0" applyFont="1" applyFill="1" applyBorder="1" applyAlignment="1" applyProtection="1">
      <alignment horizontal="center" vertical="center"/>
      <protection locked="0"/>
    </xf>
    <xf numFmtId="0" fontId="30" fillId="13" borderId="46" xfId="0" applyFont="1" applyFill="1" applyBorder="1" applyAlignment="1" applyProtection="1">
      <alignment horizontal="center" vertical="center"/>
      <protection locked="0"/>
    </xf>
    <xf numFmtId="0" fontId="26" fillId="8" borderId="28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2" fillId="14" borderId="0" xfId="0" quotePrefix="1" applyFont="1" applyFill="1" applyAlignment="1">
      <alignment horizontal="center" vertical="center"/>
    </xf>
    <xf numFmtId="1" fontId="18" fillId="15" borderId="2" xfId="0" applyNumberFormat="1" applyFont="1" applyFill="1" applyBorder="1" applyAlignment="1">
      <alignment horizontal="center" vertical="center"/>
    </xf>
    <xf numFmtId="1" fontId="18" fillId="15" borderId="7" xfId="0" applyNumberFormat="1" applyFont="1" applyFill="1" applyBorder="1" applyAlignment="1">
      <alignment horizontal="center" vertical="center"/>
    </xf>
    <xf numFmtId="1" fontId="18" fillId="15" borderId="9" xfId="0" applyNumberFormat="1" applyFont="1" applyFill="1" applyBorder="1" applyAlignment="1">
      <alignment horizontal="center" vertical="center"/>
    </xf>
    <xf numFmtId="1" fontId="18" fillId="15" borderId="10" xfId="0" applyNumberFormat="1" applyFont="1" applyFill="1" applyBorder="1" applyAlignment="1">
      <alignment horizontal="center" vertical="center"/>
    </xf>
    <xf numFmtId="0" fontId="6" fillId="20" borderId="2" xfId="0" applyFont="1" applyFill="1" applyBorder="1" applyAlignment="1" applyProtection="1">
      <alignment horizontal="center" vertical="center"/>
      <protection locked="0"/>
    </xf>
    <xf numFmtId="0" fontId="3" fillId="7" borderId="0" xfId="0" applyFont="1" applyFill="1" applyBorder="1" applyAlignment="1">
      <alignment horizontal="center" vertical="center"/>
    </xf>
    <xf numFmtId="0" fontId="33" fillId="19" borderId="11" xfId="0" applyFont="1" applyFill="1" applyBorder="1" applyAlignment="1">
      <alignment horizontal="left" vertical="center"/>
    </xf>
    <xf numFmtId="0" fontId="33" fillId="19" borderId="12" xfId="0" applyFont="1" applyFill="1" applyBorder="1" applyAlignment="1">
      <alignment horizontal="left" vertical="center"/>
    </xf>
    <xf numFmtId="0" fontId="33" fillId="19" borderId="13" xfId="0" applyFont="1" applyFill="1" applyBorder="1" applyAlignment="1">
      <alignment horizontal="left" vertical="center"/>
    </xf>
    <xf numFmtId="0" fontId="5" fillId="8" borderId="31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right" vertical="center"/>
    </xf>
    <xf numFmtId="0" fontId="5" fillId="8" borderId="55" xfId="0" applyFont="1" applyFill="1" applyBorder="1" applyAlignment="1">
      <alignment horizontal="right" vertical="center"/>
    </xf>
    <xf numFmtId="0" fontId="5" fillId="8" borderId="19" xfId="0" applyFont="1" applyFill="1" applyBorder="1" applyAlignment="1">
      <alignment horizontal="right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44" xfId="0" applyFont="1" applyFill="1" applyBorder="1" applyAlignment="1">
      <alignment horizontal="right" vertical="center"/>
    </xf>
    <xf numFmtId="0" fontId="5" fillId="8" borderId="2" xfId="0" applyFont="1" applyFill="1" applyBorder="1" applyAlignment="1">
      <alignment horizontal="right" vertical="center"/>
    </xf>
    <xf numFmtId="0" fontId="20" fillId="8" borderId="6" xfId="0" applyFont="1" applyFill="1" applyBorder="1" applyAlignment="1">
      <alignment horizontal="right" vertical="center"/>
    </xf>
    <xf numFmtId="0" fontId="20" fillId="8" borderId="44" xfId="0" applyFont="1" applyFill="1" applyBorder="1" applyAlignment="1">
      <alignment horizontal="right" vertical="center"/>
    </xf>
    <xf numFmtId="0" fontId="20" fillId="8" borderId="2" xfId="0" applyFont="1" applyFill="1" applyBorder="1" applyAlignment="1">
      <alignment horizontal="right" vertical="center"/>
    </xf>
    <xf numFmtId="0" fontId="20" fillId="8" borderId="8" xfId="0" applyFont="1" applyFill="1" applyBorder="1" applyAlignment="1">
      <alignment horizontal="right" vertical="center"/>
    </xf>
    <xf numFmtId="0" fontId="20" fillId="8" borderId="24" xfId="0" applyFont="1" applyFill="1" applyBorder="1" applyAlignment="1">
      <alignment horizontal="right" vertical="center"/>
    </xf>
    <xf numFmtId="0" fontId="20" fillId="8" borderId="9" xfId="0" applyFont="1" applyFill="1" applyBorder="1" applyAlignment="1">
      <alignment horizontal="right" vertical="center"/>
    </xf>
    <xf numFmtId="0" fontId="5" fillId="8" borderId="21" xfId="0" applyFont="1" applyFill="1" applyBorder="1" applyAlignment="1">
      <alignment horizontal="center" vertical="center"/>
    </xf>
    <xf numFmtId="1" fontId="30" fillId="15" borderId="28" xfId="0" applyNumberFormat="1" applyFont="1" applyFill="1" applyBorder="1" applyAlignment="1">
      <alignment horizontal="center" vertical="center"/>
    </xf>
    <xf numFmtId="1" fontId="30" fillId="15" borderId="17" xfId="0" applyNumberFormat="1" applyFont="1" applyFill="1" applyBorder="1" applyAlignment="1">
      <alignment horizontal="center" vertical="center"/>
    </xf>
    <xf numFmtId="1" fontId="30" fillId="15" borderId="43" xfId="0" applyNumberFormat="1" applyFont="1" applyFill="1" applyBorder="1" applyAlignment="1">
      <alignment horizontal="center" vertical="center"/>
    </xf>
    <xf numFmtId="1" fontId="30" fillId="15" borderId="44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53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5" fillId="8" borderId="42" xfId="0" applyFont="1" applyFill="1" applyBorder="1" applyAlignment="1">
      <alignment horizontal="left" vertical="center"/>
    </xf>
    <xf numFmtId="1" fontId="5" fillId="8" borderId="4" xfId="0" applyNumberFormat="1" applyFont="1" applyFill="1" applyBorder="1" applyAlignment="1">
      <alignment horizontal="center" vertical="center" wrapText="1"/>
    </xf>
    <xf numFmtId="1" fontId="5" fillId="8" borderId="25" xfId="0" applyNumberFormat="1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51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 wrapText="1"/>
    </xf>
    <xf numFmtId="0" fontId="5" fillId="8" borderId="40" xfId="0" applyFont="1" applyFill="1" applyBorder="1" applyAlignment="1">
      <alignment horizontal="center" vertical="center" wrapText="1"/>
    </xf>
    <xf numFmtId="0" fontId="5" fillId="8" borderId="18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35" fillId="8" borderId="14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 wrapText="1"/>
    </xf>
    <xf numFmtId="0" fontId="23" fillId="11" borderId="15" xfId="0" applyFont="1" applyFill="1" applyBorder="1" applyAlignment="1">
      <alignment horizontal="center" vertical="center" wrapText="1"/>
    </xf>
    <xf numFmtId="0" fontId="23" fillId="11" borderId="27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17" fillId="11" borderId="29" xfId="0" applyFont="1" applyFill="1" applyBorder="1" applyAlignment="1">
      <alignment horizontal="center" vertical="center" wrapText="1"/>
    </xf>
    <xf numFmtId="0" fontId="17" fillId="11" borderId="36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23" fillId="11" borderId="17" xfId="0" applyFont="1" applyFill="1" applyBorder="1" applyAlignment="1">
      <alignment horizontal="center" vertical="center"/>
    </xf>
    <xf numFmtId="0" fontId="23" fillId="11" borderId="30" xfId="0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24" xfId="0" applyFont="1" applyFill="1" applyBorder="1" applyAlignment="1">
      <alignment horizontal="center" vertical="center"/>
    </xf>
    <xf numFmtId="0" fontId="17" fillId="11" borderId="28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 vertical="center"/>
    </xf>
    <xf numFmtId="0" fontId="17" fillId="11" borderId="35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17" fillId="11" borderId="8" xfId="0" quotePrefix="1" applyFont="1" applyFill="1" applyBorder="1" applyAlignment="1">
      <alignment horizontal="center" vertical="center"/>
    </xf>
    <xf numFmtId="0" fontId="17" fillId="11" borderId="24" xfId="0" quotePrefix="1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</cellXfs>
  <cellStyles count="831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253999</xdr:rowOff>
    </xdr:to>
    <xdr:pic>
      <xdr:nvPicPr>
        <xdr:cNvPr id="3" name="Picture 2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6400" y="1236132"/>
          <a:ext cx="1320799" cy="1608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188544</xdr:rowOff>
    </xdr:to>
    <xdr:pic>
      <xdr:nvPicPr>
        <xdr:cNvPr id="5" name="Picture 4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977033"/>
          <a:ext cx="2031999" cy="692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zoomScale="120" zoomScaleNormal="120" zoomScalePageLayoutView="120" workbookViewId="0">
      <selection activeCell="C28" sqref="C28"/>
    </sheetView>
  </sheetViews>
  <sheetFormatPr baseColWidth="10" defaultColWidth="8.83203125" defaultRowHeight="14" x14ac:dyDescent="0"/>
  <cols>
    <col min="1" max="1" width="8.83203125" style="1"/>
    <col min="2" max="2" width="4.33203125" style="1" customWidth="1"/>
    <col min="3" max="3" width="136.83203125" style="1" customWidth="1"/>
    <col min="4" max="4" width="24.83203125" style="1" customWidth="1"/>
    <col min="5" max="5" width="4.5" style="1" customWidth="1"/>
    <col min="6" max="13" width="12.1640625" style="1" customWidth="1"/>
    <col min="14" max="15" width="8.5" style="1" customWidth="1"/>
    <col min="16" max="16" width="9.5" style="2" customWidth="1"/>
    <col min="17" max="17" width="9.33203125" style="2" customWidth="1"/>
    <col min="18" max="21" width="6.6640625" style="2" customWidth="1"/>
    <col min="22" max="23" width="7.6640625" style="3" customWidth="1"/>
    <col min="24" max="25" width="7.5" style="2" customWidth="1"/>
    <col min="26" max="26" width="6" style="2" customWidth="1"/>
    <col min="27" max="27" width="10.83203125" style="2" customWidth="1"/>
    <col min="28" max="28" width="4.33203125" style="2" customWidth="1"/>
    <col min="29" max="31" width="8.1640625" style="2" customWidth="1"/>
    <col min="32" max="32" width="11.5" style="2" customWidth="1"/>
    <col min="33" max="34" width="4.33203125" style="2" customWidth="1"/>
    <col min="35" max="16384" width="8.83203125" style="1"/>
  </cols>
  <sheetData>
    <row r="1" spans="1:34">
      <c r="A1" s="80"/>
      <c r="B1" s="80"/>
      <c r="C1" s="80"/>
      <c r="D1" s="80"/>
      <c r="E1" s="80"/>
      <c r="F1" s="80"/>
      <c r="G1" s="80"/>
      <c r="H1" s="80"/>
    </row>
    <row r="2" spans="1:34" s="4" customFormat="1" ht="37" customHeight="1">
      <c r="A2" s="81"/>
      <c r="B2" s="56"/>
      <c r="C2" s="238" t="s">
        <v>265</v>
      </c>
      <c r="D2" s="238"/>
      <c r="E2" s="56"/>
      <c r="F2" s="81"/>
      <c r="G2" s="81"/>
      <c r="H2" s="81"/>
      <c r="P2" s="5"/>
      <c r="Q2" s="5"/>
      <c r="R2" s="5"/>
      <c r="S2" s="5"/>
      <c r="T2" s="5"/>
      <c r="U2" s="5"/>
      <c r="V2" s="41"/>
      <c r="W2" s="4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91" customFormat="1" ht="20" customHeight="1" thickBot="1">
      <c r="A3" s="89"/>
      <c r="B3" s="90"/>
      <c r="C3" s="239" t="s">
        <v>266</v>
      </c>
      <c r="D3" s="239"/>
      <c r="E3" s="90"/>
      <c r="F3" s="89"/>
      <c r="G3" s="89"/>
      <c r="H3" s="89"/>
      <c r="P3" s="92"/>
      <c r="Q3" s="92"/>
      <c r="R3" s="92"/>
      <c r="S3" s="92"/>
      <c r="T3" s="92"/>
      <c r="U3" s="92"/>
      <c r="V3" s="93"/>
      <c r="W3" s="93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4" s="91" customFormat="1" ht="20" customHeight="1">
      <c r="A4" s="89"/>
      <c r="B4" s="90"/>
      <c r="C4" s="227" t="s">
        <v>285</v>
      </c>
      <c r="D4" s="228"/>
      <c r="E4" s="90"/>
      <c r="F4" s="89"/>
      <c r="G4" s="89"/>
      <c r="H4" s="89"/>
      <c r="P4" s="92"/>
      <c r="Q4" s="92"/>
      <c r="R4" s="92"/>
      <c r="S4" s="92"/>
      <c r="T4" s="92"/>
      <c r="U4" s="92"/>
      <c r="V4" s="93"/>
      <c r="W4" s="93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</row>
    <row r="5" spans="1:34" s="91" customFormat="1" ht="20" customHeight="1">
      <c r="A5" s="89"/>
      <c r="B5" s="90"/>
      <c r="C5" s="240" t="s">
        <v>286</v>
      </c>
      <c r="D5" s="241"/>
      <c r="E5" s="90"/>
      <c r="F5" s="89"/>
      <c r="G5" s="89"/>
      <c r="H5" s="89"/>
      <c r="P5" s="92"/>
      <c r="Q5" s="92"/>
      <c r="R5" s="92"/>
      <c r="S5" s="92"/>
      <c r="T5" s="92"/>
      <c r="U5" s="92"/>
      <c r="V5" s="93"/>
      <c r="W5" s="93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</row>
    <row r="6" spans="1:34" s="91" customFormat="1" ht="20" customHeight="1">
      <c r="A6" s="89"/>
      <c r="B6" s="90"/>
      <c r="C6" s="242" t="s">
        <v>269</v>
      </c>
      <c r="D6" s="243"/>
      <c r="E6" s="90"/>
      <c r="F6" s="89"/>
      <c r="G6" s="89"/>
      <c r="H6" s="89"/>
      <c r="P6" s="92"/>
      <c r="Q6" s="92"/>
      <c r="R6" s="92"/>
      <c r="S6" s="92"/>
      <c r="T6" s="92"/>
      <c r="U6" s="92"/>
      <c r="V6" s="93"/>
      <c r="W6" s="93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</row>
    <row r="7" spans="1:34" s="91" customFormat="1" ht="20" customHeight="1">
      <c r="A7" s="89"/>
      <c r="B7" s="90"/>
      <c r="C7" s="242" t="s">
        <v>270</v>
      </c>
      <c r="D7" s="243"/>
      <c r="E7" s="90"/>
      <c r="F7" s="89"/>
      <c r="G7" s="89"/>
      <c r="H7" s="89"/>
      <c r="P7" s="92"/>
      <c r="Q7" s="92"/>
      <c r="R7" s="92"/>
      <c r="S7" s="92"/>
      <c r="T7" s="92"/>
      <c r="U7" s="92"/>
      <c r="V7" s="93"/>
      <c r="W7" s="93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</row>
    <row r="8" spans="1:34" s="91" customFormat="1" ht="20" customHeight="1" thickBot="1">
      <c r="A8" s="89"/>
      <c r="B8" s="90"/>
      <c r="C8" s="236" t="s">
        <v>267</v>
      </c>
      <c r="D8" s="237"/>
      <c r="E8" s="90"/>
      <c r="F8" s="89"/>
      <c r="G8" s="89"/>
      <c r="H8" s="89"/>
      <c r="P8" s="92"/>
      <c r="Q8" s="92"/>
      <c r="R8" s="92"/>
      <c r="S8" s="92"/>
      <c r="T8" s="92"/>
      <c r="U8" s="92"/>
      <c r="V8" s="93"/>
      <c r="W8" s="93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</row>
    <row r="9" spans="1:34" s="91" customFormat="1" ht="20" customHeight="1">
      <c r="A9" s="89"/>
      <c r="B9" s="90"/>
      <c r="C9" s="227" t="s">
        <v>268</v>
      </c>
      <c r="D9" s="228"/>
      <c r="E9" s="90"/>
      <c r="F9" s="89"/>
      <c r="G9" s="89"/>
      <c r="H9" s="89"/>
      <c r="P9" s="92"/>
      <c r="Q9" s="92"/>
      <c r="R9" s="92"/>
      <c r="S9" s="92"/>
      <c r="T9" s="92"/>
      <c r="U9" s="92"/>
      <c r="V9" s="93"/>
      <c r="W9" s="93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</row>
    <row r="10" spans="1:34" s="91" customFormat="1" ht="18">
      <c r="A10" s="89"/>
      <c r="B10" s="90"/>
      <c r="C10" s="94" t="s">
        <v>280</v>
      </c>
      <c r="D10" s="95" t="s">
        <v>281</v>
      </c>
      <c r="E10" s="90"/>
      <c r="F10" s="89"/>
      <c r="G10" s="89"/>
      <c r="H10" s="89"/>
      <c r="P10" s="92"/>
      <c r="Q10" s="92"/>
      <c r="R10" s="92"/>
      <c r="S10" s="92"/>
      <c r="T10" s="92"/>
      <c r="U10" s="92"/>
      <c r="V10" s="93"/>
      <c r="W10" s="93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</row>
    <row r="11" spans="1:34" s="91" customFormat="1" ht="18">
      <c r="A11" s="89"/>
      <c r="B11" s="90"/>
      <c r="C11" s="94" t="s">
        <v>112</v>
      </c>
      <c r="D11" s="96" t="s">
        <v>101</v>
      </c>
      <c r="E11" s="90"/>
      <c r="F11" s="89"/>
      <c r="G11" s="89"/>
      <c r="H11" s="89"/>
      <c r="P11" s="92"/>
      <c r="Q11" s="92"/>
      <c r="R11" s="92"/>
      <c r="S11" s="92"/>
      <c r="T11" s="92"/>
      <c r="U11" s="92"/>
      <c r="V11" s="93"/>
      <c r="W11" s="93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</row>
    <row r="12" spans="1:34" s="91" customFormat="1" ht="18">
      <c r="A12" s="89"/>
      <c r="B12" s="90"/>
      <c r="C12" s="97" t="s">
        <v>165</v>
      </c>
      <c r="D12" s="98" t="s">
        <v>166</v>
      </c>
      <c r="E12" s="90"/>
      <c r="F12" s="89"/>
      <c r="G12" s="89"/>
      <c r="H12" s="89"/>
      <c r="P12" s="92"/>
      <c r="Q12" s="92"/>
      <c r="R12" s="92"/>
      <c r="S12" s="92"/>
      <c r="T12" s="92"/>
      <c r="U12" s="92"/>
      <c r="V12" s="93"/>
      <c r="W12" s="93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</row>
    <row r="13" spans="1:34" s="91" customFormat="1" ht="24" customHeight="1">
      <c r="A13" s="89"/>
      <c r="B13" s="90"/>
      <c r="C13" s="99" t="s">
        <v>283</v>
      </c>
      <c r="D13" s="234" t="s">
        <v>282</v>
      </c>
      <c r="E13" s="90"/>
      <c r="F13" s="89"/>
      <c r="G13" s="89"/>
      <c r="H13" s="89"/>
    </row>
    <row r="14" spans="1:34" s="103" customFormat="1" ht="19" thickBot="1">
      <c r="A14" s="100"/>
      <c r="B14" s="101"/>
      <c r="C14" s="102" t="s">
        <v>167</v>
      </c>
      <c r="D14" s="235"/>
      <c r="E14" s="101"/>
      <c r="F14" s="100"/>
      <c r="G14" s="100"/>
      <c r="H14" s="100"/>
    </row>
    <row r="15" spans="1:34" s="91" customFormat="1" ht="20" customHeight="1" thickBot="1">
      <c r="A15" s="89"/>
      <c r="B15" s="90"/>
      <c r="C15" s="227" t="s">
        <v>271</v>
      </c>
      <c r="D15" s="228"/>
      <c r="E15" s="90"/>
      <c r="F15" s="89"/>
      <c r="G15" s="89"/>
      <c r="H15" s="89"/>
      <c r="P15" s="92"/>
      <c r="Q15" s="92"/>
      <c r="R15" s="92"/>
      <c r="S15" s="92"/>
      <c r="T15" s="92"/>
      <c r="U15" s="92"/>
      <c r="V15" s="93"/>
      <c r="W15" s="93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</row>
    <row r="16" spans="1:34" s="107" customFormat="1" ht="18">
      <c r="A16" s="104"/>
      <c r="B16" s="105"/>
      <c r="C16" s="106" t="s">
        <v>277</v>
      </c>
      <c r="D16" s="231" t="s">
        <v>274</v>
      </c>
      <c r="E16" s="105"/>
      <c r="F16" s="104"/>
      <c r="G16" s="104"/>
      <c r="H16" s="104"/>
      <c r="P16" s="108"/>
      <c r="Q16" s="108"/>
      <c r="R16" s="108"/>
      <c r="S16" s="108"/>
      <c r="T16" s="108"/>
      <c r="U16" s="108"/>
      <c r="V16" s="109"/>
      <c r="W16" s="109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</row>
    <row r="17" spans="1:34" s="107" customFormat="1" ht="18">
      <c r="A17" s="104"/>
      <c r="B17" s="105"/>
      <c r="C17" s="110" t="s">
        <v>276</v>
      </c>
      <c r="D17" s="232"/>
      <c r="E17" s="105"/>
      <c r="F17" s="104"/>
      <c r="G17" s="104"/>
      <c r="H17" s="104"/>
      <c r="P17" s="108"/>
      <c r="Q17" s="108"/>
      <c r="R17" s="108"/>
      <c r="S17" s="108"/>
      <c r="T17" s="108"/>
      <c r="U17" s="108"/>
      <c r="V17" s="109"/>
      <c r="W17" s="109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</row>
    <row r="18" spans="1:34" s="107" customFormat="1" ht="18">
      <c r="A18" s="104"/>
      <c r="B18" s="105"/>
      <c r="C18" s="110" t="s">
        <v>278</v>
      </c>
      <c r="D18" s="232"/>
      <c r="E18" s="105"/>
      <c r="F18" s="104"/>
      <c r="G18" s="104"/>
      <c r="H18" s="104"/>
      <c r="P18" s="108"/>
      <c r="Q18" s="108"/>
      <c r="R18" s="108"/>
      <c r="S18" s="108"/>
      <c r="T18" s="108"/>
      <c r="U18" s="108"/>
      <c r="V18" s="109"/>
      <c r="W18" s="109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</row>
    <row r="19" spans="1:34" s="103" customFormat="1" ht="18">
      <c r="A19" s="100"/>
      <c r="B19" s="101"/>
      <c r="C19" s="110" t="s">
        <v>168</v>
      </c>
      <c r="D19" s="232"/>
      <c r="E19" s="101"/>
      <c r="F19" s="100"/>
      <c r="G19" s="100"/>
      <c r="H19" s="100"/>
      <c r="P19" s="111"/>
      <c r="Q19" s="111"/>
      <c r="R19" s="111"/>
      <c r="S19" s="111"/>
      <c r="T19" s="111"/>
      <c r="U19" s="111"/>
      <c r="V19" s="112"/>
      <c r="W19" s="112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</row>
    <row r="20" spans="1:34" s="103" customFormat="1" ht="18">
      <c r="A20" s="100"/>
      <c r="B20" s="101"/>
      <c r="C20" s="110" t="s">
        <v>284</v>
      </c>
      <c r="D20" s="232"/>
      <c r="E20" s="101"/>
      <c r="F20" s="100"/>
      <c r="G20" s="100"/>
      <c r="H20" s="100"/>
      <c r="P20" s="111"/>
      <c r="Q20" s="111"/>
      <c r="R20" s="111"/>
      <c r="S20" s="111"/>
      <c r="T20" s="111"/>
      <c r="U20" s="111"/>
      <c r="V20" s="112"/>
      <c r="W20" s="112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</row>
    <row r="21" spans="1:34" s="103" customFormat="1" ht="18">
      <c r="A21" s="100"/>
      <c r="B21" s="101"/>
      <c r="C21" s="110" t="s">
        <v>106</v>
      </c>
      <c r="D21" s="232"/>
      <c r="E21" s="101"/>
      <c r="F21" s="100"/>
      <c r="G21" s="100"/>
      <c r="H21" s="100"/>
      <c r="P21" s="111"/>
      <c r="Q21" s="111"/>
      <c r="R21" s="111"/>
      <c r="S21" s="111"/>
      <c r="T21" s="111"/>
      <c r="U21" s="111"/>
      <c r="V21" s="112"/>
      <c r="W21" s="112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</row>
    <row r="22" spans="1:34" s="117" customFormat="1" ht="19" thickBot="1">
      <c r="A22" s="113"/>
      <c r="B22" s="114"/>
      <c r="C22" s="115" t="s">
        <v>275</v>
      </c>
      <c r="D22" s="233"/>
      <c r="E22" s="101"/>
      <c r="F22" s="100"/>
      <c r="G22" s="100"/>
      <c r="H22" s="100"/>
      <c r="I22" s="103"/>
      <c r="J22" s="103"/>
      <c r="K22" s="103"/>
      <c r="L22" s="103"/>
      <c r="M22" s="103"/>
      <c r="N22" s="103"/>
      <c r="O22" s="111"/>
      <c r="P22" s="111"/>
      <c r="Q22" s="111"/>
      <c r="R22" s="111"/>
      <c r="S22" s="111"/>
      <c r="T22" s="111"/>
      <c r="U22" s="112"/>
      <c r="V22" s="112"/>
      <c r="W22" s="111"/>
      <c r="X22" s="111"/>
      <c r="Y22" s="111"/>
      <c r="Z22" s="111"/>
      <c r="AA22" s="116"/>
      <c r="AB22" s="111"/>
      <c r="AC22" s="111"/>
      <c r="AD22" s="111"/>
      <c r="AE22" s="116"/>
      <c r="AF22" s="116"/>
      <c r="AG22" s="116"/>
    </row>
    <row r="23" spans="1:34" s="91" customFormat="1" ht="20" customHeight="1">
      <c r="A23" s="89"/>
      <c r="B23" s="90"/>
      <c r="C23" s="227" t="s">
        <v>272</v>
      </c>
      <c r="D23" s="228"/>
      <c r="E23" s="90"/>
      <c r="F23" s="89"/>
      <c r="G23" s="89"/>
      <c r="H23" s="89"/>
      <c r="P23" s="92"/>
      <c r="Q23" s="92"/>
      <c r="R23" s="92"/>
      <c r="S23" s="92"/>
      <c r="T23" s="92"/>
      <c r="U23" s="92"/>
      <c r="V23" s="93"/>
      <c r="W23" s="93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</row>
    <row r="24" spans="1:34" s="91" customFormat="1" ht="20" customHeight="1">
      <c r="A24" s="89"/>
      <c r="B24" s="90"/>
      <c r="C24" s="229" t="s">
        <v>287</v>
      </c>
      <c r="D24" s="230"/>
      <c r="E24" s="90"/>
      <c r="F24" s="89"/>
      <c r="G24" s="89"/>
      <c r="H24" s="89"/>
      <c r="P24" s="92"/>
      <c r="Q24" s="92"/>
      <c r="R24" s="92"/>
      <c r="S24" s="92"/>
      <c r="T24" s="92"/>
      <c r="U24" s="92"/>
      <c r="V24" s="93"/>
      <c r="W24" s="93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</row>
    <row r="25" spans="1:34" s="91" customFormat="1" ht="20" customHeight="1">
      <c r="A25" s="89"/>
      <c r="B25" s="90"/>
      <c r="C25" s="229" t="s">
        <v>273</v>
      </c>
      <c r="D25" s="230"/>
      <c r="E25" s="90"/>
      <c r="F25" s="89"/>
      <c r="G25" s="89"/>
      <c r="H25" s="89"/>
      <c r="P25" s="92"/>
      <c r="Q25" s="92"/>
      <c r="R25" s="92"/>
      <c r="S25" s="92"/>
      <c r="T25" s="92"/>
      <c r="U25" s="92"/>
      <c r="V25" s="93"/>
      <c r="W25" s="93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</row>
    <row r="26" spans="1:34">
      <c r="A26" s="80"/>
      <c r="B26" s="16"/>
      <c r="C26" s="16"/>
      <c r="D26" s="16"/>
      <c r="E26" s="16"/>
      <c r="F26" s="80"/>
      <c r="G26" s="80"/>
      <c r="H26" s="80"/>
    </row>
    <row r="27" spans="1:34">
      <c r="A27" s="80"/>
      <c r="B27" s="16"/>
      <c r="C27" s="16"/>
      <c r="D27" s="16"/>
      <c r="E27" s="16"/>
      <c r="F27" s="80"/>
      <c r="G27" s="80"/>
      <c r="H27" s="80"/>
    </row>
    <row r="28" spans="1:34">
      <c r="A28" s="80"/>
      <c r="B28" s="80"/>
      <c r="C28" s="80"/>
      <c r="D28" s="80"/>
      <c r="E28" s="80"/>
      <c r="F28" s="80"/>
      <c r="G28" s="80"/>
      <c r="H28" s="80"/>
    </row>
    <row r="29" spans="1:34">
      <c r="A29" s="80"/>
      <c r="B29" s="80"/>
      <c r="C29" s="80"/>
      <c r="D29" s="80"/>
      <c r="E29" s="80"/>
      <c r="F29" s="80"/>
      <c r="G29" s="80"/>
      <c r="H29" s="80"/>
    </row>
    <row r="30" spans="1:34">
      <c r="A30" s="80"/>
      <c r="B30" s="80"/>
      <c r="C30" s="80"/>
      <c r="D30" s="80"/>
      <c r="E30" s="80"/>
      <c r="F30" s="80"/>
      <c r="G30" s="80"/>
      <c r="H30" s="80"/>
    </row>
    <row r="31" spans="1:34">
      <c r="A31" s="80"/>
      <c r="B31" s="80"/>
      <c r="C31" s="80"/>
      <c r="D31" s="80"/>
      <c r="E31" s="80"/>
      <c r="F31" s="80"/>
      <c r="G31" s="80"/>
      <c r="H31" s="80"/>
    </row>
    <row r="32" spans="1:34">
      <c r="A32" s="80"/>
      <c r="F32" s="80"/>
      <c r="G32" s="80"/>
      <c r="H32" s="80"/>
    </row>
  </sheetData>
  <mergeCells count="14">
    <mergeCell ref="C8:D8"/>
    <mergeCell ref="C9:D9"/>
    <mergeCell ref="C15:D15"/>
    <mergeCell ref="C2:D2"/>
    <mergeCell ref="C3:D3"/>
    <mergeCell ref="C5:D5"/>
    <mergeCell ref="C6:D6"/>
    <mergeCell ref="C7:D7"/>
    <mergeCell ref="C4:D4"/>
    <mergeCell ref="C23:D23"/>
    <mergeCell ref="C24:D24"/>
    <mergeCell ref="C25:D25"/>
    <mergeCell ref="D16:D22"/>
    <mergeCell ref="D13:D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P133"/>
  <sheetViews>
    <sheetView tabSelected="1" topLeftCell="A63" zoomScale="70" zoomScaleNormal="70" zoomScalePageLayoutView="70" workbookViewId="0">
      <selection activeCell="K95" sqref="K95"/>
    </sheetView>
  </sheetViews>
  <sheetFormatPr baseColWidth="10" defaultColWidth="8.83203125" defaultRowHeight="15" outlineLevelRow="1" x14ac:dyDescent="0"/>
  <cols>
    <col min="1" max="1" width="9.83203125" style="4" customWidth="1"/>
    <col min="2" max="2" width="26.83203125" style="4" customWidth="1"/>
    <col min="3" max="3" width="15" style="39" customWidth="1"/>
    <col min="4" max="4" width="18.5" style="4" customWidth="1"/>
    <col min="5" max="5" width="12.6640625" style="4" customWidth="1"/>
    <col min="6" max="6" width="14.6640625" style="4" customWidth="1"/>
    <col min="7" max="7" width="16.1640625" style="4" customWidth="1"/>
    <col min="8" max="9" width="15.1640625" style="4" customWidth="1"/>
    <col min="10" max="14" width="18.6640625" style="4" customWidth="1"/>
    <col min="15" max="15" width="10.33203125" style="4" customWidth="1"/>
    <col min="16" max="17" width="9.33203125" style="141" customWidth="1"/>
    <col min="18" max="18" width="12.83203125" style="39" customWidth="1"/>
    <col min="19" max="20" width="9.5" style="4" customWidth="1"/>
    <col min="21" max="21" width="9.5" style="22" customWidth="1"/>
    <col min="22" max="26" width="9.5" style="4" customWidth="1"/>
    <col min="27" max="27" width="3.83203125" style="4" customWidth="1"/>
    <col min="28" max="28" width="18.5" style="4" customWidth="1"/>
    <col min="29" max="37" width="9.33203125" style="4" customWidth="1"/>
    <col min="38" max="38" width="3.33203125" style="4" customWidth="1"/>
    <col min="39" max="39" width="21.1640625" style="4" customWidth="1"/>
    <col min="40" max="40" width="9.83203125" style="4" customWidth="1"/>
    <col min="41" max="41" width="10.1640625" style="4" customWidth="1"/>
    <col min="42" max="43" width="8.1640625" style="4" customWidth="1"/>
    <col min="44" max="44" width="9.33203125" style="4" customWidth="1"/>
    <col min="45" max="45" width="8.1640625" style="4" customWidth="1"/>
    <col min="46" max="46" width="8.5" style="4" customWidth="1"/>
    <col min="47" max="47" width="22.1640625" style="4" customWidth="1"/>
    <col min="48" max="48" width="7.83203125" style="39" customWidth="1"/>
    <col min="49" max="49" width="7.33203125" style="39" customWidth="1"/>
    <col min="50" max="50" width="8.1640625" style="39" customWidth="1"/>
    <col min="51" max="51" width="7.33203125" style="39" customWidth="1"/>
    <col min="52" max="52" width="6.83203125" style="39" customWidth="1"/>
    <col min="53" max="53" width="7.1640625" style="39" customWidth="1"/>
    <col min="54" max="54" width="6.33203125" style="4" customWidth="1"/>
    <col min="55" max="55" width="7.6640625" style="4" customWidth="1"/>
    <col min="56" max="56" width="17.83203125" style="4" customWidth="1"/>
    <col min="57" max="57" width="14" style="39" customWidth="1"/>
    <col min="58" max="59" width="12.1640625" style="4" customWidth="1"/>
    <col min="60" max="60" width="8.5" style="4" customWidth="1"/>
    <col min="61" max="61" width="18.1640625" style="4" customWidth="1"/>
    <col min="62" max="62" width="9.5" style="5" customWidth="1"/>
    <col min="63" max="63" width="9.33203125" style="5" customWidth="1"/>
    <col min="64" max="64" width="7.5" style="5" customWidth="1"/>
    <col min="65" max="65" width="12.83203125" style="5" customWidth="1"/>
    <col min="66" max="70" width="6.6640625" style="5" customWidth="1"/>
    <col min="71" max="71" width="7.5" style="5" customWidth="1"/>
    <col min="72" max="72" width="6.6640625" style="5" customWidth="1"/>
    <col min="73" max="74" width="7.6640625" style="41" customWidth="1"/>
    <col min="75" max="75" width="7.5" style="5" customWidth="1"/>
    <col min="76" max="80" width="10.83203125" style="5" customWidth="1"/>
    <col min="81" max="81" width="4.33203125" style="5" customWidth="1"/>
    <col min="82" max="87" width="8.1640625" style="5" customWidth="1"/>
    <col min="88" max="88" width="8.83203125" style="5" customWidth="1"/>
    <col min="89" max="92" width="12.33203125" style="5" customWidth="1"/>
    <col min="93" max="94" width="4.33203125" style="5" customWidth="1"/>
    <col min="95" max="16384" width="8.83203125" style="4"/>
  </cols>
  <sheetData>
    <row r="1" spans="1:68" s="123" customFormat="1" ht="31" hidden="1" customHeight="1" outlineLevel="1">
      <c r="A1" s="123" t="s">
        <v>290</v>
      </c>
      <c r="B1" s="124" t="s">
        <v>75</v>
      </c>
      <c r="C1" s="125" t="s">
        <v>40</v>
      </c>
      <c r="D1" s="125" t="s">
        <v>43</v>
      </c>
      <c r="E1" s="45" t="s">
        <v>44</v>
      </c>
      <c r="F1" s="45" t="s">
        <v>174</v>
      </c>
      <c r="G1" s="45" t="s">
        <v>175</v>
      </c>
      <c r="H1" s="126" t="s">
        <v>42</v>
      </c>
      <c r="I1" s="126" t="s">
        <v>41</v>
      </c>
      <c r="J1" s="126" t="s">
        <v>45</v>
      </c>
      <c r="K1" s="126" t="s">
        <v>8</v>
      </c>
      <c r="M1" s="124" t="s">
        <v>47</v>
      </c>
      <c r="N1" s="124"/>
      <c r="O1" s="127"/>
      <c r="P1" s="128"/>
      <c r="Q1" s="128"/>
      <c r="R1" s="124" t="s">
        <v>16</v>
      </c>
      <c r="S1" s="129" t="s">
        <v>147</v>
      </c>
      <c r="T1" s="127" t="s">
        <v>94</v>
      </c>
      <c r="U1" s="127" t="s">
        <v>95</v>
      </c>
      <c r="V1" s="127" t="s">
        <v>177</v>
      </c>
      <c r="W1" s="127" t="s">
        <v>176</v>
      </c>
      <c r="X1" s="127" t="s">
        <v>149</v>
      </c>
      <c r="Y1" s="127" t="s">
        <v>148</v>
      </c>
      <c r="Z1" s="127" t="s">
        <v>150</v>
      </c>
      <c r="AA1" s="124"/>
      <c r="AB1" s="124" t="s">
        <v>17</v>
      </c>
      <c r="AC1" s="127" t="s">
        <v>146</v>
      </c>
      <c r="AD1" s="127" t="s">
        <v>94</v>
      </c>
      <c r="AE1" s="127" t="s">
        <v>95</v>
      </c>
      <c r="AF1" s="127" t="s">
        <v>177</v>
      </c>
      <c r="AG1" s="127" t="s">
        <v>176</v>
      </c>
      <c r="AH1" s="127" t="s">
        <v>149</v>
      </c>
      <c r="AI1" s="127" t="s">
        <v>148</v>
      </c>
      <c r="AJ1" s="127" t="s">
        <v>150</v>
      </c>
      <c r="AK1" s="127" t="s">
        <v>151</v>
      </c>
      <c r="AL1" s="124"/>
      <c r="AM1" s="124" t="s">
        <v>21</v>
      </c>
      <c r="AN1" s="124"/>
      <c r="AO1" s="124"/>
      <c r="AP1" s="124" t="s">
        <v>189</v>
      </c>
      <c r="AQ1" s="124" t="s">
        <v>29</v>
      </c>
      <c r="AR1" s="42"/>
      <c r="AS1" s="42"/>
      <c r="AT1" s="42"/>
      <c r="AU1" s="130" t="s">
        <v>255</v>
      </c>
      <c r="AV1" s="131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4" hidden="1" outlineLevel="1">
      <c r="A2" s="132">
        <v>80</v>
      </c>
      <c r="B2" s="133" t="s">
        <v>119</v>
      </c>
      <c r="C2" s="134">
        <v>70</v>
      </c>
      <c r="D2" s="135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6" t="s">
        <v>39</v>
      </c>
      <c r="N2" s="39">
        <v>1.7</v>
      </c>
      <c r="O2" s="39"/>
      <c r="P2" s="137"/>
      <c r="Q2" s="137"/>
      <c r="R2" s="277" t="s">
        <v>173</v>
      </c>
      <c r="S2" s="277"/>
      <c r="T2" s="277"/>
      <c r="U2" s="277"/>
      <c r="V2" s="277"/>
      <c r="W2" s="277"/>
      <c r="X2" s="277"/>
      <c r="Y2" s="277"/>
      <c r="Z2" s="277"/>
      <c r="AA2" s="138"/>
      <c r="AB2" s="277" t="s">
        <v>173</v>
      </c>
      <c r="AC2" s="277"/>
      <c r="AD2" s="277"/>
      <c r="AE2" s="277"/>
      <c r="AF2" s="277"/>
      <c r="AG2" s="277"/>
      <c r="AH2" s="277"/>
      <c r="AI2" s="277"/>
      <c r="AJ2" s="277"/>
      <c r="AK2" s="277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 outlineLevel="1">
      <c r="A3" s="132">
        <v>75</v>
      </c>
      <c r="B3" s="133" t="s">
        <v>158</v>
      </c>
      <c r="C3" s="134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6" t="s">
        <v>38</v>
      </c>
      <c r="N3" s="39">
        <v>1.4</v>
      </c>
      <c r="O3" s="39"/>
      <c r="P3" s="137"/>
      <c r="Q3" s="137"/>
      <c r="R3" s="139" t="s">
        <v>67</v>
      </c>
      <c r="S3" s="140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39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6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 outlineLevel="1">
      <c r="A4" s="132">
        <v>85</v>
      </c>
      <c r="B4" s="133" t="s">
        <v>34</v>
      </c>
      <c r="C4" s="134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6" t="s">
        <v>10</v>
      </c>
      <c r="N4" s="39">
        <v>1</v>
      </c>
      <c r="O4" s="39"/>
      <c r="P4" s="137"/>
      <c r="Q4" s="137"/>
      <c r="R4" s="139" t="s">
        <v>178</v>
      </c>
      <c r="S4" s="140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39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6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 outlineLevel="1">
      <c r="A5" s="132">
        <v>70</v>
      </c>
      <c r="B5" s="133" t="s">
        <v>120</v>
      </c>
      <c r="C5" s="134">
        <v>65</v>
      </c>
      <c r="D5" s="135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6" t="s">
        <v>11</v>
      </c>
      <c r="N5" s="135">
        <v>0.6</v>
      </c>
      <c r="P5" s="141"/>
      <c r="Q5" s="137"/>
      <c r="R5" s="139" t="s">
        <v>53</v>
      </c>
      <c r="S5" s="140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39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6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 outlineLevel="1">
      <c r="A6" s="132">
        <v>65</v>
      </c>
      <c r="B6" s="133" t="s">
        <v>159</v>
      </c>
      <c r="C6" s="134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1"/>
      <c r="Q6" s="137"/>
      <c r="R6" s="139" t="s">
        <v>54</v>
      </c>
      <c r="S6" s="140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39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6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t="14" hidden="1" customHeight="1" outlineLevel="1">
      <c r="A7" s="132">
        <v>75</v>
      </c>
      <c r="B7" s="133" t="s">
        <v>35</v>
      </c>
      <c r="C7" s="134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9" t="s">
        <v>9</v>
      </c>
      <c r="N7" s="142" t="s">
        <v>187</v>
      </c>
      <c r="O7" s="39" t="s">
        <v>188</v>
      </c>
      <c r="P7" s="141"/>
      <c r="Q7" s="143"/>
      <c r="R7" s="139" t="s">
        <v>68</v>
      </c>
      <c r="S7" s="140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39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6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 outlineLevel="1">
      <c r="A8" s="132">
        <v>60</v>
      </c>
      <c r="B8" s="133" t="s">
        <v>121</v>
      </c>
      <c r="C8" s="134">
        <v>55</v>
      </c>
      <c r="D8" s="135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6" t="s">
        <v>116</v>
      </c>
      <c r="N8" s="144">
        <v>2</v>
      </c>
      <c r="O8" s="134">
        <v>2.5</v>
      </c>
      <c r="P8" s="141"/>
      <c r="Q8" s="145"/>
      <c r="R8" s="139" t="s">
        <v>13</v>
      </c>
      <c r="S8" s="140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6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6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 outlineLevel="1">
      <c r="A9" s="132">
        <v>55</v>
      </c>
      <c r="B9" s="133" t="s">
        <v>160</v>
      </c>
      <c r="C9" s="134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6" t="s">
        <v>118</v>
      </c>
      <c r="N9" s="147">
        <v>1</v>
      </c>
      <c r="O9" s="39">
        <v>1</v>
      </c>
      <c r="P9" s="141"/>
      <c r="Q9" s="145"/>
      <c r="R9" s="139" t="s">
        <v>102</v>
      </c>
      <c r="S9" s="140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39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6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 outlineLevel="1">
      <c r="A10" s="132">
        <v>65</v>
      </c>
      <c r="B10" s="133" t="s">
        <v>36</v>
      </c>
      <c r="C10" s="134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6" t="s">
        <v>117</v>
      </c>
      <c r="N10" s="147">
        <v>0.4</v>
      </c>
      <c r="O10" s="39">
        <v>0.4</v>
      </c>
      <c r="P10" s="141"/>
      <c r="Q10" s="145"/>
      <c r="R10" s="139" t="s">
        <v>66</v>
      </c>
      <c r="S10" s="140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39" t="s">
        <v>279</v>
      </c>
      <c r="AC10" s="134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6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 outlineLevel="1">
      <c r="A11" s="132">
        <v>30</v>
      </c>
      <c r="B11" s="133" t="s">
        <v>37</v>
      </c>
      <c r="C11" s="134">
        <v>30</v>
      </c>
      <c r="D11" s="148">
        <v>40</v>
      </c>
      <c r="E11" s="148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9" t="s">
        <v>256</v>
      </c>
      <c r="N11" s="150">
        <v>0.67</v>
      </c>
      <c r="O11" s="151">
        <v>0.5</v>
      </c>
      <c r="P11" s="141"/>
      <c r="Q11" s="145"/>
      <c r="R11" s="152" t="s">
        <v>50</v>
      </c>
      <c r="S11" s="140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9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6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 outlineLevel="1">
      <c r="C12" s="142" t="s">
        <v>203</v>
      </c>
      <c r="D12" s="39"/>
      <c r="E12" s="39"/>
      <c r="F12" s="39"/>
      <c r="G12" s="39"/>
      <c r="H12" s="39"/>
      <c r="I12" s="46"/>
      <c r="J12" s="39"/>
      <c r="K12" s="39"/>
      <c r="M12" s="153" t="s">
        <v>50</v>
      </c>
      <c r="N12" s="147">
        <v>1</v>
      </c>
      <c r="O12" s="39">
        <v>1</v>
      </c>
      <c r="P12" s="141"/>
      <c r="Q12" s="137"/>
      <c r="R12" s="139" t="s">
        <v>62</v>
      </c>
      <c r="S12" s="140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4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t="14" hidden="1" customHeight="1" outlineLevel="1">
      <c r="B13" s="136" t="s">
        <v>40</v>
      </c>
      <c r="C13" s="39">
        <v>2</v>
      </c>
      <c r="D13" s="39"/>
      <c r="E13" s="142" t="s">
        <v>190</v>
      </c>
      <c r="F13" s="39"/>
      <c r="G13" s="39"/>
      <c r="H13" s="39"/>
      <c r="I13" s="39"/>
      <c r="J13" s="39"/>
      <c r="K13" s="39"/>
      <c r="M13" s="139" t="s">
        <v>48</v>
      </c>
      <c r="N13" s="142" t="s">
        <v>187</v>
      </c>
      <c r="O13" s="39" t="s">
        <v>188</v>
      </c>
      <c r="P13" s="141"/>
      <c r="Q13" s="143"/>
      <c r="R13" s="139" t="s">
        <v>59</v>
      </c>
      <c r="S13" s="140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39" t="s">
        <v>64</v>
      </c>
      <c r="AC13" s="134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 outlineLevel="1">
      <c r="B14" s="136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3" t="s">
        <v>108</v>
      </c>
      <c r="N14" s="135">
        <v>0.65</v>
      </c>
      <c r="O14" s="46">
        <v>0.8</v>
      </c>
      <c r="P14" s="141"/>
      <c r="Q14" s="137"/>
      <c r="R14" s="139" t="s">
        <v>69</v>
      </c>
      <c r="S14" s="155">
        <v>40</v>
      </c>
      <c r="T14" s="134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39" t="s">
        <v>145</v>
      </c>
      <c r="AC14" s="134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6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 outlineLevel="1">
      <c r="B15" s="136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6" t="s">
        <v>51</v>
      </c>
      <c r="N15" s="39">
        <v>1</v>
      </c>
      <c r="O15" s="39">
        <v>1</v>
      </c>
      <c r="P15" s="141"/>
      <c r="Q15" s="137"/>
      <c r="R15" s="139" t="s">
        <v>60</v>
      </c>
      <c r="S15" s="140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39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 outlineLevel="1">
      <c r="B16" s="136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6" t="s">
        <v>260</v>
      </c>
      <c r="N16" s="46">
        <v>1.4</v>
      </c>
      <c r="O16" s="46" t="s">
        <v>109</v>
      </c>
      <c r="P16" s="137"/>
      <c r="Q16" s="137"/>
      <c r="R16" s="139" t="s">
        <v>61</v>
      </c>
      <c r="S16" s="140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39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 outlineLevel="1">
      <c r="B17" s="136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57" t="s">
        <v>262</v>
      </c>
      <c r="N17" s="158">
        <v>1.1499999999999999</v>
      </c>
      <c r="O17" s="159" t="s">
        <v>109</v>
      </c>
      <c r="P17" s="137"/>
      <c r="Q17" s="137"/>
      <c r="R17" s="139" t="s">
        <v>70</v>
      </c>
      <c r="S17" s="140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39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6"/>
      <c r="AO17" s="160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 outlineLevel="1">
      <c r="B18" s="136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1" t="s">
        <v>261</v>
      </c>
      <c r="N18" s="159">
        <v>1.25</v>
      </c>
      <c r="O18" s="159" t="s">
        <v>109</v>
      </c>
      <c r="P18" s="137"/>
      <c r="Q18" s="137"/>
      <c r="R18" s="139" t="s">
        <v>172</v>
      </c>
      <c r="S18" s="140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4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2" t="s">
        <v>294</v>
      </c>
      <c r="AO18" s="163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15" hidden="1" customHeight="1" outlineLevel="1">
      <c r="B19" s="136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57" t="s">
        <v>263</v>
      </c>
      <c r="N19" s="159">
        <v>1.4</v>
      </c>
      <c r="O19" s="159" t="s">
        <v>109</v>
      </c>
      <c r="P19" s="137"/>
      <c r="Q19" s="137"/>
      <c r="R19" s="139" t="s">
        <v>124</v>
      </c>
      <c r="S19" s="164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4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6" t="s">
        <v>24</v>
      </c>
      <c r="AO19" s="160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16" hidden="1" customHeight="1" outlineLevel="1">
      <c r="B20" s="136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37"/>
      <c r="Q20" s="137"/>
      <c r="R20" s="139" t="s">
        <v>125</v>
      </c>
      <c r="S20" s="164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4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6" t="s">
        <v>32</v>
      </c>
      <c r="AO20" s="160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 outlineLevel="1">
      <c r="B21" s="136" t="s">
        <v>8</v>
      </c>
      <c r="C21" s="39">
        <v>10</v>
      </c>
      <c r="E21" s="165" t="s">
        <v>50</v>
      </c>
      <c r="F21" s="39"/>
      <c r="G21" s="39"/>
      <c r="H21" s="39"/>
      <c r="I21" s="39"/>
      <c r="J21" s="39"/>
      <c r="K21" s="39"/>
      <c r="P21" s="141"/>
      <c r="Q21" s="141"/>
      <c r="R21" s="152" t="s">
        <v>50</v>
      </c>
      <c r="S21" s="140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4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6" t="s">
        <v>28</v>
      </c>
      <c r="AO21" s="160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 outlineLevel="1">
      <c r="F22" s="39"/>
      <c r="G22" s="39"/>
      <c r="H22" s="39"/>
      <c r="I22" s="39"/>
      <c r="J22" s="39"/>
      <c r="K22" s="39"/>
      <c r="P22" s="141"/>
      <c r="Q22" s="141"/>
      <c r="S22" s="166"/>
      <c r="AB22" s="154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6" t="s">
        <v>33</v>
      </c>
      <c r="AO22" s="160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2" hidden="1" outlineLevel="1">
      <c r="F23" s="39"/>
      <c r="G23" s="39"/>
      <c r="H23" s="39"/>
      <c r="I23" s="39"/>
      <c r="J23" s="39"/>
      <c r="K23" s="39"/>
      <c r="P23" s="141"/>
      <c r="Q23" s="141"/>
      <c r="S23" s="166"/>
      <c r="AB23" s="152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6" t="s">
        <v>15</v>
      </c>
      <c r="AO23" s="160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5" hidden="1" customHeight="1" outlineLevel="1">
      <c r="B24" s="154" t="s">
        <v>181</v>
      </c>
      <c r="F24" s="39"/>
      <c r="G24" s="39"/>
      <c r="H24" s="39"/>
      <c r="I24" s="39"/>
      <c r="J24" s="39"/>
      <c r="K24" s="39"/>
      <c r="M24" s="167">
        <v>2018</v>
      </c>
      <c r="N24" s="167"/>
      <c r="O24" s="167"/>
      <c r="P24" s="141"/>
      <c r="Q24" s="141"/>
      <c r="S24" s="166"/>
      <c r="AM24" s="136"/>
      <c r="AO24" s="160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 outlineLevel="1">
      <c r="B25" s="4" t="s">
        <v>291</v>
      </c>
      <c r="F25" s="39" t="s">
        <v>316</v>
      </c>
      <c r="G25" s="39"/>
      <c r="H25" s="39" t="s">
        <v>289</v>
      </c>
      <c r="I25" s="39"/>
      <c r="J25" s="39" t="s">
        <v>288</v>
      </c>
      <c r="K25" s="39"/>
      <c r="M25" s="168" t="s">
        <v>47</v>
      </c>
      <c r="N25" s="168"/>
      <c r="O25" s="169"/>
      <c r="P25" s="141"/>
      <c r="Q25" s="141"/>
      <c r="S25" s="166"/>
      <c r="AM25" s="136"/>
      <c r="AO25" s="136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 outlineLevel="1">
      <c r="B26" s="4" t="s">
        <v>292</v>
      </c>
      <c r="F26" s="139" t="s">
        <v>67</v>
      </c>
      <c r="G26" s="39"/>
      <c r="H26" s="39"/>
      <c r="I26" s="39"/>
      <c r="J26" s="39"/>
      <c r="K26" s="39"/>
      <c r="M26" s="170" t="s">
        <v>39</v>
      </c>
      <c r="N26" s="171">
        <v>1.7</v>
      </c>
      <c r="O26" s="171"/>
      <c r="P26" s="141"/>
      <c r="Q26" s="141"/>
      <c r="S26" s="166"/>
      <c r="AB26" s="278" t="s">
        <v>182</v>
      </c>
      <c r="AC26" s="278"/>
      <c r="AD26" s="278"/>
      <c r="AE26" s="278"/>
      <c r="AF26" s="278"/>
      <c r="AG26" s="278"/>
      <c r="AH26" s="278"/>
      <c r="AI26" s="278"/>
      <c r="AJ26" s="278"/>
      <c r="AK26" s="278"/>
      <c r="AM26" s="162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4" hidden="1" outlineLevel="1">
      <c r="B27" s="4" t="s">
        <v>293</v>
      </c>
      <c r="F27" s="139" t="s">
        <v>178</v>
      </c>
      <c r="G27" s="39"/>
      <c r="H27" s="139" t="s">
        <v>58</v>
      </c>
      <c r="I27" s="39"/>
      <c r="J27" s="139"/>
      <c r="K27" s="39"/>
      <c r="M27" s="170" t="s">
        <v>38</v>
      </c>
      <c r="N27" s="171">
        <v>1.4</v>
      </c>
      <c r="O27" s="171"/>
      <c r="P27" s="141"/>
      <c r="Q27" s="141"/>
      <c r="R27" s="277" t="s">
        <v>182</v>
      </c>
      <c r="S27" s="277"/>
      <c r="T27" s="277"/>
      <c r="U27" s="277"/>
      <c r="V27" s="277"/>
      <c r="W27" s="277"/>
      <c r="X27" s="277"/>
      <c r="Y27" s="277"/>
      <c r="Z27" s="277"/>
      <c r="AB27" s="139" t="s">
        <v>17</v>
      </c>
      <c r="AC27" s="142" t="s">
        <v>146</v>
      </c>
      <c r="AD27" s="142" t="s">
        <v>94</v>
      </c>
      <c r="AE27" s="142" t="s">
        <v>95</v>
      </c>
      <c r="AF27" s="142" t="s">
        <v>177</v>
      </c>
      <c r="AG27" s="142" t="s">
        <v>176</v>
      </c>
      <c r="AH27" s="142" t="s">
        <v>149</v>
      </c>
      <c r="AI27" s="142" t="s">
        <v>148</v>
      </c>
      <c r="AJ27" s="142" t="s">
        <v>150</v>
      </c>
      <c r="AK27" s="142" t="s">
        <v>151</v>
      </c>
      <c r="AM27" s="136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 outlineLevel="1">
      <c r="F28" s="139" t="s">
        <v>53</v>
      </c>
      <c r="G28" s="39"/>
      <c r="H28" s="139" t="s">
        <v>55</v>
      </c>
      <c r="I28" s="39"/>
      <c r="J28" s="139" t="s">
        <v>57</v>
      </c>
      <c r="K28" s="39"/>
      <c r="M28" s="170" t="s">
        <v>10</v>
      </c>
      <c r="N28" s="171">
        <v>1</v>
      </c>
      <c r="O28" s="171"/>
      <c r="P28" s="141"/>
      <c r="Q28" s="141"/>
      <c r="R28" s="139" t="s">
        <v>16</v>
      </c>
      <c r="S28" s="172" t="s">
        <v>147</v>
      </c>
      <c r="T28" s="173" t="s">
        <v>94</v>
      </c>
      <c r="U28" s="173" t="s">
        <v>95</v>
      </c>
      <c r="V28" s="142" t="s">
        <v>177</v>
      </c>
      <c r="W28" s="142" t="s">
        <v>176</v>
      </c>
      <c r="X28" s="142" t="s">
        <v>149</v>
      </c>
      <c r="Y28" s="142" t="s">
        <v>148</v>
      </c>
      <c r="Z28" s="142" t="s">
        <v>150</v>
      </c>
      <c r="AB28" s="139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6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 outlineLevel="1">
      <c r="F29" s="139" t="s">
        <v>54</v>
      </c>
      <c r="G29" s="39"/>
      <c r="H29" s="139" t="s">
        <v>79</v>
      </c>
      <c r="I29" s="39"/>
      <c r="J29" s="139" t="s">
        <v>55</v>
      </c>
      <c r="K29" s="39"/>
      <c r="M29" s="170" t="s">
        <v>11</v>
      </c>
      <c r="N29" s="171">
        <v>0.65</v>
      </c>
      <c r="O29" s="167"/>
      <c r="P29" s="141"/>
      <c r="Q29" s="141"/>
      <c r="R29" s="139" t="s">
        <v>67</v>
      </c>
      <c r="S29" s="164" t="s">
        <v>109</v>
      </c>
      <c r="T29" s="148">
        <v>15</v>
      </c>
      <c r="U29" s="148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39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6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 outlineLevel="1">
      <c r="D30" s="39"/>
      <c r="F30" s="152" t="s">
        <v>50</v>
      </c>
      <c r="G30" s="39"/>
      <c r="H30" s="139" t="s">
        <v>56</v>
      </c>
      <c r="I30" s="39"/>
      <c r="J30" s="139" t="s">
        <v>186</v>
      </c>
      <c r="K30" s="39"/>
      <c r="M30" s="171"/>
      <c r="N30" s="171"/>
      <c r="O30" s="167"/>
      <c r="P30" s="141"/>
      <c r="Q30" s="141"/>
      <c r="R30" s="139" t="s">
        <v>178</v>
      </c>
      <c r="S30" s="164" t="s">
        <v>109</v>
      </c>
      <c r="T30" s="148">
        <v>18</v>
      </c>
      <c r="U30" s="148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39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6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 outlineLevel="1">
      <c r="D31" s="39"/>
      <c r="F31" s="139"/>
      <c r="G31" s="39"/>
      <c r="H31" s="146" t="s">
        <v>214</v>
      </c>
      <c r="I31" s="39"/>
      <c r="J31" s="139" t="s">
        <v>52</v>
      </c>
      <c r="K31" s="39"/>
      <c r="M31" s="174" t="s">
        <v>9</v>
      </c>
      <c r="N31" s="175" t="s">
        <v>187</v>
      </c>
      <c r="O31" s="171" t="s">
        <v>188</v>
      </c>
      <c r="P31" s="141"/>
      <c r="Q31" s="141"/>
      <c r="R31" s="139" t="s">
        <v>53</v>
      </c>
      <c r="S31" s="164">
        <v>15</v>
      </c>
      <c r="T31" s="148">
        <v>20</v>
      </c>
      <c r="U31" s="148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39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6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idden="1" outlineLevel="1">
      <c r="D32" s="39"/>
      <c r="F32" s="139"/>
      <c r="G32" s="39"/>
      <c r="H32" s="139" t="s">
        <v>123</v>
      </c>
      <c r="I32" s="39"/>
      <c r="J32" s="139" t="s">
        <v>122</v>
      </c>
      <c r="K32" s="39"/>
      <c r="M32" s="170" t="s">
        <v>116</v>
      </c>
      <c r="N32" s="176">
        <v>1.8</v>
      </c>
      <c r="O32" s="171">
        <v>2.2999999999999998</v>
      </c>
      <c r="P32" s="141"/>
      <c r="Q32" s="141"/>
      <c r="R32" s="139" t="s">
        <v>54</v>
      </c>
      <c r="S32" s="177">
        <v>4</v>
      </c>
      <c r="T32" s="148">
        <v>6</v>
      </c>
      <c r="U32" s="148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39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6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idden="1" outlineLevel="1">
      <c r="C33" s="4"/>
      <c r="D33" s="39"/>
      <c r="F33" s="139"/>
      <c r="G33" s="39"/>
      <c r="H33" s="139" t="s">
        <v>279</v>
      </c>
      <c r="I33" s="39"/>
      <c r="J33" s="139" t="s">
        <v>186</v>
      </c>
      <c r="K33" s="39"/>
      <c r="M33" s="170" t="s">
        <v>118</v>
      </c>
      <c r="N33" s="176">
        <v>1</v>
      </c>
      <c r="O33" s="171">
        <v>1</v>
      </c>
      <c r="R33" s="139" t="s">
        <v>68</v>
      </c>
      <c r="S33" s="164" t="s">
        <v>109</v>
      </c>
      <c r="T33" s="148" t="s">
        <v>109</v>
      </c>
      <c r="U33" s="148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39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6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idden="1" outlineLevel="1">
      <c r="B34" s="178"/>
      <c r="C34" s="4"/>
      <c r="D34" s="39"/>
      <c r="F34" s="152"/>
      <c r="G34" s="39"/>
      <c r="H34" s="139" t="s">
        <v>52</v>
      </c>
      <c r="I34" s="39"/>
      <c r="J34" s="154" t="s">
        <v>113</v>
      </c>
      <c r="K34" s="39"/>
      <c r="M34" s="170" t="s">
        <v>117</v>
      </c>
      <c r="N34" s="176">
        <v>0.6</v>
      </c>
      <c r="O34" s="171">
        <v>0.6</v>
      </c>
      <c r="R34" s="139" t="s">
        <v>13</v>
      </c>
      <c r="S34" s="164" t="s">
        <v>109</v>
      </c>
      <c r="T34" s="148" t="s">
        <v>109</v>
      </c>
      <c r="U34" s="148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39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6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idden="1" outlineLevel="1">
      <c r="B35" s="154"/>
      <c r="C35" s="4"/>
      <c r="D35" s="39"/>
      <c r="F35" s="39"/>
      <c r="G35" s="39"/>
      <c r="H35" s="154" t="s">
        <v>65</v>
      </c>
      <c r="I35" s="39"/>
      <c r="J35" s="154" t="s">
        <v>206</v>
      </c>
      <c r="K35" s="39"/>
      <c r="M35" s="179" t="s">
        <v>50</v>
      </c>
      <c r="N35" s="176">
        <v>1</v>
      </c>
      <c r="O35" s="171">
        <v>1</v>
      </c>
      <c r="R35" s="139" t="s">
        <v>102</v>
      </c>
      <c r="S35" s="164" t="s">
        <v>109</v>
      </c>
      <c r="T35" s="148" t="s">
        <v>109</v>
      </c>
      <c r="U35" s="148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39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6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idden="1" outlineLevel="1">
      <c r="B36" s="154"/>
      <c r="C36" s="4"/>
      <c r="D36" s="39"/>
      <c r="F36" s="39"/>
      <c r="G36" s="39"/>
      <c r="H36" s="139" t="s">
        <v>64</v>
      </c>
      <c r="I36" s="39"/>
      <c r="J36" s="154" t="s">
        <v>63</v>
      </c>
      <c r="K36" s="39"/>
      <c r="M36" s="171"/>
      <c r="N36" s="171"/>
      <c r="O36" s="167"/>
      <c r="R36" s="139" t="s">
        <v>66</v>
      </c>
      <c r="S36" s="164" t="s">
        <v>109</v>
      </c>
      <c r="T36" s="148" t="s">
        <v>109</v>
      </c>
      <c r="U36" s="148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39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idden="1" outlineLevel="1">
      <c r="B37" s="154"/>
      <c r="C37" s="4"/>
      <c r="D37" s="39"/>
      <c r="F37" s="39"/>
      <c r="G37" s="39"/>
      <c r="H37" s="139" t="s">
        <v>145</v>
      </c>
      <c r="I37" s="39"/>
      <c r="J37" s="152" t="s">
        <v>50</v>
      </c>
      <c r="K37" s="39"/>
      <c r="M37" s="174" t="s">
        <v>48</v>
      </c>
      <c r="N37" s="175" t="s">
        <v>187</v>
      </c>
      <c r="O37" s="171" t="s">
        <v>188</v>
      </c>
      <c r="R37" s="152" t="s">
        <v>50</v>
      </c>
      <c r="S37" s="164">
        <v>0</v>
      </c>
      <c r="T37" s="148">
        <v>0</v>
      </c>
      <c r="U37" s="148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4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0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idden="1" outlineLevel="1">
      <c r="B38" s="154"/>
      <c r="C38" s="4"/>
      <c r="D38" s="39"/>
      <c r="F38" s="39"/>
      <c r="G38" s="39"/>
      <c r="H38" s="139" t="s">
        <v>103</v>
      </c>
      <c r="I38" s="39"/>
      <c r="J38" s="139"/>
      <c r="K38" s="39"/>
      <c r="M38" s="179" t="s">
        <v>108</v>
      </c>
      <c r="N38" s="171">
        <v>0.7</v>
      </c>
      <c r="O38" s="171">
        <v>0.8</v>
      </c>
      <c r="R38" s="139" t="s">
        <v>62</v>
      </c>
      <c r="S38" s="181">
        <v>8</v>
      </c>
      <c r="T38" s="132">
        <v>15</v>
      </c>
      <c r="U38" s="132">
        <v>15</v>
      </c>
      <c r="V38" s="46" t="s">
        <v>109</v>
      </c>
      <c r="W38" s="46" t="s">
        <v>109</v>
      </c>
      <c r="X38" s="46" t="s">
        <v>109</v>
      </c>
      <c r="Y38" s="46" t="s">
        <v>109</v>
      </c>
      <c r="Z38" s="46" t="s">
        <v>109</v>
      </c>
      <c r="AB38" s="139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2" t="s">
        <v>297</v>
      </c>
      <c r="AN38" s="182" t="s">
        <v>298</v>
      </c>
      <c r="AO38" s="139"/>
      <c r="AW38" s="180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idden="1" outlineLevel="1">
      <c r="B39" s="154"/>
      <c r="C39" s="4"/>
      <c r="D39" s="39"/>
      <c r="F39" s="39"/>
      <c r="G39" s="39"/>
      <c r="H39" s="139" t="s">
        <v>122</v>
      </c>
      <c r="I39" s="39"/>
      <c r="J39" s="139"/>
      <c r="K39" s="39"/>
      <c r="M39" s="170" t="s">
        <v>51</v>
      </c>
      <c r="N39" s="171">
        <v>1</v>
      </c>
      <c r="O39" s="171">
        <v>1</v>
      </c>
      <c r="R39" s="139" t="s">
        <v>59</v>
      </c>
      <c r="S39" s="140">
        <v>20</v>
      </c>
      <c r="T39" s="132">
        <v>25</v>
      </c>
      <c r="U39" s="132">
        <v>25</v>
      </c>
      <c r="V39" s="46" t="s">
        <v>109</v>
      </c>
      <c r="W39" s="46" t="s">
        <v>109</v>
      </c>
      <c r="X39" s="46" t="s">
        <v>109</v>
      </c>
      <c r="Y39" s="46" t="s">
        <v>109</v>
      </c>
      <c r="Z39" s="46">
        <v>60</v>
      </c>
      <c r="AB39" s="139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0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idden="1" outlineLevel="1">
      <c r="B40" s="154"/>
      <c r="C40" s="4"/>
      <c r="D40" s="39"/>
      <c r="F40" s="39"/>
      <c r="G40" s="39"/>
      <c r="H40" s="139" t="s">
        <v>31</v>
      </c>
      <c r="I40" s="39"/>
      <c r="J40" s="139"/>
      <c r="K40" s="39"/>
      <c r="M40" s="170" t="s">
        <v>260</v>
      </c>
      <c r="N40" s="171">
        <v>1.4</v>
      </c>
      <c r="O40" s="171" t="s">
        <v>109</v>
      </c>
      <c r="R40" s="139" t="s">
        <v>69</v>
      </c>
      <c r="S40" s="155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39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0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idden="1" outlineLevel="1">
      <c r="C41" s="4"/>
      <c r="D41" s="39"/>
      <c r="F41" s="39"/>
      <c r="G41" s="39"/>
      <c r="H41" s="154" t="s">
        <v>204</v>
      </c>
      <c r="I41" s="39"/>
      <c r="J41" s="139"/>
      <c r="K41" s="39"/>
      <c r="M41" s="170" t="s">
        <v>259</v>
      </c>
      <c r="N41" s="171">
        <v>1.1000000000000001</v>
      </c>
      <c r="O41" s="171" t="s">
        <v>109</v>
      </c>
      <c r="R41" s="139" t="s">
        <v>60</v>
      </c>
      <c r="S41" s="140">
        <v>27</v>
      </c>
      <c r="T41" s="46">
        <v>30</v>
      </c>
      <c r="U41" s="46">
        <v>30</v>
      </c>
      <c r="V41" s="46" t="s">
        <v>109</v>
      </c>
      <c r="W41" s="46" t="s">
        <v>109</v>
      </c>
      <c r="X41" s="46" t="s">
        <v>109</v>
      </c>
      <c r="Y41" s="46" t="s">
        <v>109</v>
      </c>
      <c r="Z41" s="46">
        <v>80</v>
      </c>
      <c r="AB41" s="139" t="s">
        <v>122</v>
      </c>
      <c r="AC41" s="134">
        <v>7</v>
      </c>
      <c r="AD41" s="134">
        <v>7</v>
      </c>
      <c r="AE41" s="134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0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idden="1" outlineLevel="1">
      <c r="C42" s="4"/>
      <c r="D42" s="39"/>
      <c r="F42" s="39"/>
      <c r="G42" s="39"/>
      <c r="H42" s="154" t="s">
        <v>205</v>
      </c>
      <c r="I42" s="39"/>
      <c r="J42" s="154"/>
      <c r="K42" s="39"/>
      <c r="M42" s="179" t="s">
        <v>257</v>
      </c>
      <c r="N42" s="171">
        <v>1.25</v>
      </c>
      <c r="O42" s="171" t="s">
        <v>109</v>
      </c>
      <c r="R42" s="139" t="s">
        <v>61</v>
      </c>
      <c r="S42" s="140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 t="s">
        <v>109</v>
      </c>
      <c r="Y42" s="46" t="s">
        <v>109</v>
      </c>
      <c r="Z42" s="46" t="s">
        <v>109</v>
      </c>
      <c r="AB42" s="139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0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idden="1" outlineLevel="1">
      <c r="C43" s="4"/>
      <c r="D43" s="39"/>
      <c r="F43" s="39"/>
      <c r="G43" s="39"/>
      <c r="H43" s="154" t="s">
        <v>113</v>
      </c>
      <c r="I43" s="39"/>
      <c r="J43" s="154"/>
      <c r="K43" s="39"/>
      <c r="M43" s="170" t="s">
        <v>258</v>
      </c>
      <c r="N43" s="171">
        <v>1.4</v>
      </c>
      <c r="O43" s="171" t="s">
        <v>109</v>
      </c>
      <c r="R43" s="139" t="s">
        <v>70</v>
      </c>
      <c r="S43" s="140">
        <v>10</v>
      </c>
      <c r="T43" s="46">
        <v>15</v>
      </c>
      <c r="U43" s="46">
        <v>15</v>
      </c>
      <c r="V43" s="46" t="s">
        <v>109</v>
      </c>
      <c r="W43" s="46" t="s">
        <v>109</v>
      </c>
      <c r="X43" s="46" t="s">
        <v>109</v>
      </c>
      <c r="Y43" s="46" t="s">
        <v>109</v>
      </c>
      <c r="Z43" s="46">
        <v>40</v>
      </c>
      <c r="AB43" s="154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0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idden="1" outlineLevel="1">
      <c r="C44" s="4"/>
      <c r="D44" s="39"/>
      <c r="F44" s="39"/>
      <c r="G44" s="39"/>
      <c r="H44" s="154" t="s">
        <v>206</v>
      </c>
      <c r="I44" s="39"/>
      <c r="J44" s="154"/>
      <c r="K44" s="39"/>
      <c r="R44" s="139" t="s">
        <v>172</v>
      </c>
      <c r="S44" s="140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4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0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idden="1" outlineLevel="1">
      <c r="C45" s="4"/>
      <c r="D45" s="39"/>
      <c r="F45" s="39"/>
      <c r="G45" s="39"/>
      <c r="H45" s="154" t="s">
        <v>63</v>
      </c>
      <c r="I45" s="39"/>
      <c r="J45" s="154"/>
      <c r="K45" s="39"/>
      <c r="R45" s="139" t="s">
        <v>124</v>
      </c>
      <c r="S45" s="164">
        <v>60</v>
      </c>
      <c r="T45" s="148" t="s">
        <v>109</v>
      </c>
      <c r="U45" s="148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4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0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idden="1" outlineLevel="1">
      <c r="C46" s="4"/>
      <c r="H46" s="152" t="s">
        <v>50</v>
      </c>
      <c r="J46" s="154"/>
      <c r="K46" s="39"/>
      <c r="R46" s="139" t="s">
        <v>125</v>
      </c>
      <c r="S46" s="164">
        <v>100</v>
      </c>
      <c r="T46" s="148" t="s">
        <v>109</v>
      </c>
      <c r="U46" s="148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4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idden="1" outlineLevel="1">
      <c r="C47" s="4"/>
      <c r="H47" s="152"/>
      <c r="J47" s="152"/>
      <c r="K47" s="39"/>
      <c r="R47" s="152" t="s">
        <v>50</v>
      </c>
      <c r="S47" s="164">
        <v>0</v>
      </c>
      <c r="T47" s="148">
        <v>0</v>
      </c>
      <c r="U47" s="148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4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idden="1" outlineLevel="1">
      <c r="C48" s="4"/>
      <c r="R48" s="4"/>
      <c r="S48" s="166"/>
      <c r="U48" s="4"/>
      <c r="AB48" s="152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idden="1" outlineLevel="1">
      <c r="C49" s="4"/>
      <c r="R49" s="4"/>
      <c r="S49" s="166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idden="1" outlineLevel="1">
      <c r="C50" s="4"/>
      <c r="R50" s="4"/>
      <c r="S50" s="166"/>
      <c r="U50" s="4"/>
      <c r="AB50" s="278" t="s">
        <v>179</v>
      </c>
      <c r="AC50" s="278"/>
      <c r="AD50" s="278"/>
      <c r="AE50" s="278"/>
      <c r="AF50" s="278"/>
      <c r="AG50" s="278"/>
      <c r="AH50" s="278"/>
      <c r="AI50" s="278"/>
      <c r="AJ50" s="278"/>
      <c r="AK50" s="278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idden="1" outlineLevel="1">
      <c r="C51" s="4"/>
      <c r="R51" s="4"/>
      <c r="S51" s="166"/>
      <c r="U51" s="4"/>
      <c r="AB51" s="183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idden="1" outlineLevel="1">
      <c r="C52" s="4"/>
      <c r="R52" s="4"/>
      <c r="S52" s="166"/>
      <c r="U52" s="4"/>
      <c r="AB52" s="183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idden="1" outlineLevel="1">
      <c r="C53" s="4"/>
      <c r="R53" s="4"/>
      <c r="S53" s="166"/>
      <c r="U53" s="4"/>
      <c r="AB53" s="183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idden="1" outlineLevel="1">
      <c r="C54" s="4"/>
      <c r="R54" s="4"/>
      <c r="S54" s="166"/>
      <c r="U54" s="4"/>
      <c r="AB54" s="183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idden="1" outlineLevel="1">
      <c r="C55" s="4"/>
      <c r="R55" s="4"/>
      <c r="S55" s="166"/>
      <c r="U55" s="4"/>
      <c r="AB55" s="152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3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272" t="s">
        <v>1</v>
      </c>
      <c r="B63" s="273"/>
      <c r="C63" s="273"/>
      <c r="D63" s="120" t="s">
        <v>20</v>
      </c>
      <c r="E63" s="276" t="s">
        <v>127</v>
      </c>
      <c r="F63" s="273"/>
      <c r="G63" s="244" t="s">
        <v>128</v>
      </c>
      <c r="H63" s="245"/>
      <c r="I63" s="246"/>
      <c r="J63" s="244" t="s">
        <v>141</v>
      </c>
      <c r="K63" s="245"/>
      <c r="L63" s="245"/>
      <c r="M63" s="245"/>
      <c r="N63" s="246"/>
      <c r="O63" s="244" t="s">
        <v>140</v>
      </c>
      <c r="P63" s="245"/>
      <c r="Q63" s="245"/>
      <c r="R63" s="246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1" customHeight="1" thickBot="1">
      <c r="A64" s="274"/>
      <c r="B64" s="275"/>
      <c r="C64" s="275"/>
      <c r="D64" s="82"/>
      <c r="E64" s="274"/>
      <c r="F64" s="275"/>
      <c r="G64" s="83" t="s">
        <v>50</v>
      </c>
      <c r="H64" s="84" t="s">
        <v>50</v>
      </c>
      <c r="I64" s="85" t="s">
        <v>50</v>
      </c>
      <c r="J64" s="247"/>
      <c r="K64" s="248"/>
      <c r="L64" s="248"/>
      <c r="M64" s="248"/>
      <c r="N64" s="249"/>
      <c r="O64" s="262"/>
      <c r="P64" s="263"/>
      <c r="Q64" s="263"/>
      <c r="R64" s="264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" customHeight="1" thickBot="1">
      <c r="A65" s="269" t="s">
        <v>84</v>
      </c>
      <c r="B65" s="270"/>
      <c r="C65" s="270"/>
      <c r="D65" s="270"/>
      <c r="E65" s="270"/>
      <c r="F65" s="270"/>
      <c r="G65" s="270"/>
      <c r="H65" s="270"/>
      <c r="I65" s="271"/>
      <c r="J65" s="184"/>
      <c r="K65" s="265" t="s">
        <v>82</v>
      </c>
      <c r="L65" s="266"/>
      <c r="M65" s="266"/>
      <c r="N65" s="267"/>
      <c r="O65" s="267"/>
      <c r="P65" s="267"/>
      <c r="Q65" s="267"/>
      <c r="R65" s="268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5"/>
      <c r="BK65" s="185"/>
      <c r="BL65" s="185"/>
      <c r="BM65" s="185"/>
      <c r="BN65" s="185"/>
      <c r="BO65" s="185"/>
      <c r="BP65" s="185"/>
      <c r="BQ65" s="185"/>
      <c r="BR65" s="185"/>
      <c r="BS65" s="185"/>
      <c r="BT65" s="185"/>
      <c r="BU65" s="186"/>
      <c r="BV65" s="186"/>
      <c r="BW65" s="185"/>
      <c r="BX65" s="185"/>
      <c r="BY65" s="185"/>
      <c r="BZ65" s="185"/>
      <c r="CA65" s="185"/>
      <c r="CB65" s="185"/>
      <c r="CC65" s="185"/>
      <c r="CD65" s="185"/>
      <c r="CE65" s="185"/>
      <c r="CF65" s="185"/>
      <c r="CG65" s="185"/>
      <c r="CH65" s="185"/>
      <c r="CI65" s="185"/>
      <c r="CJ65" s="185"/>
      <c r="CK65" s="185"/>
      <c r="CL65" s="185"/>
      <c r="CM65" s="185"/>
      <c r="CN65" s="185"/>
      <c r="CO65" s="185"/>
      <c r="CP65" s="185"/>
    </row>
    <row r="66" spans="1:94" s="27" customFormat="1" ht="24" thickBot="1">
      <c r="A66" s="187" t="s">
        <v>83</v>
      </c>
      <c r="B66" s="188" t="s">
        <v>6</v>
      </c>
      <c r="C66" s="303" t="s">
        <v>2</v>
      </c>
      <c r="D66" s="303"/>
      <c r="E66" s="303"/>
      <c r="F66" s="303"/>
      <c r="G66" s="189" t="s">
        <v>87</v>
      </c>
      <c r="H66" s="189" t="s">
        <v>0</v>
      </c>
      <c r="I66" s="190" t="s">
        <v>81</v>
      </c>
      <c r="J66" s="288"/>
      <c r="K66" s="291" t="s">
        <v>138</v>
      </c>
      <c r="L66" s="292"/>
      <c r="M66" s="292"/>
      <c r="N66" s="293"/>
      <c r="O66" s="293"/>
      <c r="P66" s="304">
        <f>IFERROR(INT(CM132+CM124/3),0)+1</f>
        <v>3</v>
      </c>
      <c r="Q66" s="305"/>
      <c r="R66" s="191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2"/>
      <c r="BK66" s="192"/>
      <c r="BL66" s="192"/>
      <c r="BM66" s="192"/>
      <c r="BN66" s="192"/>
      <c r="BO66" s="192"/>
      <c r="BP66" s="192"/>
      <c r="BQ66" s="192"/>
      <c r="BR66" s="192"/>
      <c r="BS66" s="192"/>
      <c r="BT66" s="192"/>
      <c r="BU66" s="193"/>
      <c r="BV66" s="193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  <c r="CG66" s="192"/>
      <c r="CH66" s="192"/>
      <c r="CI66" s="192"/>
      <c r="CJ66" s="192"/>
      <c r="CK66" s="192"/>
      <c r="CL66" s="192"/>
      <c r="CM66" s="192"/>
      <c r="CN66" s="192"/>
      <c r="CO66" s="192"/>
      <c r="CP66" s="192"/>
    </row>
    <row r="67" spans="1:94" ht="23" customHeight="1">
      <c r="A67" s="194" t="s">
        <v>200</v>
      </c>
      <c r="B67" s="195"/>
      <c r="C67" s="283" t="s">
        <v>33</v>
      </c>
      <c r="D67" s="283"/>
      <c r="E67" s="283"/>
      <c r="F67" s="283"/>
      <c r="G67" s="196" t="s">
        <v>105</v>
      </c>
      <c r="H67" s="197">
        <f>VLOOKUP(C67,'Standard AB - 17 Tugs, 8 SuGs'!AM3:AO11,2,FALSE)-IF(G67="yes",100,0)</f>
        <v>300</v>
      </c>
      <c r="I67" s="198">
        <f>VLOOKUP(C67,'Standard AB - 17 Tugs, 8 SuGs'!AM3:AQ138,4,FALSE)</f>
        <v>2</v>
      </c>
      <c r="J67" s="289"/>
      <c r="K67" s="294" t="s">
        <v>139</v>
      </c>
      <c r="L67" s="295"/>
      <c r="M67" s="295"/>
      <c r="N67" s="296"/>
      <c r="O67" s="296"/>
      <c r="P67" s="306">
        <f>IFERROR(INT(CM132/3+CM124),0)</f>
        <v>0</v>
      </c>
      <c r="Q67" s="307"/>
      <c r="R67" s="199" t="s">
        <v>86</v>
      </c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200"/>
      <c r="BV67" s="200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</row>
    <row r="68" spans="1:94" ht="21" customHeight="1">
      <c r="A68" s="201" t="s">
        <v>90</v>
      </c>
      <c r="B68" s="202"/>
      <c r="C68" s="283" t="s">
        <v>33</v>
      </c>
      <c r="D68" s="283"/>
      <c r="E68" s="283"/>
      <c r="F68" s="283"/>
      <c r="G68" s="86" t="s">
        <v>89</v>
      </c>
      <c r="H68" s="197">
        <f>VLOOKUP(C68,'Standard AB - 17 Tugs, 8 SuGs'!AM3:AO11,3,FALSE)-IF(G68="yes",$AP$15,0)</f>
        <v>200</v>
      </c>
      <c r="I68" s="198">
        <f>VLOOKUP(C68,'Standard AB - 17 Tugs, 8 SuGs'!AM3:AQ11,4,FALSE)</f>
        <v>2</v>
      </c>
      <c r="J68" s="289"/>
      <c r="K68" s="257" t="s">
        <v>161</v>
      </c>
      <c r="L68" s="258"/>
      <c r="M68" s="258"/>
      <c r="N68" s="259"/>
      <c r="O68" s="259"/>
      <c r="P68" s="260">
        <f>INT((SUMPRODUCT((A76:A99 &lt;&gt; "")/COUNTIF(A76:A99,A76:A99 &amp; ""))+1)/2)</f>
        <v>7</v>
      </c>
      <c r="Q68" s="260"/>
      <c r="R68" s="261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200"/>
      <c r="BV68" s="200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</row>
    <row r="69" spans="1:94" ht="21" customHeight="1">
      <c r="A69" s="201" t="s">
        <v>91</v>
      </c>
      <c r="B69" s="202"/>
      <c r="C69" s="283" t="s">
        <v>15</v>
      </c>
      <c r="D69" s="283"/>
      <c r="E69" s="283"/>
      <c r="F69" s="283"/>
      <c r="G69" s="86" t="s">
        <v>89</v>
      </c>
      <c r="H69" s="197">
        <f>IFERROR(VLOOKUP(C69,'Standard AB - 17 Tugs, 8 SuGs'!AM4:AO12,3,FALSE)-IF(G69="yes",$AP$15,0),0)</f>
        <v>0</v>
      </c>
      <c r="I69" s="198">
        <f>IFERROR(VLOOKUP(C69,'Standard AB - 17 Tugs, 8 SuGs'!AM3:AQ11,4,FALSE),0)</f>
        <v>0</v>
      </c>
      <c r="J69" s="289"/>
      <c r="K69" s="257"/>
      <c r="L69" s="258"/>
      <c r="M69" s="258"/>
      <c r="N69" s="259"/>
      <c r="O69" s="259"/>
      <c r="P69" s="260"/>
      <c r="Q69" s="260"/>
      <c r="R69" s="261"/>
      <c r="U69" s="4"/>
      <c r="AF69" s="12"/>
      <c r="AN69" s="27"/>
      <c r="AO69" s="27"/>
      <c r="AP69" s="27"/>
      <c r="AQ69" s="27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4"/>
      <c r="BV69" s="204"/>
      <c r="BW69" s="203"/>
      <c r="BX69" s="203"/>
      <c r="BY69" s="203"/>
      <c r="BZ69" s="203"/>
      <c r="CA69" s="203"/>
      <c r="CB69" s="203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</row>
    <row r="70" spans="1:94" ht="21" customHeight="1" thickBot="1">
      <c r="A70" s="205" t="s">
        <v>92</v>
      </c>
      <c r="B70" s="206"/>
      <c r="C70" s="283" t="s">
        <v>15</v>
      </c>
      <c r="D70" s="283"/>
      <c r="E70" s="283"/>
      <c r="F70" s="283"/>
      <c r="G70" s="207" t="s">
        <v>89</v>
      </c>
      <c r="H70" s="197">
        <f>IFERROR(VLOOKUP(C70,'Standard AB - 17 Tugs, 8 SuGs'!AM5:AO13,3,FALSE)-IF(G70="yes",$AP$15,0),0)</f>
        <v>0</v>
      </c>
      <c r="I70" s="208">
        <f>IFERROR(VLOOKUP(C70,'Standard AB - 17 Tugs, 8 SuGs'!AM3:AQ11,4,FALSE),0)</f>
        <v>0</v>
      </c>
      <c r="J70" s="289"/>
      <c r="K70" s="297" t="s">
        <v>100</v>
      </c>
      <c r="L70" s="298"/>
      <c r="M70" s="298"/>
      <c r="N70" s="299"/>
      <c r="O70" s="299"/>
      <c r="P70" s="279">
        <f>Q133</f>
        <v>626</v>
      </c>
      <c r="Q70" s="279"/>
      <c r="R70" s="280"/>
      <c r="U70" s="4"/>
      <c r="AD70" s="12"/>
      <c r="AE70" s="12"/>
      <c r="AF70" s="19"/>
      <c r="AN70" s="27"/>
      <c r="AO70" s="27"/>
      <c r="AP70" s="27"/>
      <c r="AQ70" s="27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4"/>
      <c r="BV70" s="204"/>
      <c r="BW70" s="203"/>
      <c r="BX70" s="203"/>
      <c r="BY70" s="203"/>
      <c r="BZ70" s="203"/>
      <c r="CA70" s="203"/>
      <c r="CB70" s="203"/>
      <c r="CC70" s="138"/>
      <c r="CD70" s="4"/>
      <c r="CE70" s="4"/>
      <c r="CF70" s="4"/>
      <c r="CG70" s="4"/>
      <c r="CH70" s="138"/>
      <c r="CI70" s="138"/>
      <c r="CJ70" s="138"/>
      <c r="CK70" s="138"/>
      <c r="CL70" s="138"/>
      <c r="CM70" s="138"/>
      <c r="CN70" s="138"/>
      <c r="CO70" s="138"/>
      <c r="CP70" s="138"/>
    </row>
    <row r="71" spans="1:94" ht="21" customHeight="1" thickBot="1">
      <c r="A71" s="285" t="s">
        <v>264</v>
      </c>
      <c r="B71" s="286"/>
      <c r="C71" s="286"/>
      <c r="D71" s="286"/>
      <c r="E71" s="286"/>
      <c r="F71" s="286"/>
      <c r="G71" s="286"/>
      <c r="H71" s="286"/>
      <c r="I71" s="287"/>
      <c r="J71" s="290"/>
      <c r="K71" s="300"/>
      <c r="L71" s="301"/>
      <c r="M71" s="301"/>
      <c r="N71" s="302"/>
      <c r="O71" s="302"/>
      <c r="P71" s="281"/>
      <c r="Q71" s="281"/>
      <c r="R71" s="282"/>
      <c r="U71" s="4"/>
      <c r="W71" s="27"/>
      <c r="AD71" s="19"/>
      <c r="AE71" s="19"/>
      <c r="AF71" s="12"/>
      <c r="BI71" s="308" t="s">
        <v>6</v>
      </c>
      <c r="BJ71" s="284" t="s">
        <v>80</v>
      </c>
      <c r="BK71" s="284"/>
      <c r="BL71" s="284"/>
      <c r="BM71" s="284"/>
      <c r="BN71" s="284"/>
      <c r="BO71" s="284"/>
      <c r="BP71" s="284"/>
      <c r="BQ71" s="284"/>
      <c r="BR71" s="284"/>
      <c r="BS71" s="284"/>
      <c r="BT71" s="284"/>
      <c r="BU71" s="284"/>
      <c r="BV71" s="284"/>
      <c r="BW71" s="284"/>
      <c r="BX71" s="284"/>
      <c r="BY71" s="209"/>
      <c r="BZ71" s="209"/>
      <c r="CA71" s="209"/>
      <c r="CB71" s="209"/>
      <c r="CC71" s="203"/>
      <c r="CD71" s="210"/>
      <c r="CE71" s="210"/>
      <c r="CF71" s="210"/>
      <c r="CG71" s="210"/>
      <c r="CH71" s="210"/>
      <c r="CI71" s="210"/>
      <c r="CJ71" s="211"/>
      <c r="CK71" s="211"/>
      <c r="CL71" s="210"/>
      <c r="CM71" s="210"/>
      <c r="CN71" s="210"/>
      <c r="CO71" s="203"/>
      <c r="CP71" s="203"/>
    </row>
    <row r="72" spans="1:94" s="27" customFormat="1" ht="18" customHeight="1">
      <c r="A72" s="318" t="s">
        <v>142</v>
      </c>
      <c r="B72" s="250" t="s">
        <v>6</v>
      </c>
      <c r="C72" s="250" t="s">
        <v>2</v>
      </c>
      <c r="D72" s="252" t="s">
        <v>46</v>
      </c>
      <c r="E72" s="324" t="s">
        <v>47</v>
      </c>
      <c r="F72" s="324" t="s">
        <v>207</v>
      </c>
      <c r="G72" s="324" t="s">
        <v>210</v>
      </c>
      <c r="H72" s="250" t="s">
        <v>14</v>
      </c>
      <c r="I72" s="317"/>
      <c r="J72" s="254" t="s">
        <v>49</v>
      </c>
      <c r="K72" s="255"/>
      <c r="L72" s="255"/>
      <c r="M72" s="255"/>
      <c r="N72" s="256"/>
      <c r="O72" s="252" t="s">
        <v>7</v>
      </c>
      <c r="P72" s="313" t="s">
        <v>18</v>
      </c>
      <c r="Q72" s="313" t="s">
        <v>19</v>
      </c>
      <c r="R72" s="315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08"/>
      <c r="BJ72" s="212"/>
      <c r="BK72" s="212"/>
      <c r="BL72" s="212"/>
      <c r="BM72" s="212"/>
      <c r="BN72" s="212"/>
      <c r="BO72" s="212"/>
      <c r="BP72" s="212"/>
      <c r="BQ72" s="212"/>
      <c r="BR72" s="212"/>
      <c r="BS72" s="212"/>
      <c r="BT72" s="212"/>
      <c r="BU72" s="213"/>
      <c r="BV72" s="213"/>
      <c r="BW72" s="212"/>
      <c r="BX72" s="212"/>
      <c r="BY72" s="212"/>
      <c r="BZ72" s="212"/>
      <c r="CA72" s="212"/>
      <c r="CB72" s="212"/>
      <c r="CC72" s="214"/>
      <c r="CD72" s="215" t="s">
        <v>93</v>
      </c>
      <c r="CE72" s="215"/>
      <c r="CF72" s="215"/>
      <c r="CG72" s="215"/>
      <c r="CH72" s="216"/>
      <c r="CI72" s="216"/>
      <c r="CJ72" s="217"/>
      <c r="CK72" s="217"/>
      <c r="CL72" s="216"/>
      <c r="CM72" s="216"/>
      <c r="CN72" s="216"/>
      <c r="CO72" s="214"/>
      <c r="CP72" s="214"/>
    </row>
    <row r="73" spans="1:94" s="27" customFormat="1" ht="20" customHeight="1" thickBot="1">
      <c r="A73" s="319"/>
      <c r="B73" s="251"/>
      <c r="C73" s="251"/>
      <c r="D73" s="253"/>
      <c r="E73" s="325"/>
      <c r="F73" s="325"/>
      <c r="G73" s="325"/>
      <c r="H73" s="218" t="s">
        <v>209</v>
      </c>
      <c r="I73" s="218" t="s">
        <v>208</v>
      </c>
      <c r="J73" s="219" t="s">
        <v>3</v>
      </c>
      <c r="K73" s="121" t="s">
        <v>12</v>
      </c>
      <c r="L73" s="121" t="s">
        <v>126</v>
      </c>
      <c r="M73" s="121" t="s">
        <v>212</v>
      </c>
      <c r="N73" s="121" t="s">
        <v>213</v>
      </c>
      <c r="O73" s="253"/>
      <c r="P73" s="314"/>
      <c r="Q73" s="314"/>
      <c r="R73" s="316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09"/>
      <c r="BJ73" s="212" t="s">
        <v>77</v>
      </c>
      <c r="BK73" s="212" t="s">
        <v>183</v>
      </c>
      <c r="BL73" s="212" t="s">
        <v>78</v>
      </c>
      <c r="BM73" s="212" t="s">
        <v>14</v>
      </c>
      <c r="BN73" s="212" t="s">
        <v>73</v>
      </c>
      <c r="BO73" s="212" t="s">
        <v>74</v>
      </c>
      <c r="BP73" s="212" t="s">
        <v>126</v>
      </c>
      <c r="BQ73" s="212" t="s">
        <v>212</v>
      </c>
      <c r="BR73" s="212" t="s">
        <v>213</v>
      </c>
      <c r="BS73" s="212" t="s">
        <v>115</v>
      </c>
      <c r="BT73" s="212"/>
      <c r="BU73" s="213" t="s">
        <v>71</v>
      </c>
      <c r="BV73" s="213" t="s">
        <v>107</v>
      </c>
      <c r="BW73" s="212" t="s">
        <v>72</v>
      </c>
      <c r="BX73" s="212" t="s">
        <v>114</v>
      </c>
      <c r="BY73" s="212"/>
      <c r="BZ73" s="212"/>
      <c r="CA73" s="212"/>
      <c r="CB73" s="212"/>
      <c r="CC73" s="192"/>
      <c r="CD73" s="362" t="s">
        <v>94</v>
      </c>
      <c r="CE73" s="362" t="s">
        <v>202</v>
      </c>
      <c r="CF73" s="362" t="s">
        <v>184</v>
      </c>
      <c r="CG73" s="362" t="s">
        <v>110</v>
      </c>
      <c r="CH73" s="362" t="s">
        <v>95</v>
      </c>
      <c r="CI73" s="362" t="s">
        <v>96</v>
      </c>
      <c r="CJ73" s="220"/>
      <c r="CK73" s="361" t="s">
        <v>199</v>
      </c>
      <c r="CL73" s="360" t="s">
        <v>97</v>
      </c>
      <c r="CM73" s="360" t="s">
        <v>111</v>
      </c>
      <c r="CN73" s="360" t="s">
        <v>211</v>
      </c>
      <c r="CO73" s="192"/>
      <c r="CP73" s="192"/>
    </row>
    <row r="74" spans="1:94" ht="17" customHeight="1">
      <c r="A74" s="221">
        <v>0</v>
      </c>
      <c r="B74" s="222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362"/>
      <c r="CE74" s="362"/>
      <c r="CF74" s="362"/>
      <c r="CG74" s="362"/>
      <c r="CH74" s="362"/>
      <c r="CI74" s="362"/>
      <c r="CJ74" s="34"/>
      <c r="CK74" s="361"/>
      <c r="CL74" s="360"/>
      <c r="CM74" s="360"/>
      <c r="CN74" s="360"/>
      <c r="CO74" s="33"/>
      <c r="CP74" s="33"/>
    </row>
    <row r="75" spans="1:94" ht="17" customHeight="1" thickBot="1">
      <c r="A75" s="320" t="s">
        <v>143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2" t="s">
        <v>171</v>
      </c>
      <c r="Q75" s="322"/>
      <c r="R75" s="323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67"/>
      <c r="CL75" s="4"/>
      <c r="CM75" s="4"/>
      <c r="CN75" s="4"/>
      <c r="CO75" s="33"/>
      <c r="CP75" s="33"/>
    </row>
    <row r="76" spans="1:94" ht="17" customHeight="1" thickBot="1">
      <c r="A76" s="118">
        <v>1</v>
      </c>
      <c r="B76" s="119" t="s">
        <v>304</v>
      </c>
      <c r="C76" s="86" t="s">
        <v>40</v>
      </c>
      <c r="D76" s="87" t="s">
        <v>36</v>
      </c>
      <c r="E76" s="87" t="s">
        <v>10</v>
      </c>
      <c r="F76" s="87" t="s">
        <v>51</v>
      </c>
      <c r="G76" s="87" t="s">
        <v>50</v>
      </c>
      <c r="H76" s="87" t="s">
        <v>50</v>
      </c>
      <c r="I76" s="87" t="s">
        <v>50</v>
      </c>
      <c r="J76" s="87" t="s">
        <v>79</v>
      </c>
      <c r="K76" s="87" t="s">
        <v>50</v>
      </c>
      <c r="L76" s="87" t="s">
        <v>50</v>
      </c>
      <c r="M76" s="87" t="s">
        <v>50</v>
      </c>
      <c r="N76" s="87" t="s">
        <v>50</v>
      </c>
      <c r="O76" s="87"/>
      <c r="P76" s="24">
        <f t="shared" ref="P76:P99" si="0">IFERROR(IF(A76&gt;0,BX76,0),0)</f>
        <v>73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 t="str">
        <f t="shared" ref="BI76:BI99" si="2">B76</f>
        <v>Gallic Warband 2018 90</v>
      </c>
      <c r="BJ76" s="29">
        <f>VLOOKUP(C76,'Standard AB - 17 Tugs, 8 SuGs'!$B$13:$C$21,2,FALSE)</f>
        <v>2</v>
      </c>
      <c r="BK76" s="29">
        <f>VLOOKUP(D76,'Standard AB - 17 Tugs, 8 SuGs'!$B$2:$K$11,'Standard AB - 17 Tugs, 8 SuGs'!BJ76,FALSE)</f>
        <v>60</v>
      </c>
      <c r="BL76" s="29">
        <f>VLOOKUP(G76,'Standard AB - 17 Tugs, 8 SuGs'!$R$3:$Z$21,BJ76,FALSE)</f>
        <v>0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13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73</v>
      </c>
      <c r="BT76" s="29"/>
      <c r="BU76" s="31">
        <f>VLOOKUP(E76,'Standard AB - 17 Tugs, 8 SuGs'!$M$2:$N$5,2,0)</f>
        <v>1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73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1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0</v>
      </c>
      <c r="CN76" s="29">
        <f t="shared" ref="CN76:CN99" si="13">(O76*CI76-CL76)*CK76</f>
        <v>0</v>
      </c>
      <c r="CO76" s="33"/>
      <c r="CP76" s="33"/>
    </row>
    <row r="77" spans="1:94" ht="17" customHeight="1" thickBot="1">
      <c r="A77" s="118">
        <v>2</v>
      </c>
      <c r="B77" s="119" t="s">
        <v>303</v>
      </c>
      <c r="C77" s="86" t="s">
        <v>40</v>
      </c>
      <c r="D77" s="87" t="s">
        <v>34</v>
      </c>
      <c r="E77" s="87" t="s">
        <v>10</v>
      </c>
      <c r="F77" s="87" t="s">
        <v>51</v>
      </c>
      <c r="G77" s="87" t="s">
        <v>68</v>
      </c>
      <c r="H77" s="87" t="s">
        <v>50</v>
      </c>
      <c r="I77" s="87" t="s">
        <v>50</v>
      </c>
      <c r="J77" s="87" t="s">
        <v>52</v>
      </c>
      <c r="K77" s="87" t="s">
        <v>145</v>
      </c>
      <c r="L77" s="87" t="s">
        <v>50</v>
      </c>
      <c r="M77" s="87" t="s">
        <v>50</v>
      </c>
      <c r="N77" s="87" t="s">
        <v>50</v>
      </c>
      <c r="O77" s="87"/>
      <c r="P77" s="24">
        <f t="shared" si="0"/>
        <v>111</v>
      </c>
      <c r="Q77" s="25">
        <f t="shared" ref="Q77:Q118" si="14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 t="str">
        <f t="shared" si="2"/>
        <v>Roman Legionary 2018 140</v>
      </c>
      <c r="BJ77" s="29">
        <f>VLOOKUP(C77,'Standard AB - 17 Tugs, 8 SuGs'!$B$13:$C$21,2,FALSE)</f>
        <v>2</v>
      </c>
      <c r="BK77" s="29">
        <f>VLOOKUP(D77,'Standard AB - 17 Tugs, 8 SuGs'!$B$2:$K$11,'Standard AB - 17 Tugs, 8 SuGs'!BJ77,FALSE)</f>
        <v>75</v>
      </c>
      <c r="BL77" s="29">
        <f>VLOOKUP(G77,'Standard AB - 17 Tugs, 8 SuGs'!$R$3:$Z$21,BJ77,FALSE)</f>
        <v>15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16</v>
      </c>
      <c r="BO77" s="29">
        <f>IFERROR(VLOOKUP(K77,'Standard AB - 17 Tugs, 8 SuGs'!$AB$3:$AK$55,$BJ77,FALSE),0)</f>
        <v>5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111</v>
      </c>
      <c r="BT77" s="29"/>
      <c r="BU77" s="31">
        <f>VLOOKUP(E77,'Standard AB - 17 Tugs, 8 SuGs'!$M$2:$N$5,2,0)</f>
        <v>1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111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1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0</v>
      </c>
      <c r="CN77" s="29">
        <f t="shared" si="13"/>
        <v>0</v>
      </c>
      <c r="CO77" s="33"/>
      <c r="CP77" s="33"/>
    </row>
    <row r="78" spans="1:94" ht="17" customHeight="1" thickBot="1">
      <c r="A78" s="118">
        <v>3</v>
      </c>
      <c r="B78" s="119" t="s">
        <v>308</v>
      </c>
      <c r="C78" s="86" t="s">
        <v>40</v>
      </c>
      <c r="D78" s="87" t="s">
        <v>119</v>
      </c>
      <c r="E78" s="87" t="s">
        <v>38</v>
      </c>
      <c r="F78" s="87" t="s">
        <v>51</v>
      </c>
      <c r="G78" s="87" t="s">
        <v>53</v>
      </c>
      <c r="H78" s="87" t="s">
        <v>50</v>
      </c>
      <c r="I78" s="87" t="s">
        <v>50</v>
      </c>
      <c r="J78" s="87" t="s">
        <v>31</v>
      </c>
      <c r="K78" s="87" t="s">
        <v>145</v>
      </c>
      <c r="L78" s="87" t="s">
        <v>65</v>
      </c>
      <c r="M78" s="87" t="s">
        <v>50</v>
      </c>
      <c r="N78" s="87" t="s">
        <v>50</v>
      </c>
      <c r="O78" s="87"/>
      <c r="P78" s="24">
        <f t="shared" si="0"/>
        <v>151</v>
      </c>
      <c r="Q78" s="25">
        <f t="shared" si="14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 t="str">
        <f t="shared" si="2"/>
        <v>Spartan Hoplite 2018 171</v>
      </c>
      <c r="BJ78" s="29">
        <f>VLOOKUP(C78,'Standard AB - 17 Tugs, 8 SuGs'!$B$13:$C$21,2,FALSE)</f>
        <v>2</v>
      </c>
      <c r="BK78" s="29">
        <f>VLOOKUP(D78,'Standard AB - 17 Tugs, 8 SuGs'!$B$2:$K$11,'Standard AB - 17 Tugs, 8 SuGs'!BJ78,FALSE)</f>
        <v>70</v>
      </c>
      <c r="BL78" s="29">
        <f>VLOOKUP(G78,'Standard AB - 17 Tugs, 8 SuGs'!$R$3:$Z$21,BJ78,FALSE)</f>
        <v>23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8</v>
      </c>
      <c r="BO78" s="29">
        <f>IFERROR(VLOOKUP(K78,'Standard AB - 17 Tugs, 8 SuGs'!$AB$3:$AK$55,$BJ78,FALSE),0)</f>
        <v>5</v>
      </c>
      <c r="BP78" s="29">
        <f>IFERROR(VLOOKUP(L78,'Standard AB - 17 Tugs, 8 SuGs'!$AB$3:$AK$55,$BJ78,FALSE),0)</f>
        <v>2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108</v>
      </c>
      <c r="BT78" s="29"/>
      <c r="BU78" s="31">
        <f>VLOOKUP(E78,'Standard AB - 17 Tugs, 8 SuGs'!$M$2:$N$5,2,0)</f>
        <v>1.4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151</v>
      </c>
      <c r="BY78" s="32"/>
      <c r="BZ78" s="32"/>
      <c r="CA78" s="32"/>
      <c r="CB78" s="32"/>
      <c r="CC78" s="33"/>
      <c r="CD78" s="29">
        <f t="shared" si="4"/>
        <v>0</v>
      </c>
      <c r="CE78" s="29">
        <f t="shared" si="5"/>
        <v>0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0</v>
      </c>
      <c r="CN78" s="29">
        <f t="shared" si="13"/>
        <v>0</v>
      </c>
      <c r="CO78" s="33"/>
      <c r="CP78" s="33"/>
    </row>
    <row r="79" spans="1:94" ht="17" customHeight="1" thickBot="1">
      <c r="A79" s="118">
        <v>4</v>
      </c>
      <c r="B79" s="119" t="s">
        <v>309</v>
      </c>
      <c r="C79" s="86" t="s">
        <v>40</v>
      </c>
      <c r="D79" s="87" t="s">
        <v>119</v>
      </c>
      <c r="E79" s="87" t="s">
        <v>10</v>
      </c>
      <c r="F79" s="87" t="s">
        <v>51</v>
      </c>
      <c r="G79" s="87" t="s">
        <v>13</v>
      </c>
      <c r="H79" s="87" t="s">
        <v>50</v>
      </c>
      <c r="I79" s="87" t="s">
        <v>50</v>
      </c>
      <c r="J79" s="87" t="s">
        <v>31</v>
      </c>
      <c r="K79" s="87" t="s">
        <v>50</v>
      </c>
      <c r="L79" s="87" t="s">
        <v>50</v>
      </c>
      <c r="M79" s="87" t="s">
        <v>50</v>
      </c>
      <c r="N79" s="87" t="s">
        <v>50</v>
      </c>
      <c r="O79" s="87"/>
      <c r="P79" s="24">
        <f t="shared" si="0"/>
        <v>103</v>
      </c>
      <c r="Q79" s="25">
        <f t="shared" si="14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 t="str">
        <f t="shared" si="2"/>
        <v>Macedonain Pikeman 2018 110</v>
      </c>
      <c r="BJ79" s="29">
        <f>VLOOKUP(C79,'Standard AB - 17 Tugs, 8 SuGs'!$B$13:$C$21,2,FALSE)</f>
        <v>2</v>
      </c>
      <c r="BK79" s="29">
        <f>VLOOKUP(D79,'Standard AB - 17 Tugs, 8 SuGs'!$B$2:$K$11,'Standard AB - 17 Tugs, 8 SuGs'!BJ79,FALSE)</f>
        <v>70</v>
      </c>
      <c r="BL79" s="29">
        <f>VLOOKUP(G79,'Standard AB - 17 Tugs, 8 SuGs'!$R$3:$Z$21,BJ79,FALSE)</f>
        <v>25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8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103</v>
      </c>
      <c r="BT79" s="29"/>
      <c r="BU79" s="31">
        <f>VLOOKUP(E79,'Standard AB - 17 Tugs, 8 SuGs'!$M$2:$N$5,2,0)</f>
        <v>1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103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0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7" customHeight="1" thickBot="1">
      <c r="A80" s="118">
        <v>5</v>
      </c>
      <c r="B80" s="119" t="s">
        <v>302</v>
      </c>
      <c r="C80" s="86" t="s">
        <v>174</v>
      </c>
      <c r="D80" s="87" t="s">
        <v>158</v>
      </c>
      <c r="E80" s="87" t="s">
        <v>38</v>
      </c>
      <c r="F80" s="87" t="s">
        <v>51</v>
      </c>
      <c r="G80" s="87" t="s">
        <v>50</v>
      </c>
      <c r="H80" s="87" t="s">
        <v>116</v>
      </c>
      <c r="I80" s="87" t="s">
        <v>59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/>
      <c r="P80" s="24">
        <f t="shared" si="0"/>
        <v>192</v>
      </c>
      <c r="Q80" s="25">
        <f t="shared" si="14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 t="str">
        <f t="shared" si="2"/>
        <v>Egyptian Chariot 2018 202</v>
      </c>
      <c r="BJ80" s="29">
        <f>VLOOKUP(C80,'Standard AB - 17 Tugs, 8 SuGs'!$B$13:$C$21,2,FALSE)</f>
        <v>5</v>
      </c>
      <c r="BK80" s="29">
        <f>VLOOKUP(D80,'Standard AB - 17 Tugs, 8 SuGs'!$B$2:$K$11,'Standard AB - 17 Tugs, 8 SuGs'!BJ80,FALSE)</f>
        <v>80</v>
      </c>
      <c r="BL80" s="29">
        <f>VLOOKUP(G80,'Standard AB - 17 Tugs, 8 SuGs'!$R$3:$Z$21,BJ80,FALSE)</f>
        <v>0</v>
      </c>
      <c r="BM80" s="30">
        <f>VLOOKUP(I80,'Standard AB - 17 Tugs, 8 SuGs'!$R$12:$Z$21,BJ80,FALSE)</f>
        <v>40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80</v>
      </c>
      <c r="BT80" s="29"/>
      <c r="BU80" s="31">
        <f>VLOOKUP(E80,'Standard AB - 17 Tugs, 8 SuGs'!$M$2:$N$5,2,0)</f>
        <v>1.4</v>
      </c>
      <c r="BV80" s="31">
        <f>VLOOKUP(F80,'Standard AB - 17 Tugs, 8 SuGs'!$M$14:$N$19,2,0)</f>
        <v>1</v>
      </c>
      <c r="BW80" s="29">
        <f>IF(BM80=0,1,VLOOKUP(H80,'Standard AB - 17 Tugs, 8 SuGs'!$M$8:$N$12,2,FALSE))</f>
        <v>2</v>
      </c>
      <c r="BX80" s="32">
        <f t="shared" si="15"/>
        <v>192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6"/>
        <v>1</v>
      </c>
      <c r="CG80" s="29">
        <f t="shared" si="7"/>
        <v>1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7" customHeight="1" thickBot="1">
      <c r="A81" s="118">
        <v>6</v>
      </c>
      <c r="B81" s="119" t="s">
        <v>310</v>
      </c>
      <c r="C81" s="86" t="s">
        <v>175</v>
      </c>
      <c r="D81" s="87" t="s">
        <v>120</v>
      </c>
      <c r="E81" s="87" t="s">
        <v>10</v>
      </c>
      <c r="F81" s="87" t="s">
        <v>51</v>
      </c>
      <c r="G81" s="87" t="s">
        <v>54</v>
      </c>
      <c r="H81" s="87" t="s">
        <v>118</v>
      </c>
      <c r="I81" s="87" t="s">
        <v>59</v>
      </c>
      <c r="J81" s="87" t="s">
        <v>79</v>
      </c>
      <c r="K81" s="87" t="s">
        <v>52</v>
      </c>
      <c r="L81" s="87" t="s">
        <v>50</v>
      </c>
      <c r="M81" s="87" t="s">
        <v>50</v>
      </c>
      <c r="N81" s="87" t="s">
        <v>50</v>
      </c>
      <c r="O81" s="87"/>
      <c r="P81" s="24">
        <f t="shared" si="0"/>
        <v>173</v>
      </c>
      <c r="Q81" s="25">
        <f t="shared" si="14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 t="str">
        <f t="shared" si="2"/>
        <v>Assyrian Chariot 2018 260</v>
      </c>
      <c r="BJ81" s="29">
        <f>VLOOKUP(C81,'Standard AB - 17 Tugs, 8 SuGs'!$B$13:$C$21,2,FALSE)</f>
        <v>6</v>
      </c>
      <c r="BK81" s="29">
        <f>VLOOKUP(D81,'Standard AB - 17 Tugs, 8 SuGs'!$B$2:$K$11,'Standard AB - 17 Tugs, 8 SuGs'!BJ81,FALSE)</f>
        <v>90</v>
      </c>
      <c r="BL81" s="29">
        <f>VLOOKUP(G81,'Standard AB - 17 Tugs, 8 SuGs'!$R$3:$Z$21,BJ81,FALSE)</f>
        <v>10</v>
      </c>
      <c r="BM81" s="30">
        <f>VLOOKUP(I81,'Standard AB - 17 Tugs, 8 SuGs'!$R$12:$Z$21,BJ81,FALSE)</f>
        <v>40</v>
      </c>
      <c r="BN81" s="29">
        <f>IFERROR(VLOOKUP(J81,'Standard AB - 17 Tugs, 8 SuGs'!$AB$3:$AK$55,$BJ81,FALSE),0)</f>
        <v>13</v>
      </c>
      <c r="BO81" s="29">
        <f>IFERROR(VLOOKUP(K81,'Standard AB - 17 Tugs, 8 SuGs'!$AB$3:$AK$55,$BJ81,FALSE),0)</f>
        <v>20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ref="BS81:BS87" si="16">SUM(BK81:BR81)-BM81</f>
        <v>133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173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7" customHeight="1" thickBot="1">
      <c r="A82" s="118">
        <v>7</v>
      </c>
      <c r="B82" s="119" t="s">
        <v>311</v>
      </c>
      <c r="C82" s="86" t="s">
        <v>45</v>
      </c>
      <c r="D82" s="87" t="s">
        <v>159</v>
      </c>
      <c r="E82" s="87" t="s">
        <v>38</v>
      </c>
      <c r="F82" s="87" t="s">
        <v>51</v>
      </c>
      <c r="G82" s="87" t="s">
        <v>50</v>
      </c>
      <c r="H82" s="87" t="s">
        <v>118</v>
      </c>
      <c r="I82" s="87" t="s">
        <v>59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/>
      <c r="P82" s="24">
        <f t="shared" si="0"/>
        <v>242</v>
      </c>
      <c r="Q82" s="25">
        <f t="shared" si="14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 t="str">
        <f t="shared" si="2"/>
        <v>Indian Chariot 2018 176</v>
      </c>
      <c r="BJ82" s="29">
        <f>VLOOKUP(C82,'Standard AB - 17 Tugs, 8 SuGs'!$B$13:$C$21,2,FALSE)</f>
        <v>9</v>
      </c>
      <c r="BK82" s="29">
        <f>VLOOKUP(D82,'Standard AB - 17 Tugs, 8 SuGs'!$B$2:$K$11,'Standard AB - 17 Tugs, 8 SuGs'!BJ82,FALSE)</f>
        <v>130</v>
      </c>
      <c r="BL82" s="29">
        <f>VLOOKUP(G82,'Standard AB - 17 Tugs, 8 SuGs'!$R$3:$Z$21,BJ82,FALSE)</f>
        <v>0</v>
      </c>
      <c r="BM82" s="30">
        <f>VLOOKUP(I82,'Standard AB - 17 Tugs, 8 SuGs'!$R$12:$Z$21,BJ82,FALSE)</f>
        <v>60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16"/>
        <v>130</v>
      </c>
      <c r="BT82" s="29"/>
      <c r="BU82" s="31">
        <f>VLOOKUP(E82,'Standard AB - 17 Tugs, 8 SuGs'!$M$2:$N$5,2,0)</f>
        <v>1.4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242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7" customHeight="1" thickBot="1">
      <c r="A83" s="118">
        <v>8</v>
      </c>
      <c r="B83" s="119" t="s">
        <v>315</v>
      </c>
      <c r="C83" s="86" t="s">
        <v>43</v>
      </c>
      <c r="D83" s="87" t="s">
        <v>120</v>
      </c>
      <c r="E83" s="87" t="s">
        <v>10</v>
      </c>
      <c r="F83" s="87" t="s">
        <v>263</v>
      </c>
      <c r="G83" s="87" t="s">
        <v>53</v>
      </c>
      <c r="H83" s="87" t="s">
        <v>50</v>
      </c>
      <c r="I83" s="87" t="s">
        <v>50</v>
      </c>
      <c r="J83" s="87" t="s">
        <v>31</v>
      </c>
      <c r="K83" s="87" t="s">
        <v>79</v>
      </c>
      <c r="L83" s="87" t="s">
        <v>50</v>
      </c>
      <c r="M83" s="87" t="s">
        <v>50</v>
      </c>
      <c r="N83" s="87" t="s">
        <v>50</v>
      </c>
      <c r="O83" s="87"/>
      <c r="P83" s="24">
        <f t="shared" si="0"/>
        <v>186</v>
      </c>
      <c r="Q83" s="25">
        <f t="shared" si="14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 t="str">
        <f t="shared" si="2"/>
        <v>Cataphracts 2018 182</v>
      </c>
      <c r="BJ83" s="29">
        <f>VLOOKUP(C83,'Standard AB - 17 Tugs, 8 SuGs'!$B$13:$C$21,2,FALSE)</f>
        <v>3</v>
      </c>
      <c r="BK83" s="29">
        <f>VLOOKUP(D83,'Standard AB - 17 Tugs, 8 SuGs'!$B$2:$K$11,'Standard AB - 17 Tugs, 8 SuGs'!BJ83,FALSE)</f>
        <v>75</v>
      </c>
      <c r="BL83" s="29">
        <f>VLOOKUP(G83,'Standard AB - 17 Tugs, 8 SuGs'!$R$3:$Z$21,BJ83,FALSE)</f>
        <v>35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10</v>
      </c>
      <c r="BO83" s="29">
        <f>IFERROR(VLOOKUP(K83,'Standard AB - 17 Tugs, 8 SuGs'!$AB$3:$AK$55,$BJ83,FALSE),0)</f>
        <v>13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16"/>
        <v>133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1.4</v>
      </c>
      <c r="BW83" s="29">
        <f>IF(BM83=0,1,VLOOKUP(H83,'Standard AB - 17 Tugs, 8 SuGs'!$M$8:$N$12,2,FALSE))</f>
        <v>1</v>
      </c>
      <c r="BX83" s="32">
        <f t="shared" si="15"/>
        <v>186</v>
      </c>
      <c r="BY83" s="32"/>
      <c r="BZ83" s="32"/>
      <c r="CA83" s="32"/>
      <c r="CB83" s="32"/>
      <c r="CC83" s="33"/>
      <c r="CD83" s="29">
        <f t="shared" si="4"/>
        <v>1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1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7" customHeight="1" thickBot="1">
      <c r="A84" s="118">
        <v>9</v>
      </c>
      <c r="B84" s="119" t="s">
        <v>300</v>
      </c>
      <c r="C84" s="86" t="s">
        <v>43</v>
      </c>
      <c r="D84" s="87" t="s">
        <v>159</v>
      </c>
      <c r="E84" s="87" t="s">
        <v>10</v>
      </c>
      <c r="F84" s="87" t="s">
        <v>51</v>
      </c>
      <c r="G84" s="87" t="s">
        <v>67</v>
      </c>
      <c r="H84" s="87" t="s">
        <v>50</v>
      </c>
      <c r="I84" s="87" t="s">
        <v>50</v>
      </c>
      <c r="J84" s="87" t="s">
        <v>52</v>
      </c>
      <c r="K84" s="87" t="s">
        <v>50</v>
      </c>
      <c r="L84" s="87" t="s">
        <v>50</v>
      </c>
      <c r="M84" s="87" t="s">
        <v>50</v>
      </c>
      <c r="N84" s="87" t="s">
        <v>50</v>
      </c>
      <c r="O84" s="87"/>
      <c r="P84" s="24">
        <f t="shared" si="0"/>
        <v>125</v>
      </c>
      <c r="Q84" s="25">
        <f t="shared" si="14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 t="str">
        <f t="shared" si="2"/>
        <v>Charging Lancer 2018 150</v>
      </c>
      <c r="BJ84" s="29">
        <f>VLOOKUP(C84,'Standard AB - 17 Tugs, 8 SuGs'!$B$13:$C$21,2,FALSE)</f>
        <v>3</v>
      </c>
      <c r="BK84" s="29">
        <f>VLOOKUP(D84,'Standard AB - 17 Tugs, 8 SuGs'!$B$2:$K$11,'Standard AB - 17 Tugs, 8 SuGs'!BJ84,FALSE)</f>
        <v>80</v>
      </c>
      <c r="BL84" s="29">
        <f>VLOOKUP(G84,'Standard AB - 17 Tugs, 8 SuGs'!$R$3:$Z$21,BJ84,FALSE)</f>
        <v>25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20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16"/>
        <v>125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125</v>
      </c>
      <c r="BY84" s="32"/>
      <c r="BZ84" s="32"/>
      <c r="CA84" s="32"/>
      <c r="CB84" s="32"/>
      <c r="CC84" s="33"/>
      <c r="CD84" s="29">
        <f t="shared" si="4"/>
        <v>1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1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7" customHeight="1" thickBot="1">
      <c r="A85" s="118">
        <v>10</v>
      </c>
      <c r="B85" s="119" t="s">
        <v>301</v>
      </c>
      <c r="C85" s="86" t="s">
        <v>43</v>
      </c>
      <c r="D85" s="87" t="s">
        <v>159</v>
      </c>
      <c r="E85" s="87" t="s">
        <v>10</v>
      </c>
      <c r="F85" s="87" t="s">
        <v>261</v>
      </c>
      <c r="G85" s="87" t="s">
        <v>67</v>
      </c>
      <c r="H85" s="87" t="s">
        <v>50</v>
      </c>
      <c r="I85" s="87" t="s">
        <v>50</v>
      </c>
      <c r="J85" s="87" t="s">
        <v>79</v>
      </c>
      <c r="K85" s="87" t="s">
        <v>52</v>
      </c>
      <c r="L85" s="87" t="s">
        <v>50</v>
      </c>
      <c r="M85" s="87" t="s">
        <v>50</v>
      </c>
      <c r="N85" s="87" t="s">
        <v>50</v>
      </c>
      <c r="O85" s="87"/>
      <c r="P85" s="24">
        <f t="shared" si="0"/>
        <v>172</v>
      </c>
      <c r="Q85" s="25">
        <f t="shared" si="14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 t="str">
        <f t="shared" si="2"/>
        <v>Medieval Knight 2018 238</v>
      </c>
      <c r="BJ85" s="29">
        <f>VLOOKUP(C85,'Standard AB - 17 Tugs, 8 SuGs'!$B$13:$C$21,2,FALSE)</f>
        <v>3</v>
      </c>
      <c r="BK85" s="29">
        <f>VLOOKUP(D85,'Standard AB - 17 Tugs, 8 SuGs'!$B$2:$K$11,'Standard AB - 17 Tugs, 8 SuGs'!BJ85,FALSE)</f>
        <v>80</v>
      </c>
      <c r="BL85" s="29">
        <f>VLOOKUP(G85,'Standard AB - 17 Tugs, 8 SuGs'!$R$3:$Z$21,BJ85,FALSE)</f>
        <v>25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13</v>
      </c>
      <c r="BO85" s="29">
        <f>IFERROR(VLOOKUP(K85,'Standard AB - 17 Tugs, 8 SuGs'!$AB$3:$AK$55,$BJ85,FALSE),0)</f>
        <v>20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16"/>
        <v>138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1.25</v>
      </c>
      <c r="BW85" s="29">
        <f>IF(BM85=0,1,VLOOKUP(H85,'Standard AB - 17 Tugs, 8 SuGs'!$M$8:$N$12,2,FALSE))</f>
        <v>1</v>
      </c>
      <c r="BX85" s="32">
        <f t="shared" si="15"/>
        <v>172</v>
      </c>
      <c r="BY85" s="32"/>
      <c r="BZ85" s="32"/>
      <c r="CA85" s="32"/>
      <c r="CB85" s="32"/>
      <c r="CC85" s="33"/>
      <c r="CD85" s="29">
        <f t="shared" si="4"/>
        <v>1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1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7" customHeight="1" thickBot="1">
      <c r="A86" s="118">
        <v>11</v>
      </c>
      <c r="B86" s="119" t="s">
        <v>306</v>
      </c>
      <c r="C86" s="86" t="s">
        <v>43</v>
      </c>
      <c r="D86" s="87" t="s">
        <v>35</v>
      </c>
      <c r="E86" s="87" t="s">
        <v>10</v>
      </c>
      <c r="F86" s="87" t="s">
        <v>51</v>
      </c>
      <c r="G86" s="87" t="s">
        <v>50</v>
      </c>
      <c r="H86" s="87" t="s">
        <v>118</v>
      </c>
      <c r="I86" s="87" t="s">
        <v>59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130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 t="str">
        <f t="shared" si="2"/>
        <v>Shooty cav 2018 140</v>
      </c>
      <c r="BJ86" s="29">
        <f>VLOOKUP(C86,'Standard AB - 17 Tugs, 8 SuGs'!$B$13:$C$21,2,FALSE)</f>
        <v>3</v>
      </c>
      <c r="BK86" s="29">
        <f>VLOOKUP(D86,'Standard AB - 17 Tugs, 8 SuGs'!$B$2:$K$11,'Standard AB - 17 Tugs, 8 SuGs'!BJ86,FALSE)</f>
        <v>90</v>
      </c>
      <c r="BL86" s="29">
        <f>VLOOKUP(G86,'Standard AB - 17 Tugs, 8 SuGs'!$R$3:$Z$21,BJ86,FALSE)</f>
        <v>0</v>
      </c>
      <c r="BM86" s="30">
        <f>VLOOKUP(I86,'Standard AB - 17 Tugs, 8 SuGs'!$R$12:$Z$21,BJ86,FALSE)</f>
        <v>40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16"/>
        <v>90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130</v>
      </c>
      <c r="BY86" s="32"/>
      <c r="BZ86" s="32"/>
      <c r="CA86" s="32"/>
      <c r="CB86" s="32"/>
      <c r="CC86" s="33"/>
      <c r="CD86" s="29">
        <f t="shared" si="4"/>
        <v>1</v>
      </c>
      <c r="CE86" s="29">
        <f t="shared" si="5"/>
        <v>1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1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7" customHeight="1" thickBot="1">
      <c r="A87" s="118">
        <v>12</v>
      </c>
      <c r="B87" s="119" t="s">
        <v>307</v>
      </c>
      <c r="C87" s="86" t="s">
        <v>43</v>
      </c>
      <c r="D87" s="87" t="s">
        <v>34</v>
      </c>
      <c r="E87" s="87" t="s">
        <v>38</v>
      </c>
      <c r="F87" s="87" t="s">
        <v>51</v>
      </c>
      <c r="G87" s="87" t="s">
        <v>50</v>
      </c>
      <c r="H87" s="87" t="s">
        <v>116</v>
      </c>
      <c r="I87" s="87" t="s">
        <v>59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220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 t="str">
        <f t="shared" si="2"/>
        <v>Mongol Cav 2018 230</v>
      </c>
      <c r="BJ87" s="29">
        <f>VLOOKUP(C87,'Standard AB - 17 Tugs, 8 SuGs'!$B$13:$C$21,2,FALSE)</f>
        <v>3</v>
      </c>
      <c r="BK87" s="29">
        <f>VLOOKUP(D87,'Standard AB - 17 Tugs, 8 SuGs'!$B$2:$K$11,'Standard AB - 17 Tugs, 8 SuGs'!BJ87,FALSE)</f>
        <v>100</v>
      </c>
      <c r="BL87" s="29">
        <f>VLOOKUP(G87,'Standard AB - 17 Tugs, 8 SuGs'!$R$3:$Z$21,BJ87,FALSE)</f>
        <v>0</v>
      </c>
      <c r="BM87" s="30">
        <f>VLOOKUP(I87,'Standard AB - 17 Tugs, 8 SuGs'!$R$12:$Z$21,BJ87,FALSE)</f>
        <v>40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16"/>
        <v>100</v>
      </c>
      <c r="BT87" s="29"/>
      <c r="BU87" s="31">
        <f>VLOOKUP(E87,'Standard AB - 17 Tugs, 8 SuGs'!$M$2:$N$5,2,0)</f>
        <v>1.4</v>
      </c>
      <c r="BV87" s="31">
        <f>VLOOKUP(F87,'Standard AB - 17 Tugs, 8 SuGs'!$M$14:$N$19,2,0)</f>
        <v>1</v>
      </c>
      <c r="BW87" s="29">
        <f>IF(BM87=0,1,VLOOKUP(H87,'Standard AB - 17 Tugs, 8 SuGs'!$M$8:$N$12,2,FALSE))</f>
        <v>2</v>
      </c>
      <c r="BX87" s="32">
        <f t="shared" si="15"/>
        <v>220</v>
      </c>
      <c r="BY87" s="32"/>
      <c r="BZ87" s="32"/>
      <c r="CA87" s="32"/>
      <c r="CB87" s="32"/>
      <c r="CC87" s="33"/>
      <c r="CD87" s="29">
        <f t="shared" si="4"/>
        <v>1</v>
      </c>
      <c r="CE87" s="29">
        <f t="shared" si="5"/>
        <v>1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1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7" customHeight="1" thickBot="1">
      <c r="A88" s="118">
        <v>13</v>
      </c>
      <c r="B88" s="119" t="s">
        <v>305</v>
      </c>
      <c r="C88" s="86" t="s">
        <v>43</v>
      </c>
      <c r="D88" s="87" t="s">
        <v>158</v>
      </c>
      <c r="E88" s="87" t="s">
        <v>10</v>
      </c>
      <c r="F88" s="87" t="s">
        <v>51</v>
      </c>
      <c r="G88" s="87" t="s">
        <v>67</v>
      </c>
      <c r="H88" s="87" t="s">
        <v>256</v>
      </c>
      <c r="I88" s="87" t="s">
        <v>59</v>
      </c>
      <c r="J88" s="87" t="s">
        <v>52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161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 t="str">
        <f t="shared" si="2"/>
        <v>Byzatine Lancer/Bow 2018 230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90</v>
      </c>
      <c r="BL88" s="29">
        <f>VLOOKUP(G88,'Standard AB - 17 Tugs, 8 SuGs'!$R$3:$Z$21,BJ88,FALSE)</f>
        <v>25</v>
      </c>
      <c r="BM88" s="30">
        <f>VLOOKUP(I88,'Standard AB - 17 Tugs, 8 SuGs'!$R$12:$Z$21,BJ88,FALSE)</f>
        <v>40</v>
      </c>
      <c r="BN88" s="29">
        <f>IFERROR(VLOOKUP(J88,'Standard AB - 17 Tugs, 8 SuGs'!$AB$3:$AK$55,$BJ88,FALSE),0)</f>
        <v>20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135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0.67</v>
      </c>
      <c r="BX88" s="32">
        <f t="shared" si="15"/>
        <v>161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1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7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7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7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7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7" customHeight="1" thickBo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7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7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7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7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7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7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7" customHeight="1" thickBot="1">
      <c r="A100" s="310" t="s">
        <v>198</v>
      </c>
      <c r="B100" s="311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311"/>
      <c r="Q100" s="311"/>
      <c r="R100" s="312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7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7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7" customHeight="1" thickBot="1">
      <c r="A102" s="310" t="s">
        <v>144</v>
      </c>
      <c r="B102" s="311"/>
      <c r="C102" s="311"/>
      <c r="D102" s="311"/>
      <c r="E102" s="311"/>
      <c r="F102" s="311"/>
      <c r="G102" s="311"/>
      <c r="H102" s="311"/>
      <c r="I102" s="311"/>
      <c r="J102" s="311"/>
      <c r="K102" s="311"/>
      <c r="L102" s="311"/>
      <c r="M102" s="311"/>
      <c r="N102" s="311"/>
      <c r="O102" s="311"/>
      <c r="P102" s="311"/>
      <c r="Q102" s="311"/>
      <c r="R102" s="312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17" customHeight="1" thickBot="1">
      <c r="A103" s="118">
        <v>1</v>
      </c>
      <c r="B103" s="119" t="s">
        <v>312</v>
      </c>
      <c r="C103" s="86" t="s">
        <v>43</v>
      </c>
      <c r="D103" s="88" t="s">
        <v>37</v>
      </c>
      <c r="E103" s="87" t="s">
        <v>10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/>
      <c r="P103" s="24">
        <f t="shared" ref="P103:P118" si="18">IFERROR(IF(A103&gt;0,BX103,0),0)</f>
        <v>57</v>
      </c>
      <c r="Q103" s="25">
        <f t="shared" si="14"/>
        <v>0</v>
      </c>
      <c r="R103" s="26">
        <f t="shared" ref="R103:R118" si="19">IF(O103=0,0,IF(D103="Skirmisher",INT(2*O103/3)/2+0.5,O103/2+0.5))</f>
        <v>0</v>
      </c>
      <c r="U103" s="4"/>
      <c r="BI103" s="28" t="str">
        <f t="shared" ref="BI103:BI118" si="20">B103</f>
        <v>LH 2018 62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40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25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7"/>
        <v>40</v>
      </c>
      <c r="BT103" s="29"/>
      <c r="BU103" s="31">
        <f>VLOOKUP(E103,'Standard AB - 17 Tugs, 8 SuGs'!$M$2:$N$5,2,0)</f>
        <v>1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57</v>
      </c>
      <c r="BY103" s="32"/>
      <c r="BZ103" s="32"/>
      <c r="CA103" s="32"/>
      <c r="CB103" s="32"/>
      <c r="CC103" s="33"/>
      <c r="CD103" s="29">
        <f t="shared" ref="CD103:CD118" si="21">IF(C103="CAVALRY",1,0)</f>
        <v>1</v>
      </c>
      <c r="CE103" s="29"/>
      <c r="CF103" s="34"/>
      <c r="CG103" s="29">
        <f t="shared" ref="CG103:CG118" si="22">IF(C103="light chariots",1,0)</f>
        <v>0</v>
      </c>
      <c r="CH103" s="29">
        <f t="shared" ref="CH103:CH118" si="23">IF(C103="CAMELRY",1,0)</f>
        <v>0</v>
      </c>
      <c r="CI103" s="29">
        <f t="shared" ref="CI103:CI118" si="24">IF(D103="Skirmisher",1,0)</f>
        <v>1</v>
      </c>
      <c r="CJ103" s="34"/>
      <c r="CK103" s="35">
        <f t="shared" ref="CK103:CK118" si="25">IF(A103&gt;0,1,0)</f>
        <v>1</v>
      </c>
      <c r="CL103" s="29">
        <f t="shared" ref="CL103:CL118" si="26">O103*CI103*(CD103+CG103+CH103)*CK103</f>
        <v>0</v>
      </c>
      <c r="CM103" s="29">
        <f t="shared" ref="CM103:CM118" si="27">(O103*(CD103+CG103+CH103)-CL103)*CK103</f>
        <v>0</v>
      </c>
      <c r="CN103" s="29">
        <f t="shared" ref="CN103:CN118" si="28">IF(C103="artillery",0,(O103*CI103-CL103)*CK103)</f>
        <v>0</v>
      </c>
      <c r="CO103" s="33"/>
      <c r="CP103" s="33"/>
    </row>
    <row r="104" spans="1:94" ht="17" customHeight="1" thickBot="1">
      <c r="A104" s="118">
        <v>2</v>
      </c>
      <c r="B104" s="119" t="s">
        <v>313</v>
      </c>
      <c r="C104" s="86" t="s">
        <v>43</v>
      </c>
      <c r="D104" s="88" t="s">
        <v>37</v>
      </c>
      <c r="E104" s="87" t="s">
        <v>10</v>
      </c>
      <c r="F104" s="87" t="s">
        <v>108</v>
      </c>
      <c r="G104" s="87" t="s">
        <v>50</v>
      </c>
      <c r="H104" s="87" t="s">
        <v>116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8"/>
        <v>94</v>
      </c>
      <c r="Q104" s="25">
        <f t="shared" si="14"/>
        <v>0</v>
      </c>
      <c r="R104" s="26">
        <f t="shared" si="19"/>
        <v>0</v>
      </c>
      <c r="U104" s="4"/>
      <c r="BI104" s="28" t="str">
        <f t="shared" si="20"/>
        <v>LH Skilled 2018 101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25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7"/>
        <v>40</v>
      </c>
      <c r="BT104" s="29"/>
      <c r="BU104" s="31">
        <f>VLOOKUP(E104,'Standard AB - 17 Tugs, 8 SuGs'!$M$2:$N$5,2,0)</f>
        <v>1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2.5</v>
      </c>
      <c r="BX104" s="32">
        <f t="shared" ref="BX104:BX118" si="29">INT(BS104*BU104*BV104+BM104*BW104)</f>
        <v>94</v>
      </c>
      <c r="BY104" s="32"/>
      <c r="BZ104" s="32"/>
      <c r="CA104" s="32"/>
      <c r="CB104" s="32"/>
      <c r="CC104" s="33"/>
      <c r="CD104" s="29">
        <f t="shared" si="21"/>
        <v>1</v>
      </c>
      <c r="CE104" s="29"/>
      <c r="CF104" s="34"/>
      <c r="CG104" s="29">
        <f t="shared" si="22"/>
        <v>0</v>
      </c>
      <c r="CH104" s="29">
        <f t="shared" si="23"/>
        <v>0</v>
      </c>
      <c r="CI104" s="29">
        <f t="shared" si="24"/>
        <v>1</v>
      </c>
      <c r="CJ104" s="34"/>
      <c r="CK104" s="35">
        <f t="shared" si="25"/>
        <v>1</v>
      </c>
      <c r="CL104" s="29">
        <f t="shared" si="26"/>
        <v>0</v>
      </c>
      <c r="CM104" s="29">
        <f t="shared" si="27"/>
        <v>0</v>
      </c>
      <c r="CN104" s="29">
        <f t="shared" si="28"/>
        <v>0</v>
      </c>
      <c r="CO104" s="33"/>
      <c r="CP104" s="33"/>
    </row>
    <row r="105" spans="1:94" ht="17" customHeight="1" thickBot="1">
      <c r="A105" s="118">
        <v>3</v>
      </c>
      <c r="B105" s="119" t="s">
        <v>314</v>
      </c>
      <c r="C105" s="86" t="s">
        <v>43</v>
      </c>
      <c r="D105" s="88" t="s">
        <v>37</v>
      </c>
      <c r="E105" s="87" t="s">
        <v>10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57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8"/>
        <v>81</v>
      </c>
      <c r="Q105" s="25">
        <f t="shared" si="14"/>
        <v>0</v>
      </c>
      <c r="R105" s="26">
        <f t="shared" si="19"/>
        <v>0</v>
      </c>
      <c r="U105" s="4"/>
      <c r="BI105" s="28" t="str">
        <f t="shared" si="20"/>
        <v>LH Cantabrian 2018 86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25</v>
      </c>
      <c r="BN105" s="29">
        <f>IFERROR(VLOOKUP(J105,'Standard AB - 17 Tugs, 8 SuGs'!$AB$28:$AK$48,$BJ105,FALSE),0)</f>
        <v>30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7"/>
        <v>70</v>
      </c>
      <c r="BT105" s="29"/>
      <c r="BU105" s="31">
        <f>VLOOKUP(E105,'Standard AB - 17 Tugs, 8 SuGs'!$M$2:$N$5,2,0)</f>
        <v>1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9"/>
        <v>81</v>
      </c>
      <c r="BY105" s="32"/>
      <c r="BZ105" s="32"/>
      <c r="CA105" s="32"/>
      <c r="CB105" s="32"/>
      <c r="CC105" s="33"/>
      <c r="CD105" s="29">
        <f t="shared" si="21"/>
        <v>1</v>
      </c>
      <c r="CE105" s="29"/>
      <c r="CF105" s="34"/>
      <c r="CG105" s="29">
        <f t="shared" si="22"/>
        <v>0</v>
      </c>
      <c r="CH105" s="29">
        <f t="shared" si="23"/>
        <v>0</v>
      </c>
      <c r="CI105" s="29">
        <f t="shared" si="24"/>
        <v>1</v>
      </c>
      <c r="CJ105" s="34"/>
      <c r="CK105" s="35">
        <f t="shared" si="25"/>
        <v>1</v>
      </c>
      <c r="CL105" s="29">
        <f t="shared" si="26"/>
        <v>0</v>
      </c>
      <c r="CM105" s="29">
        <f t="shared" si="27"/>
        <v>0</v>
      </c>
      <c r="CN105" s="29">
        <f t="shared" si="28"/>
        <v>0</v>
      </c>
      <c r="CO105" s="33"/>
      <c r="CP105" s="33"/>
    </row>
    <row r="106" spans="1:94" ht="17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8"/>
        <v>0</v>
      </c>
      <c r="Q106" s="25">
        <f t="shared" si="14"/>
        <v>0</v>
      </c>
      <c r="R106" s="26">
        <f t="shared" si="19"/>
        <v>0</v>
      </c>
      <c r="U106" s="4"/>
      <c r="BI106" s="28">
        <f t="shared" si="20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ref="BS106:BS111" si="30">SUM(BK106:BR106)-BM106</f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9"/>
        <v>44</v>
      </c>
      <c r="BY106" s="32"/>
      <c r="BZ106" s="32"/>
      <c r="CA106" s="32"/>
      <c r="CB106" s="32"/>
      <c r="CC106" s="33"/>
      <c r="CD106" s="29">
        <f t="shared" si="21"/>
        <v>0</v>
      </c>
      <c r="CE106" s="29"/>
      <c r="CF106" s="34"/>
      <c r="CG106" s="29">
        <f t="shared" si="22"/>
        <v>0</v>
      </c>
      <c r="CH106" s="29">
        <f t="shared" si="23"/>
        <v>0</v>
      </c>
      <c r="CI106" s="29">
        <f t="shared" si="24"/>
        <v>1</v>
      </c>
      <c r="CJ106" s="34"/>
      <c r="CK106" s="35">
        <f t="shared" si="25"/>
        <v>0</v>
      </c>
      <c r="CL106" s="29">
        <f t="shared" si="26"/>
        <v>0</v>
      </c>
      <c r="CM106" s="29">
        <f t="shared" si="27"/>
        <v>0</v>
      </c>
      <c r="CN106" s="29">
        <f t="shared" si="28"/>
        <v>0</v>
      </c>
      <c r="CO106" s="33"/>
      <c r="CP106" s="33"/>
    </row>
    <row r="107" spans="1:94" ht="17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8"/>
        <v>0</v>
      </c>
      <c r="Q107" s="25">
        <f t="shared" si="14"/>
        <v>0</v>
      </c>
      <c r="R107" s="26">
        <f t="shared" si="19"/>
        <v>0</v>
      </c>
      <c r="U107" s="4"/>
      <c r="BI107" s="28">
        <f t="shared" si="20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30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9"/>
        <v>44</v>
      </c>
      <c r="BY107" s="32"/>
      <c r="BZ107" s="32"/>
      <c r="CA107" s="32"/>
      <c r="CB107" s="32"/>
      <c r="CC107" s="33"/>
      <c r="CD107" s="29">
        <f t="shared" si="21"/>
        <v>0</v>
      </c>
      <c r="CE107" s="29"/>
      <c r="CF107" s="34"/>
      <c r="CG107" s="29">
        <f t="shared" si="22"/>
        <v>0</v>
      </c>
      <c r="CH107" s="29">
        <f t="shared" si="23"/>
        <v>0</v>
      </c>
      <c r="CI107" s="29">
        <f t="shared" si="24"/>
        <v>1</v>
      </c>
      <c r="CJ107" s="34"/>
      <c r="CK107" s="35">
        <f t="shared" si="25"/>
        <v>0</v>
      </c>
      <c r="CL107" s="29">
        <f t="shared" si="26"/>
        <v>0</v>
      </c>
      <c r="CM107" s="29">
        <f t="shared" si="27"/>
        <v>0</v>
      </c>
      <c r="CN107" s="29">
        <f t="shared" si="28"/>
        <v>0</v>
      </c>
      <c r="CO107" s="33"/>
      <c r="CP107" s="33"/>
    </row>
    <row r="108" spans="1:94" ht="17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8"/>
        <v>0</v>
      </c>
      <c r="Q108" s="25">
        <f t="shared" si="14"/>
        <v>0</v>
      </c>
      <c r="R108" s="26">
        <f t="shared" si="19"/>
        <v>0</v>
      </c>
      <c r="U108" s="4"/>
      <c r="BI108" s="28">
        <f t="shared" si="20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30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9"/>
        <v>44</v>
      </c>
      <c r="BY108" s="32"/>
      <c r="BZ108" s="32"/>
      <c r="CA108" s="32"/>
      <c r="CB108" s="32"/>
      <c r="CC108" s="33"/>
      <c r="CD108" s="29">
        <f t="shared" si="21"/>
        <v>0</v>
      </c>
      <c r="CE108" s="29"/>
      <c r="CF108" s="34"/>
      <c r="CG108" s="29">
        <f t="shared" si="22"/>
        <v>0</v>
      </c>
      <c r="CH108" s="29">
        <f t="shared" si="23"/>
        <v>0</v>
      </c>
      <c r="CI108" s="29">
        <f t="shared" si="24"/>
        <v>1</v>
      </c>
      <c r="CJ108" s="34"/>
      <c r="CK108" s="35">
        <f t="shared" si="25"/>
        <v>0</v>
      </c>
      <c r="CL108" s="29">
        <f t="shared" si="26"/>
        <v>0</v>
      </c>
      <c r="CM108" s="29">
        <f t="shared" si="27"/>
        <v>0</v>
      </c>
      <c r="CN108" s="29">
        <f t="shared" si="28"/>
        <v>0</v>
      </c>
      <c r="CO108" s="33"/>
      <c r="CP108" s="33"/>
    </row>
    <row r="109" spans="1:94" ht="17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8"/>
        <v>0</v>
      </c>
      <c r="Q109" s="25">
        <f t="shared" si="14"/>
        <v>0</v>
      </c>
      <c r="R109" s="26">
        <f t="shared" si="19"/>
        <v>0</v>
      </c>
      <c r="U109" s="4"/>
      <c r="BI109" s="28">
        <f t="shared" si="20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30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9"/>
        <v>44</v>
      </c>
      <c r="BY109" s="32"/>
      <c r="BZ109" s="32"/>
      <c r="CA109" s="32"/>
      <c r="CB109" s="32"/>
      <c r="CC109" s="33"/>
      <c r="CD109" s="29">
        <f t="shared" si="21"/>
        <v>0</v>
      </c>
      <c r="CE109" s="29"/>
      <c r="CF109" s="34"/>
      <c r="CG109" s="29">
        <f t="shared" si="22"/>
        <v>0</v>
      </c>
      <c r="CH109" s="29">
        <f t="shared" si="23"/>
        <v>0</v>
      </c>
      <c r="CI109" s="29">
        <f t="shared" si="24"/>
        <v>1</v>
      </c>
      <c r="CJ109" s="34"/>
      <c r="CK109" s="35">
        <f t="shared" si="25"/>
        <v>0</v>
      </c>
      <c r="CL109" s="29">
        <f t="shared" si="26"/>
        <v>0</v>
      </c>
      <c r="CM109" s="29">
        <f t="shared" si="27"/>
        <v>0</v>
      </c>
      <c r="CN109" s="29">
        <f t="shared" si="28"/>
        <v>0</v>
      </c>
      <c r="CO109" s="33"/>
      <c r="CP109" s="33"/>
    </row>
    <row r="110" spans="1:94" ht="17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8"/>
        <v>0</v>
      </c>
      <c r="Q110" s="25">
        <f t="shared" si="14"/>
        <v>0</v>
      </c>
      <c r="R110" s="26">
        <f t="shared" si="19"/>
        <v>0</v>
      </c>
      <c r="U110" s="4"/>
      <c r="BI110" s="28">
        <f t="shared" si="20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25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30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9"/>
        <v>57</v>
      </c>
      <c r="BY110" s="32"/>
      <c r="BZ110" s="32"/>
      <c r="CA110" s="32"/>
      <c r="CB110" s="32"/>
      <c r="CC110" s="33"/>
      <c r="CD110" s="29">
        <f t="shared" si="21"/>
        <v>1</v>
      </c>
      <c r="CE110" s="29"/>
      <c r="CF110" s="34"/>
      <c r="CG110" s="29">
        <f t="shared" si="22"/>
        <v>0</v>
      </c>
      <c r="CH110" s="29">
        <f t="shared" si="23"/>
        <v>0</v>
      </c>
      <c r="CI110" s="29">
        <f t="shared" si="24"/>
        <v>1</v>
      </c>
      <c r="CJ110" s="34"/>
      <c r="CK110" s="35">
        <f t="shared" si="25"/>
        <v>0</v>
      </c>
      <c r="CL110" s="29">
        <f t="shared" si="26"/>
        <v>0</v>
      </c>
      <c r="CM110" s="29">
        <f t="shared" si="27"/>
        <v>0</v>
      </c>
      <c r="CN110" s="29">
        <f t="shared" si="28"/>
        <v>0</v>
      </c>
      <c r="CO110" s="33"/>
      <c r="CP110" s="33"/>
    </row>
    <row r="111" spans="1:94" ht="17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8"/>
        <v>0</v>
      </c>
      <c r="Q111" s="25">
        <f t="shared" si="14"/>
        <v>0</v>
      </c>
      <c r="R111" s="26">
        <f t="shared" si="19"/>
        <v>0</v>
      </c>
      <c r="U111" s="4"/>
      <c r="BI111" s="28">
        <f t="shared" si="20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25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30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9"/>
        <v>57</v>
      </c>
      <c r="BY111" s="32"/>
      <c r="BZ111" s="32"/>
      <c r="CA111" s="32"/>
      <c r="CB111" s="32"/>
      <c r="CC111" s="33"/>
      <c r="CD111" s="29">
        <f t="shared" si="21"/>
        <v>1</v>
      </c>
      <c r="CE111" s="29"/>
      <c r="CF111" s="34"/>
      <c r="CG111" s="29">
        <f t="shared" si="22"/>
        <v>0</v>
      </c>
      <c r="CH111" s="29">
        <f t="shared" si="23"/>
        <v>0</v>
      </c>
      <c r="CI111" s="29">
        <f t="shared" si="24"/>
        <v>1</v>
      </c>
      <c r="CJ111" s="34"/>
      <c r="CK111" s="35">
        <f t="shared" si="25"/>
        <v>0</v>
      </c>
      <c r="CL111" s="29">
        <f t="shared" si="26"/>
        <v>0</v>
      </c>
      <c r="CM111" s="29">
        <f t="shared" si="27"/>
        <v>0</v>
      </c>
      <c r="CN111" s="29">
        <f t="shared" si="28"/>
        <v>0</v>
      </c>
      <c r="CO111" s="33"/>
      <c r="CP111" s="33"/>
    </row>
    <row r="112" spans="1:94" ht="17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8"/>
        <v>0</v>
      </c>
      <c r="Q112" s="25">
        <f t="shared" si="14"/>
        <v>0</v>
      </c>
      <c r="R112" s="26">
        <f t="shared" si="19"/>
        <v>0</v>
      </c>
      <c r="U112" s="4"/>
      <c r="BI112" s="28">
        <f t="shared" si="20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25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7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9"/>
        <v>57</v>
      </c>
      <c r="BY112" s="32"/>
      <c r="BZ112" s="32"/>
      <c r="CA112" s="32"/>
      <c r="CB112" s="32"/>
      <c r="CC112" s="33"/>
      <c r="CD112" s="29">
        <f t="shared" si="21"/>
        <v>1</v>
      </c>
      <c r="CE112" s="29"/>
      <c r="CF112" s="34"/>
      <c r="CG112" s="29">
        <f t="shared" si="22"/>
        <v>0</v>
      </c>
      <c r="CH112" s="29">
        <f t="shared" si="23"/>
        <v>0</v>
      </c>
      <c r="CI112" s="29">
        <f t="shared" si="24"/>
        <v>1</v>
      </c>
      <c r="CJ112" s="34"/>
      <c r="CK112" s="35">
        <f t="shared" si="25"/>
        <v>0</v>
      </c>
      <c r="CL112" s="29">
        <f t="shared" si="26"/>
        <v>0</v>
      </c>
      <c r="CM112" s="29">
        <f t="shared" si="27"/>
        <v>0</v>
      </c>
      <c r="CN112" s="29">
        <f t="shared" si="28"/>
        <v>0</v>
      </c>
      <c r="CO112" s="33"/>
      <c r="CP112" s="33"/>
    </row>
    <row r="113" spans="1:94" ht="17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8"/>
        <v>0</v>
      </c>
      <c r="Q113" s="25">
        <f t="shared" si="14"/>
        <v>0</v>
      </c>
      <c r="R113" s="26">
        <f t="shared" si="19"/>
        <v>0</v>
      </c>
      <c r="U113" s="4"/>
      <c r="BI113" s="28">
        <f t="shared" si="20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25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7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9"/>
        <v>57</v>
      </c>
      <c r="BY113" s="32"/>
      <c r="BZ113" s="32"/>
      <c r="CA113" s="32"/>
      <c r="CB113" s="32"/>
      <c r="CC113" s="33"/>
      <c r="CD113" s="29">
        <f t="shared" si="21"/>
        <v>1</v>
      </c>
      <c r="CE113" s="29"/>
      <c r="CF113" s="34"/>
      <c r="CG113" s="29">
        <f t="shared" si="22"/>
        <v>0</v>
      </c>
      <c r="CH113" s="29">
        <f t="shared" si="23"/>
        <v>0</v>
      </c>
      <c r="CI113" s="29">
        <f t="shared" si="24"/>
        <v>1</v>
      </c>
      <c r="CJ113" s="34"/>
      <c r="CK113" s="35">
        <f t="shared" si="25"/>
        <v>0</v>
      </c>
      <c r="CL113" s="29">
        <f t="shared" si="26"/>
        <v>0</v>
      </c>
      <c r="CM113" s="29">
        <f t="shared" si="27"/>
        <v>0</v>
      </c>
      <c r="CN113" s="29">
        <f t="shared" si="28"/>
        <v>0</v>
      </c>
      <c r="CO113" s="33"/>
      <c r="CP113" s="33"/>
    </row>
    <row r="114" spans="1:94" ht="17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8"/>
        <v>0</v>
      </c>
      <c r="Q114" s="25">
        <f t="shared" si="14"/>
        <v>0</v>
      </c>
      <c r="R114" s="26">
        <f t="shared" si="19"/>
        <v>0</v>
      </c>
      <c r="U114" s="4"/>
      <c r="BI114" s="28">
        <f t="shared" si="20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25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7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9"/>
        <v>57</v>
      </c>
      <c r="BY114" s="32"/>
      <c r="BZ114" s="32"/>
      <c r="CA114" s="32"/>
      <c r="CB114" s="32"/>
      <c r="CC114" s="33"/>
      <c r="CD114" s="29">
        <f t="shared" si="21"/>
        <v>1</v>
      </c>
      <c r="CE114" s="29"/>
      <c r="CF114" s="34"/>
      <c r="CG114" s="29">
        <f t="shared" si="22"/>
        <v>0</v>
      </c>
      <c r="CH114" s="29">
        <f t="shared" si="23"/>
        <v>0</v>
      </c>
      <c r="CI114" s="29">
        <f t="shared" si="24"/>
        <v>1</v>
      </c>
      <c r="CJ114" s="34"/>
      <c r="CK114" s="35">
        <f t="shared" si="25"/>
        <v>0</v>
      </c>
      <c r="CL114" s="29">
        <f t="shared" si="26"/>
        <v>0</v>
      </c>
      <c r="CM114" s="29">
        <f t="shared" si="27"/>
        <v>0</v>
      </c>
      <c r="CN114" s="29">
        <f t="shared" si="28"/>
        <v>0</v>
      </c>
      <c r="CO114" s="33"/>
      <c r="CP114" s="33"/>
    </row>
    <row r="115" spans="1:94" ht="17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8"/>
        <v>0</v>
      </c>
      <c r="Q115" s="25">
        <f t="shared" si="14"/>
        <v>0</v>
      </c>
      <c r="R115" s="26">
        <f t="shared" si="19"/>
        <v>0</v>
      </c>
      <c r="U115" s="4"/>
      <c r="BI115" s="28">
        <f t="shared" si="20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25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7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9"/>
        <v>57</v>
      </c>
      <c r="BY115" s="32"/>
      <c r="BZ115" s="32"/>
      <c r="CA115" s="32"/>
      <c r="CB115" s="32"/>
      <c r="CC115" s="33"/>
      <c r="CD115" s="29">
        <f t="shared" si="21"/>
        <v>1</v>
      </c>
      <c r="CE115" s="29"/>
      <c r="CF115" s="34"/>
      <c r="CG115" s="29">
        <f t="shared" si="22"/>
        <v>0</v>
      </c>
      <c r="CH115" s="29">
        <f t="shared" si="23"/>
        <v>0</v>
      </c>
      <c r="CI115" s="29">
        <f t="shared" si="24"/>
        <v>1</v>
      </c>
      <c r="CJ115" s="34"/>
      <c r="CK115" s="35">
        <f t="shared" si="25"/>
        <v>0</v>
      </c>
      <c r="CL115" s="29">
        <f t="shared" si="26"/>
        <v>0</v>
      </c>
      <c r="CM115" s="29">
        <f t="shared" si="27"/>
        <v>0</v>
      </c>
      <c r="CN115" s="29">
        <f t="shared" si="28"/>
        <v>0</v>
      </c>
      <c r="CO115" s="33"/>
      <c r="CP115" s="33"/>
    </row>
    <row r="116" spans="1:94" ht="17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8"/>
        <v>0</v>
      </c>
      <c r="Q116" s="25">
        <f t="shared" si="14"/>
        <v>0</v>
      </c>
      <c r="R116" s="26">
        <f t="shared" si="19"/>
        <v>0</v>
      </c>
      <c r="U116" s="4"/>
      <c r="BI116" s="28">
        <f t="shared" si="20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25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7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9"/>
        <v>57</v>
      </c>
      <c r="BY116" s="32"/>
      <c r="BZ116" s="32"/>
      <c r="CA116" s="32"/>
      <c r="CB116" s="32"/>
      <c r="CC116" s="33"/>
      <c r="CD116" s="29">
        <f t="shared" si="21"/>
        <v>1</v>
      </c>
      <c r="CE116" s="29"/>
      <c r="CF116" s="34"/>
      <c r="CG116" s="29">
        <f t="shared" si="22"/>
        <v>0</v>
      </c>
      <c r="CH116" s="29">
        <f t="shared" si="23"/>
        <v>0</v>
      </c>
      <c r="CI116" s="29">
        <f t="shared" si="24"/>
        <v>1</v>
      </c>
      <c r="CJ116" s="34"/>
      <c r="CK116" s="35">
        <f t="shared" si="25"/>
        <v>0</v>
      </c>
      <c r="CL116" s="29">
        <f t="shared" si="26"/>
        <v>0</v>
      </c>
      <c r="CM116" s="29">
        <f t="shared" si="27"/>
        <v>0</v>
      </c>
      <c r="CN116" s="29">
        <f t="shared" si="28"/>
        <v>0</v>
      </c>
      <c r="CO116" s="33"/>
      <c r="CP116" s="33"/>
    </row>
    <row r="117" spans="1:94" ht="17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8"/>
        <v>0</v>
      </c>
      <c r="Q117" s="25">
        <f t="shared" si="14"/>
        <v>0</v>
      </c>
      <c r="R117" s="26">
        <f t="shared" si="19"/>
        <v>0</v>
      </c>
      <c r="U117" s="4"/>
      <c r="BI117" s="28">
        <f t="shared" si="20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25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7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9"/>
        <v>57</v>
      </c>
      <c r="BY117" s="32"/>
      <c r="BZ117" s="32"/>
      <c r="CA117" s="32"/>
      <c r="CB117" s="32"/>
      <c r="CC117" s="33"/>
      <c r="CD117" s="29">
        <f t="shared" si="21"/>
        <v>1</v>
      </c>
      <c r="CE117" s="29"/>
      <c r="CF117" s="34"/>
      <c r="CG117" s="29">
        <f t="shared" si="22"/>
        <v>0</v>
      </c>
      <c r="CH117" s="29">
        <f t="shared" si="23"/>
        <v>0</v>
      </c>
      <c r="CI117" s="29">
        <f t="shared" si="24"/>
        <v>1</v>
      </c>
      <c r="CJ117" s="34"/>
      <c r="CK117" s="35">
        <f t="shared" si="25"/>
        <v>0</v>
      </c>
      <c r="CL117" s="29">
        <f t="shared" si="26"/>
        <v>0</v>
      </c>
      <c r="CM117" s="29">
        <f t="shared" si="27"/>
        <v>0</v>
      </c>
      <c r="CN117" s="29">
        <f t="shared" si="28"/>
        <v>0</v>
      </c>
      <c r="CO117" s="33"/>
      <c r="CP117" s="33"/>
    </row>
    <row r="118" spans="1:94" ht="17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8"/>
        <v>0</v>
      </c>
      <c r="Q118" s="25">
        <f t="shared" si="14"/>
        <v>0</v>
      </c>
      <c r="R118" s="26">
        <f t="shared" si="19"/>
        <v>0</v>
      </c>
      <c r="U118" s="4"/>
      <c r="BI118" s="28">
        <f t="shared" si="20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25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7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9"/>
        <v>57</v>
      </c>
      <c r="BY118" s="32"/>
      <c r="BZ118" s="32"/>
      <c r="CA118" s="32"/>
      <c r="CB118" s="32"/>
      <c r="CC118" s="33"/>
      <c r="CD118" s="29">
        <f t="shared" si="21"/>
        <v>1</v>
      </c>
      <c r="CE118" s="29"/>
      <c r="CF118" s="34"/>
      <c r="CG118" s="29">
        <f t="shared" si="22"/>
        <v>0</v>
      </c>
      <c r="CH118" s="29">
        <f t="shared" si="23"/>
        <v>0</v>
      </c>
      <c r="CI118" s="29">
        <f t="shared" si="24"/>
        <v>1</v>
      </c>
      <c r="CJ118" s="34"/>
      <c r="CK118" s="35">
        <f t="shared" si="25"/>
        <v>0</v>
      </c>
      <c r="CL118" s="29">
        <f t="shared" si="26"/>
        <v>0</v>
      </c>
      <c r="CM118" s="29">
        <f t="shared" si="27"/>
        <v>0</v>
      </c>
      <c r="CN118" s="29">
        <f t="shared" si="28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500</v>
      </c>
      <c r="E120" s="65"/>
      <c r="F120" s="65"/>
      <c r="G120" s="66" t="s">
        <v>143</v>
      </c>
      <c r="H120" s="67">
        <f>SUM(Q76:Q101)</f>
        <v>0</v>
      </c>
      <c r="I120" s="61"/>
      <c r="J120" s="68" t="s">
        <v>144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0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" customHeight="1" thickBot="1">
      <c r="A122" s="328" t="s">
        <v>164</v>
      </c>
      <c r="B122" s="329"/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29"/>
      <c r="O122" s="329"/>
      <c r="P122" s="329"/>
      <c r="Q122" s="329"/>
      <c r="R122" s="330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31">CM120/CM121</f>
        <v>0</v>
      </c>
      <c r="CN122" s="11">
        <f t="shared" si="31"/>
        <v>0</v>
      </c>
    </row>
    <row r="123" spans="1:94" s="6" customFormat="1" ht="26" customHeight="1" thickBot="1">
      <c r="A123" s="328" t="s">
        <v>129</v>
      </c>
      <c r="B123" s="329"/>
      <c r="C123" s="329"/>
      <c r="D123" s="330"/>
      <c r="E123" s="340" t="s">
        <v>157</v>
      </c>
      <c r="F123" s="341"/>
      <c r="G123" s="341"/>
      <c r="H123" s="341"/>
      <c r="I123" s="341"/>
      <c r="J123" s="342"/>
      <c r="K123" s="331" t="s">
        <v>162</v>
      </c>
      <c r="L123" s="332"/>
      <c r="M123" s="332"/>
      <c r="N123" s="332"/>
      <c r="O123" s="332"/>
      <c r="P123" s="332"/>
      <c r="Q123" s="332"/>
      <c r="R123" s="333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" customHeight="1">
      <c r="A124" s="334" t="s">
        <v>131</v>
      </c>
      <c r="B124" s="335"/>
      <c r="C124" s="335"/>
      <c r="D124" s="336"/>
      <c r="E124" s="343" t="s">
        <v>134</v>
      </c>
      <c r="F124" s="344"/>
      <c r="G124" s="345"/>
      <c r="H124" s="349" t="s">
        <v>132</v>
      </c>
      <c r="I124" s="350"/>
      <c r="J124" s="122" t="s">
        <v>130</v>
      </c>
      <c r="K124" s="353" t="s">
        <v>137</v>
      </c>
      <c r="L124" s="345"/>
      <c r="M124" s="345"/>
      <c r="N124" s="354"/>
      <c r="O124" s="354"/>
      <c r="P124" s="354"/>
      <c r="Q124" s="354"/>
      <c r="R124" s="355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0</v>
      </c>
      <c r="CN124" s="13"/>
      <c r="CO124" s="13"/>
      <c r="CP124" s="13"/>
    </row>
    <row r="125" spans="1:94" s="12" customFormat="1" ht="20" customHeight="1" thickBot="1">
      <c r="A125" s="337" t="s">
        <v>156</v>
      </c>
      <c r="B125" s="338"/>
      <c r="C125" s="338"/>
      <c r="D125" s="339"/>
      <c r="E125" s="346" t="s">
        <v>135</v>
      </c>
      <c r="F125" s="347"/>
      <c r="G125" s="348"/>
      <c r="H125" s="351" t="s">
        <v>133</v>
      </c>
      <c r="I125" s="352"/>
      <c r="J125" s="15">
        <v>10</v>
      </c>
      <c r="K125" s="356" t="s">
        <v>163</v>
      </c>
      <c r="L125" s="357"/>
      <c r="M125" s="357"/>
      <c r="N125" s="358"/>
      <c r="O125" s="358"/>
      <c r="P125" s="358"/>
      <c r="Q125" s="358"/>
      <c r="R125" s="359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0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326" t="s">
        <v>85</v>
      </c>
      <c r="CM127" s="327"/>
    </row>
    <row r="128" spans="1:94">
      <c r="C128" s="4"/>
      <c r="CL128" s="223" t="s">
        <v>5</v>
      </c>
      <c r="CM128" s="77">
        <f>IF(H67&gt;0,I67,0)</f>
        <v>2</v>
      </c>
    </row>
    <row r="129" spans="3:91" s="4" customFormat="1" ht="20">
      <c r="P129" s="141"/>
      <c r="Q129" s="141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3" t="s">
        <v>4</v>
      </c>
      <c r="CM129" s="224">
        <f>VLOOKUP(C68,'Standard AB - 17 Tugs, 8 SuGs'!$AM$3:$AQ$11,5,FALSE)</f>
        <v>0</v>
      </c>
    </row>
    <row r="130" spans="3:91" s="4" customFormat="1" ht="20">
      <c r="P130" s="141"/>
      <c r="Q130" s="141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3" t="s">
        <v>4</v>
      </c>
      <c r="CM130" s="224">
        <f>IFERROR(VLOOKUP(C69,'Standard AB - 17 Tugs, 8 SuGs'!$AM$3:$AQ$11,5,FALSE),0)</f>
        <v>0</v>
      </c>
    </row>
    <row r="131" spans="3:91" s="4" customFormat="1" ht="20">
      <c r="P131" s="141"/>
      <c r="Q131" s="141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3" t="s">
        <v>4</v>
      </c>
      <c r="CM131" s="224">
        <f>IFERROR(VLOOKUP(C70,'Standard AB - 17 Tugs, 8 SuGs'!$AM$3:$AQ$11,5,FALSE),0)</f>
        <v>0</v>
      </c>
    </row>
    <row r="132" spans="3:91" s="4" customFormat="1" ht="20">
      <c r="P132" s="141"/>
      <c r="Q132" s="141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5" t="s">
        <v>99</v>
      </c>
      <c r="CM132" s="226">
        <f>SUM(CM128:CM131)</f>
        <v>2</v>
      </c>
    </row>
    <row r="133" spans="3:91" s="4" customFormat="1">
      <c r="C133" s="39"/>
      <c r="P133" s="141"/>
      <c r="Q133" s="141">
        <f>SUM(Q74:Q101)+SUM(Q103:Q118)+D120</f>
        <v>626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sortState ref="AB29:AK42">
    <sortCondition ref="AB28"/>
  </sortState>
  <dataConsolidate/>
  <mergeCells count="73">
    <mergeCell ref="CH73:CH74"/>
    <mergeCell ref="CG73:CG74"/>
    <mergeCell ref="CF73:CF74"/>
    <mergeCell ref="CE73:CE74"/>
    <mergeCell ref="CD73:CD74"/>
    <mergeCell ref="CN73:CN74"/>
    <mergeCell ref="CM73:CM74"/>
    <mergeCell ref="CL73:CL74"/>
    <mergeCell ref="CK73:CK74"/>
    <mergeCell ref="CI73:CI74"/>
    <mergeCell ref="CL127:CM127"/>
    <mergeCell ref="A122:R122"/>
    <mergeCell ref="K123:R123"/>
    <mergeCell ref="A123:D123"/>
    <mergeCell ref="A124:D124"/>
    <mergeCell ref="A125:D125"/>
    <mergeCell ref="E123:J123"/>
    <mergeCell ref="E124:G124"/>
    <mergeCell ref="E125:G125"/>
    <mergeCell ref="H124:I124"/>
    <mergeCell ref="H125:I125"/>
    <mergeCell ref="K124:R124"/>
    <mergeCell ref="K125:R125"/>
    <mergeCell ref="A102:R102"/>
    <mergeCell ref="O72:O73"/>
    <mergeCell ref="P72:P73"/>
    <mergeCell ref="Q72:Q73"/>
    <mergeCell ref="R72:R73"/>
    <mergeCell ref="H72:I72"/>
    <mergeCell ref="A72:A73"/>
    <mergeCell ref="B72:B73"/>
    <mergeCell ref="A75:O75"/>
    <mergeCell ref="P75:R75"/>
    <mergeCell ref="A100:R100"/>
    <mergeCell ref="E72:E73"/>
    <mergeCell ref="F72:F73"/>
    <mergeCell ref="G72:G73"/>
    <mergeCell ref="P70:R71"/>
    <mergeCell ref="C69:F69"/>
    <mergeCell ref="C67:F67"/>
    <mergeCell ref="C68:F68"/>
    <mergeCell ref="BJ71:BX71"/>
    <mergeCell ref="A71:I71"/>
    <mergeCell ref="J66:J71"/>
    <mergeCell ref="K66:O66"/>
    <mergeCell ref="K67:O67"/>
    <mergeCell ref="K70:O71"/>
    <mergeCell ref="C70:F70"/>
    <mergeCell ref="C66:F66"/>
    <mergeCell ref="P66:Q66"/>
    <mergeCell ref="P67:Q67"/>
    <mergeCell ref="BI71:BI73"/>
    <mergeCell ref="R27:Z27"/>
    <mergeCell ref="AB26:AK26"/>
    <mergeCell ref="R2:Z2"/>
    <mergeCell ref="AB2:AK2"/>
    <mergeCell ref="AB50:AK50"/>
    <mergeCell ref="J63:N63"/>
    <mergeCell ref="J64:N64"/>
    <mergeCell ref="O63:R63"/>
    <mergeCell ref="C72:C73"/>
    <mergeCell ref="D72:D73"/>
    <mergeCell ref="J72:N72"/>
    <mergeCell ref="K68:O69"/>
    <mergeCell ref="P68:R69"/>
    <mergeCell ref="O64:R64"/>
    <mergeCell ref="K65:R65"/>
    <mergeCell ref="A65:I65"/>
    <mergeCell ref="A63:C63"/>
    <mergeCell ref="A64:C64"/>
    <mergeCell ref="E63:F63"/>
    <mergeCell ref="E64:F64"/>
    <mergeCell ref="G63:I63"/>
  </mergeCells>
  <phoneticPr fontId="21" type="noConversion"/>
  <dataValidations count="21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76:G99">
      <formula1>$R$3:$R$11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G101 G103:G118">
      <formula1>$F$26:$F$30</formula1>
    </dataValidation>
  </dataValidations>
  <pageMargins left="0.70000000000000007" right="0.70000000000000007" top="0.75000000000000011" bottom="0.75000000000000011" header="0.30000000000000004" footer="0.30000000000000004"/>
  <pageSetup paperSize="9" scale="49" orientation="landscape"/>
  <ignoredErrors>
    <ignoredError sqref="P68 N100:R100 N102:R102 D103 H69:I70 P101 P88:P99 CK103:CK105 P112:P118 CK116:CK118 A102:K102 A100:K100 P105 P77:P80 CK99:CK100 CK102 P76 R76 R88:R99 R77:R80 R101 P103 R103 P104 R104 R112:R118 R105" emptyCellReference="1"/>
    <ignoredError sqref="K120" evalError="1"/>
    <ignoredError sqref="BJ76:BM79 BS103:BW103 BJ101:BM101 BS101:BW101 BY101:CD101 BR102:CD102 BJ99:BM99 BT99:BU99 CF99:CI99 BY99:CD99 BY76:CD79 CF76:CI79 BS76:BU76 BY103:CD105 CF103:CI105 BT104:BW105 BJ103:BM105 BJ116:BM118 BT116:BW118 CF116:CI118 BY116:CD118 BJ102:BO102 BT77:BU79 BW99 BW76:BW79 CF101:CI102" evalError="1" emptyCellReference="1"/>
    <ignoredError sqref="AZ7" twoDigitTextYear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THESE INSTIRUCTIONS</vt:lpstr>
      <vt:lpstr>Standard AB - 17 Tugs, 8 SuGs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Hall</cp:lastModifiedBy>
  <cp:lastPrinted>2018-11-12T05:18:30Z</cp:lastPrinted>
  <dcterms:created xsi:type="dcterms:W3CDTF">2014-11-06T21:51:03Z</dcterms:created>
  <dcterms:modified xsi:type="dcterms:W3CDTF">2018-11-16T07:23:18Z</dcterms:modified>
</cp:coreProperties>
</file>