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L20" i="2"/>
  <c r="DD20" i="2"/>
  <c r="DE20" i="2"/>
  <c r="DF20" i="2"/>
  <c r="DG20" i="2"/>
  <c r="DB20" i="2"/>
  <c r="DM20" i="2"/>
  <c r="DI20" i="2"/>
  <c r="DN20" i="2"/>
  <c r="DH20" i="2"/>
  <c r="DO20" i="2"/>
  <c r="DC21" i="2"/>
  <c r="DL21" i="2"/>
  <c r="DD21" i="2"/>
  <c r="DE21" i="2"/>
  <c r="DF21" i="2"/>
  <c r="DG21" i="2"/>
  <c r="DB21" i="2"/>
  <c r="DM21" i="2"/>
  <c r="DI21" i="2"/>
  <c r="DN21" i="2"/>
  <c r="DH21" i="2"/>
  <c r="DO21" i="2"/>
  <c r="DC22" i="2"/>
  <c r="DL22" i="2"/>
  <c r="DD22" i="2"/>
  <c r="DE22" i="2"/>
  <c r="DF22" i="2"/>
  <c r="DG22" i="2"/>
  <c r="DB22" i="2"/>
  <c r="DM22" i="2"/>
  <c r="DI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<sst xmlns="http://schemas.openxmlformats.org/spreadsheetml/2006/main" count="1694" uniqueCount="337">
  <si>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</si>
  <si>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</si>
  <si>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</si>
  <si>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</si>
  <si>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</si>
  <si>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</si>
  <si>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</si>
  <si>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</si>
  <si>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</si>
  <si>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</si>
  <si>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</si>
  <si>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</si>
  <si>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</si>
  <si>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</si>
  <si>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</si>
  <si>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</si>
  <si>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</si>
  <si>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</si>
  <si>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</si>
  <si>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</si>
  <si>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</si>
  <si>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</si>
  <si>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</si>
  <si>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</si>
  <si>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</si>
  <si>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</si>
  <si>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</si>
  <si>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</si>
  <si>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</si>
  <si>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</si>
  <si>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</si>
  <si>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</si>
  <si>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</si>
  <si>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</si>
  <si>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</si>
  <si>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</si>
  <si>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</si>
  <si>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</si>
  <si>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</si>
  <si>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</si>
  <si>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</si>
  <si>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</si>
  <si>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</si>
  <si>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</si>
  <si>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</si>
  <si>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</si>
  <si>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</si>
  <si>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</si>
  <si>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</si>
  <si>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</si>
  <si>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</si>
  <si>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</si>
  <si>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</si>
  <si>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</si>
  <si>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</si>
  <si>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</si>
  <si>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</si>
  <si>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</si>
  <si>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</si>
  <si>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</si>
  <si>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</si>
  <si>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</si>
  <si>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</si>
  <si>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</si>
  <si>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</si>
  <si>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</si>
  <si>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</si>
  <si>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</si>
  <si>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</si>
  <si>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</si>
  <si>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</si>
  <si>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</si>
  <si>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</si>
  <si>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</si>
  <si>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</si>
  <si>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</si>
  <si>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</si>
  <si>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</si>
  <si>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</si>
  <si>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</si>
  <si>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</si>
  <si>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</si>
  <si>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</si>
  <si>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</si>
  <si>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</si>
  <si>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</si>
  <si>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</si>
  <si>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</si>
  <si>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</si>
  <si>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</si>
  <si>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</si>
  <si>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</si>
  <si>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</si>
  <si>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</si>
  <si>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</si>
  <si>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</si>
  <si>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</si>
  <si>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</si>
  <si>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</si>
  <si>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</si>
  <si>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</si>
  <si>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</si>
  <si>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</si>
  <si>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</si>
  <si>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</si>
  <si>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</si>
  <si>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</si>
  <si>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</si>
  <si>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</si>
  <si>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</si>
  <si>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</si>
  <si>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</si>
  <si>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</si>
  <si>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</si>
  <si>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</si>
  <si>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</si>
  <si>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</si>
  <si>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</si>
  <si>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</si>
  <si>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</si>
  <si>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</si>
  <si>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</si>
  <si>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</si>
  <si>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</si>
  <si>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</si>
  <si>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</si>
  <si>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</si>
  <si>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</si>
  <si>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</si>
  <si>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</si>
  <si>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</si>
  <si>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</si>
  <si>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</si>
  <si>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</si>
  <si>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</si>
  <si>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</si>
  <si>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</si>
  <si>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</si>
  <si>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</si>
  <si>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</si>
  <si>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</si>
  <si>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</si>
  <si>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</si>
  <si>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</si>
  <si>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</si>
  <si>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</si>
  <si>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</si>
  <si>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</si>
  <si>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</si>
  <si>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</si>
  <si>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</si>
  <si>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</si>
  <si>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</si>
  <si>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</si>
  <si>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</si>
  <si>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</si>
  <si>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</si>
  <si>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</si>
  <si>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</si>
  <si>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</si>
  <si>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</si>
  <si>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</si>
  <si>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</si>
  <si>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</si>
  <si>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</si>
  <si>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</si>
  <si>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</si>
  <si>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</si>
  <si>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</si>
  <si>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</si>
  <si>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</si>
  <si>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</si>
  <si>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</si>
  <si>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</si>
  <si>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</si>
  <si>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</si>
  <si>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</si>
  <si>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</si>
  <si>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</si>
  <si>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</si>
  <si>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</si>
  <si>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</si>
  <si>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</si>
  <si>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</si>
  <si>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</si>
  <si>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</si>
  <si>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</si>
  <si>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</si>
  <si>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</si>
  <si>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</si>
  <si>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</si>
  <si>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</si>
  <si>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</si>
  <si>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</si>
  <si>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</si>
  <si>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</si>
  <si>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</si>
  <si>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</si>
  <si>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</si>
  <si>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</si>
  <si>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</si>
  <si>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</si>
  <si>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</si>
  <si>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</si>
  <si>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</si>
  <si>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</si>
  <si>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</si>
  <si>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</si>
  <si>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</si>
  <si>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</si>
  <si>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</si>
  <si>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</si>
  <si>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</si>
  <si>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</si>
  <si>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</si>
  <si>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</si>
  <si>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</si>
  <si>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</si>
  <si>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</si>
  <si>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</si>
  <si>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</si>
  <si>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</si>
  <si>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</si>
  <si>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</si>
  <si>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</si>
  <si>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</si>
  <si>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</si>
  <si>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</si>
  <si>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</si>
  <si>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</si>
  <si>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</si>
  <si>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</si>
  <si>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</si>
  <si>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</si>
  <si>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</si>
  <si>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</si>
  <si>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</si>
  <si>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</si>
  <si>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</si>
  <si>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</si>
  <si>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</si>
  <si>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</si>
  <si>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</si>
  <si>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</si>
  <si>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</si>
  <si>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</si>
  <si>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</si>
  <si>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</si>
  <si>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</si>
  <si>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</si>
  <si>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</si>
  <si>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</si>
  <si>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</si>
  <si>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</si>
  <si>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</si>
  <si>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</si>
  <si>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</si>
  <si>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</si>
  <si>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</si>
  <si>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</si>
  <si>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</si>
  <si>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</si>
  <si>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</si>
  <si>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</si>
  <si>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</si>
  <si>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</si>
  <si>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</si>
  <si>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</si>
  <si>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</si>
  <si>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</si>
  <si>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</si>
  <si>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</si>
  <si>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</si>
  <si>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</si>
  <si>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</si>
  <si>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</si>
  <si>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</si>
  <si>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</si>
  <si>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</si>
  <si>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</si>
  <si>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</si>
  <si>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</si>
  <si>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</si>
  <si>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</si>
  <si>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</si>
  <si>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</si>
  <si>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</si>
  <si>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</si>
  <si>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</si>
  <si>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</si>
  <si>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</si>
  <si>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</si>
  <si>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</si>
  <si>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</si>
  <si>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</si>
  <si>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</si>
  <si>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</si>
  <si>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</si>
  <si>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</si>
  <si>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</si>
  <si>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</si>
  <si>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</si>
  <si>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</si>
  <si>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</si>
  <si>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</si>
  <si>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</si>
  <si>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</si>
  <si>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</si>
  <si>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</si>
  <si>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</si>
  <si>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</si>
  <si>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</si>
  <si>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</si>
  <si>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</si>
  <si>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</si>
  <si>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</si>
  <si>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</si>
  <si>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</si>
  <si>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</si>
  <si>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</si>
  <si>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</si>
  <si>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</si>
  <si>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</si>
  <si>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</si>
  <si>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</si>
  <si>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</si>
  <si>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</si>
  <si>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</si>
  <si>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</si>
  <si>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</si>
  <si>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</si>
  <si>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Familia Regis</t>
  </si>
  <si>
    <t>Best Milities</t>
  </si>
  <si>
    <t>Milities</t>
  </si>
  <si>
    <t>Breton Milities</t>
  </si>
  <si>
    <t>Norman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</si>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</sst>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" fillId="13" borderId="2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vertical="center"/>
      <protection locked="0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19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59" fillId="10" borderId="0" xfId="0" applyFont="1" applyFill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  <xf numFmtId="0" fontId="56" fillId="1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62" fillId="10" borderId="0" xfId="0" applyFont="1" applyFill="1" applyBorder="1" applyAlignment="1">
      <alignment horizontal="left" vertical="center" wrapText="1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1419225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97" t="s">
        <v>257</v>
      </c>
      <c r="D2" s="297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98" t="s">
        <v>258</v>
      </c>
      <c r="D3" s="298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88" t="s">
        <v>275</v>
      </c>
      <c r="D4" s="289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99" t="s">
        <v>276</v>
      </c>
      <c r="D5" s="300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301" t="s">
        <v>261</v>
      </c>
      <c r="D6" s="302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301" t="s">
        <v>262</v>
      </c>
      <c r="D7" s="302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5" t="s">
        <v>259</v>
      </c>
      <c r="D8" s="296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88" t="s">
        <v>260</v>
      </c>
      <c r="D9" s="289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3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4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88" t="s">
        <v>263</v>
      </c>
      <c r="D15" s="289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90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91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91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91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91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91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2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88" t="s">
        <v>307</v>
      </c>
      <c r="D23" s="289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:D2"/>
    <mergeCell ref="C3:D3"/>
    <mergeCell ref="C5:D5"/>
    <mergeCell ref="C6:D6"/>
    <mergeCell ref="C7:D7"/>
    <mergeCell ref="C4:D4"/>
    <mergeCell ref="C23:D23"/>
    <mergeCell ref="D16:D22"/>
    <mergeCell ref="D13:D14"/>
    <mergeCell ref="C8:D8"/>
    <mergeCell ref="C9:D9"/>
    <mergeCell ref="C15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zoomScale="65" zoomScaleNormal="65" zoomScalePageLayoutView="65" workbookViewId="0">
      <selection activeCell="A44" sqref="A44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62" t="s">
        <v>1</v>
      </c>
      <c r="B1" s="363"/>
      <c r="C1" s="363"/>
      <c r="D1" s="213" t="s">
        <v>20</v>
      </c>
      <c r="E1" s="367" t="s">
        <v>123</v>
      </c>
      <c r="F1" s="368"/>
      <c r="G1" s="331" t="s">
        <v>124</v>
      </c>
      <c r="H1" s="332"/>
      <c r="I1" s="332"/>
      <c r="J1" s="331" t="s">
        <v>135</v>
      </c>
      <c r="K1" s="332"/>
      <c r="L1" s="332"/>
      <c r="M1" s="332"/>
      <c r="N1" s="332"/>
      <c r="O1" s="331" t="s">
        <v>134</v>
      </c>
      <c r="P1" s="332"/>
      <c r="Q1" s="332"/>
      <c r="R1" s="332"/>
      <c r="S1" s="361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64" t="s">
        <v>335</v>
      </c>
      <c r="B2" s="365"/>
      <c r="C2" s="365"/>
      <c r="D2" s="207">
        <v>1060</v>
      </c>
      <c r="E2" s="333"/>
      <c r="F2" s="366"/>
      <c r="G2" s="254" t="s">
        <v>184</v>
      </c>
      <c r="H2" s="75" t="s">
        <v>185</v>
      </c>
      <c r="I2" s="255" t="s">
        <v>50</v>
      </c>
      <c r="J2" s="333" t="s">
        <v>336</v>
      </c>
      <c r="K2" s="334"/>
      <c r="L2" s="334"/>
      <c r="M2" s="334"/>
      <c r="N2" s="334"/>
      <c r="O2" s="358"/>
      <c r="P2" s="359"/>
      <c r="Q2" s="359"/>
      <c r="R2" s="359"/>
      <c r="S2" s="360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03" t="s">
        <v>84</v>
      </c>
      <c r="B3" s="304"/>
      <c r="C3" s="304"/>
      <c r="D3" s="304"/>
      <c r="E3" s="304"/>
      <c r="F3" s="304"/>
      <c r="G3" s="304"/>
      <c r="H3" s="304"/>
      <c r="I3" s="304"/>
      <c r="J3" s="303" t="s">
        <v>82</v>
      </c>
      <c r="K3" s="304"/>
      <c r="L3" s="304"/>
      <c r="M3" s="304"/>
      <c r="N3" s="304"/>
      <c r="O3" s="304"/>
      <c r="P3" s="304"/>
      <c r="Q3" s="304"/>
      <c r="R3" s="304"/>
      <c r="S3" s="305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306">
        <v>2019.01</v>
      </c>
      <c r="L4" s="307"/>
      <c r="M4" s="329"/>
      <c r="N4" s="313" t="s">
        <v>315</v>
      </c>
      <c r="O4" s="314"/>
      <c r="P4" s="327">
        <f>IFERROR(INT(CQ70+CQ62/3),0)+1</f>
        <v>6</v>
      </c>
      <c r="Q4" s="327"/>
      <c r="R4" s="348" t="s">
        <v>312</v>
      </c>
      <c r="S4" s="349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43" t="s">
        <v>27</v>
      </c>
      <c r="D5" s="343"/>
      <c r="E5" s="343"/>
      <c r="F5" s="343"/>
      <c r="G5" s="177" t="s">
        <v>102</v>
      </c>
      <c r="H5" s="218">
        <f>VLOOKUP(C5,'INPUT SHEET '!BF74:BH82,2,FALSE)-IF(G5="yes",100,0)</f>
        <v>900</v>
      </c>
      <c r="I5" s="211">
        <f>VLOOKUP(C5,'INPUT SHEET '!BF74:BJ82,4,FALSE)</f>
        <v>4</v>
      </c>
      <c r="J5" s="276"/>
      <c r="K5" s="306"/>
      <c r="L5" s="307"/>
      <c r="M5" s="330"/>
      <c r="N5" s="315" t="s">
        <v>306</v>
      </c>
      <c r="O5" s="316"/>
      <c r="P5" s="328">
        <f>IFERROR(INT(CQ70/3+CQ62),0)</f>
        <v>4</v>
      </c>
      <c r="Q5" s="328"/>
      <c r="R5" s="350" t="s">
        <v>312</v>
      </c>
      <c r="S5" s="351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43" t="s">
        <v>28</v>
      </c>
      <c r="D6" s="343"/>
      <c r="E6" s="343"/>
      <c r="F6" s="343"/>
      <c r="G6" s="76" t="s">
        <v>88</v>
      </c>
      <c r="H6" s="218">
        <f>VLOOKUP(C6,'INPUT SHEET '!BF74:BH82,3,FALSE)-IF(G6="yes",$BI$86,0)</f>
        <v>400</v>
      </c>
      <c r="I6" s="211">
        <f>VLOOKUP(C6,'INPUT SHEET '!BF74:BJ82,4,FALSE)</f>
        <v>3</v>
      </c>
      <c r="J6" s="276"/>
      <c r="K6" s="306"/>
      <c r="L6" s="307"/>
      <c r="M6" s="310"/>
      <c r="N6" s="321" t="s">
        <v>313</v>
      </c>
      <c r="O6" s="322"/>
      <c r="P6" s="352">
        <f>INT((SUMPRODUCT((A14:A37 &lt;&gt; "")/COUNTIF(A14:A37,A14:A37 &amp; ""))+1)/2)</f>
        <v>6</v>
      </c>
      <c r="Q6" s="352"/>
      <c r="R6" s="352"/>
      <c r="S6" s="353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43" t="s">
        <v>28</v>
      </c>
      <c r="D7" s="343"/>
      <c r="E7" s="343"/>
      <c r="F7" s="343"/>
      <c r="G7" s="76" t="s">
        <v>88</v>
      </c>
      <c r="H7" s="218">
        <f>IFERROR(VLOOKUP(C7,'INPUT SHEET '!BF75:BH83,3,FALSE)-IF(G7="yes",$BI$86,0),0)</f>
        <v>400</v>
      </c>
      <c r="I7" s="211">
        <f>IFERROR(VLOOKUP(C7,'INPUT SHEET '!BF74:BJ82,4,FALSE),0)</f>
        <v>3</v>
      </c>
      <c r="J7" s="276"/>
      <c r="K7" s="306"/>
      <c r="L7" s="307"/>
      <c r="M7" s="311"/>
      <c r="N7" s="323"/>
      <c r="O7" s="324"/>
      <c r="P7" s="354"/>
      <c r="Q7" s="354"/>
      <c r="R7" s="354"/>
      <c r="S7" s="355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43" t="s">
        <v>33</v>
      </c>
      <c r="D8" s="343"/>
      <c r="E8" s="343"/>
      <c r="F8" s="343"/>
      <c r="G8" s="185" t="s">
        <v>88</v>
      </c>
      <c r="H8" s="218">
        <f>IFERROR(VLOOKUP(C8,'INPUT SHEET '!BF76:BH84,3,FALSE)-IF(G8="yes",$BI$86,0),0)</f>
        <v>200</v>
      </c>
      <c r="I8" s="212">
        <f>IFERROR(VLOOKUP(C8,'INPUT SHEET '!BF74:BJ82,4,FALSE),0)</f>
        <v>2</v>
      </c>
      <c r="J8" s="276"/>
      <c r="K8" s="306"/>
      <c r="L8" s="307"/>
      <c r="M8" s="311"/>
      <c r="N8" s="323" t="s">
        <v>314</v>
      </c>
      <c r="O8" s="324"/>
      <c r="P8" s="317">
        <f>P58+K58+H58+D58</f>
        <v>10498</v>
      </c>
      <c r="Q8" s="317"/>
      <c r="R8" s="317"/>
      <c r="S8" s="318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39" t="s">
        <v>294</v>
      </c>
      <c r="B9" s="340"/>
      <c r="C9" s="340"/>
      <c r="D9" s="340"/>
      <c r="E9" s="340"/>
      <c r="F9" s="340"/>
      <c r="G9" s="340"/>
      <c r="H9" s="340"/>
      <c r="I9" s="340"/>
      <c r="J9" s="277"/>
      <c r="K9" s="308"/>
      <c r="L9" s="309"/>
      <c r="M9" s="312"/>
      <c r="N9" s="325"/>
      <c r="O9" s="326"/>
      <c r="P9" s="319"/>
      <c r="Q9" s="319"/>
      <c r="R9" s="319"/>
      <c r="S9" s="320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44" t="s">
        <v>6</v>
      </c>
      <c r="CH9" s="342" t="s">
        <v>80</v>
      </c>
      <c r="CI9" s="342"/>
      <c r="CJ9" s="342"/>
      <c r="CK9" s="342"/>
      <c r="CL9" s="342"/>
      <c r="CM9" s="342"/>
      <c r="CN9" s="342"/>
      <c r="CO9" s="342"/>
      <c r="CP9" s="342"/>
      <c r="CQ9" s="342"/>
      <c r="CR9" s="342"/>
      <c r="CS9" s="342"/>
      <c r="CT9" s="342"/>
      <c r="CU9" s="342"/>
      <c r="CV9" s="342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82" t="s">
        <v>136</v>
      </c>
      <c r="B10" s="341" t="s">
        <v>6</v>
      </c>
      <c r="C10" s="341" t="s">
        <v>2</v>
      </c>
      <c r="D10" s="380" t="s">
        <v>46</v>
      </c>
      <c r="E10" s="378" t="s">
        <v>47</v>
      </c>
      <c r="F10" s="378" t="s">
        <v>200</v>
      </c>
      <c r="G10" s="378" t="s">
        <v>203</v>
      </c>
      <c r="H10" s="341" t="s">
        <v>14</v>
      </c>
      <c r="I10" s="341"/>
      <c r="J10" s="336" t="s">
        <v>49</v>
      </c>
      <c r="K10" s="337"/>
      <c r="L10" s="337"/>
      <c r="M10" s="337"/>
      <c r="N10" s="338"/>
      <c r="O10" s="380" t="s">
        <v>7</v>
      </c>
      <c r="P10" s="356" t="s">
        <v>18</v>
      </c>
      <c r="Q10" s="356" t="s">
        <v>19</v>
      </c>
      <c r="R10" s="369" t="s">
        <v>164</v>
      </c>
      <c r="S10" s="346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44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35" t="s">
        <v>291</v>
      </c>
      <c r="DE10" s="335"/>
      <c r="DF10" s="335"/>
      <c r="DG10" s="335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83"/>
      <c r="B11" s="384"/>
      <c r="C11" s="384"/>
      <c r="D11" s="381"/>
      <c r="E11" s="379"/>
      <c r="F11" s="379"/>
      <c r="G11" s="379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81"/>
      <c r="P11" s="357"/>
      <c r="Q11" s="357"/>
      <c r="R11" s="370"/>
      <c r="S11" s="347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45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35" t="s">
        <v>93</v>
      </c>
      <c r="DC11" s="335" t="s">
        <v>195</v>
      </c>
      <c r="DD11" s="335" t="s">
        <v>253</v>
      </c>
      <c r="DE11" s="335" t="s">
        <v>255</v>
      </c>
      <c r="DF11" s="335" t="s">
        <v>256</v>
      </c>
      <c r="DG11" s="335" t="s">
        <v>290</v>
      </c>
      <c r="DH11" s="335" t="s">
        <v>107</v>
      </c>
      <c r="DI11" s="335" t="s">
        <v>94</v>
      </c>
      <c r="DJ11" s="335" t="s">
        <v>95</v>
      </c>
      <c r="DK11" s="195"/>
      <c r="DL11" s="420" t="s">
        <v>192</v>
      </c>
      <c r="DM11" s="419" t="s">
        <v>311</v>
      </c>
      <c r="DN11" s="419" t="s">
        <v>292</v>
      </c>
      <c r="DO11" s="419" t="s">
        <v>289</v>
      </c>
      <c r="DP11" s="419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10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50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70</v>
      </c>
      <c r="Q12" s="24">
        <f>O12*P12</f>
        <v>210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0</v>
      </c>
      <c r="CM12" s="28"/>
      <c r="CN12" s="28"/>
      <c r="CO12" s="28"/>
      <c r="CP12" s="28"/>
      <c r="CQ12" s="28">
        <f>SUM(CI12:CM12)-CK12</f>
        <v>70</v>
      </c>
      <c r="CR12" s="28"/>
      <c r="CS12" s="30">
        <f>VLOOKUP(E12,'INPUT SHEET '!$AF$73:$AG$76,2,0)</f>
        <v>1</v>
      </c>
      <c r="CT12" s="30">
        <v>1</v>
      </c>
      <c r="CU12" s="28">
        <v>1</v>
      </c>
      <c r="CV12" s="31">
        <f>CQ12*CS12*CT12+CK12*CU12</f>
        <v>70</v>
      </c>
      <c r="CW12" s="31"/>
      <c r="CX12" s="31"/>
      <c r="CY12" s="31"/>
      <c r="CZ12" s="31"/>
      <c r="DA12" s="32"/>
      <c r="DB12" s="335"/>
      <c r="DC12" s="335"/>
      <c r="DD12" s="335"/>
      <c r="DE12" s="335"/>
      <c r="DF12" s="335"/>
      <c r="DG12" s="335"/>
      <c r="DH12" s="335"/>
      <c r="DI12" s="335"/>
      <c r="DJ12" s="335"/>
      <c r="DK12" s="33"/>
      <c r="DL12" s="420"/>
      <c r="DM12" s="419"/>
      <c r="DN12" s="419"/>
      <c r="DO12" s="419"/>
      <c r="DP12" s="419"/>
      <c r="DQ12" s="32"/>
      <c r="DR12" s="32"/>
    </row>
    <row r="13" spans="1:122" ht="17.100000000000001" customHeight="1" thickBot="1">
      <c r="A13" s="371" t="s">
        <v>137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3" t="s">
        <v>165</v>
      </c>
      <c r="Q13" s="373"/>
      <c r="R13" s="374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286">
        <v>1</v>
      </c>
      <c r="B14" s="287" t="s">
        <v>331</v>
      </c>
      <c r="C14" s="76" t="s">
        <v>43</v>
      </c>
      <c r="D14" s="77" t="s">
        <v>153</v>
      </c>
      <c r="E14" s="77" t="s">
        <v>38</v>
      </c>
      <c r="F14" s="77" t="s">
        <v>51</v>
      </c>
      <c r="G14" s="77" t="s">
        <v>67</v>
      </c>
      <c r="H14" s="77" t="s">
        <v>50</v>
      </c>
      <c r="I14" s="77" t="s">
        <v>50</v>
      </c>
      <c r="J14" s="77" t="s">
        <v>79</v>
      </c>
      <c r="K14" s="77" t="s">
        <v>52</v>
      </c>
      <c r="L14" s="77" t="s">
        <v>63</v>
      </c>
      <c r="M14" s="77" t="s">
        <v>50</v>
      </c>
      <c r="N14" s="77" t="s">
        <v>50</v>
      </c>
      <c r="O14" s="77">
        <v>6</v>
      </c>
      <c r="P14" s="23">
        <f t="shared" ref="P14:P37" si="0">IFERROR(IF(A14&gt;0,CV14,0),0)</f>
        <v>200</v>
      </c>
      <c r="Q14" s="24">
        <f>IFERROR(IF(76&gt;0,O14*P14,0),0)</f>
        <v>1200</v>
      </c>
      <c r="R14" s="25">
        <f t="shared" ref="R14:R37" si="1">IF(O14=0,0,O14/IF(D14="Skirmisher",3,2)+0.5)</f>
        <v>3.5</v>
      </c>
      <c r="S14" s="241">
        <f t="shared" ref="S14:S37" si="2">(DM14/10)+(DN14/20)+(DO14/20)</f>
        <v>0.3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Familia Regis</v>
      </c>
      <c r="CH14" s="28">
        <f>VLOOKUP(C14,'INPUT SHEET '!$U$84:$V$92,2,FALSE)</f>
        <v>3</v>
      </c>
      <c r="CI14" s="28">
        <f>VLOOKUP(D14,'INPUT SHEET '!$U$73:$AD$82,'INPUT SHEET '!CH14,FALSE)</f>
        <v>80</v>
      </c>
      <c r="CJ14" s="28">
        <f>VLOOKUP(G14,'INPUT SHEET '!$AK$74:$AS$92,CH14,FALSE)</f>
        <v>25</v>
      </c>
      <c r="CK14" s="29">
        <f>VLOOKUP(I14,'INPUT SHEET '!$AK$83:$AS$92,CH14,FALSE)</f>
        <v>0</v>
      </c>
      <c r="CL14" s="28">
        <f>IFERROR(VLOOKUP(J14,'INPUT SHEET '!$AU$74:$BD$126,$CH14,FALSE),0)</f>
        <v>13</v>
      </c>
      <c r="CM14" s="28">
        <f>IFERROR(VLOOKUP(K14,'INPUT SHEET '!$AU$74:$BD$126,$CH14,FALSE),0)</f>
        <v>20</v>
      </c>
      <c r="CN14" s="28">
        <f>IFERROR(VLOOKUP(L14,'INPUT SHEET '!$AU$74:$BD$126,$CH14,FALSE),0)</f>
        <v>5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143</v>
      </c>
      <c r="CR14" s="28"/>
      <c r="CS14" s="30">
        <f>VLOOKUP(E14,'INPUT SHEET '!$AF$73:$AG$76,2,0)</f>
        <v>1.4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200</v>
      </c>
      <c r="CW14" s="31"/>
      <c r="CX14" s="31"/>
      <c r="CY14" s="31"/>
      <c r="CZ14" s="31"/>
      <c r="DA14" s="32"/>
      <c r="DB14" s="28">
        <f t="shared" ref="DB14:DB37" si="5">IF(C14="CAVALRY",1,0)</f>
        <v>1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6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286">
        <v>2</v>
      </c>
      <c r="B15" s="287" t="s">
        <v>332</v>
      </c>
      <c r="C15" s="76" t="s">
        <v>43</v>
      </c>
      <c r="D15" s="77" t="s">
        <v>153</v>
      </c>
      <c r="E15" s="77" t="s">
        <v>38</v>
      </c>
      <c r="F15" s="77" t="s">
        <v>51</v>
      </c>
      <c r="G15" s="77" t="s">
        <v>67</v>
      </c>
      <c r="H15" s="77" t="s">
        <v>50</v>
      </c>
      <c r="I15" s="77" t="s">
        <v>50</v>
      </c>
      <c r="J15" s="77" t="s">
        <v>79</v>
      </c>
      <c r="K15" s="77" t="s">
        <v>52</v>
      </c>
      <c r="L15" s="77" t="s">
        <v>50</v>
      </c>
      <c r="M15" s="77" t="s">
        <v>50</v>
      </c>
      <c r="N15" s="77" t="s">
        <v>50</v>
      </c>
      <c r="O15" s="77">
        <v>4</v>
      </c>
      <c r="P15" s="23">
        <f t="shared" si="0"/>
        <v>193</v>
      </c>
      <c r="Q15" s="24">
        <f t="shared" ref="Q15:Q54" si="17">IFERROR(IF(76&gt;0,O15*P15,0),0)</f>
        <v>772</v>
      </c>
      <c r="R15" s="25">
        <f t="shared" si="1"/>
        <v>2.5</v>
      </c>
      <c r="S15" s="241">
        <f t="shared" si="2"/>
        <v>0.2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Best Milities</v>
      </c>
      <c r="CH15" s="28">
        <f>VLOOKUP(C15,'INPUT SHEET '!$U$84:$V$92,2,FALSE)</f>
        <v>3</v>
      </c>
      <c r="CI15" s="28">
        <f>VLOOKUP(D15,'INPUT SHEET '!$U$73:$AD$82,'INPUT SHEET '!CH15,FALSE)</f>
        <v>80</v>
      </c>
      <c r="CJ15" s="28">
        <f>VLOOKUP(G15,'INPUT SHEET '!$AK$74:$AS$92,CH15,FALSE)</f>
        <v>25</v>
      </c>
      <c r="CK15" s="29">
        <f>VLOOKUP(I15,'INPUT SHEET '!$AK$83:$AS$92,CH15,FALSE)</f>
        <v>0</v>
      </c>
      <c r="CL15" s="28">
        <f>IFERROR(VLOOKUP(J15,'INPUT SHEET '!$AU$74:$BD$126,$CH15,FALSE),0)</f>
        <v>13</v>
      </c>
      <c r="CM15" s="28">
        <f>IFERROR(VLOOKUP(K15,'INPUT SHEET '!$AU$74:$BD$126,$CH15,FALSE),0)</f>
        <v>20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138</v>
      </c>
      <c r="CR15" s="28"/>
      <c r="CS15" s="30">
        <f>VLOOKUP(E15,'INPUT SHEET '!$AF$73:$AG$76,2,0)</f>
        <v>1.4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193</v>
      </c>
      <c r="CW15" s="31"/>
      <c r="CX15" s="31"/>
      <c r="CY15" s="31"/>
      <c r="CZ15" s="31"/>
      <c r="DA15" s="32"/>
      <c r="DB15" s="28">
        <f t="shared" si="5"/>
        <v>1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4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286">
        <v>3</v>
      </c>
      <c r="B16" s="287" t="s">
        <v>332</v>
      </c>
      <c r="C16" s="76" t="s">
        <v>43</v>
      </c>
      <c r="D16" s="77" t="s">
        <v>153</v>
      </c>
      <c r="E16" s="77" t="s">
        <v>38</v>
      </c>
      <c r="F16" s="77" t="s">
        <v>51</v>
      </c>
      <c r="G16" s="77" t="s">
        <v>67</v>
      </c>
      <c r="H16" s="77" t="s">
        <v>50</v>
      </c>
      <c r="I16" s="77" t="s">
        <v>50</v>
      </c>
      <c r="J16" s="77" t="s">
        <v>79</v>
      </c>
      <c r="K16" s="77" t="s">
        <v>52</v>
      </c>
      <c r="L16" s="77" t="s">
        <v>50</v>
      </c>
      <c r="M16" s="77" t="s">
        <v>50</v>
      </c>
      <c r="N16" s="77" t="s">
        <v>50</v>
      </c>
      <c r="O16" s="77">
        <v>4</v>
      </c>
      <c r="P16" s="23">
        <f t="shared" si="0"/>
        <v>193</v>
      </c>
      <c r="Q16" s="24">
        <f t="shared" si="17"/>
        <v>772</v>
      </c>
      <c r="R16" s="25">
        <f t="shared" si="1"/>
        <v>2.5</v>
      </c>
      <c r="S16" s="241">
        <f t="shared" si="2"/>
        <v>0.2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Best Milities</v>
      </c>
      <c r="CH16" s="28">
        <f>VLOOKUP(C16,'INPUT SHEET '!$U$84:$V$92,2,FALSE)</f>
        <v>3</v>
      </c>
      <c r="CI16" s="28">
        <f>VLOOKUP(D16,'INPUT SHEET '!$U$73:$AD$82,'INPUT SHEET '!CH16,FALSE)</f>
        <v>80</v>
      </c>
      <c r="CJ16" s="28">
        <f>VLOOKUP(G16,'INPUT SHEET '!$AK$74:$AS$92,CH16,FALSE)</f>
        <v>25</v>
      </c>
      <c r="CK16" s="29">
        <f>VLOOKUP(I16,'INPUT SHEET '!$AK$83:$AS$92,CH16,FALSE)</f>
        <v>0</v>
      </c>
      <c r="CL16" s="28">
        <f>IFERROR(VLOOKUP(J16,'INPUT SHEET '!$AU$74:$BD$126,$CH16,FALSE),0)</f>
        <v>13</v>
      </c>
      <c r="CM16" s="28">
        <f>IFERROR(VLOOKUP(K16,'INPUT SHEET '!$AU$74:$BD$126,$CH16,FALSE),0)</f>
        <v>20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138</v>
      </c>
      <c r="CR16" s="28"/>
      <c r="CS16" s="30">
        <f>VLOOKUP(E16,'INPUT SHEET '!$AF$73:$AG$76,2,0)</f>
        <v>1.4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193</v>
      </c>
      <c r="CW16" s="31"/>
      <c r="CX16" s="31"/>
      <c r="CY16" s="31"/>
      <c r="CZ16" s="31"/>
      <c r="DA16" s="32"/>
      <c r="DB16" s="28">
        <f t="shared" si="5"/>
        <v>1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4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286">
        <v>4</v>
      </c>
      <c r="B17" s="287" t="s">
        <v>333</v>
      </c>
      <c r="C17" s="76" t="s">
        <v>43</v>
      </c>
      <c r="D17" s="77" t="s">
        <v>153</v>
      </c>
      <c r="E17" s="77" t="s">
        <v>10</v>
      </c>
      <c r="F17" s="77" t="s">
        <v>51</v>
      </c>
      <c r="G17" s="77" t="s">
        <v>67</v>
      </c>
      <c r="H17" s="77" t="s">
        <v>50</v>
      </c>
      <c r="I17" s="77" t="s">
        <v>50</v>
      </c>
      <c r="J17" s="77" t="s">
        <v>79</v>
      </c>
      <c r="K17" s="77" t="s">
        <v>52</v>
      </c>
      <c r="L17" s="77" t="s">
        <v>63</v>
      </c>
      <c r="M17" s="77" t="s">
        <v>50</v>
      </c>
      <c r="N17" s="77" t="s">
        <v>50</v>
      </c>
      <c r="O17" s="77">
        <v>6</v>
      </c>
      <c r="P17" s="23">
        <f t="shared" si="0"/>
        <v>143</v>
      </c>
      <c r="Q17" s="24">
        <f t="shared" si="17"/>
        <v>858</v>
      </c>
      <c r="R17" s="25">
        <f t="shared" si="1"/>
        <v>3.5</v>
      </c>
      <c r="S17" s="241">
        <f t="shared" si="2"/>
        <v>0.3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Milities</v>
      </c>
      <c r="CH17" s="28">
        <f>VLOOKUP(C17,'INPUT SHEET '!$U$84:$V$92,2,FALSE)</f>
        <v>3</v>
      </c>
      <c r="CI17" s="28">
        <f>VLOOKUP(D17,'INPUT SHEET '!$U$73:$AD$82,'INPUT SHEET '!CH17,FALSE)</f>
        <v>80</v>
      </c>
      <c r="CJ17" s="28">
        <f>VLOOKUP(G17,'INPUT SHEET '!$AK$74:$AS$92,CH17,FALSE)</f>
        <v>25</v>
      </c>
      <c r="CK17" s="29">
        <f>VLOOKUP(I17,'INPUT SHEET '!$AK$83:$AS$92,CH17,FALSE)</f>
        <v>0</v>
      </c>
      <c r="CL17" s="28">
        <f>IFERROR(VLOOKUP(J17,'INPUT SHEET '!$AU$74:$BD$126,$CH17,FALSE),0)</f>
        <v>13</v>
      </c>
      <c r="CM17" s="28">
        <f>IFERROR(VLOOKUP(K17,'INPUT SHEET '!$AU$74:$BD$126,$CH17,FALSE),0)</f>
        <v>20</v>
      </c>
      <c r="CN17" s="28">
        <f>IFERROR(VLOOKUP(L17,'INPUT SHEET '!$AU$74:$BD$126,$CH17,FALSE),0)</f>
        <v>5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143</v>
      </c>
      <c r="CR17" s="28"/>
      <c r="CS17" s="30">
        <f>VLOOKUP(E17,'INPUT SHEET '!$AF$73:$AG$76,2,0)</f>
        <v>1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143</v>
      </c>
      <c r="CW17" s="31"/>
      <c r="CX17" s="31"/>
      <c r="CY17" s="31"/>
      <c r="CZ17" s="31"/>
      <c r="DA17" s="32"/>
      <c r="DB17" s="28">
        <f t="shared" si="5"/>
        <v>1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6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286">
        <v>5</v>
      </c>
      <c r="B18" s="287" t="s">
        <v>333</v>
      </c>
      <c r="C18" s="76" t="s">
        <v>43</v>
      </c>
      <c r="D18" s="77" t="s">
        <v>153</v>
      </c>
      <c r="E18" s="77" t="s">
        <v>10</v>
      </c>
      <c r="F18" s="77" t="s">
        <v>51</v>
      </c>
      <c r="G18" s="77" t="s">
        <v>67</v>
      </c>
      <c r="H18" s="77" t="s">
        <v>50</v>
      </c>
      <c r="I18" s="77" t="s">
        <v>50</v>
      </c>
      <c r="J18" s="77" t="s">
        <v>79</v>
      </c>
      <c r="K18" s="77" t="s">
        <v>52</v>
      </c>
      <c r="L18" s="77" t="s">
        <v>63</v>
      </c>
      <c r="M18" s="77" t="s">
        <v>50</v>
      </c>
      <c r="N18" s="77" t="s">
        <v>50</v>
      </c>
      <c r="O18" s="77">
        <v>6</v>
      </c>
      <c r="P18" s="23">
        <f t="shared" si="0"/>
        <v>143</v>
      </c>
      <c r="Q18" s="24">
        <f t="shared" si="17"/>
        <v>858</v>
      </c>
      <c r="R18" s="25">
        <f t="shared" si="1"/>
        <v>3.5</v>
      </c>
      <c r="S18" s="241">
        <f t="shared" si="2"/>
        <v>0.3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Milities</v>
      </c>
      <c r="CH18" s="28">
        <f>VLOOKUP(C18,'INPUT SHEET '!$U$84:$V$92,2,FALSE)</f>
        <v>3</v>
      </c>
      <c r="CI18" s="28">
        <f>VLOOKUP(D18,'INPUT SHEET '!$U$73:$AD$82,'INPUT SHEET '!CH18,FALSE)</f>
        <v>80</v>
      </c>
      <c r="CJ18" s="28">
        <f>VLOOKUP(G18,'INPUT SHEET '!$AK$74:$AS$92,CH18,FALSE)</f>
        <v>25</v>
      </c>
      <c r="CK18" s="29">
        <f>VLOOKUP(I18,'INPUT SHEET '!$AK$83:$AS$92,CH18,FALSE)</f>
        <v>0</v>
      </c>
      <c r="CL18" s="28">
        <f>IFERROR(VLOOKUP(J18,'INPUT SHEET '!$AU$74:$BD$126,$CH18,FALSE),0)</f>
        <v>13</v>
      </c>
      <c r="CM18" s="28">
        <f>IFERROR(VLOOKUP(K18,'INPUT SHEET '!$AU$74:$BD$126,$CH18,FALSE),0)</f>
        <v>20</v>
      </c>
      <c r="CN18" s="28">
        <f>IFERROR(VLOOKUP(L18,'INPUT SHEET '!$AU$74:$BD$126,$CH18,FALSE),0)</f>
        <v>5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143</v>
      </c>
      <c r="CR18" s="28"/>
      <c r="CS18" s="30">
        <f>VLOOKUP(E18,'INPUT SHEET '!$AF$73:$AG$76,2,0)</f>
        <v>1</v>
      </c>
      <c r="CT18" s="30">
        <f>VLOOKUP(F18,'INPUT SHEET '!$AF$85:$AG$90,2,0)</f>
        <v>1</v>
      </c>
      <c r="CU18" s="28">
        <f>IF(CK18=0,1,VLOOKUP(H18,'INPUT SHEET '!$AF$79:$AG$83,2,FALSE))</f>
        <v>1</v>
      </c>
      <c r="CV18" s="31">
        <f t="shared" si="18"/>
        <v>143</v>
      </c>
      <c r="CW18" s="31"/>
      <c r="CX18" s="31"/>
      <c r="CY18" s="31"/>
      <c r="CZ18" s="31"/>
      <c r="DA18" s="32"/>
      <c r="DB18" s="28">
        <f t="shared" si="5"/>
        <v>1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6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286">
        <v>6</v>
      </c>
      <c r="B19" s="287" t="s">
        <v>333</v>
      </c>
      <c r="C19" s="76" t="s">
        <v>43</v>
      </c>
      <c r="D19" s="77" t="s">
        <v>153</v>
      </c>
      <c r="E19" s="77" t="s">
        <v>10</v>
      </c>
      <c r="F19" s="77" t="s">
        <v>51</v>
      </c>
      <c r="G19" s="77" t="s">
        <v>67</v>
      </c>
      <c r="H19" s="77" t="s">
        <v>50</v>
      </c>
      <c r="I19" s="77" t="s">
        <v>50</v>
      </c>
      <c r="J19" s="77" t="s">
        <v>79</v>
      </c>
      <c r="K19" s="77" t="s">
        <v>52</v>
      </c>
      <c r="L19" s="77" t="s">
        <v>63</v>
      </c>
      <c r="M19" s="77" t="s">
        <v>50</v>
      </c>
      <c r="N19" s="77" t="s">
        <v>50</v>
      </c>
      <c r="O19" s="77">
        <v>6</v>
      </c>
      <c r="P19" s="23">
        <f t="shared" si="0"/>
        <v>143</v>
      </c>
      <c r="Q19" s="24">
        <f t="shared" si="17"/>
        <v>858</v>
      </c>
      <c r="R19" s="25">
        <f t="shared" si="1"/>
        <v>3.5</v>
      </c>
      <c r="S19" s="241">
        <f t="shared" si="2"/>
        <v>0.3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Milities</v>
      </c>
      <c r="CH19" s="28">
        <f>VLOOKUP(C19,'INPUT SHEET '!$U$84:$V$92,2,FALSE)</f>
        <v>3</v>
      </c>
      <c r="CI19" s="28">
        <f>VLOOKUP(D19,'INPUT SHEET '!$U$73:$AD$82,'INPUT SHEET '!CH19,FALSE)</f>
        <v>80</v>
      </c>
      <c r="CJ19" s="28">
        <f>VLOOKUP(G19,'INPUT SHEET '!$AK$74:$AS$92,CH19,FALSE)</f>
        <v>25</v>
      </c>
      <c r="CK19" s="29">
        <f>VLOOKUP(I19,'INPUT SHEET '!$AK$83:$AS$92,CH19,FALSE)</f>
        <v>0</v>
      </c>
      <c r="CL19" s="28">
        <f>IFERROR(VLOOKUP(J19,'INPUT SHEET '!$AU$74:$BD$126,$CH19,FALSE),0)</f>
        <v>13</v>
      </c>
      <c r="CM19" s="28">
        <f>IFERROR(VLOOKUP(K19,'INPUT SHEET '!$AU$74:$BD$126,$CH19,FALSE),0)</f>
        <v>20</v>
      </c>
      <c r="CN19" s="28">
        <f>IFERROR(VLOOKUP(L19,'INPUT SHEET '!$AU$74:$BD$126,$CH19,FALSE),0)</f>
        <v>5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143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143</v>
      </c>
      <c r="CW19" s="31"/>
      <c r="CX19" s="31"/>
      <c r="CY19" s="31"/>
      <c r="CZ19" s="31"/>
      <c r="DA19" s="32"/>
      <c r="DB19" s="28">
        <f t="shared" si="5"/>
        <v>1</v>
      </c>
      <c r="DC19" s="28">
        <f t="shared" si="6"/>
        <v>0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6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286">
        <v>7</v>
      </c>
      <c r="B20" s="287" t="s">
        <v>334</v>
      </c>
      <c r="C20" s="76" t="s">
        <v>43</v>
      </c>
      <c r="D20" s="77" t="s">
        <v>35</v>
      </c>
      <c r="E20" s="77" t="s">
        <v>10</v>
      </c>
      <c r="F20" s="77" t="s">
        <v>51</v>
      </c>
      <c r="G20" s="77" t="s">
        <v>54</v>
      </c>
      <c r="H20" s="77" t="s">
        <v>114</v>
      </c>
      <c r="I20" s="77" t="s">
        <v>62</v>
      </c>
      <c r="J20" s="77" t="s">
        <v>50</v>
      </c>
      <c r="K20" s="77" t="s">
        <v>50</v>
      </c>
      <c r="L20" s="77" t="s">
        <v>50</v>
      </c>
      <c r="M20" s="77" t="s">
        <v>50</v>
      </c>
      <c r="N20" s="77" t="s">
        <v>50</v>
      </c>
      <c r="O20" s="77">
        <v>4</v>
      </c>
      <c r="P20" s="23">
        <f t="shared" si="0"/>
        <v>120</v>
      </c>
      <c r="Q20" s="24">
        <f t="shared" si="17"/>
        <v>480</v>
      </c>
      <c r="R20" s="25">
        <f t="shared" si="1"/>
        <v>2.5</v>
      </c>
      <c r="S20" s="241">
        <f t="shared" si="2"/>
        <v>0.4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Breton Milities</v>
      </c>
      <c r="CH20" s="28">
        <f>VLOOKUP(C20,'INPUT SHEET '!$U$84:$V$92,2,FALSE)</f>
        <v>3</v>
      </c>
      <c r="CI20" s="28">
        <f>VLOOKUP(D20,'INPUT SHEET '!$U$73:$AD$82,'INPUT SHEET '!CH20,FALSE)</f>
        <v>90</v>
      </c>
      <c r="CJ20" s="28">
        <f>VLOOKUP(G20,'INPUT SHEET '!$AK$74:$AS$92,CH20,FALSE)</f>
        <v>10</v>
      </c>
      <c r="CK20" s="29">
        <f>VLOOKUP(I20,'INPUT SHEET '!$AK$83:$AS$92,CH20,FALSE)</f>
        <v>20</v>
      </c>
      <c r="CL20" s="28">
        <f>IFERROR(VLOOKUP(J20,'INPUT SHEET '!$AU$74:$BD$126,$CH20,FALSE),0)</f>
        <v>0</v>
      </c>
      <c r="CM20" s="28">
        <f>IFERROR(VLOOKUP(K20,'INPUT SHEET '!$AU$74:$BD$126,$CH20,FALSE),0)</f>
        <v>0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100</v>
      </c>
      <c r="CR20" s="28"/>
      <c r="CS20" s="30">
        <f>VLOOKUP(E20,'INPUT SHEET '!$AF$73:$AG$76,2,0)</f>
        <v>1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120</v>
      </c>
      <c r="CW20" s="31"/>
      <c r="CX20" s="31"/>
      <c r="CY20" s="31"/>
      <c r="CZ20" s="31"/>
      <c r="DA20" s="32"/>
      <c r="DB20" s="28">
        <f t="shared" si="5"/>
        <v>1</v>
      </c>
      <c r="DC20" s="28">
        <f t="shared" si="6"/>
        <v>1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4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286">
        <v>8</v>
      </c>
      <c r="B21" s="287" t="s">
        <v>334</v>
      </c>
      <c r="C21" s="76" t="s">
        <v>43</v>
      </c>
      <c r="D21" s="77" t="s">
        <v>35</v>
      </c>
      <c r="E21" s="77" t="s">
        <v>10</v>
      </c>
      <c r="F21" s="77" t="s">
        <v>51</v>
      </c>
      <c r="G21" s="77" t="s">
        <v>54</v>
      </c>
      <c r="H21" s="77" t="s">
        <v>114</v>
      </c>
      <c r="I21" s="77" t="s">
        <v>62</v>
      </c>
      <c r="J21" s="77" t="s">
        <v>50</v>
      </c>
      <c r="K21" s="77" t="s">
        <v>50</v>
      </c>
      <c r="L21" s="77" t="s">
        <v>50</v>
      </c>
      <c r="M21" s="77" t="s">
        <v>50</v>
      </c>
      <c r="N21" s="77" t="s">
        <v>50</v>
      </c>
      <c r="O21" s="77">
        <v>4</v>
      </c>
      <c r="P21" s="23">
        <f t="shared" si="0"/>
        <v>120</v>
      </c>
      <c r="Q21" s="24">
        <f t="shared" si="17"/>
        <v>480</v>
      </c>
      <c r="R21" s="25">
        <f t="shared" si="1"/>
        <v>2.5</v>
      </c>
      <c r="S21" s="241">
        <f t="shared" si="2"/>
        <v>0.4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Breton Milities</v>
      </c>
      <c r="CH21" s="28">
        <f>VLOOKUP(C21,'INPUT SHEET '!$U$84:$V$92,2,FALSE)</f>
        <v>3</v>
      </c>
      <c r="CI21" s="28">
        <f>VLOOKUP(D21,'INPUT SHEET '!$U$73:$AD$82,'INPUT SHEET '!CH21,FALSE)</f>
        <v>90</v>
      </c>
      <c r="CJ21" s="28">
        <f>VLOOKUP(G21,'INPUT SHEET '!$AK$74:$AS$92,CH21,FALSE)</f>
        <v>10</v>
      </c>
      <c r="CK21" s="29">
        <f>VLOOKUP(I21,'INPUT SHEET '!$AK$83:$AS$92,CH21,FALSE)</f>
        <v>20</v>
      </c>
      <c r="CL21" s="28">
        <f>IFERROR(VLOOKUP(J21,'INPUT SHEET '!$AU$74:$BD$126,$CH21,FALSE),0)</f>
        <v>0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100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120</v>
      </c>
      <c r="CW21" s="31"/>
      <c r="CX21" s="31"/>
      <c r="CY21" s="31"/>
      <c r="CZ21" s="31"/>
      <c r="DA21" s="32"/>
      <c r="DB21" s="28">
        <f t="shared" si="5"/>
        <v>1</v>
      </c>
      <c r="DC21" s="28">
        <f t="shared" si="6"/>
        <v>1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4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286">
        <v>9</v>
      </c>
      <c r="B22" s="287" t="s">
        <v>334</v>
      </c>
      <c r="C22" s="76" t="s">
        <v>43</v>
      </c>
      <c r="D22" s="77" t="s">
        <v>35</v>
      </c>
      <c r="E22" s="77" t="s">
        <v>10</v>
      </c>
      <c r="F22" s="77" t="s">
        <v>51</v>
      </c>
      <c r="G22" s="77" t="s">
        <v>54</v>
      </c>
      <c r="H22" s="77" t="s">
        <v>114</v>
      </c>
      <c r="I22" s="77" t="s">
        <v>62</v>
      </c>
      <c r="J22" s="77" t="s">
        <v>50</v>
      </c>
      <c r="K22" s="77" t="s">
        <v>50</v>
      </c>
      <c r="L22" s="77" t="s">
        <v>50</v>
      </c>
      <c r="M22" s="77" t="s">
        <v>50</v>
      </c>
      <c r="N22" s="77" t="s">
        <v>50</v>
      </c>
      <c r="O22" s="77">
        <v>4</v>
      </c>
      <c r="P22" s="23">
        <f t="shared" si="0"/>
        <v>120</v>
      </c>
      <c r="Q22" s="24">
        <f t="shared" si="17"/>
        <v>480</v>
      </c>
      <c r="R22" s="25">
        <f t="shared" si="1"/>
        <v>2.5</v>
      </c>
      <c r="S22" s="241">
        <f t="shared" si="2"/>
        <v>0.4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Breton Milities</v>
      </c>
      <c r="CH22" s="28">
        <f>VLOOKUP(C22,'INPUT SHEET '!$U$84:$V$92,2,FALSE)</f>
        <v>3</v>
      </c>
      <c r="CI22" s="28">
        <f>VLOOKUP(D22,'INPUT SHEET '!$U$73:$AD$82,'INPUT SHEET '!CH22,FALSE)</f>
        <v>90</v>
      </c>
      <c r="CJ22" s="28">
        <f>VLOOKUP(G22,'INPUT SHEET '!$AK$74:$AS$92,CH22,FALSE)</f>
        <v>10</v>
      </c>
      <c r="CK22" s="29">
        <f>VLOOKUP(I22,'INPUT SHEET '!$AK$83:$AS$92,CH22,FALSE)</f>
        <v>20</v>
      </c>
      <c r="CL22" s="28">
        <f>IFERROR(VLOOKUP(J22,'INPUT SHEET '!$AU$74:$BD$126,$CH22,FALSE),0)</f>
        <v>0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100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120</v>
      </c>
      <c r="CW22" s="31"/>
      <c r="CX22" s="31"/>
      <c r="CY22" s="31"/>
      <c r="CZ22" s="31"/>
      <c r="DA22" s="32"/>
      <c r="DB22" s="28">
        <f t="shared" si="5"/>
        <v>1</v>
      </c>
      <c r="DC22" s="28">
        <f t="shared" si="6"/>
        <v>1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4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86">
        <v>10</v>
      </c>
      <c r="B23" s="287" t="s">
        <v>332</v>
      </c>
      <c r="C23" s="76" t="s">
        <v>43</v>
      </c>
      <c r="D23" s="77" t="s">
        <v>153</v>
      </c>
      <c r="E23" s="77" t="s">
        <v>38</v>
      </c>
      <c r="F23" s="77" t="s">
        <v>51</v>
      </c>
      <c r="G23" s="77" t="s">
        <v>67</v>
      </c>
      <c r="H23" s="77" t="s">
        <v>50</v>
      </c>
      <c r="I23" s="77" t="s">
        <v>50</v>
      </c>
      <c r="J23" s="77" t="s">
        <v>79</v>
      </c>
      <c r="K23" s="77" t="s">
        <v>52</v>
      </c>
      <c r="L23" s="77" t="s">
        <v>50</v>
      </c>
      <c r="M23" s="77" t="s">
        <v>50</v>
      </c>
      <c r="N23" s="77" t="s">
        <v>50</v>
      </c>
      <c r="O23" s="77">
        <v>4</v>
      </c>
      <c r="P23" s="23">
        <f t="shared" si="0"/>
        <v>193</v>
      </c>
      <c r="Q23" s="24">
        <f t="shared" si="17"/>
        <v>772</v>
      </c>
      <c r="R23" s="25">
        <f t="shared" si="1"/>
        <v>2.5</v>
      </c>
      <c r="S23" s="241">
        <f t="shared" si="2"/>
        <v>0.2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 t="str">
        <f t="shared" si="3"/>
        <v>Best Milities</v>
      </c>
      <c r="CH23" s="28">
        <f>VLOOKUP(C23,'INPUT SHEET '!$U$84:$V$92,2,FALSE)</f>
        <v>3</v>
      </c>
      <c r="CI23" s="28">
        <f>VLOOKUP(D23,'INPUT SHEET '!$U$73:$AD$82,'INPUT SHEET '!CH23,FALSE)</f>
        <v>80</v>
      </c>
      <c r="CJ23" s="28">
        <f>VLOOKUP(G23,'INPUT SHEET '!$AK$74:$AS$92,CH23,FALSE)</f>
        <v>25</v>
      </c>
      <c r="CK23" s="29">
        <f>VLOOKUP(I23,'INPUT SHEET '!$AK$83:$AS$92,CH23,FALSE)</f>
        <v>0</v>
      </c>
      <c r="CL23" s="28">
        <f>IFERROR(VLOOKUP(J23,'INPUT SHEET '!$AU$74:$BD$126,$CH23,FALSE),0)</f>
        <v>13</v>
      </c>
      <c r="CM23" s="28">
        <f>IFERROR(VLOOKUP(K23,'INPUT SHEET '!$AU$74:$BD$126,$CH23,FALSE),0)</f>
        <v>20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138</v>
      </c>
      <c r="CR23" s="28"/>
      <c r="CS23" s="30">
        <f>VLOOKUP(E23,'INPUT SHEET '!$AF$73:$AG$76,2,0)</f>
        <v>1.4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193</v>
      </c>
      <c r="CW23" s="31"/>
      <c r="CX23" s="31"/>
      <c r="CY23" s="31"/>
      <c r="CZ23" s="31"/>
      <c r="DA23" s="32"/>
      <c r="DB23" s="28">
        <f t="shared" si="5"/>
        <v>1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1</v>
      </c>
      <c r="DM23" s="28">
        <f t="shared" si="14"/>
        <v>0</v>
      </c>
      <c r="DN23" s="28">
        <f t="shared" si="15"/>
        <v>4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86">
        <v>11</v>
      </c>
      <c r="B24" s="287" t="s">
        <v>333</v>
      </c>
      <c r="C24" s="76" t="s">
        <v>43</v>
      </c>
      <c r="D24" s="77" t="s">
        <v>153</v>
      </c>
      <c r="E24" s="77" t="s">
        <v>10</v>
      </c>
      <c r="F24" s="77" t="s">
        <v>51</v>
      </c>
      <c r="G24" s="77" t="s">
        <v>67</v>
      </c>
      <c r="H24" s="77" t="s">
        <v>50</v>
      </c>
      <c r="I24" s="77" t="s">
        <v>50</v>
      </c>
      <c r="J24" s="77" t="s">
        <v>79</v>
      </c>
      <c r="K24" s="77" t="s">
        <v>52</v>
      </c>
      <c r="L24" s="77" t="s">
        <v>63</v>
      </c>
      <c r="M24" s="77" t="s">
        <v>50</v>
      </c>
      <c r="N24" s="77" t="s">
        <v>50</v>
      </c>
      <c r="O24" s="77">
        <v>6</v>
      </c>
      <c r="P24" s="23">
        <f t="shared" si="0"/>
        <v>143</v>
      </c>
      <c r="Q24" s="24">
        <f t="shared" si="17"/>
        <v>858</v>
      </c>
      <c r="R24" s="25">
        <f t="shared" si="1"/>
        <v>3.5</v>
      </c>
      <c r="S24" s="241">
        <f t="shared" si="2"/>
        <v>0.3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 t="str">
        <f t="shared" si="3"/>
        <v>Milities</v>
      </c>
      <c r="CH24" s="28">
        <f>VLOOKUP(C24,'INPUT SHEET '!$U$84:$V$92,2,FALSE)</f>
        <v>3</v>
      </c>
      <c r="CI24" s="28">
        <f>VLOOKUP(D24,'INPUT SHEET '!$U$73:$AD$82,'INPUT SHEET '!CH24,FALSE)</f>
        <v>80</v>
      </c>
      <c r="CJ24" s="28">
        <f>VLOOKUP(G24,'INPUT SHEET '!$AK$74:$AS$92,CH24,FALSE)</f>
        <v>25</v>
      </c>
      <c r="CK24" s="29">
        <f>VLOOKUP(I24,'INPUT SHEET '!$AK$83:$AS$92,CH24,FALSE)</f>
        <v>0</v>
      </c>
      <c r="CL24" s="28">
        <f>IFERROR(VLOOKUP(J24,'INPUT SHEET '!$AU$74:$BD$126,$CH24,FALSE),0)</f>
        <v>13</v>
      </c>
      <c r="CM24" s="28">
        <f>IFERROR(VLOOKUP(K24,'INPUT SHEET '!$AU$74:$BD$126,$CH24,FALSE),0)</f>
        <v>20</v>
      </c>
      <c r="CN24" s="28">
        <f>IFERROR(VLOOKUP(L24,'INPUT SHEET '!$AU$74:$BD$126,$CH24,FALSE),0)</f>
        <v>5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143</v>
      </c>
      <c r="CR24" s="28"/>
      <c r="CS24" s="30">
        <f>VLOOKUP(E24,'INPUT SHEET '!$AF$73:$AG$76,2,0)</f>
        <v>1</v>
      </c>
      <c r="CT24" s="30">
        <f>VLOOKUP(F24,'INPUT SHEET '!$AF$85:$AG$90,2,0)</f>
        <v>1</v>
      </c>
      <c r="CU24" s="28">
        <f>IF(CK24=0,1,VLOOKUP(H24,'INPUT SHEET '!$AF$79:$AG$83,2,FALSE))</f>
        <v>1</v>
      </c>
      <c r="CV24" s="31">
        <f t="shared" si="18"/>
        <v>143</v>
      </c>
      <c r="CW24" s="31"/>
      <c r="CX24" s="31"/>
      <c r="CY24" s="31"/>
      <c r="CZ24" s="31"/>
      <c r="DA24" s="32"/>
      <c r="DB24" s="28">
        <f t="shared" si="5"/>
        <v>1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1</v>
      </c>
      <c r="DM24" s="28">
        <f t="shared" si="14"/>
        <v>0</v>
      </c>
      <c r="DN24" s="28">
        <f t="shared" si="15"/>
        <v>6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/>
      <c r="B25" s="204"/>
      <c r="C25" s="205" t="s">
        <v>40</v>
      </c>
      <c r="D25" s="205" t="s">
        <v>153</v>
      </c>
      <c r="E25" s="205" t="s">
        <v>10</v>
      </c>
      <c r="F25" s="205" t="s">
        <v>51</v>
      </c>
      <c r="G25" s="205" t="s">
        <v>50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/>
      <c r="P25" s="23">
        <f t="shared" si="0"/>
        <v>0</v>
      </c>
      <c r="Q25" s="24">
        <f t="shared" si="17"/>
        <v>0</v>
      </c>
      <c r="R25" s="25">
        <f t="shared" si="1"/>
        <v>0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>
        <f t="shared" si="3"/>
        <v>0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0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60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60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0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75" t="s">
        <v>138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7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240"/>
      <c r="B39" s="204"/>
      <c r="C39" s="205" t="s">
        <v>40</v>
      </c>
      <c r="D39" s="206" t="s">
        <v>37</v>
      </c>
      <c r="E39" s="205" t="s">
        <v>10</v>
      </c>
      <c r="F39" s="205" t="s">
        <v>105</v>
      </c>
      <c r="G39" s="205" t="s">
        <v>50</v>
      </c>
      <c r="H39" s="205" t="s">
        <v>114</v>
      </c>
      <c r="I39" s="205" t="s">
        <v>59</v>
      </c>
      <c r="J39" s="205" t="s">
        <v>50</v>
      </c>
      <c r="K39" s="205" t="s">
        <v>50</v>
      </c>
      <c r="L39" s="205" t="s">
        <v>50</v>
      </c>
      <c r="M39" s="77" t="s">
        <v>50</v>
      </c>
      <c r="N39" s="77" t="s">
        <v>50</v>
      </c>
      <c r="O39" s="203"/>
      <c r="P39" s="23">
        <f t="shared" ref="P39:P54" si="21">IFERROR(IF(A39&gt;0,CV39,0),0)</f>
        <v>0</v>
      </c>
      <c r="Q39" s="24">
        <f t="shared" si="17"/>
        <v>0</v>
      </c>
      <c r="R39" s="25">
        <f t="shared" ref="R39:R54" si="22">IF(O39=0,0,IF(D39="Skirmisher",INT(2*O39/3)/2+0.5,O39/2+0.5))</f>
        <v>0</v>
      </c>
      <c r="S39" s="241">
        <f t="shared" ref="S39:S54" si="23">(DM39/10)+(DP39/30)</f>
        <v>0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>
        <f t="shared" ref="CG39:CG54" si="24">B39</f>
        <v>0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20</v>
      </c>
      <c r="CL39" s="28">
        <f>IFERROR(VLOOKUP(J39,'INPUT SHEET '!$AU$99:$BD$119,$CH39,FALSE),0)</f>
        <v>0</v>
      </c>
      <c r="CM39" s="28">
        <f>IFERROR(VLOOKUP(K39,'INPUT SHEET '!$AU$99:$BD$119,$CH39,FALSE),0)</f>
        <v>0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30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44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0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0</v>
      </c>
      <c r="DQ39" s="32"/>
      <c r="DR39" s="32"/>
    </row>
    <row r="40" spans="1:122" ht="17.100000000000001" customHeight="1" thickBot="1">
      <c r="A40" s="240"/>
      <c r="B40" s="204"/>
      <c r="C40" s="205" t="s">
        <v>40</v>
      </c>
      <c r="D40" s="206" t="s">
        <v>37</v>
      </c>
      <c r="E40" s="205" t="s">
        <v>10</v>
      </c>
      <c r="F40" s="205" t="s">
        <v>105</v>
      </c>
      <c r="G40" s="205" t="s">
        <v>50</v>
      </c>
      <c r="H40" s="205" t="s">
        <v>114</v>
      </c>
      <c r="I40" s="205" t="s">
        <v>59</v>
      </c>
      <c r="J40" s="205" t="s">
        <v>50</v>
      </c>
      <c r="K40" s="205" t="s">
        <v>50</v>
      </c>
      <c r="L40" s="205" t="s">
        <v>50</v>
      </c>
      <c r="M40" s="77" t="s">
        <v>50</v>
      </c>
      <c r="N40" s="77" t="s">
        <v>50</v>
      </c>
      <c r="O40" s="203"/>
      <c r="P40" s="23">
        <f t="shared" si="21"/>
        <v>0</v>
      </c>
      <c r="Q40" s="24">
        <f t="shared" si="17"/>
        <v>0</v>
      </c>
      <c r="R40" s="25">
        <f t="shared" si="22"/>
        <v>0</v>
      </c>
      <c r="S40" s="241">
        <f t="shared" si="23"/>
        <v>0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>
        <f t="shared" si="24"/>
        <v>0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20</v>
      </c>
      <c r="CL40" s="28">
        <f>IFERROR(VLOOKUP(J40,'INPUT SHEET '!$AU$99:$BD$119,$CH40,FALSE),0)</f>
        <v>0</v>
      </c>
      <c r="CM40" s="28">
        <f>IFERROR(VLOOKUP(K40,'INPUT SHEET '!$AU$99:$BD$119,$CH40,FALSE),0)</f>
        <v>0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30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44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0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0</v>
      </c>
      <c r="DQ40" s="32"/>
      <c r="DR40" s="32"/>
    </row>
    <row r="41" spans="1:122" ht="17.100000000000001" customHeight="1" thickBot="1">
      <c r="A41" s="240"/>
      <c r="B41" s="204"/>
      <c r="C41" s="205" t="s">
        <v>40</v>
      </c>
      <c r="D41" s="206" t="s">
        <v>37</v>
      </c>
      <c r="E41" s="205" t="s">
        <v>10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/>
      <c r="P41" s="23">
        <f t="shared" si="21"/>
        <v>0</v>
      </c>
      <c r="Q41" s="24">
        <f t="shared" si="17"/>
        <v>0</v>
      </c>
      <c r="R41" s="25">
        <f t="shared" si="22"/>
        <v>0</v>
      </c>
      <c r="S41" s="241">
        <f t="shared" si="23"/>
        <v>0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>
        <f t="shared" si="24"/>
        <v>0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30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44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0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.100000000000001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75" t="s">
        <v>191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7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1900</v>
      </c>
      <c r="E58" s="60"/>
      <c r="F58" s="60"/>
      <c r="G58" s="251"/>
      <c r="H58" s="61">
        <f>SUM(Q14:Q37)+Q56</f>
        <v>8388</v>
      </c>
      <c r="I58" s="57"/>
      <c r="J58" s="62" t="s">
        <v>138</v>
      </c>
      <c r="K58" s="63">
        <f>SUM(Q39:Q54)</f>
        <v>0</v>
      </c>
      <c r="L58" s="64"/>
      <c r="M58" s="64"/>
      <c r="N58" s="57"/>
      <c r="O58" s="65" t="s">
        <v>8</v>
      </c>
      <c r="P58" s="66">
        <f>Q12</f>
        <v>210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12</v>
      </c>
      <c r="CP58" s="68">
        <f>SUM(DN12:DN54)</f>
        <v>42</v>
      </c>
      <c r="CQ58" s="68">
        <f>SUM(DO12:DO54)</f>
        <v>0</v>
      </c>
      <c r="CR58" s="68">
        <f>SUM(DP12:DP54)</f>
        <v>0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97" t="s">
        <v>158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9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1.2</v>
      </c>
      <c r="CP60" s="11">
        <f>CP58/CP59</f>
        <v>2.1</v>
      </c>
      <c r="CQ60" s="11">
        <f t="shared" ref="CQ60:CR60" si="35">CQ58/CQ59</f>
        <v>0</v>
      </c>
      <c r="CR60" s="11">
        <f t="shared" si="35"/>
        <v>0</v>
      </c>
    </row>
    <row r="61" spans="1:122" s="6" customFormat="1" ht="26.1" customHeight="1" thickBot="1">
      <c r="A61" s="388" t="s">
        <v>125</v>
      </c>
      <c r="B61" s="389"/>
      <c r="C61" s="389"/>
      <c r="D61" s="390"/>
      <c r="E61" s="409" t="s">
        <v>151</v>
      </c>
      <c r="F61" s="410"/>
      <c r="G61" s="410"/>
      <c r="H61" s="410"/>
      <c r="I61" s="410"/>
      <c r="J61" s="410"/>
      <c r="K61" s="400" t="s">
        <v>156</v>
      </c>
      <c r="L61" s="401"/>
      <c r="M61" s="401"/>
      <c r="N61" s="401"/>
      <c r="O61" s="401"/>
      <c r="P61" s="401"/>
      <c r="Q61" s="401"/>
      <c r="R61" s="401"/>
      <c r="S61" s="402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91" t="s">
        <v>127</v>
      </c>
      <c r="B62" s="392"/>
      <c r="C62" s="392"/>
      <c r="D62" s="393"/>
      <c r="E62" s="411" t="s">
        <v>130</v>
      </c>
      <c r="F62" s="412"/>
      <c r="G62" s="412"/>
      <c r="H62" s="415" t="s">
        <v>128</v>
      </c>
      <c r="I62" s="416"/>
      <c r="J62" s="252" t="s">
        <v>126</v>
      </c>
      <c r="K62" s="403" t="s">
        <v>133</v>
      </c>
      <c r="L62" s="404"/>
      <c r="M62" s="404"/>
      <c r="N62" s="404"/>
      <c r="O62" s="404"/>
      <c r="P62" s="404"/>
      <c r="Q62" s="404"/>
      <c r="R62" s="404"/>
      <c r="S62" s="405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3.3</v>
      </c>
      <c r="CR62" s="13"/>
      <c r="CS62" s="13"/>
      <c r="CT62" s="13"/>
    </row>
    <row r="63" spans="1:122" s="12" customFormat="1" ht="20.100000000000001" customHeight="1" thickBot="1">
      <c r="A63" s="394" t="s">
        <v>150</v>
      </c>
      <c r="B63" s="395"/>
      <c r="C63" s="395"/>
      <c r="D63" s="396"/>
      <c r="E63" s="413" t="s">
        <v>131</v>
      </c>
      <c r="F63" s="414"/>
      <c r="G63" s="414"/>
      <c r="H63" s="417" t="s">
        <v>129</v>
      </c>
      <c r="I63" s="418"/>
      <c r="J63" s="253">
        <v>10</v>
      </c>
      <c r="K63" s="406" t="s">
        <v>157</v>
      </c>
      <c r="L63" s="407"/>
      <c r="M63" s="407"/>
      <c r="N63" s="407"/>
      <c r="O63" s="407"/>
      <c r="P63" s="407"/>
      <c r="Q63" s="407"/>
      <c r="R63" s="407"/>
      <c r="S63" s="408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85" t="s">
        <v>85</v>
      </c>
      <c r="CP65" s="386"/>
      <c r="CQ65" s="387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4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0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4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DI11:DI12"/>
    <mergeCell ref="DH11:DH12"/>
    <mergeCell ref="DD11:DD12"/>
    <mergeCell ref="DC11:DC12"/>
    <mergeCell ref="DB11:DB12"/>
    <mergeCell ref="DE11:DE12"/>
    <mergeCell ref="DF11:DF12"/>
    <mergeCell ref="DG11:DG12"/>
    <mergeCell ref="DP11:DP12"/>
    <mergeCell ref="DO11:DO12"/>
    <mergeCell ref="DM11:DM12"/>
    <mergeCell ref="DL11:DL12"/>
    <mergeCell ref="DJ11:DJ12"/>
    <mergeCell ref="DN11:DN12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279"/>
      <c r="O1" s="280"/>
    </row>
    <row r="2" spans="1:24" ht="18" customHeight="1">
      <c r="A2" s="55"/>
      <c r="B2" s="473" t="str">
        <f>'INPUT SHEET '!A2</f>
        <v>Norman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279"/>
      <c r="O2" s="280"/>
    </row>
    <row r="3" spans="1:24" ht="18" customHeight="1">
      <c r="A3" s="55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279"/>
      <c r="O3" s="280"/>
    </row>
    <row r="4" spans="1:24" ht="9" customHeight="1" thickBot="1">
      <c r="A4" s="55"/>
      <c r="B4" s="278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279"/>
      <c r="O4" s="280"/>
    </row>
    <row r="5" spans="1:24" ht="18.75">
      <c r="A5" s="55"/>
      <c r="B5" s="278"/>
      <c r="C5" s="267"/>
      <c r="D5" s="478" t="s">
        <v>322</v>
      </c>
      <c r="E5" s="479"/>
      <c r="F5" s="476" t="str">
        <f>'INPUT SHEET '!J2</f>
        <v>SR</v>
      </c>
      <c r="G5" s="477"/>
      <c r="H5" s="267"/>
      <c r="I5" s="267"/>
      <c r="J5" s="262" t="s">
        <v>134</v>
      </c>
      <c r="K5" s="480" t="str">
        <f>IF('INPUT SHEET '!O2=""," ",'INPUT SHEET '!O2)</f>
        <v xml:space="preserve"> </v>
      </c>
      <c r="L5" s="481"/>
      <c r="M5" s="482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49" t="str">
        <f>'INPUT SHEET '!C5</f>
        <v>Talented Instinctive</v>
      </c>
      <c r="G7" s="450"/>
      <c r="H7" s="282"/>
      <c r="I7" s="282"/>
      <c r="J7" s="262" t="s">
        <v>303</v>
      </c>
      <c r="K7" s="440">
        <f>IF('INPUT SHEET '!D2=""," ",'INPUT SHEET '!D2)</f>
        <v>1060</v>
      </c>
      <c r="L7" s="440"/>
      <c r="M7" s="441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51" t="str">
        <f>'INPUT SHEET '!C6</f>
        <v>Competent Instinctive</v>
      </c>
      <c r="G8" s="452"/>
      <c r="H8" s="433">
        <v>2019.1</v>
      </c>
      <c r="I8" s="434"/>
      <c r="J8" s="263" t="s">
        <v>183</v>
      </c>
      <c r="K8" s="442" t="str">
        <f>CONCATENATE('INPUT SHEET '!G2,"; ",'INPUT SHEET '!H2,"; ",'INPUT SHEET '!I2)</f>
        <v>Std; Cst; -</v>
      </c>
      <c r="L8" s="442"/>
      <c r="M8" s="443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51" t="str">
        <f>'INPUT SHEET '!C7</f>
        <v>Competent Instinctive</v>
      </c>
      <c r="G9" s="452"/>
      <c r="H9" s="433"/>
      <c r="I9" s="434"/>
      <c r="J9" s="263" t="s">
        <v>145</v>
      </c>
      <c r="K9" s="442" t="str">
        <f xml:space="preserve"> CONCATENATE('INPUT SHEET '!E12," ",IF('INPUT SHEET '!J12="-","Unfortified",'INPUT SHEET '!J12))</f>
        <v>Average Unfortified</v>
      </c>
      <c r="L9" s="442"/>
      <c r="M9" s="443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3" t="str">
        <f>'INPUT SHEET '!C8</f>
        <v>Mediocre Instinctive</v>
      </c>
      <c r="G10" s="454"/>
      <c r="H10" s="282"/>
      <c r="I10" s="282"/>
      <c r="J10" s="264" t="s">
        <v>321</v>
      </c>
      <c r="K10" s="437" t="str">
        <f>IF('INPUT SHEET '!E2=""," ",'INPUT SHEET '!E2)</f>
        <v xml:space="preserve"> </v>
      </c>
      <c r="L10" s="437"/>
      <c r="M10" s="438"/>
      <c r="N10" s="279"/>
      <c r="O10" s="280"/>
    </row>
    <row r="11" spans="1:24" ht="15.75" thickBot="1">
      <c r="A11" s="55"/>
      <c r="B11" s="278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279"/>
      <c r="O11" s="280"/>
    </row>
    <row r="12" spans="1:24" ht="17.25" customHeight="1">
      <c r="A12" s="55"/>
      <c r="B12" s="278"/>
      <c r="C12" s="283"/>
      <c r="D12" s="455" t="s">
        <v>318</v>
      </c>
      <c r="E12" s="456"/>
      <c r="F12" s="447">
        <f>'INPUT SHEET '!$P$8</f>
        <v>10498</v>
      </c>
      <c r="G12" s="448"/>
      <c r="H12" s="433"/>
      <c r="I12" s="434"/>
      <c r="J12" s="262" t="s">
        <v>29</v>
      </c>
      <c r="K12" s="265">
        <f>'INPUT SHEET '!P4</f>
        <v>6</v>
      </c>
      <c r="L12" s="459" t="s">
        <v>323</v>
      </c>
      <c r="M12" s="460"/>
      <c r="N12" s="279"/>
      <c r="O12" s="280"/>
    </row>
    <row r="13" spans="1:24" ht="18.75">
      <c r="A13" s="55"/>
      <c r="B13" s="278"/>
      <c r="C13" s="283"/>
      <c r="D13" s="457" t="s">
        <v>155</v>
      </c>
      <c r="E13" s="458"/>
      <c r="F13" s="445">
        <f>'INPUT SHEET '!P6</f>
        <v>6</v>
      </c>
      <c r="G13" s="446"/>
      <c r="H13" s="433"/>
      <c r="I13" s="434"/>
      <c r="J13" s="271" t="s">
        <v>306</v>
      </c>
      <c r="K13" s="272">
        <f>'INPUT SHEET '!P5</f>
        <v>4</v>
      </c>
      <c r="L13" s="435" t="s">
        <v>323</v>
      </c>
      <c r="M13" s="436"/>
      <c r="N13" s="279"/>
      <c r="O13" s="280"/>
      <c r="P13" s="474" t="s">
        <v>325</v>
      </c>
      <c r="Q13" s="474"/>
      <c r="R13" s="474"/>
      <c r="S13" s="474"/>
      <c r="T13" s="474"/>
      <c r="U13" s="474"/>
      <c r="V13" s="474"/>
      <c r="W13" s="474"/>
      <c r="X13" s="474"/>
    </row>
    <row r="14" spans="1:24" ht="9" customHeight="1">
      <c r="A14" s="55"/>
      <c r="B14" s="278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279"/>
      <c r="O14" s="280"/>
      <c r="P14" s="474"/>
      <c r="Q14" s="474"/>
      <c r="R14" s="474"/>
      <c r="S14" s="474"/>
      <c r="T14" s="474"/>
      <c r="U14" s="474"/>
      <c r="V14" s="474"/>
      <c r="W14" s="474"/>
      <c r="X14" s="474"/>
    </row>
    <row r="15" spans="1:24" ht="18.95" customHeight="1">
      <c r="A15" s="55"/>
      <c r="B15" s="471" t="s">
        <v>136</v>
      </c>
      <c r="C15" s="461" t="s">
        <v>6</v>
      </c>
      <c r="D15" s="439" t="s">
        <v>2</v>
      </c>
      <c r="E15" s="439"/>
      <c r="F15" s="273" t="s">
        <v>47</v>
      </c>
      <c r="G15" s="461" t="s">
        <v>301</v>
      </c>
      <c r="H15" s="275" t="s">
        <v>327</v>
      </c>
      <c r="I15" s="463" t="s">
        <v>302</v>
      </c>
      <c r="J15" s="464"/>
      <c r="K15" s="465"/>
      <c r="L15" s="274" t="s">
        <v>329</v>
      </c>
      <c r="M15" s="469" t="s">
        <v>304</v>
      </c>
      <c r="N15" s="279"/>
      <c r="O15" s="280"/>
      <c r="P15" s="474"/>
      <c r="Q15" s="474"/>
      <c r="R15" s="474"/>
      <c r="S15" s="474"/>
      <c r="T15" s="474"/>
      <c r="U15" s="474"/>
      <c r="V15" s="474"/>
      <c r="W15" s="474"/>
      <c r="X15" s="474"/>
    </row>
    <row r="16" spans="1:24" ht="18.95" customHeight="1">
      <c r="A16" s="55"/>
      <c r="B16" s="472"/>
      <c r="C16" s="462"/>
      <c r="D16" s="439" t="s">
        <v>328</v>
      </c>
      <c r="E16" s="439"/>
      <c r="F16" s="273" t="s">
        <v>48</v>
      </c>
      <c r="G16" s="462"/>
      <c r="H16" s="275" t="s">
        <v>326</v>
      </c>
      <c r="I16" s="466"/>
      <c r="J16" s="467"/>
      <c r="K16" s="468"/>
      <c r="L16" s="274" t="s">
        <v>330</v>
      </c>
      <c r="M16" s="470"/>
      <c r="N16" s="279"/>
      <c r="O16" s="280"/>
      <c r="P16" s="475"/>
      <c r="Q16" s="475"/>
      <c r="R16" s="475"/>
      <c r="S16" s="475"/>
      <c r="T16" s="475"/>
      <c r="U16" s="475"/>
      <c r="V16" s="475"/>
      <c r="W16" s="475"/>
      <c r="X16" s="475"/>
    </row>
    <row r="17" spans="1:16" ht="21.95" customHeight="1">
      <c r="A17" s="425" t="s">
        <v>295</v>
      </c>
      <c r="B17" s="425"/>
      <c r="C17" s="425"/>
      <c r="D17" s="425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244"/>
      <c r="P17" s="284" t="s">
        <v>305</v>
      </c>
    </row>
    <row r="18" spans="1:16" ht="16.5" customHeight="1">
      <c r="A18" s="423"/>
      <c r="B18" s="422">
        <f>'INPUT SHEET '!A14</f>
        <v>1</v>
      </c>
      <c r="C18" s="427" t="str">
        <f>IF('INPUT SHEET '!B14=""," ",'INPUT SHEET '!B14)</f>
        <v>Familia Regis</v>
      </c>
      <c r="D18" s="428" t="str">
        <f>'INPUT SHEET '!C14</f>
        <v>CAVALRY</v>
      </c>
      <c r="E18" s="428"/>
      <c r="F18" s="245" t="str">
        <f>'INPUT SHEET '!E14</f>
        <v>Superior</v>
      </c>
      <c r="G18" s="429" t="str">
        <f>'INPUT SHEET '!G14</f>
        <v>Charging Lancer</v>
      </c>
      <c r="H18" s="245" t="str">
        <f>'INPUT SHEET '!H14</f>
        <v>-</v>
      </c>
      <c r="I18" s="429" t="str">
        <f>CONCATENATE('INPUT SHEET '!J14,"; ",'INPUT SHEET '!K14,"; ",'INPUT SHEET '!L14,"; ",'INPUT SHEET '!M14,"; ",'INPUT SHEET '!N14)</f>
        <v>DevastatIng Chargers; Melee Expert; Dismountable; -; -</v>
      </c>
      <c r="J18" s="429"/>
      <c r="K18" s="429"/>
      <c r="L18" s="246">
        <f>'INPUT SHEET '!O14</f>
        <v>6</v>
      </c>
      <c r="M18" s="431">
        <f>'INPUT SHEET '!Q14</f>
        <v>1200</v>
      </c>
      <c r="N18" s="256"/>
      <c r="P18" s="257" t="b">
        <f>'INPUT SHEET '!A14&lt;&gt;0</f>
        <v>1</v>
      </c>
    </row>
    <row r="19" spans="1:16" ht="16.5" customHeight="1">
      <c r="A19" s="423"/>
      <c r="B19" s="422"/>
      <c r="C19" s="427"/>
      <c r="D19" s="430" t="str">
        <f>'INPUT SHEET '!D14</f>
        <v>Formed Loose</v>
      </c>
      <c r="E19" s="430"/>
      <c r="F19" s="266" t="str">
        <f>'INPUT SHEET '!F14</f>
        <v>Protected</v>
      </c>
      <c r="G19" s="429"/>
      <c r="H19" s="247" t="str">
        <f>'INPUT SHEET '!I14</f>
        <v>-</v>
      </c>
      <c r="I19" s="429"/>
      <c r="J19" s="429"/>
      <c r="K19" s="429"/>
      <c r="L19" s="248">
        <f>'INPUT SHEET '!P14</f>
        <v>200</v>
      </c>
      <c r="M19" s="432"/>
      <c r="N19" s="256"/>
      <c r="P19" s="257" t="b">
        <f>P18</f>
        <v>1</v>
      </c>
    </row>
    <row r="20" spans="1:16" ht="16.5" customHeight="1">
      <c r="A20" s="423"/>
      <c r="B20" s="422">
        <f>'INPUT SHEET '!A15</f>
        <v>2</v>
      </c>
      <c r="C20" s="427" t="str">
        <f>IF('INPUT SHEET '!B15=""," ",'INPUT SHEET '!B15)</f>
        <v>Best Milities</v>
      </c>
      <c r="D20" s="428" t="str">
        <f>'INPUT SHEET '!C15</f>
        <v>CAVALRY</v>
      </c>
      <c r="E20" s="428"/>
      <c r="F20" s="245" t="str">
        <f>'INPUT SHEET '!E15</f>
        <v>Superior</v>
      </c>
      <c r="G20" s="429" t="str">
        <f>'INPUT SHEET '!G15</f>
        <v>Charging Lancer</v>
      </c>
      <c r="H20" s="245" t="str">
        <f>'INPUT SHEET '!H15</f>
        <v>-</v>
      </c>
      <c r="I20" s="429" t="str">
        <f>CONCATENATE('INPUT SHEET '!J15,"; ",'INPUT SHEET '!K15,"; ",'INPUT SHEET '!L15,"; ",'INPUT SHEET '!M15,"; ",'INPUT SHEET '!N15)</f>
        <v>DevastatIng Chargers; Melee Expert; -; -; -</v>
      </c>
      <c r="J20" s="429"/>
      <c r="K20" s="429"/>
      <c r="L20" s="246">
        <f>'INPUT SHEET '!O15</f>
        <v>4</v>
      </c>
      <c r="M20" s="431">
        <f>'INPUT SHEET '!Q15</f>
        <v>772</v>
      </c>
      <c r="N20" s="256"/>
      <c r="P20" s="257" t="b">
        <f>'INPUT SHEET '!A15&lt;&gt;0</f>
        <v>1</v>
      </c>
    </row>
    <row r="21" spans="1:16" ht="16.5" customHeight="1">
      <c r="A21" s="423"/>
      <c r="B21" s="422"/>
      <c r="C21" s="427"/>
      <c r="D21" s="430" t="str">
        <f>'INPUT SHEET '!D15</f>
        <v>Formed Loose</v>
      </c>
      <c r="E21" s="430"/>
      <c r="F21" s="266" t="str">
        <f>'INPUT SHEET '!F15</f>
        <v>Protected</v>
      </c>
      <c r="G21" s="429"/>
      <c r="H21" s="247" t="str">
        <f>'INPUT SHEET '!I15</f>
        <v>-</v>
      </c>
      <c r="I21" s="429"/>
      <c r="J21" s="429"/>
      <c r="K21" s="429"/>
      <c r="L21" s="248">
        <f>'INPUT SHEET '!P15</f>
        <v>193</v>
      </c>
      <c r="M21" s="432"/>
      <c r="N21" s="256"/>
      <c r="P21" s="257" t="b">
        <f>P20</f>
        <v>1</v>
      </c>
    </row>
    <row r="22" spans="1:16" ht="16.5" customHeight="1">
      <c r="A22" s="423"/>
      <c r="B22" s="422">
        <f>'INPUT SHEET '!A16</f>
        <v>3</v>
      </c>
      <c r="C22" s="427" t="str">
        <f>IF('INPUT SHEET '!B16=""," ",'INPUT SHEET '!B16)</f>
        <v>Best Milities</v>
      </c>
      <c r="D22" s="428" t="str">
        <f>'INPUT SHEET '!C16</f>
        <v>CAVALRY</v>
      </c>
      <c r="E22" s="428"/>
      <c r="F22" s="245" t="str">
        <f>'INPUT SHEET '!E16</f>
        <v>Superior</v>
      </c>
      <c r="G22" s="429" t="str">
        <f>'INPUT SHEET '!G16</f>
        <v>Charging Lancer</v>
      </c>
      <c r="H22" s="245" t="str">
        <f>'INPUT SHEET '!H16</f>
        <v>-</v>
      </c>
      <c r="I22" s="429" t="str">
        <f>CONCATENATE('INPUT SHEET '!J16,"; ",'INPUT SHEET '!K16,"; ",'INPUT SHEET '!L16,"; ",'INPUT SHEET '!M16,"; ",'INPUT SHEET '!N16)</f>
        <v>DevastatIng Chargers; Melee Expert; -; -; -</v>
      </c>
      <c r="J22" s="429"/>
      <c r="K22" s="429"/>
      <c r="L22" s="246">
        <f>'INPUT SHEET '!O16</f>
        <v>4</v>
      </c>
      <c r="M22" s="431">
        <f>'INPUT SHEET '!Q16</f>
        <v>772</v>
      </c>
      <c r="N22" s="256"/>
      <c r="P22" s="257" t="b">
        <f>'INPUT SHEET '!A16&lt;&gt;0</f>
        <v>1</v>
      </c>
    </row>
    <row r="23" spans="1:16" ht="16.5" customHeight="1">
      <c r="A23" s="423"/>
      <c r="B23" s="422"/>
      <c r="C23" s="427"/>
      <c r="D23" s="430" t="str">
        <f>'INPUT SHEET '!D16</f>
        <v>Formed Loose</v>
      </c>
      <c r="E23" s="430"/>
      <c r="F23" s="266" t="str">
        <f>'INPUT SHEET '!F16</f>
        <v>Protected</v>
      </c>
      <c r="G23" s="429"/>
      <c r="H23" s="247" t="str">
        <f>'INPUT SHEET '!I16</f>
        <v>-</v>
      </c>
      <c r="I23" s="429"/>
      <c r="J23" s="429"/>
      <c r="K23" s="429"/>
      <c r="L23" s="248">
        <f>'INPUT SHEET '!P16</f>
        <v>193</v>
      </c>
      <c r="M23" s="432"/>
      <c r="N23" s="256"/>
      <c r="P23" s="257" t="b">
        <f>P22</f>
        <v>1</v>
      </c>
    </row>
    <row r="24" spans="1:16" ht="16.5" customHeight="1">
      <c r="A24" s="423"/>
      <c r="B24" s="422">
        <f>'INPUT SHEET '!A17</f>
        <v>4</v>
      </c>
      <c r="C24" s="427" t="str">
        <f>IF('INPUT SHEET '!B17=""," ",'INPUT SHEET '!B17)</f>
        <v>Milities</v>
      </c>
      <c r="D24" s="428" t="str">
        <f>'INPUT SHEET '!C17</f>
        <v>CAVALRY</v>
      </c>
      <c r="E24" s="428"/>
      <c r="F24" s="245" t="str">
        <f>'INPUT SHEET '!E17</f>
        <v>Average</v>
      </c>
      <c r="G24" s="429" t="str">
        <f>'INPUT SHEET '!G17</f>
        <v>Charging Lancer</v>
      </c>
      <c r="H24" s="245" t="str">
        <f>'INPUT SHEET '!H17</f>
        <v>-</v>
      </c>
      <c r="I24" s="429" t="str">
        <f>CONCATENATE('INPUT SHEET '!J17,"; ",'INPUT SHEET '!K17,"; ",'INPUT SHEET '!L17,"; ",'INPUT SHEET '!M17,"; ",'INPUT SHEET '!N17)</f>
        <v>DevastatIng Chargers; Melee Expert; Dismountable; -; -</v>
      </c>
      <c r="J24" s="429"/>
      <c r="K24" s="429"/>
      <c r="L24" s="246">
        <f>'INPUT SHEET '!O17</f>
        <v>6</v>
      </c>
      <c r="M24" s="431">
        <f>'INPUT SHEET '!Q17</f>
        <v>858</v>
      </c>
      <c r="N24" s="256"/>
      <c r="P24" s="257" t="b">
        <f>'INPUT SHEET '!A17&lt;&gt;0</f>
        <v>1</v>
      </c>
    </row>
    <row r="25" spans="1:16" ht="16.5" customHeight="1">
      <c r="A25" s="423"/>
      <c r="B25" s="422"/>
      <c r="C25" s="427"/>
      <c r="D25" s="430" t="str">
        <f>'INPUT SHEET '!D17</f>
        <v>Formed Loose</v>
      </c>
      <c r="E25" s="430"/>
      <c r="F25" s="266" t="str">
        <f>'INPUT SHEET '!F17</f>
        <v>Protected</v>
      </c>
      <c r="G25" s="429"/>
      <c r="H25" s="247" t="str">
        <f>'INPUT SHEET '!I17</f>
        <v>-</v>
      </c>
      <c r="I25" s="429"/>
      <c r="J25" s="429"/>
      <c r="K25" s="429"/>
      <c r="L25" s="248">
        <f>'INPUT SHEET '!P17</f>
        <v>143</v>
      </c>
      <c r="M25" s="432"/>
      <c r="N25" s="256"/>
      <c r="P25" s="257" t="b">
        <f>P24</f>
        <v>1</v>
      </c>
    </row>
    <row r="26" spans="1:16" ht="16.5" customHeight="1">
      <c r="A26" s="423"/>
      <c r="B26" s="422">
        <f>'INPUT SHEET '!A18</f>
        <v>5</v>
      </c>
      <c r="C26" s="427" t="str">
        <f>IF('INPUT SHEET '!B18=""," ",'INPUT SHEET '!B18)</f>
        <v>Milities</v>
      </c>
      <c r="D26" s="428" t="str">
        <f>'INPUT SHEET '!C18</f>
        <v>CAVALRY</v>
      </c>
      <c r="E26" s="428"/>
      <c r="F26" s="245" t="str">
        <f>'INPUT SHEET '!E18</f>
        <v>Average</v>
      </c>
      <c r="G26" s="429" t="str">
        <f>'INPUT SHEET '!G18</f>
        <v>Charging Lancer</v>
      </c>
      <c r="H26" s="245" t="str">
        <f>'INPUT SHEET '!H18</f>
        <v>-</v>
      </c>
      <c r="I26" s="429" t="str">
        <f>CONCATENATE('INPUT SHEET '!J18,"; ",'INPUT SHEET '!K18,"; ",'INPUT SHEET '!L18,"; ",'INPUT SHEET '!M18,"; ",'INPUT SHEET '!N18)</f>
        <v>DevastatIng Chargers; Melee Expert; Dismountable; -; -</v>
      </c>
      <c r="J26" s="429"/>
      <c r="K26" s="429"/>
      <c r="L26" s="246">
        <f>'INPUT SHEET '!O18</f>
        <v>6</v>
      </c>
      <c r="M26" s="431">
        <f>'INPUT SHEET '!Q18</f>
        <v>858</v>
      </c>
      <c r="N26" s="256"/>
      <c r="P26" s="257" t="b">
        <f>'INPUT SHEET '!A18&lt;&gt;0</f>
        <v>1</v>
      </c>
    </row>
    <row r="27" spans="1:16" ht="16.5" customHeight="1">
      <c r="A27" s="423"/>
      <c r="B27" s="422"/>
      <c r="C27" s="427"/>
      <c r="D27" s="430" t="str">
        <f>'INPUT SHEET '!D18</f>
        <v>Formed Loose</v>
      </c>
      <c r="E27" s="430"/>
      <c r="F27" s="266" t="str">
        <f>'INPUT SHEET '!F18</f>
        <v>Protected</v>
      </c>
      <c r="G27" s="429"/>
      <c r="H27" s="247" t="str">
        <f>'INPUT SHEET '!I18</f>
        <v>-</v>
      </c>
      <c r="I27" s="429"/>
      <c r="J27" s="429"/>
      <c r="K27" s="429"/>
      <c r="L27" s="248">
        <f>'INPUT SHEET '!P18</f>
        <v>143</v>
      </c>
      <c r="M27" s="432"/>
      <c r="N27" s="256"/>
      <c r="P27" s="257" t="b">
        <f>P26</f>
        <v>1</v>
      </c>
    </row>
    <row r="28" spans="1:16" ht="16.5" customHeight="1">
      <c r="A28" s="423"/>
      <c r="B28" s="422">
        <f>'INPUT SHEET '!A19</f>
        <v>6</v>
      </c>
      <c r="C28" s="427" t="str">
        <f>IF('INPUT SHEET '!B19=""," ",'INPUT SHEET '!B19)</f>
        <v>Milities</v>
      </c>
      <c r="D28" s="428" t="str">
        <f>'INPUT SHEET '!C19</f>
        <v>CAVALRY</v>
      </c>
      <c r="E28" s="428"/>
      <c r="F28" s="245" t="str">
        <f>'INPUT SHEET '!E19</f>
        <v>Average</v>
      </c>
      <c r="G28" s="429" t="str">
        <f>'INPUT SHEET '!G19</f>
        <v>Charging Lancer</v>
      </c>
      <c r="H28" s="245" t="str">
        <f>'INPUT SHEET '!H19</f>
        <v>-</v>
      </c>
      <c r="I28" s="429" t="str">
        <f>CONCATENATE('INPUT SHEET '!J19,"; ",'INPUT SHEET '!K19,"; ",'INPUT SHEET '!L19,"; ",'INPUT SHEET '!M19,"; ",'INPUT SHEET '!N19)</f>
        <v>DevastatIng Chargers; Melee Expert; Dismountable; -; -</v>
      </c>
      <c r="J28" s="429"/>
      <c r="K28" s="429"/>
      <c r="L28" s="246">
        <f>'INPUT SHEET '!O19</f>
        <v>6</v>
      </c>
      <c r="M28" s="431">
        <f>'INPUT SHEET '!Q19</f>
        <v>858</v>
      </c>
      <c r="N28" s="256"/>
      <c r="P28" s="257" t="b">
        <f>'INPUT SHEET '!A19&lt;&gt;0</f>
        <v>1</v>
      </c>
    </row>
    <row r="29" spans="1:16" ht="16.5" customHeight="1">
      <c r="A29" s="423"/>
      <c r="B29" s="422"/>
      <c r="C29" s="427"/>
      <c r="D29" s="430" t="str">
        <f>'INPUT SHEET '!D19</f>
        <v>Formed Loose</v>
      </c>
      <c r="E29" s="430"/>
      <c r="F29" s="266" t="str">
        <f>'INPUT SHEET '!F19</f>
        <v>Protected</v>
      </c>
      <c r="G29" s="429"/>
      <c r="H29" s="247" t="str">
        <f>'INPUT SHEET '!I19</f>
        <v>-</v>
      </c>
      <c r="I29" s="429"/>
      <c r="J29" s="429"/>
      <c r="K29" s="429"/>
      <c r="L29" s="248">
        <f>'INPUT SHEET '!P19</f>
        <v>143</v>
      </c>
      <c r="M29" s="432"/>
      <c r="N29" s="256"/>
      <c r="P29" s="257" t="b">
        <f>P28</f>
        <v>1</v>
      </c>
    </row>
    <row r="30" spans="1:16" ht="16.5" customHeight="1">
      <c r="A30" s="423"/>
      <c r="B30" s="422">
        <f>'INPUT SHEET '!A20</f>
        <v>7</v>
      </c>
      <c r="C30" s="427" t="str">
        <f>IF('INPUT SHEET '!B20=""," ",'INPUT SHEET '!B20)</f>
        <v>Breton Milities</v>
      </c>
      <c r="D30" s="428" t="str">
        <f>'INPUT SHEET '!C20</f>
        <v>CAVALRY</v>
      </c>
      <c r="E30" s="428"/>
      <c r="F30" s="245" t="str">
        <f>'INPUT SHEET '!E20</f>
        <v>Average</v>
      </c>
      <c r="G30" s="429" t="str">
        <f>'INPUT SHEET '!G20</f>
        <v>Short Spear</v>
      </c>
      <c r="H30" s="245" t="str">
        <f>'INPUT SHEET '!H20</f>
        <v>Experienced</v>
      </c>
      <c r="I30" s="429" t="str">
        <f>CONCATENATE('INPUT SHEET '!J20,"; ",'INPUT SHEET '!K20,"; ",'INPUT SHEET '!L20,"; ",'INPUT SHEET '!M20,"; ",'INPUT SHEET '!N20)</f>
        <v>-; -; -; -; -</v>
      </c>
      <c r="J30" s="429"/>
      <c r="K30" s="429"/>
      <c r="L30" s="246">
        <f>'INPUT SHEET '!O20</f>
        <v>4</v>
      </c>
      <c r="M30" s="431">
        <f>'INPUT SHEET '!Q20</f>
        <v>480</v>
      </c>
      <c r="N30" s="256"/>
      <c r="P30" s="257" t="b">
        <f>'INPUT SHEET '!A20&lt;&gt;0</f>
        <v>1</v>
      </c>
    </row>
    <row r="31" spans="1:16" ht="16.5" customHeight="1">
      <c r="A31" s="423"/>
      <c r="B31" s="422"/>
      <c r="C31" s="427"/>
      <c r="D31" s="430" t="str">
        <f>'INPUT SHEET '!D20</f>
        <v>Formed Flexible</v>
      </c>
      <c r="E31" s="430"/>
      <c r="F31" s="266" t="str">
        <f>'INPUT SHEET '!F20</f>
        <v>Protected</v>
      </c>
      <c r="G31" s="429"/>
      <c r="H31" s="247" t="str">
        <f>'INPUT SHEET '!I20</f>
        <v>Javelin</v>
      </c>
      <c r="I31" s="429"/>
      <c r="J31" s="429"/>
      <c r="K31" s="429"/>
      <c r="L31" s="248">
        <f>'INPUT SHEET '!P20</f>
        <v>120</v>
      </c>
      <c r="M31" s="432"/>
      <c r="N31" s="256"/>
      <c r="P31" s="257" t="b">
        <f>P30</f>
        <v>1</v>
      </c>
    </row>
    <row r="32" spans="1:16" ht="16.5" customHeight="1">
      <c r="A32" s="423"/>
      <c r="B32" s="422">
        <f>'INPUT SHEET '!A21</f>
        <v>8</v>
      </c>
      <c r="C32" s="427" t="str">
        <f>IF('INPUT SHEET '!B21=""," ",'INPUT SHEET '!B21)</f>
        <v>Breton Milities</v>
      </c>
      <c r="D32" s="428" t="str">
        <f>'INPUT SHEET '!C21</f>
        <v>CAVALRY</v>
      </c>
      <c r="E32" s="428"/>
      <c r="F32" s="245" t="str">
        <f>'INPUT SHEET '!E21</f>
        <v>Average</v>
      </c>
      <c r="G32" s="429" t="str">
        <f>'INPUT SHEET '!G21</f>
        <v>Short Spear</v>
      </c>
      <c r="H32" s="245" t="str">
        <f>'INPUT SHEET '!H21</f>
        <v>Experienced</v>
      </c>
      <c r="I32" s="429" t="str">
        <f>CONCATENATE('INPUT SHEET '!J21,"; ",'INPUT SHEET '!K21,"; ",'INPUT SHEET '!L21,"; ",'INPUT SHEET '!M21,"; ",'INPUT SHEET '!N21)</f>
        <v>-; -; -; -; -</v>
      </c>
      <c r="J32" s="429"/>
      <c r="K32" s="429"/>
      <c r="L32" s="246">
        <f>'INPUT SHEET '!O21</f>
        <v>4</v>
      </c>
      <c r="M32" s="431">
        <f>'INPUT SHEET '!Q21</f>
        <v>480</v>
      </c>
      <c r="N32" s="256"/>
      <c r="P32" s="257" t="b">
        <f>'INPUT SHEET '!A21&lt;&gt;0</f>
        <v>1</v>
      </c>
    </row>
    <row r="33" spans="1:16" ht="16.5" customHeight="1">
      <c r="A33" s="423"/>
      <c r="B33" s="422"/>
      <c r="C33" s="427"/>
      <c r="D33" s="430" t="str">
        <f>'INPUT SHEET '!D21</f>
        <v>Formed Flexible</v>
      </c>
      <c r="E33" s="430"/>
      <c r="F33" s="266" t="str">
        <f>'INPUT SHEET '!F21</f>
        <v>Protected</v>
      </c>
      <c r="G33" s="429"/>
      <c r="H33" s="247" t="str">
        <f>'INPUT SHEET '!I21</f>
        <v>Javelin</v>
      </c>
      <c r="I33" s="429"/>
      <c r="J33" s="429"/>
      <c r="K33" s="429"/>
      <c r="L33" s="248">
        <f>'INPUT SHEET '!P21</f>
        <v>120</v>
      </c>
      <c r="M33" s="432"/>
      <c r="N33" s="256"/>
      <c r="P33" s="257" t="b">
        <f>P32</f>
        <v>1</v>
      </c>
    </row>
    <row r="34" spans="1:16" ht="16.5" customHeight="1">
      <c r="A34" s="423"/>
      <c r="B34" s="422">
        <f>'INPUT SHEET '!A22</f>
        <v>9</v>
      </c>
      <c r="C34" s="427" t="str">
        <f>IF('INPUT SHEET '!B22=""," ",'INPUT SHEET '!B22)</f>
        <v>Breton Milities</v>
      </c>
      <c r="D34" s="428" t="str">
        <f>'INPUT SHEET '!C22</f>
        <v>CAVALRY</v>
      </c>
      <c r="E34" s="428"/>
      <c r="F34" s="245" t="str">
        <f>'INPUT SHEET '!E22</f>
        <v>Average</v>
      </c>
      <c r="G34" s="429" t="str">
        <f>'INPUT SHEET '!G22</f>
        <v>Short Spear</v>
      </c>
      <c r="H34" s="245" t="str">
        <f>'INPUT SHEET '!H22</f>
        <v>Experienced</v>
      </c>
      <c r="I34" s="429" t="str">
        <f>CONCATENATE('INPUT SHEET '!J22,"; ",'INPUT SHEET '!K22,"; ",'INPUT SHEET '!L22,"; ",'INPUT SHEET '!M22,"; ",'INPUT SHEET '!N22)</f>
        <v>-; -; -; -; -</v>
      </c>
      <c r="J34" s="429"/>
      <c r="K34" s="429"/>
      <c r="L34" s="246">
        <f>'INPUT SHEET '!O22</f>
        <v>4</v>
      </c>
      <c r="M34" s="431">
        <f>'INPUT SHEET '!Q22</f>
        <v>480</v>
      </c>
      <c r="N34" s="256"/>
      <c r="P34" s="257" t="b">
        <f>'INPUT SHEET '!A22&lt;&gt;0</f>
        <v>1</v>
      </c>
    </row>
    <row r="35" spans="1:16" ht="16.5" customHeight="1">
      <c r="A35" s="423"/>
      <c r="B35" s="422"/>
      <c r="C35" s="427"/>
      <c r="D35" s="430" t="str">
        <f>'INPUT SHEET '!D22</f>
        <v>Formed Flexible</v>
      </c>
      <c r="E35" s="430"/>
      <c r="F35" s="266" t="str">
        <f>'INPUT SHEET '!F22</f>
        <v>Protected</v>
      </c>
      <c r="G35" s="429"/>
      <c r="H35" s="247" t="str">
        <f>'INPUT SHEET '!I22</f>
        <v>Javelin</v>
      </c>
      <c r="I35" s="429"/>
      <c r="J35" s="429"/>
      <c r="K35" s="429"/>
      <c r="L35" s="248">
        <f>'INPUT SHEET '!P22</f>
        <v>120</v>
      </c>
      <c r="M35" s="432"/>
      <c r="N35" s="256"/>
      <c r="P35" s="257" t="b">
        <f>P34</f>
        <v>1</v>
      </c>
    </row>
    <row r="36" spans="1:16" ht="16.5" customHeight="1">
      <c r="A36" s="423"/>
      <c r="B36" s="422">
        <f>'INPUT SHEET '!A23</f>
        <v>10</v>
      </c>
      <c r="C36" s="427" t="str">
        <f>IF('INPUT SHEET '!B23=""," ",'INPUT SHEET '!B23)</f>
        <v>Best Milities</v>
      </c>
      <c r="D36" s="428" t="str">
        <f>'INPUT SHEET '!C23</f>
        <v>CAVALRY</v>
      </c>
      <c r="E36" s="428"/>
      <c r="F36" s="245" t="str">
        <f>'INPUT SHEET '!E23</f>
        <v>Superior</v>
      </c>
      <c r="G36" s="429" t="str">
        <f>'INPUT SHEET '!G23</f>
        <v>Charging Lancer</v>
      </c>
      <c r="H36" s="245" t="str">
        <f>'INPUT SHEET '!H23</f>
        <v>-</v>
      </c>
      <c r="I36" s="429" t="str">
        <f>CONCATENATE('INPUT SHEET '!J23,"; ",'INPUT SHEET '!K23,"; ",'INPUT SHEET '!L23,"; ",'INPUT SHEET '!M23,"; ",'INPUT SHEET '!N23)</f>
        <v>DevastatIng Chargers; Melee Expert; -; -; -</v>
      </c>
      <c r="J36" s="429"/>
      <c r="K36" s="429"/>
      <c r="L36" s="246">
        <f>'INPUT SHEET '!O23</f>
        <v>4</v>
      </c>
      <c r="M36" s="431">
        <f>'INPUT SHEET '!Q23</f>
        <v>772</v>
      </c>
      <c r="N36" s="256"/>
      <c r="P36" s="257" t="b">
        <f>'INPUT SHEET '!A23&lt;&gt;0</f>
        <v>1</v>
      </c>
    </row>
    <row r="37" spans="1:16" ht="16.5" customHeight="1">
      <c r="A37" s="423"/>
      <c r="B37" s="422"/>
      <c r="C37" s="427"/>
      <c r="D37" s="430" t="str">
        <f>'INPUT SHEET '!D23</f>
        <v>Formed Loose</v>
      </c>
      <c r="E37" s="430"/>
      <c r="F37" s="266" t="str">
        <f>'INPUT SHEET '!F23</f>
        <v>Protected</v>
      </c>
      <c r="G37" s="429"/>
      <c r="H37" s="247" t="str">
        <f>'INPUT SHEET '!I23</f>
        <v>-</v>
      </c>
      <c r="I37" s="429"/>
      <c r="J37" s="429"/>
      <c r="K37" s="429"/>
      <c r="L37" s="248">
        <f>'INPUT SHEET '!P23</f>
        <v>193</v>
      </c>
      <c r="M37" s="432"/>
      <c r="N37" s="256"/>
      <c r="P37" s="257" t="b">
        <f>P36</f>
        <v>1</v>
      </c>
    </row>
    <row r="38" spans="1:16" ht="16.5" customHeight="1">
      <c r="A38" s="423"/>
      <c r="B38" s="422">
        <f>'INPUT SHEET '!A24</f>
        <v>11</v>
      </c>
      <c r="C38" s="427" t="str">
        <f>IF('INPUT SHEET '!B24=""," ",'INPUT SHEET '!B24)</f>
        <v>Milities</v>
      </c>
      <c r="D38" s="428" t="str">
        <f>'INPUT SHEET '!C24</f>
        <v>CAVALRY</v>
      </c>
      <c r="E38" s="428"/>
      <c r="F38" s="245" t="str">
        <f>'INPUT SHEET '!E24</f>
        <v>Average</v>
      </c>
      <c r="G38" s="429" t="str">
        <f>'INPUT SHEET '!G24</f>
        <v>Charging Lancer</v>
      </c>
      <c r="H38" s="245" t="str">
        <f>'INPUT SHEET '!H24</f>
        <v>-</v>
      </c>
      <c r="I38" s="429" t="str">
        <f>CONCATENATE('INPUT SHEET '!J24,"; ",'INPUT SHEET '!K24,"; ",'INPUT SHEET '!L24,"; ",'INPUT SHEET '!M24,"; ",'INPUT SHEET '!N24)</f>
        <v>DevastatIng Chargers; Melee Expert; Dismountable; -; -</v>
      </c>
      <c r="J38" s="429"/>
      <c r="K38" s="429"/>
      <c r="L38" s="246">
        <f>'INPUT SHEET '!O24</f>
        <v>6</v>
      </c>
      <c r="M38" s="431">
        <f>'INPUT SHEET '!Q24</f>
        <v>858</v>
      </c>
      <c r="N38" s="256"/>
      <c r="P38" s="257" t="b">
        <f>'INPUT SHEET '!A24&lt;&gt;0</f>
        <v>1</v>
      </c>
    </row>
    <row r="39" spans="1:16" ht="16.5" customHeight="1">
      <c r="A39" s="423"/>
      <c r="B39" s="422"/>
      <c r="C39" s="427"/>
      <c r="D39" s="430" t="str">
        <f>'INPUT SHEET '!D24</f>
        <v>Formed Loose</v>
      </c>
      <c r="E39" s="430"/>
      <c r="F39" s="266" t="str">
        <f>'INPUT SHEET '!F24</f>
        <v>Protected</v>
      </c>
      <c r="G39" s="429"/>
      <c r="H39" s="247" t="str">
        <f>'INPUT SHEET '!I24</f>
        <v>-</v>
      </c>
      <c r="I39" s="429"/>
      <c r="J39" s="429"/>
      <c r="K39" s="429"/>
      <c r="L39" s="248">
        <f>'INPUT SHEET '!P24</f>
        <v>143</v>
      </c>
      <c r="M39" s="432"/>
      <c r="N39" s="256"/>
      <c r="P39" s="257" t="b">
        <f>P38</f>
        <v>1</v>
      </c>
    </row>
    <row r="40" spans="1:16" ht="16.5" customHeight="1">
      <c r="A40" s="423"/>
      <c r="B40" s="422">
        <f>'INPUT SHEET '!A25</f>
        <v>0</v>
      </c>
      <c r="C40" s="427" t="str">
        <f>IF('INPUT SHEET '!B25=""," ",'INPUT SHEET '!B25)</f>
        <v xml:space="preserve"> </v>
      </c>
      <c r="D40" s="428" t="str">
        <f>'INPUT SHEET '!C25</f>
        <v>INFANTRY</v>
      </c>
      <c r="E40" s="428"/>
      <c r="F40" s="245" t="str">
        <f>'INPUT SHEET '!E25</f>
        <v>Average</v>
      </c>
      <c r="G40" s="429" t="str">
        <f>'INPUT SHEET '!G25</f>
        <v>-</v>
      </c>
      <c r="H40" s="245" t="str">
        <f>'INPUT SHEET '!H25</f>
        <v>-</v>
      </c>
      <c r="I40" s="429" t="str">
        <f>CONCATENATE('INPUT SHEET '!J25,"; ",'INPUT SHEET '!K25,"; ",'INPUT SHEET '!L25,"; ",'INPUT SHEET '!M25,"; ",'INPUT SHEET '!N25)</f>
        <v>-; -; -; -; -</v>
      </c>
      <c r="J40" s="429"/>
      <c r="K40" s="429"/>
      <c r="L40" s="246">
        <f>'INPUT SHEET '!O25</f>
        <v>0</v>
      </c>
      <c r="M40" s="431">
        <f>'INPUT SHEET '!Q25</f>
        <v>0</v>
      </c>
      <c r="N40" s="256"/>
      <c r="P40" s="257" t="b">
        <f>'INPUT SHEET '!A25&lt;&gt;0</f>
        <v>0</v>
      </c>
    </row>
    <row r="41" spans="1:16" ht="16.5" customHeight="1">
      <c r="A41" s="423"/>
      <c r="B41" s="422"/>
      <c r="C41" s="427"/>
      <c r="D41" s="430" t="str">
        <f>'INPUT SHEET '!D25</f>
        <v>Formed Loose</v>
      </c>
      <c r="E41" s="430"/>
      <c r="F41" s="266" t="str">
        <f>'INPUT SHEET '!F25</f>
        <v>Protected</v>
      </c>
      <c r="G41" s="429"/>
      <c r="H41" s="247" t="str">
        <f>'INPUT SHEET '!I25</f>
        <v>-</v>
      </c>
      <c r="I41" s="429"/>
      <c r="J41" s="429"/>
      <c r="K41" s="429"/>
      <c r="L41" s="248">
        <f>'INPUT SHEET '!P25</f>
        <v>0</v>
      </c>
      <c r="M41" s="432"/>
      <c r="N41" s="256"/>
      <c r="P41" s="257" t="b">
        <f>P40</f>
        <v>0</v>
      </c>
    </row>
    <row r="42" spans="1:16" ht="16.5" customHeight="1">
      <c r="A42" s="423"/>
      <c r="B42" s="422">
        <f>'INPUT SHEET '!A26</f>
        <v>0</v>
      </c>
      <c r="C42" s="427" t="str">
        <f>IF('INPUT SHEET '!B26=""," ",'INPUT SHEET '!B26)</f>
        <v xml:space="preserve"> </v>
      </c>
      <c r="D42" s="428" t="str">
        <f>'INPUT SHEET '!C26</f>
        <v>INFANTRY</v>
      </c>
      <c r="E42" s="428"/>
      <c r="F42" s="245" t="str">
        <f>'INPUT SHEET '!E26</f>
        <v>Average</v>
      </c>
      <c r="G42" s="429" t="str">
        <f>'INPUT SHEET '!G26</f>
        <v>-</v>
      </c>
      <c r="H42" s="245" t="str">
        <f>'INPUT SHEET '!H26</f>
        <v>-</v>
      </c>
      <c r="I42" s="429" t="str">
        <f>CONCATENATE('INPUT SHEET '!J26,"; ",'INPUT SHEET '!K26,"; ",'INPUT SHEET '!L26,"; ",'INPUT SHEET '!M26,"; ",'INPUT SHEET '!N26)</f>
        <v>-; -; -; -; -</v>
      </c>
      <c r="J42" s="429"/>
      <c r="K42" s="429"/>
      <c r="L42" s="246">
        <f>'INPUT SHEET '!O26</f>
        <v>0</v>
      </c>
      <c r="M42" s="431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23"/>
      <c r="B43" s="422"/>
      <c r="C43" s="427"/>
      <c r="D43" s="430" t="str">
        <f>'INPUT SHEET '!D26</f>
        <v>Formed Loose</v>
      </c>
      <c r="E43" s="430"/>
      <c r="F43" s="266" t="str">
        <f>'INPUT SHEET '!F26</f>
        <v>Protected</v>
      </c>
      <c r="G43" s="429"/>
      <c r="H43" s="247" t="str">
        <f>'INPUT SHEET '!I26</f>
        <v>-</v>
      </c>
      <c r="I43" s="429"/>
      <c r="J43" s="429"/>
      <c r="K43" s="429"/>
      <c r="L43" s="248">
        <f>'INPUT SHEET '!P26</f>
        <v>0</v>
      </c>
      <c r="M43" s="432"/>
      <c r="N43" s="256"/>
      <c r="P43" s="257" t="b">
        <f>P42</f>
        <v>0</v>
      </c>
    </row>
    <row r="44" spans="1:16" ht="16.5" customHeight="1">
      <c r="A44" s="423"/>
      <c r="B44" s="422">
        <f>'INPUT SHEET '!A27</f>
        <v>0</v>
      </c>
      <c r="C44" s="427" t="str">
        <f>IF('INPUT SHEET '!B27=""," ",'INPUT SHEET '!B27)</f>
        <v xml:space="preserve"> </v>
      </c>
      <c r="D44" s="428" t="str">
        <f>'INPUT SHEET '!C27</f>
        <v>INFANTRY</v>
      </c>
      <c r="E44" s="428"/>
      <c r="F44" s="245" t="str">
        <f>'INPUT SHEET '!E27</f>
        <v>Average</v>
      </c>
      <c r="G44" s="429" t="str">
        <f>'INPUT SHEET '!G27</f>
        <v>-</v>
      </c>
      <c r="H44" s="245" t="str">
        <f>'INPUT SHEET '!H27</f>
        <v>-</v>
      </c>
      <c r="I44" s="429" t="str">
        <f>CONCATENATE('INPUT SHEET '!J27,"; ",'INPUT SHEET '!K27,"; ",'INPUT SHEET '!L27,"; ",'INPUT SHEET '!M27,"; ",'INPUT SHEET '!N27)</f>
        <v>-; -; -; -; -</v>
      </c>
      <c r="J44" s="429"/>
      <c r="K44" s="429"/>
      <c r="L44" s="246">
        <f>'INPUT SHEET '!O27</f>
        <v>0</v>
      </c>
      <c r="M44" s="431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23"/>
      <c r="B45" s="422"/>
      <c r="C45" s="427"/>
      <c r="D45" s="430" t="str">
        <f>'INPUT SHEET '!D27</f>
        <v>Formed Loose</v>
      </c>
      <c r="E45" s="430"/>
      <c r="F45" s="266" t="str">
        <f>'INPUT SHEET '!F27</f>
        <v>Protected</v>
      </c>
      <c r="G45" s="429"/>
      <c r="H45" s="247" t="str">
        <f>'INPUT SHEET '!I27</f>
        <v>-</v>
      </c>
      <c r="I45" s="429"/>
      <c r="J45" s="429"/>
      <c r="K45" s="429"/>
      <c r="L45" s="248">
        <f>'INPUT SHEET '!P27</f>
        <v>0</v>
      </c>
      <c r="M45" s="432"/>
      <c r="N45" s="256"/>
      <c r="P45" s="257" t="b">
        <f>P44</f>
        <v>0</v>
      </c>
    </row>
    <row r="46" spans="1:16" ht="16.5" customHeight="1">
      <c r="A46" s="423"/>
      <c r="B46" s="422">
        <f>'INPUT SHEET '!A28</f>
        <v>0</v>
      </c>
      <c r="C46" s="427" t="str">
        <f>IF('INPUT SHEET '!B28=""," ",'INPUT SHEET '!B28)</f>
        <v xml:space="preserve"> </v>
      </c>
      <c r="D46" s="428" t="str">
        <f>'INPUT SHEET '!C28</f>
        <v>INFANTRY</v>
      </c>
      <c r="E46" s="428"/>
      <c r="F46" s="245" t="str">
        <f>'INPUT SHEET '!E28</f>
        <v>Average</v>
      </c>
      <c r="G46" s="429" t="str">
        <f>'INPUT SHEET '!G28</f>
        <v>-</v>
      </c>
      <c r="H46" s="245" t="str">
        <f>'INPUT SHEET '!H28</f>
        <v>-</v>
      </c>
      <c r="I46" s="429" t="str">
        <f>CONCATENATE('INPUT SHEET '!J28,"; ",'INPUT SHEET '!K28,"; ",'INPUT SHEET '!L28,"; ",'INPUT SHEET '!M28,"; ",'INPUT SHEET '!N28)</f>
        <v>-; -; -; -; -</v>
      </c>
      <c r="J46" s="429"/>
      <c r="K46" s="429"/>
      <c r="L46" s="246">
        <f>'INPUT SHEET '!O28</f>
        <v>0</v>
      </c>
      <c r="M46" s="431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23"/>
      <c r="B47" s="422"/>
      <c r="C47" s="427"/>
      <c r="D47" s="430" t="str">
        <f>'INPUT SHEET '!D28</f>
        <v>Formed Loose</v>
      </c>
      <c r="E47" s="430"/>
      <c r="F47" s="266" t="str">
        <f>'INPUT SHEET '!F28</f>
        <v>Protected</v>
      </c>
      <c r="G47" s="429"/>
      <c r="H47" s="247" t="str">
        <f>'INPUT SHEET '!I28</f>
        <v>-</v>
      </c>
      <c r="I47" s="429"/>
      <c r="J47" s="429"/>
      <c r="K47" s="429"/>
      <c r="L47" s="248">
        <f>'INPUT SHEET '!P28</f>
        <v>0</v>
      </c>
      <c r="M47" s="432"/>
      <c r="N47" s="256"/>
      <c r="P47" s="257" t="b">
        <f>P46</f>
        <v>0</v>
      </c>
    </row>
    <row r="48" spans="1:16" ht="16.5" customHeight="1">
      <c r="A48" s="423"/>
      <c r="B48" s="422">
        <f>'INPUT SHEET '!A29</f>
        <v>0</v>
      </c>
      <c r="C48" s="427" t="str">
        <f>IF('INPUT SHEET '!B29=""," ",'INPUT SHEET '!B29)</f>
        <v xml:space="preserve"> </v>
      </c>
      <c r="D48" s="428" t="str">
        <f>'INPUT SHEET '!C29</f>
        <v>INFANTRY</v>
      </c>
      <c r="E48" s="428"/>
      <c r="F48" s="245" t="str">
        <f>'INPUT SHEET '!E29</f>
        <v>Average</v>
      </c>
      <c r="G48" s="429" t="str">
        <f>'INPUT SHEET '!G29</f>
        <v>-</v>
      </c>
      <c r="H48" s="245" t="str">
        <f>'INPUT SHEET '!H29</f>
        <v>-</v>
      </c>
      <c r="I48" s="429" t="str">
        <f>CONCATENATE('INPUT SHEET '!J29,"; ",'INPUT SHEET '!K29,"; ",'INPUT SHEET '!L29,"; ",'INPUT SHEET '!M29,"; ",'INPUT SHEET '!N29)</f>
        <v>-; -; -; -; -</v>
      </c>
      <c r="J48" s="429"/>
      <c r="K48" s="429"/>
      <c r="L48" s="246">
        <f>'INPUT SHEET '!O29</f>
        <v>0</v>
      </c>
      <c r="M48" s="431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23"/>
      <c r="B49" s="422"/>
      <c r="C49" s="427"/>
      <c r="D49" s="430" t="str">
        <f>'INPUT SHEET '!D29</f>
        <v>Formed Loose</v>
      </c>
      <c r="E49" s="430"/>
      <c r="F49" s="266" t="str">
        <f>'INPUT SHEET '!F29</f>
        <v>Protected</v>
      </c>
      <c r="G49" s="429"/>
      <c r="H49" s="247" t="str">
        <f>'INPUT SHEET '!I29</f>
        <v>-</v>
      </c>
      <c r="I49" s="429"/>
      <c r="J49" s="429"/>
      <c r="K49" s="429"/>
      <c r="L49" s="248">
        <f>'INPUT SHEET '!P29</f>
        <v>0</v>
      </c>
      <c r="M49" s="432"/>
      <c r="N49" s="256"/>
      <c r="P49" s="257" t="b">
        <f>P48</f>
        <v>0</v>
      </c>
    </row>
    <row r="50" spans="1:16" ht="16.5" customHeight="1">
      <c r="A50" s="423"/>
      <c r="B50" s="422">
        <f>'INPUT SHEET '!A30</f>
        <v>0</v>
      </c>
      <c r="C50" s="427" t="str">
        <f>IF('INPUT SHEET '!B30=""," ",'INPUT SHEET '!B30)</f>
        <v xml:space="preserve"> </v>
      </c>
      <c r="D50" s="428" t="str">
        <f>'INPUT SHEET '!C30</f>
        <v>INFANTRY</v>
      </c>
      <c r="E50" s="428"/>
      <c r="F50" s="245" t="str">
        <f>'INPUT SHEET '!E30</f>
        <v>Average</v>
      </c>
      <c r="G50" s="429" t="str">
        <f>'INPUT SHEET '!G30</f>
        <v>-</v>
      </c>
      <c r="H50" s="245" t="str">
        <f>'INPUT SHEET '!H30</f>
        <v>-</v>
      </c>
      <c r="I50" s="429" t="str">
        <f>CONCATENATE('INPUT SHEET '!J30,"; ",'INPUT SHEET '!K30,"; ",'INPUT SHEET '!L30,"; ",'INPUT SHEET '!M30,"; ",'INPUT SHEET '!N30)</f>
        <v>-; -; -; -; -</v>
      </c>
      <c r="J50" s="429"/>
      <c r="K50" s="429"/>
      <c r="L50" s="246">
        <f>'INPUT SHEET '!O30</f>
        <v>0</v>
      </c>
      <c r="M50" s="431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23"/>
      <c r="B51" s="422"/>
      <c r="C51" s="427"/>
      <c r="D51" s="430" t="str">
        <f>'INPUT SHEET '!D30</f>
        <v>Formed Loose</v>
      </c>
      <c r="E51" s="430"/>
      <c r="F51" s="266" t="str">
        <f>'INPUT SHEET '!F30</f>
        <v>Protected</v>
      </c>
      <c r="G51" s="429"/>
      <c r="H51" s="247" t="str">
        <f>'INPUT SHEET '!I30</f>
        <v>-</v>
      </c>
      <c r="I51" s="429"/>
      <c r="J51" s="429"/>
      <c r="K51" s="429"/>
      <c r="L51" s="248">
        <f>'INPUT SHEET '!P30</f>
        <v>0</v>
      </c>
      <c r="M51" s="432"/>
      <c r="N51" s="256"/>
      <c r="P51" s="257" t="b">
        <f>P50</f>
        <v>0</v>
      </c>
    </row>
    <row r="52" spans="1:16" ht="16.5" customHeight="1">
      <c r="A52" s="423"/>
      <c r="B52" s="422">
        <f>'INPUT SHEET '!A31</f>
        <v>0</v>
      </c>
      <c r="C52" s="427" t="str">
        <f>IF('INPUT SHEET '!B31=""," ",'INPUT SHEET '!B31)</f>
        <v xml:space="preserve"> </v>
      </c>
      <c r="D52" s="428" t="str">
        <f>'INPUT SHEET '!C31</f>
        <v>INFANTRY</v>
      </c>
      <c r="E52" s="428"/>
      <c r="F52" s="245" t="str">
        <f>'INPUT SHEET '!E31</f>
        <v>Average</v>
      </c>
      <c r="G52" s="429" t="str">
        <f>'INPUT SHEET '!G31</f>
        <v>-</v>
      </c>
      <c r="H52" s="245" t="str">
        <f>'INPUT SHEET '!H31</f>
        <v>-</v>
      </c>
      <c r="I52" s="429" t="str">
        <f>CONCATENATE('INPUT SHEET '!J31,"; ",'INPUT SHEET '!K31,"; ",'INPUT SHEET '!L31,"; ",'INPUT SHEET '!M31,"; ",'INPUT SHEET '!N31)</f>
        <v>-; -; -; -; -</v>
      </c>
      <c r="J52" s="429"/>
      <c r="K52" s="429"/>
      <c r="L52" s="246">
        <f>'INPUT SHEET '!O31</f>
        <v>0</v>
      </c>
      <c r="M52" s="431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23"/>
      <c r="B53" s="422"/>
      <c r="C53" s="427"/>
      <c r="D53" s="430" t="str">
        <f>'INPUT SHEET '!D31</f>
        <v>Formed Loose</v>
      </c>
      <c r="E53" s="430"/>
      <c r="F53" s="266" t="str">
        <f>'INPUT SHEET '!F31</f>
        <v>Protected</v>
      </c>
      <c r="G53" s="429"/>
      <c r="H53" s="247" t="str">
        <f>'INPUT SHEET '!I31</f>
        <v>-</v>
      </c>
      <c r="I53" s="429"/>
      <c r="J53" s="429"/>
      <c r="K53" s="429"/>
      <c r="L53" s="248">
        <f>'INPUT SHEET '!P31</f>
        <v>0</v>
      </c>
      <c r="M53" s="432"/>
      <c r="N53" s="256"/>
      <c r="P53" s="257" t="b">
        <f>P52</f>
        <v>0</v>
      </c>
    </row>
    <row r="54" spans="1:16" ht="16.5" customHeight="1">
      <c r="A54" s="423"/>
      <c r="B54" s="422">
        <f>'INPUT SHEET '!A32</f>
        <v>0</v>
      </c>
      <c r="C54" s="427" t="str">
        <f>IF('INPUT SHEET '!B32=""," ",'INPUT SHEET '!B32)</f>
        <v xml:space="preserve"> </v>
      </c>
      <c r="D54" s="428" t="str">
        <f>'INPUT SHEET '!C32</f>
        <v>INFANTRY</v>
      </c>
      <c r="E54" s="428"/>
      <c r="F54" s="245" t="str">
        <f>'INPUT SHEET '!E32</f>
        <v>Average</v>
      </c>
      <c r="G54" s="429" t="str">
        <f>'INPUT SHEET '!G32</f>
        <v>-</v>
      </c>
      <c r="H54" s="245" t="str">
        <f>'INPUT SHEET '!H32</f>
        <v>-</v>
      </c>
      <c r="I54" s="429" t="str">
        <f>CONCATENATE('INPUT SHEET '!J32,"; ",'INPUT SHEET '!K32,"; ",'INPUT SHEET '!L32,"; ",'INPUT SHEET '!M32,"; ",'INPUT SHEET '!N32)</f>
        <v>-; -; -; -; -</v>
      </c>
      <c r="J54" s="429"/>
      <c r="K54" s="429"/>
      <c r="L54" s="246">
        <f>'INPUT SHEET '!O32</f>
        <v>0</v>
      </c>
      <c r="M54" s="431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23"/>
      <c r="B55" s="422"/>
      <c r="C55" s="427"/>
      <c r="D55" s="430" t="str">
        <f>'INPUT SHEET '!D32</f>
        <v>Formed Loose</v>
      </c>
      <c r="E55" s="430"/>
      <c r="F55" s="266" t="str">
        <f>'INPUT SHEET '!F32</f>
        <v>Protected</v>
      </c>
      <c r="G55" s="429"/>
      <c r="H55" s="247" t="str">
        <f>'INPUT SHEET '!I32</f>
        <v>-</v>
      </c>
      <c r="I55" s="429"/>
      <c r="J55" s="429"/>
      <c r="K55" s="429"/>
      <c r="L55" s="248">
        <f>'INPUT SHEET '!P32</f>
        <v>0</v>
      </c>
      <c r="M55" s="432"/>
      <c r="N55" s="256"/>
      <c r="P55" s="257" t="b">
        <f>P54</f>
        <v>0</v>
      </c>
    </row>
    <row r="56" spans="1:16" ht="16.5" customHeight="1">
      <c r="A56" s="423"/>
      <c r="B56" s="422">
        <f>'INPUT SHEET '!A33</f>
        <v>0</v>
      </c>
      <c r="C56" s="427" t="str">
        <f>IF('INPUT SHEET '!B33=""," ",'INPUT SHEET '!B33)</f>
        <v xml:space="preserve"> </v>
      </c>
      <c r="D56" s="428" t="str">
        <f>'INPUT SHEET '!C33</f>
        <v>INFANTRY</v>
      </c>
      <c r="E56" s="428"/>
      <c r="F56" s="245" t="str">
        <f>'INPUT SHEET '!E33</f>
        <v>Average</v>
      </c>
      <c r="G56" s="429" t="str">
        <f>'INPUT SHEET '!G33</f>
        <v>-</v>
      </c>
      <c r="H56" s="245" t="str">
        <f>'INPUT SHEET '!H33</f>
        <v>-</v>
      </c>
      <c r="I56" s="429" t="str">
        <f>CONCATENATE('INPUT SHEET '!J33,"; ",'INPUT SHEET '!K33,"; ",'INPUT SHEET '!L33,"; ",'INPUT SHEET '!M33,"; ",'INPUT SHEET '!N33)</f>
        <v>-; -; -; -; -</v>
      </c>
      <c r="J56" s="429"/>
      <c r="K56" s="429"/>
      <c r="L56" s="246">
        <f>'INPUT SHEET '!O33</f>
        <v>0</v>
      </c>
      <c r="M56" s="431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23"/>
      <c r="B57" s="422"/>
      <c r="C57" s="427"/>
      <c r="D57" s="430" t="str">
        <f>'INPUT SHEET '!D33</f>
        <v>Formed Loose</v>
      </c>
      <c r="E57" s="430"/>
      <c r="F57" s="266" t="str">
        <f>'INPUT SHEET '!F33</f>
        <v>Protected</v>
      </c>
      <c r="G57" s="429"/>
      <c r="H57" s="247" t="str">
        <f>'INPUT SHEET '!I33</f>
        <v>-</v>
      </c>
      <c r="I57" s="429"/>
      <c r="J57" s="429"/>
      <c r="K57" s="429"/>
      <c r="L57" s="248">
        <f>'INPUT SHEET '!P33</f>
        <v>0</v>
      </c>
      <c r="M57" s="432"/>
      <c r="N57" s="256"/>
      <c r="P57" s="257" t="b">
        <f>P56</f>
        <v>0</v>
      </c>
    </row>
    <row r="58" spans="1:16" ht="16.5" customHeight="1">
      <c r="A58" s="423"/>
      <c r="B58" s="422">
        <f>'INPUT SHEET '!A34</f>
        <v>0</v>
      </c>
      <c r="C58" s="427" t="str">
        <f>IF('INPUT SHEET '!B34=""," ",'INPUT SHEET '!B34)</f>
        <v xml:space="preserve"> </v>
      </c>
      <c r="D58" s="428" t="str">
        <f>'INPUT SHEET '!C34</f>
        <v>INFANTRY</v>
      </c>
      <c r="E58" s="428"/>
      <c r="F58" s="245" t="str">
        <f>'INPUT SHEET '!E34</f>
        <v>Average</v>
      </c>
      <c r="G58" s="429" t="str">
        <f>'INPUT SHEET '!G34</f>
        <v>-</v>
      </c>
      <c r="H58" s="245" t="str">
        <f>'INPUT SHEET '!H34</f>
        <v>-</v>
      </c>
      <c r="I58" s="429" t="str">
        <f>CONCATENATE('INPUT SHEET '!J34,"; ",'INPUT SHEET '!K34,"; ",'INPUT SHEET '!L34,"; ",'INPUT SHEET '!M34,"; ",'INPUT SHEET '!N34)</f>
        <v>-; -; -; -; -</v>
      </c>
      <c r="J58" s="429"/>
      <c r="K58" s="429"/>
      <c r="L58" s="246">
        <f>'INPUT SHEET '!O34</f>
        <v>0</v>
      </c>
      <c r="M58" s="431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23"/>
      <c r="B59" s="422"/>
      <c r="C59" s="427"/>
      <c r="D59" s="430" t="str">
        <f>'INPUT SHEET '!D34</f>
        <v>Formed Loose</v>
      </c>
      <c r="E59" s="430"/>
      <c r="F59" s="266" t="str">
        <f>'INPUT SHEET '!F34</f>
        <v>Protected</v>
      </c>
      <c r="G59" s="429"/>
      <c r="H59" s="247" t="str">
        <f>'INPUT SHEET '!I34</f>
        <v>-</v>
      </c>
      <c r="I59" s="429"/>
      <c r="J59" s="429"/>
      <c r="K59" s="429"/>
      <c r="L59" s="248">
        <f>'INPUT SHEET '!P34</f>
        <v>0</v>
      </c>
      <c r="M59" s="432"/>
      <c r="N59" s="256"/>
      <c r="P59" s="257" t="b">
        <f>P58</f>
        <v>0</v>
      </c>
    </row>
    <row r="60" spans="1:16" ht="16.5" customHeight="1">
      <c r="A60" s="423"/>
      <c r="B60" s="422">
        <f>'INPUT SHEET '!A35</f>
        <v>0</v>
      </c>
      <c r="C60" s="427" t="str">
        <f>IF('INPUT SHEET '!B35=""," ",'INPUT SHEET '!B35)</f>
        <v xml:space="preserve"> </v>
      </c>
      <c r="D60" s="428" t="str">
        <f>'INPUT SHEET '!C35</f>
        <v>INFANTRY</v>
      </c>
      <c r="E60" s="428"/>
      <c r="F60" s="245" t="str">
        <f>'INPUT SHEET '!E35</f>
        <v>Average</v>
      </c>
      <c r="G60" s="429" t="str">
        <f>'INPUT SHEET '!G35</f>
        <v>-</v>
      </c>
      <c r="H60" s="245" t="str">
        <f>'INPUT SHEET '!H35</f>
        <v>-</v>
      </c>
      <c r="I60" s="429" t="str">
        <f>CONCATENATE('INPUT SHEET '!J35,"; ",'INPUT SHEET '!K35,"; ",'INPUT SHEET '!L35,"; ",'INPUT SHEET '!M35,"; ",'INPUT SHEET '!N35)</f>
        <v>-; -; -; -; -</v>
      </c>
      <c r="J60" s="429"/>
      <c r="K60" s="429"/>
      <c r="L60" s="246">
        <f>'INPUT SHEET '!O35</f>
        <v>0</v>
      </c>
      <c r="M60" s="431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23"/>
      <c r="B61" s="422"/>
      <c r="C61" s="427"/>
      <c r="D61" s="430" t="str">
        <f>'INPUT SHEET '!D35</f>
        <v>Formed Loose</v>
      </c>
      <c r="E61" s="430"/>
      <c r="F61" s="266" t="str">
        <f>'INPUT SHEET '!F35</f>
        <v>Protected</v>
      </c>
      <c r="G61" s="429"/>
      <c r="H61" s="247" t="str">
        <f>'INPUT SHEET '!I35</f>
        <v>-</v>
      </c>
      <c r="I61" s="429"/>
      <c r="J61" s="429"/>
      <c r="K61" s="429"/>
      <c r="L61" s="248">
        <f>'INPUT SHEET '!P35</f>
        <v>0</v>
      </c>
      <c r="M61" s="432"/>
      <c r="N61" s="256"/>
      <c r="P61" s="257" t="b">
        <f>P60</f>
        <v>0</v>
      </c>
    </row>
    <row r="62" spans="1:16" ht="16.5" customHeight="1">
      <c r="A62" s="423"/>
      <c r="B62" s="422">
        <f>'INPUT SHEET '!A36</f>
        <v>0</v>
      </c>
      <c r="C62" s="427" t="str">
        <f>IF('INPUT SHEET '!B36=""," ",'INPUT SHEET '!B36)</f>
        <v xml:space="preserve"> </v>
      </c>
      <c r="D62" s="428" t="str">
        <f>'INPUT SHEET '!C36</f>
        <v>INFANTRY</v>
      </c>
      <c r="E62" s="428"/>
      <c r="F62" s="245" t="str">
        <f>'INPUT SHEET '!E36</f>
        <v>Average</v>
      </c>
      <c r="G62" s="429" t="str">
        <f>'INPUT SHEET '!G36</f>
        <v>-</v>
      </c>
      <c r="H62" s="245" t="str">
        <f>'INPUT SHEET '!H36</f>
        <v>-</v>
      </c>
      <c r="I62" s="429" t="str">
        <f>CONCATENATE('INPUT SHEET '!J36,"; ",'INPUT SHEET '!K36,"; ",'INPUT SHEET '!L36,"; ",'INPUT SHEET '!M36,"; ",'INPUT SHEET '!N36)</f>
        <v>-; -; -; -; -</v>
      </c>
      <c r="J62" s="429"/>
      <c r="K62" s="429"/>
      <c r="L62" s="246">
        <f>'INPUT SHEET '!O36</f>
        <v>0</v>
      </c>
      <c r="M62" s="431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23"/>
      <c r="B63" s="422"/>
      <c r="C63" s="427"/>
      <c r="D63" s="430" t="str">
        <f>'INPUT SHEET '!D36</f>
        <v>Formed Loose</v>
      </c>
      <c r="E63" s="430"/>
      <c r="F63" s="266" t="str">
        <f>'INPUT SHEET '!F36</f>
        <v>Protected</v>
      </c>
      <c r="G63" s="429"/>
      <c r="H63" s="247" t="str">
        <f>'INPUT SHEET '!I36</f>
        <v>-</v>
      </c>
      <c r="I63" s="429"/>
      <c r="J63" s="429"/>
      <c r="K63" s="429"/>
      <c r="L63" s="248">
        <f>'INPUT SHEET '!P36</f>
        <v>0</v>
      </c>
      <c r="M63" s="432"/>
      <c r="N63" s="256"/>
      <c r="P63" s="257" t="b">
        <f>P62</f>
        <v>0</v>
      </c>
    </row>
    <row r="64" spans="1:16" ht="16.5" customHeight="1">
      <c r="A64" s="423"/>
      <c r="B64" s="422">
        <f>'INPUT SHEET '!A37</f>
        <v>0</v>
      </c>
      <c r="C64" s="427" t="str">
        <f>IF('INPUT SHEET '!B37=""," ",'INPUT SHEET '!B37)</f>
        <v xml:space="preserve"> </v>
      </c>
      <c r="D64" s="428" t="str">
        <f>'INPUT SHEET '!C37</f>
        <v>INFANTRY</v>
      </c>
      <c r="E64" s="428"/>
      <c r="F64" s="245" t="str">
        <f>'INPUT SHEET '!E37</f>
        <v>Average</v>
      </c>
      <c r="G64" s="429" t="str">
        <f>'INPUT SHEET '!G37</f>
        <v>-</v>
      </c>
      <c r="H64" s="245" t="str">
        <f>'INPUT SHEET '!H37</f>
        <v>-</v>
      </c>
      <c r="I64" s="429" t="str">
        <f>CONCATENATE('INPUT SHEET '!J37,"; ",'INPUT SHEET '!K37,"; ",'INPUT SHEET '!L37,"; ",'INPUT SHEET '!M37,"; ",'INPUT SHEET '!N37)</f>
        <v>-; -; -; -; -</v>
      </c>
      <c r="J64" s="429"/>
      <c r="K64" s="429"/>
      <c r="L64" s="246">
        <f>'INPUT SHEET '!O37</f>
        <v>0</v>
      </c>
      <c r="M64" s="431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23"/>
      <c r="B65" s="426"/>
      <c r="C65" s="427"/>
      <c r="D65" s="430" t="str">
        <f>'INPUT SHEET '!D37</f>
        <v>Formed Loose</v>
      </c>
      <c r="E65" s="430"/>
      <c r="F65" s="266" t="str">
        <f>'INPUT SHEET '!F37</f>
        <v>Protected</v>
      </c>
      <c r="G65" s="429"/>
      <c r="H65" s="247" t="str">
        <f>'INPUT SHEET '!I37</f>
        <v>-</v>
      </c>
      <c r="I65" s="429"/>
      <c r="J65" s="429"/>
      <c r="K65" s="429"/>
      <c r="L65" s="248">
        <f>'INPUT SHEET '!P37</f>
        <v>0</v>
      </c>
      <c r="M65" s="432"/>
      <c r="N65" s="256"/>
      <c r="P65" s="257" t="b">
        <f>P64</f>
        <v>0</v>
      </c>
    </row>
    <row r="66" spans="1:16" ht="23.1" customHeight="1">
      <c r="A66" s="425" t="s">
        <v>319</v>
      </c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244"/>
      <c r="P66" s="257" t="b">
        <f>P67</f>
        <v>0</v>
      </c>
    </row>
    <row r="67" spans="1:16" ht="15.75" customHeight="1">
      <c r="A67" s="423"/>
      <c r="B67" s="422">
        <f>'INPUT SHEET '!A39</f>
        <v>0</v>
      </c>
      <c r="C67" s="427" t="str">
        <f>IF('INPUT SHEET '!B39=""," ",'INPUT SHEET '!B39)</f>
        <v xml:space="preserve"> </v>
      </c>
      <c r="D67" s="428" t="str">
        <f>'INPUT SHEET '!C39</f>
        <v>INFANTRY</v>
      </c>
      <c r="E67" s="428"/>
      <c r="F67" s="245" t="str">
        <f>'INPUT SHEET '!E39</f>
        <v>Average</v>
      </c>
      <c r="G67" s="429" t="str">
        <f>'INPUT SHEET '!G39</f>
        <v>-</v>
      </c>
      <c r="H67" s="245" t="str">
        <f>'INPUT SHEET '!H39</f>
        <v>Experienced</v>
      </c>
      <c r="I67" s="429" t="str">
        <f>CONCATENATE('INPUT SHEET '!J39,"; ",'INPUT SHEET '!K39,"; ",'INPUT SHEET '!L39,"; ",'INPUT SHEET '!M39,"; ",'INPUT SHEET '!N39)</f>
        <v>-; -; -; -; -</v>
      </c>
      <c r="J67" s="429"/>
      <c r="K67" s="429"/>
      <c r="L67" s="246">
        <f>'INPUT SHEET '!O39</f>
        <v>0</v>
      </c>
      <c r="M67" s="431">
        <f>'INPUT SHEET '!Q39</f>
        <v>0</v>
      </c>
      <c r="N67" s="256"/>
      <c r="P67" s="257" t="b">
        <f>'INPUT SHEET '!A39&lt;&gt;0</f>
        <v>0</v>
      </c>
    </row>
    <row r="68" spans="1:16" ht="15.75" customHeight="1">
      <c r="A68" s="423"/>
      <c r="B68" s="422"/>
      <c r="C68" s="427"/>
      <c r="D68" s="430" t="str">
        <f>'INPUT SHEET '!D39</f>
        <v>Skirmisher</v>
      </c>
      <c r="E68" s="430"/>
      <c r="F68" s="266" t="str">
        <f>'INPUT SHEET '!F39</f>
        <v>Unprotected</v>
      </c>
      <c r="G68" s="429"/>
      <c r="H68" s="247" t="str">
        <f>'INPUT SHEET '!I39</f>
        <v>Bow</v>
      </c>
      <c r="I68" s="429"/>
      <c r="J68" s="429"/>
      <c r="K68" s="429"/>
      <c r="L68" s="248">
        <f>'INPUT SHEET '!P39</f>
        <v>0</v>
      </c>
      <c r="M68" s="432"/>
      <c r="N68" s="256"/>
      <c r="P68" s="257" t="b">
        <f>P67</f>
        <v>0</v>
      </c>
    </row>
    <row r="69" spans="1:16" ht="15.75" customHeight="1">
      <c r="A69" s="423"/>
      <c r="B69" s="422">
        <f>'INPUT SHEET '!A40</f>
        <v>0</v>
      </c>
      <c r="C69" s="427" t="str">
        <f>IF('INPUT SHEET '!B40=""," ",'INPUT SHEET '!B40)</f>
        <v xml:space="preserve"> </v>
      </c>
      <c r="D69" s="428" t="str">
        <f>'INPUT SHEET '!C40</f>
        <v>INFANTRY</v>
      </c>
      <c r="E69" s="428"/>
      <c r="F69" s="245" t="str">
        <f>'INPUT SHEET '!E40</f>
        <v>Average</v>
      </c>
      <c r="G69" s="429" t="str">
        <f>'INPUT SHEET '!G40</f>
        <v>-</v>
      </c>
      <c r="H69" s="245" t="str">
        <f>'INPUT SHEET '!H40</f>
        <v>Experienced</v>
      </c>
      <c r="I69" s="429" t="str">
        <f>CONCATENATE('INPUT SHEET '!J40,"; ",'INPUT SHEET '!K40,"; ",'INPUT SHEET '!L40,"; ",'INPUT SHEET '!M40,"; ",'INPUT SHEET '!N40)</f>
        <v>-; -; -; -; -</v>
      </c>
      <c r="J69" s="429"/>
      <c r="K69" s="429"/>
      <c r="L69" s="246">
        <f>'INPUT SHEET '!O40</f>
        <v>0</v>
      </c>
      <c r="M69" s="431">
        <f>'INPUT SHEET '!Q40</f>
        <v>0</v>
      </c>
      <c r="N69" s="256"/>
      <c r="P69" s="257" t="b">
        <f>'INPUT SHEET '!A40&lt;&gt;0</f>
        <v>0</v>
      </c>
    </row>
    <row r="70" spans="1:16" ht="15.75" customHeight="1">
      <c r="A70" s="423"/>
      <c r="B70" s="422"/>
      <c r="C70" s="427"/>
      <c r="D70" s="430" t="str">
        <f>'INPUT SHEET '!D40</f>
        <v>Skirmisher</v>
      </c>
      <c r="E70" s="430"/>
      <c r="F70" s="266" t="str">
        <f>'INPUT SHEET '!F40</f>
        <v>Unprotected</v>
      </c>
      <c r="G70" s="429"/>
      <c r="H70" s="247" t="str">
        <f>'INPUT SHEET '!I40</f>
        <v>Bow</v>
      </c>
      <c r="I70" s="429"/>
      <c r="J70" s="429"/>
      <c r="K70" s="429"/>
      <c r="L70" s="248">
        <f>'INPUT SHEET '!P40</f>
        <v>0</v>
      </c>
      <c r="M70" s="432"/>
      <c r="N70" s="256"/>
      <c r="P70" s="257" t="b">
        <f>P69</f>
        <v>0</v>
      </c>
    </row>
    <row r="71" spans="1:16" ht="15.75" customHeight="1">
      <c r="A71" s="423"/>
      <c r="B71" s="422">
        <f>'INPUT SHEET '!A41</f>
        <v>0</v>
      </c>
      <c r="C71" s="427" t="str">
        <f>IF('INPUT SHEET '!B41=""," ",'INPUT SHEET '!B41)</f>
        <v xml:space="preserve"> </v>
      </c>
      <c r="D71" s="428" t="str">
        <f>'INPUT SHEET '!C41</f>
        <v>INFANTRY</v>
      </c>
      <c r="E71" s="428"/>
      <c r="F71" s="245" t="str">
        <f>'INPUT SHEET '!E41</f>
        <v>Average</v>
      </c>
      <c r="G71" s="429" t="str">
        <f>'INPUT SHEET '!G41</f>
        <v>-</v>
      </c>
      <c r="H71" s="245" t="str">
        <f>'INPUT SHEET '!H41</f>
        <v>Experienced</v>
      </c>
      <c r="I71" s="429" t="str">
        <f>CONCATENATE('INPUT SHEET '!J41,"; ",'INPUT SHEET '!K41,"; ",'INPUT SHEET '!L41,"; ",'INPUT SHEET '!M41,"; ",'INPUT SHEET '!N41)</f>
        <v>-; -; -; -; -</v>
      </c>
      <c r="J71" s="429"/>
      <c r="K71" s="429"/>
      <c r="L71" s="246">
        <f>'INPUT SHEET '!O41</f>
        <v>0</v>
      </c>
      <c r="M71" s="431">
        <f>'INPUT SHEET '!Q41</f>
        <v>0</v>
      </c>
      <c r="N71" s="256"/>
      <c r="P71" s="257" t="b">
        <f>'INPUT SHEET '!A41&lt;&gt;0</f>
        <v>0</v>
      </c>
    </row>
    <row r="72" spans="1:16" ht="15.75" customHeight="1">
      <c r="A72" s="423"/>
      <c r="B72" s="422"/>
      <c r="C72" s="427"/>
      <c r="D72" s="430" t="str">
        <f>'INPUT SHEET '!D41</f>
        <v>Skirmisher</v>
      </c>
      <c r="E72" s="430"/>
      <c r="F72" s="266" t="str">
        <f>'INPUT SHEET '!F41</f>
        <v>Unprotected</v>
      </c>
      <c r="G72" s="429"/>
      <c r="H72" s="247" t="str">
        <f>'INPUT SHEET '!I41</f>
        <v>Bow</v>
      </c>
      <c r="I72" s="429"/>
      <c r="J72" s="429"/>
      <c r="K72" s="429"/>
      <c r="L72" s="248">
        <f>'INPUT SHEET '!P41</f>
        <v>0</v>
      </c>
      <c r="M72" s="432"/>
      <c r="N72" s="256"/>
      <c r="P72" s="257" t="b">
        <f>P71</f>
        <v>0</v>
      </c>
    </row>
    <row r="73" spans="1:16" ht="15.75" customHeight="1">
      <c r="A73" s="423"/>
      <c r="B73" s="422">
        <f>'INPUT SHEET '!A42</f>
        <v>0</v>
      </c>
      <c r="C73" s="427" t="str">
        <f>IF('INPUT SHEET '!B42=""," ",'INPUT SHEET '!B42)</f>
        <v xml:space="preserve"> </v>
      </c>
      <c r="D73" s="428" t="str">
        <f>'INPUT SHEET '!C42</f>
        <v>INFANTRY</v>
      </c>
      <c r="E73" s="428"/>
      <c r="F73" s="245" t="str">
        <f>'INPUT SHEET '!E42</f>
        <v>Average</v>
      </c>
      <c r="G73" s="429" t="str">
        <f>'INPUT SHEET '!G42</f>
        <v>-</v>
      </c>
      <c r="H73" s="245" t="str">
        <f>'INPUT SHEET '!H42</f>
        <v>Experienced</v>
      </c>
      <c r="I73" s="429" t="str">
        <f>CONCATENATE('INPUT SHEET '!J42,"; ",'INPUT SHEET '!K42,"; ",'INPUT SHEET '!L42,"; ",'INPUT SHEET '!M42,"; ",'INPUT SHEET '!N42)</f>
        <v>-; -; -; -; -</v>
      </c>
      <c r="J73" s="429"/>
      <c r="K73" s="429"/>
      <c r="L73" s="246">
        <f>'INPUT SHEET '!O42</f>
        <v>0</v>
      </c>
      <c r="M73" s="431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23"/>
      <c r="B74" s="422"/>
      <c r="C74" s="427"/>
      <c r="D74" s="430" t="str">
        <f>'INPUT SHEET '!D42</f>
        <v>Skirmisher</v>
      </c>
      <c r="E74" s="430"/>
      <c r="F74" s="266" t="str">
        <f>'INPUT SHEET '!F42</f>
        <v>Unprotected</v>
      </c>
      <c r="G74" s="429"/>
      <c r="H74" s="247" t="str">
        <f>'INPUT SHEET '!I42</f>
        <v>Bow</v>
      </c>
      <c r="I74" s="429"/>
      <c r="J74" s="429"/>
      <c r="K74" s="429"/>
      <c r="L74" s="248">
        <f>'INPUT SHEET '!P42</f>
        <v>0</v>
      </c>
      <c r="M74" s="432"/>
      <c r="N74" s="256"/>
      <c r="P74" s="257" t="b">
        <f>P73</f>
        <v>0</v>
      </c>
    </row>
    <row r="75" spans="1:16" ht="15.75" customHeight="1">
      <c r="A75" s="423"/>
      <c r="B75" s="422">
        <f>'INPUT SHEET '!A43</f>
        <v>0</v>
      </c>
      <c r="C75" s="427" t="str">
        <f>IF('INPUT SHEET '!B43=""," ",'INPUT SHEET '!B43)</f>
        <v xml:space="preserve"> </v>
      </c>
      <c r="D75" s="428" t="str">
        <f>'INPUT SHEET '!C43</f>
        <v>INFANTRY</v>
      </c>
      <c r="E75" s="428"/>
      <c r="F75" s="245" t="str">
        <f>'INPUT SHEET '!E43</f>
        <v>Average</v>
      </c>
      <c r="G75" s="429" t="str">
        <f>'INPUT SHEET '!G43</f>
        <v>-</v>
      </c>
      <c r="H75" s="245" t="str">
        <f>'INPUT SHEET '!H43</f>
        <v>Experienced</v>
      </c>
      <c r="I75" s="429" t="str">
        <f>CONCATENATE('INPUT SHEET '!J43,"; ",'INPUT SHEET '!K43,"; ",'INPUT SHEET '!L43,"; ",'INPUT SHEET '!M43,"; ",'INPUT SHEET '!N43)</f>
        <v>-; -; -; -; -</v>
      </c>
      <c r="J75" s="429"/>
      <c r="K75" s="429"/>
      <c r="L75" s="246">
        <f>'INPUT SHEET '!O43</f>
        <v>0</v>
      </c>
      <c r="M75" s="431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23"/>
      <c r="B76" s="422"/>
      <c r="C76" s="427"/>
      <c r="D76" s="430" t="str">
        <f>'INPUT SHEET '!D43</f>
        <v>Skirmisher</v>
      </c>
      <c r="E76" s="430"/>
      <c r="F76" s="266" t="str">
        <f>'INPUT SHEET '!F43</f>
        <v>Unprotected</v>
      </c>
      <c r="G76" s="429"/>
      <c r="H76" s="247" t="str">
        <f>'INPUT SHEET '!I43</f>
        <v>Bow</v>
      </c>
      <c r="I76" s="429"/>
      <c r="J76" s="429"/>
      <c r="K76" s="429"/>
      <c r="L76" s="248">
        <f>'INPUT SHEET '!P43</f>
        <v>0</v>
      </c>
      <c r="M76" s="432"/>
      <c r="N76" s="256"/>
      <c r="P76" s="257" t="b">
        <f>P75</f>
        <v>0</v>
      </c>
    </row>
    <row r="77" spans="1:16" ht="15.75" customHeight="1">
      <c r="A77" s="423"/>
      <c r="B77" s="422">
        <f>'INPUT SHEET '!A44</f>
        <v>0</v>
      </c>
      <c r="C77" s="427" t="str">
        <f>IF('INPUT SHEET '!B44=""," ",'INPUT SHEET '!B44)</f>
        <v xml:space="preserve"> </v>
      </c>
      <c r="D77" s="428" t="str">
        <f>'INPUT SHEET '!C44</f>
        <v>INFANTRY</v>
      </c>
      <c r="E77" s="428"/>
      <c r="F77" s="245" t="str">
        <f>'INPUT SHEET '!E44</f>
        <v>Average</v>
      </c>
      <c r="G77" s="429" t="str">
        <f>'INPUT SHEET '!G44</f>
        <v>-</v>
      </c>
      <c r="H77" s="245" t="str">
        <f>'INPUT SHEET '!H44</f>
        <v>Experienced</v>
      </c>
      <c r="I77" s="429" t="str">
        <f>CONCATENATE('INPUT SHEET '!J44,"; ",'INPUT SHEET '!K44,"; ",'INPUT SHEET '!L44,"; ",'INPUT SHEET '!M44,"; ",'INPUT SHEET '!N44)</f>
        <v>-; -; -; -; -</v>
      </c>
      <c r="J77" s="429"/>
      <c r="K77" s="429"/>
      <c r="L77" s="246">
        <f>'INPUT SHEET '!O44</f>
        <v>0</v>
      </c>
      <c r="M77" s="431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23"/>
      <c r="B78" s="422"/>
      <c r="C78" s="427"/>
      <c r="D78" s="430" t="str">
        <f>'INPUT SHEET '!D44</f>
        <v>Skirmisher</v>
      </c>
      <c r="E78" s="430"/>
      <c r="F78" s="266" t="str">
        <f>'INPUT SHEET '!F44</f>
        <v>Unprotected</v>
      </c>
      <c r="G78" s="429"/>
      <c r="H78" s="247" t="str">
        <f>'INPUT SHEET '!I44</f>
        <v>Bow</v>
      </c>
      <c r="I78" s="429"/>
      <c r="J78" s="429"/>
      <c r="K78" s="429"/>
      <c r="L78" s="248">
        <f>'INPUT SHEET '!P44</f>
        <v>0</v>
      </c>
      <c r="M78" s="432"/>
      <c r="N78" s="256"/>
      <c r="P78" s="257" t="b">
        <f>P77</f>
        <v>0</v>
      </c>
    </row>
    <row r="79" spans="1:16" ht="15.75" customHeight="1">
      <c r="A79" s="423"/>
      <c r="B79" s="422">
        <f>'INPUT SHEET '!A45</f>
        <v>0</v>
      </c>
      <c r="C79" s="427" t="str">
        <f>IF('INPUT SHEET '!B45=""," ",'INPUT SHEET '!B45)</f>
        <v xml:space="preserve"> </v>
      </c>
      <c r="D79" s="428" t="str">
        <f>'INPUT SHEET '!C45</f>
        <v>INFANTRY</v>
      </c>
      <c r="E79" s="428"/>
      <c r="F79" s="245" t="str">
        <f>'INPUT SHEET '!E45</f>
        <v>Average</v>
      </c>
      <c r="G79" s="429" t="str">
        <f>'INPUT SHEET '!G45</f>
        <v>-</v>
      </c>
      <c r="H79" s="245" t="str">
        <f>'INPUT SHEET '!H45</f>
        <v>Experienced</v>
      </c>
      <c r="I79" s="429" t="str">
        <f>CONCATENATE('INPUT SHEET '!J45,"; ",'INPUT SHEET '!K45,"; ",'INPUT SHEET '!L45,"; ",'INPUT SHEET '!M45,"; ",'INPUT SHEET '!N45)</f>
        <v>-; -; -; -; -</v>
      </c>
      <c r="J79" s="429"/>
      <c r="K79" s="429"/>
      <c r="L79" s="246">
        <f>'INPUT SHEET '!O45</f>
        <v>0</v>
      </c>
      <c r="M79" s="431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23"/>
      <c r="B80" s="422"/>
      <c r="C80" s="427"/>
      <c r="D80" s="430" t="str">
        <f>'INPUT SHEET '!D45</f>
        <v>Skirmisher</v>
      </c>
      <c r="E80" s="430"/>
      <c r="F80" s="266" t="str">
        <f>'INPUT SHEET '!F45</f>
        <v>Unprotected</v>
      </c>
      <c r="G80" s="429"/>
      <c r="H80" s="247" t="str">
        <f>'INPUT SHEET '!I45</f>
        <v>Bow</v>
      </c>
      <c r="I80" s="429"/>
      <c r="J80" s="429"/>
      <c r="K80" s="429"/>
      <c r="L80" s="248">
        <f>'INPUT SHEET '!P45</f>
        <v>0</v>
      </c>
      <c r="M80" s="432"/>
      <c r="N80" s="256"/>
      <c r="P80" s="257" t="b">
        <f>P79</f>
        <v>0</v>
      </c>
    </row>
    <row r="81" spans="1:16" ht="15.75" customHeight="1">
      <c r="A81" s="423"/>
      <c r="B81" s="422">
        <f>'INPUT SHEET '!A46</f>
        <v>0</v>
      </c>
      <c r="C81" s="427" t="str">
        <f>IF('INPUT SHEET '!B46=""," ",'INPUT SHEET '!B46)</f>
        <v xml:space="preserve"> </v>
      </c>
      <c r="D81" s="428" t="str">
        <f>'INPUT SHEET '!C46</f>
        <v>INFANTRY</v>
      </c>
      <c r="E81" s="428"/>
      <c r="F81" s="245" t="str">
        <f>'INPUT SHEET '!E46</f>
        <v>Average</v>
      </c>
      <c r="G81" s="429" t="str">
        <f>'INPUT SHEET '!G46</f>
        <v>-</v>
      </c>
      <c r="H81" s="245" t="str">
        <f>'INPUT SHEET '!H46</f>
        <v>Experienced</v>
      </c>
      <c r="I81" s="429" t="str">
        <f>CONCATENATE('INPUT SHEET '!J46,"; ",'INPUT SHEET '!K46,"; ",'INPUT SHEET '!L46,"; ",'INPUT SHEET '!M46,"; ",'INPUT SHEET '!N46)</f>
        <v>-; -; -; -; -</v>
      </c>
      <c r="J81" s="429"/>
      <c r="K81" s="429"/>
      <c r="L81" s="246">
        <f>'INPUT SHEET '!O46</f>
        <v>0</v>
      </c>
      <c r="M81" s="431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23"/>
      <c r="B82" s="422"/>
      <c r="C82" s="427"/>
      <c r="D82" s="430" t="str">
        <f>'INPUT SHEET '!D46</f>
        <v>Skirmisher</v>
      </c>
      <c r="E82" s="430"/>
      <c r="F82" s="266" t="str">
        <f>'INPUT SHEET '!F46</f>
        <v>Unprotected</v>
      </c>
      <c r="G82" s="429"/>
      <c r="H82" s="247" t="str">
        <f>'INPUT SHEET '!I46</f>
        <v>Bow</v>
      </c>
      <c r="I82" s="429"/>
      <c r="J82" s="429"/>
      <c r="K82" s="429"/>
      <c r="L82" s="248">
        <f>'INPUT SHEET '!P46</f>
        <v>0</v>
      </c>
      <c r="M82" s="432"/>
      <c r="N82" s="256"/>
      <c r="P82" s="257" t="b">
        <f>P81</f>
        <v>0</v>
      </c>
    </row>
    <row r="83" spans="1:16" ht="15.75" customHeight="1">
      <c r="A83" s="423"/>
      <c r="B83" s="422">
        <f>'INPUT SHEET '!A47</f>
        <v>0</v>
      </c>
      <c r="C83" s="427" t="str">
        <f>IF('INPUT SHEET '!B47=""," ",'INPUT SHEET '!B47)</f>
        <v xml:space="preserve"> </v>
      </c>
      <c r="D83" s="428" t="str">
        <f>'INPUT SHEET '!C47</f>
        <v>INFANTRY</v>
      </c>
      <c r="E83" s="428"/>
      <c r="F83" s="245" t="str">
        <f>'INPUT SHEET '!E47</f>
        <v>Average</v>
      </c>
      <c r="G83" s="429" t="str">
        <f>'INPUT SHEET '!G47</f>
        <v>-</v>
      </c>
      <c r="H83" s="245" t="str">
        <f>'INPUT SHEET '!H47</f>
        <v>Experienced</v>
      </c>
      <c r="I83" s="429" t="str">
        <f>CONCATENATE('INPUT SHEET '!J47,"; ",'INPUT SHEET '!K47,"; ",'INPUT SHEET '!L47,"; ",'INPUT SHEET '!M47,"; ",'INPUT SHEET '!N47)</f>
        <v>-; -; -; -; -</v>
      </c>
      <c r="J83" s="429"/>
      <c r="K83" s="429"/>
      <c r="L83" s="246">
        <f>'INPUT SHEET '!O47</f>
        <v>0</v>
      </c>
      <c r="M83" s="431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23"/>
      <c r="B84" s="422"/>
      <c r="C84" s="427"/>
      <c r="D84" s="430" t="str">
        <f>'INPUT SHEET '!D47</f>
        <v>Skirmisher</v>
      </c>
      <c r="E84" s="430"/>
      <c r="F84" s="266" t="str">
        <f>'INPUT SHEET '!F47</f>
        <v>Unprotected</v>
      </c>
      <c r="G84" s="429"/>
      <c r="H84" s="247" t="str">
        <f>'INPUT SHEET '!I47</f>
        <v>Bow</v>
      </c>
      <c r="I84" s="429"/>
      <c r="J84" s="429"/>
      <c r="K84" s="429"/>
      <c r="L84" s="248">
        <f>'INPUT SHEET '!P47</f>
        <v>0</v>
      </c>
      <c r="M84" s="432"/>
      <c r="N84" s="256"/>
      <c r="P84" s="257" t="b">
        <f>P83</f>
        <v>0</v>
      </c>
    </row>
    <row r="85" spans="1:16" ht="15.75" customHeight="1">
      <c r="A85" s="423"/>
      <c r="B85" s="422">
        <f>'INPUT SHEET '!A48</f>
        <v>0</v>
      </c>
      <c r="C85" s="427" t="str">
        <f>IF('INPUT SHEET '!B48=""," ",'INPUT SHEET '!B48)</f>
        <v xml:space="preserve"> </v>
      </c>
      <c r="D85" s="428" t="str">
        <f>'INPUT SHEET '!C48</f>
        <v>INFANTRY</v>
      </c>
      <c r="E85" s="428"/>
      <c r="F85" s="245" t="str">
        <f>'INPUT SHEET '!E48</f>
        <v>Average</v>
      </c>
      <c r="G85" s="429" t="str">
        <f>'INPUT SHEET '!G48</f>
        <v>-</v>
      </c>
      <c r="H85" s="245" t="str">
        <f>'INPUT SHEET '!H48</f>
        <v>Experienced</v>
      </c>
      <c r="I85" s="429" t="str">
        <f>CONCATENATE('INPUT SHEET '!J48,"; ",'INPUT SHEET '!K48,"; ",'INPUT SHEET '!L48,"; ",'INPUT SHEET '!M48,"; ",'INPUT SHEET '!N48)</f>
        <v>-; -; -; -; -</v>
      </c>
      <c r="J85" s="429"/>
      <c r="K85" s="429"/>
      <c r="L85" s="246">
        <f>'INPUT SHEET '!O48</f>
        <v>0</v>
      </c>
      <c r="M85" s="431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23"/>
      <c r="B86" s="422"/>
      <c r="C86" s="427"/>
      <c r="D86" s="430" t="str">
        <f>'INPUT SHEET '!D48</f>
        <v>Skirmisher</v>
      </c>
      <c r="E86" s="430"/>
      <c r="F86" s="266" t="str">
        <f>'INPUT SHEET '!F48</f>
        <v>Unprotected</v>
      </c>
      <c r="G86" s="429"/>
      <c r="H86" s="247" t="str">
        <f>'INPUT SHEET '!I48</f>
        <v>Bow</v>
      </c>
      <c r="I86" s="429"/>
      <c r="J86" s="429"/>
      <c r="K86" s="429"/>
      <c r="L86" s="248">
        <f>'INPUT SHEET '!P48</f>
        <v>0</v>
      </c>
      <c r="M86" s="432"/>
      <c r="N86" s="256"/>
      <c r="P86" s="257" t="b">
        <f>P85</f>
        <v>0</v>
      </c>
    </row>
    <row r="87" spans="1:16" ht="15.75" customHeight="1">
      <c r="A87" s="423"/>
      <c r="B87" s="422">
        <f>'INPUT SHEET '!A49</f>
        <v>0</v>
      </c>
      <c r="C87" s="427" t="str">
        <f>IF('INPUT SHEET '!B49=""," ",'INPUT SHEET '!B49)</f>
        <v xml:space="preserve"> </v>
      </c>
      <c r="D87" s="428" t="str">
        <f>'INPUT SHEET '!C49</f>
        <v>INFANTRY</v>
      </c>
      <c r="E87" s="428"/>
      <c r="F87" s="245" t="str">
        <f>'INPUT SHEET '!E49</f>
        <v>Average</v>
      </c>
      <c r="G87" s="429" t="str">
        <f>'INPUT SHEET '!G49</f>
        <v>-</v>
      </c>
      <c r="H87" s="245" t="str">
        <f>'INPUT SHEET '!H49</f>
        <v>Experienced</v>
      </c>
      <c r="I87" s="429" t="str">
        <f>CONCATENATE('INPUT SHEET '!J49,"; ",'INPUT SHEET '!K49,"; ",'INPUT SHEET '!L49,"; ",'INPUT SHEET '!M49,"; ",'INPUT SHEET '!N49)</f>
        <v>-; -; -; -; -</v>
      </c>
      <c r="J87" s="429"/>
      <c r="K87" s="429"/>
      <c r="L87" s="246">
        <f>'INPUT SHEET '!O49</f>
        <v>0</v>
      </c>
      <c r="M87" s="431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23"/>
      <c r="B88" s="422"/>
      <c r="C88" s="427"/>
      <c r="D88" s="430" t="str">
        <f>'INPUT SHEET '!D49</f>
        <v>Skirmisher</v>
      </c>
      <c r="E88" s="430"/>
      <c r="F88" s="266" t="str">
        <f>'INPUT SHEET '!F49</f>
        <v>Unprotected</v>
      </c>
      <c r="G88" s="429"/>
      <c r="H88" s="247" t="str">
        <f>'INPUT SHEET '!I49</f>
        <v>Bow</v>
      </c>
      <c r="I88" s="429"/>
      <c r="J88" s="429"/>
      <c r="K88" s="429"/>
      <c r="L88" s="248">
        <f>'INPUT SHEET '!P49</f>
        <v>0</v>
      </c>
      <c r="M88" s="432"/>
      <c r="N88" s="256"/>
      <c r="P88" s="257" t="b">
        <f>P87</f>
        <v>0</v>
      </c>
    </row>
    <row r="89" spans="1:16" ht="15.75" customHeight="1">
      <c r="A89" s="423"/>
      <c r="B89" s="422">
        <f>'INPUT SHEET '!A50</f>
        <v>0</v>
      </c>
      <c r="C89" s="427" t="str">
        <f>IF('INPUT SHEET '!B50=""," ",'INPUT SHEET '!B50)</f>
        <v xml:space="preserve"> </v>
      </c>
      <c r="D89" s="428" t="str">
        <f>'INPUT SHEET '!C50</f>
        <v>INFANTRY</v>
      </c>
      <c r="E89" s="428"/>
      <c r="F89" s="245" t="str">
        <f>'INPUT SHEET '!E50</f>
        <v>Average</v>
      </c>
      <c r="G89" s="429" t="str">
        <f>'INPUT SHEET '!G50</f>
        <v>-</v>
      </c>
      <c r="H89" s="245" t="str">
        <f>'INPUT SHEET '!H50</f>
        <v>Experienced</v>
      </c>
      <c r="I89" s="429" t="str">
        <f>CONCATENATE('INPUT SHEET '!J50,"; ",'INPUT SHEET '!K50,"; ",'INPUT SHEET '!L50,"; ",'INPUT SHEET '!M50,"; ",'INPUT SHEET '!N50)</f>
        <v>-; -; -; -; -</v>
      </c>
      <c r="J89" s="429"/>
      <c r="K89" s="429"/>
      <c r="L89" s="246">
        <f>'INPUT SHEET '!O50</f>
        <v>0</v>
      </c>
      <c r="M89" s="431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23"/>
      <c r="B90" s="422"/>
      <c r="C90" s="427"/>
      <c r="D90" s="430" t="str">
        <f>'INPUT SHEET '!D50</f>
        <v>Skirmisher</v>
      </c>
      <c r="E90" s="430"/>
      <c r="F90" s="266" t="str">
        <f>'INPUT SHEET '!F50</f>
        <v>Unprotected</v>
      </c>
      <c r="G90" s="429"/>
      <c r="H90" s="247" t="str">
        <f>'INPUT SHEET '!I50</f>
        <v>Bow</v>
      </c>
      <c r="I90" s="429"/>
      <c r="J90" s="429"/>
      <c r="K90" s="429"/>
      <c r="L90" s="248">
        <f>'INPUT SHEET '!P50</f>
        <v>0</v>
      </c>
      <c r="M90" s="432"/>
      <c r="N90" s="256"/>
      <c r="P90" s="257" t="b">
        <f>P89</f>
        <v>0</v>
      </c>
    </row>
    <row r="91" spans="1:16" ht="15.75" customHeight="1">
      <c r="A91" s="423"/>
      <c r="B91" s="422">
        <f>'INPUT SHEET '!A51</f>
        <v>0</v>
      </c>
      <c r="C91" s="427" t="str">
        <f>IF('INPUT SHEET '!B51=""," ",'INPUT SHEET '!B51)</f>
        <v xml:space="preserve"> </v>
      </c>
      <c r="D91" s="428" t="str">
        <f>'INPUT SHEET '!C51</f>
        <v>INFANTRY</v>
      </c>
      <c r="E91" s="428"/>
      <c r="F91" s="245" t="str">
        <f>'INPUT SHEET '!E51</f>
        <v>Average</v>
      </c>
      <c r="G91" s="429" t="str">
        <f>'INPUT SHEET '!G51</f>
        <v>-</v>
      </c>
      <c r="H91" s="245" t="str">
        <f>'INPUT SHEET '!H51</f>
        <v>Experienced</v>
      </c>
      <c r="I91" s="429" t="str">
        <f>CONCATENATE('INPUT SHEET '!J51,"; ",'INPUT SHEET '!K51,"; ",'INPUT SHEET '!L51,"; ",'INPUT SHEET '!M51,"; ",'INPUT SHEET '!N51)</f>
        <v>-; -; -; -; -</v>
      </c>
      <c r="J91" s="429"/>
      <c r="K91" s="429"/>
      <c r="L91" s="246">
        <f>'INPUT SHEET '!O51</f>
        <v>0</v>
      </c>
      <c r="M91" s="431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23"/>
      <c r="B92" s="422"/>
      <c r="C92" s="427"/>
      <c r="D92" s="430" t="str">
        <f>'INPUT SHEET '!D51</f>
        <v>Skirmisher</v>
      </c>
      <c r="E92" s="430"/>
      <c r="F92" s="266" t="str">
        <f>'INPUT SHEET '!F51</f>
        <v>Unprotected</v>
      </c>
      <c r="G92" s="429"/>
      <c r="H92" s="247" t="str">
        <f>'INPUT SHEET '!I51</f>
        <v>Bow</v>
      </c>
      <c r="I92" s="429"/>
      <c r="J92" s="429"/>
      <c r="K92" s="429"/>
      <c r="L92" s="248">
        <f>'INPUT SHEET '!P51</f>
        <v>0</v>
      </c>
      <c r="M92" s="432"/>
      <c r="N92" s="256"/>
      <c r="P92" s="257" t="b">
        <f>P91</f>
        <v>0</v>
      </c>
    </row>
    <row r="93" spans="1:16" ht="15.75" customHeight="1">
      <c r="A93" s="423"/>
      <c r="B93" s="422">
        <f>'INPUT SHEET '!A52</f>
        <v>0</v>
      </c>
      <c r="C93" s="427" t="str">
        <f>IF('INPUT SHEET '!B52=""," ",'INPUT SHEET '!B52)</f>
        <v xml:space="preserve"> </v>
      </c>
      <c r="D93" s="428" t="str">
        <f>'INPUT SHEET '!C52</f>
        <v>INFANTRY</v>
      </c>
      <c r="E93" s="428"/>
      <c r="F93" s="245" t="str">
        <f>'INPUT SHEET '!E52</f>
        <v>Average</v>
      </c>
      <c r="G93" s="429" t="str">
        <f>'INPUT SHEET '!G52</f>
        <v>-</v>
      </c>
      <c r="H93" s="245" t="str">
        <f>'INPUT SHEET '!H52</f>
        <v>Experienced</v>
      </c>
      <c r="I93" s="429" t="str">
        <f>CONCATENATE('INPUT SHEET '!J52,"; ",'INPUT SHEET '!K52,"; ",'INPUT SHEET '!L52,"; ",'INPUT SHEET '!M52,"; ",'INPUT SHEET '!N52)</f>
        <v>-; -; -; -; -</v>
      </c>
      <c r="J93" s="429"/>
      <c r="K93" s="429"/>
      <c r="L93" s="246">
        <f>'INPUT SHEET '!O52</f>
        <v>0</v>
      </c>
      <c r="M93" s="431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23"/>
      <c r="B94" s="422"/>
      <c r="C94" s="427"/>
      <c r="D94" s="430" t="str">
        <f>'INPUT SHEET '!D52</f>
        <v>Skirmisher</v>
      </c>
      <c r="E94" s="430"/>
      <c r="F94" s="266" t="str">
        <f>'INPUT SHEET '!F52</f>
        <v>Unprotected</v>
      </c>
      <c r="G94" s="429"/>
      <c r="H94" s="247" t="str">
        <f>'INPUT SHEET '!I52</f>
        <v>Bow</v>
      </c>
      <c r="I94" s="429"/>
      <c r="J94" s="429"/>
      <c r="K94" s="429"/>
      <c r="L94" s="248">
        <f>'INPUT SHEET '!P52</f>
        <v>0</v>
      </c>
      <c r="M94" s="432"/>
      <c r="N94" s="256"/>
      <c r="P94" s="257" t="b">
        <f>P93</f>
        <v>0</v>
      </c>
    </row>
    <row r="95" spans="1:16" ht="15.75" customHeight="1">
      <c r="A95" s="423"/>
      <c r="B95" s="422">
        <f>'INPUT SHEET '!A53</f>
        <v>0</v>
      </c>
      <c r="C95" s="427" t="str">
        <f>IF('INPUT SHEET '!B53=""," ",'INPUT SHEET '!B53)</f>
        <v xml:space="preserve"> </v>
      </c>
      <c r="D95" s="428" t="str">
        <f>'INPUT SHEET '!C53</f>
        <v>INFANTRY</v>
      </c>
      <c r="E95" s="428"/>
      <c r="F95" s="245" t="str">
        <f>'INPUT SHEET '!E53</f>
        <v>Average</v>
      </c>
      <c r="G95" s="429" t="str">
        <f>'INPUT SHEET '!G53</f>
        <v>-</v>
      </c>
      <c r="H95" s="245" t="str">
        <f>'INPUT SHEET '!H53</f>
        <v>Experienced</v>
      </c>
      <c r="I95" s="429" t="str">
        <f>CONCATENATE('INPUT SHEET '!J53,"; ",'INPUT SHEET '!K53,"; ",'INPUT SHEET '!L53,"; ",'INPUT SHEET '!M53,"; ",'INPUT SHEET '!N53)</f>
        <v>-; -; -; -; -</v>
      </c>
      <c r="J95" s="429"/>
      <c r="K95" s="429"/>
      <c r="L95" s="246">
        <f>'INPUT SHEET '!O53</f>
        <v>0</v>
      </c>
      <c r="M95" s="431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23"/>
      <c r="B96" s="422"/>
      <c r="C96" s="427"/>
      <c r="D96" s="430" t="str">
        <f>'INPUT SHEET '!D53</f>
        <v>Skirmisher</v>
      </c>
      <c r="E96" s="430"/>
      <c r="F96" s="266" t="str">
        <f>'INPUT SHEET '!F53</f>
        <v>Unprotected</v>
      </c>
      <c r="G96" s="429"/>
      <c r="H96" s="247" t="str">
        <f>'INPUT SHEET '!I53</f>
        <v>Bow</v>
      </c>
      <c r="I96" s="429"/>
      <c r="J96" s="429"/>
      <c r="K96" s="429"/>
      <c r="L96" s="248">
        <f>'INPUT SHEET '!P53</f>
        <v>0</v>
      </c>
      <c r="M96" s="432"/>
      <c r="N96" s="256"/>
      <c r="P96" s="257" t="b">
        <f>P95</f>
        <v>0</v>
      </c>
    </row>
    <row r="97" spans="1:16" ht="15.75" customHeight="1">
      <c r="A97" s="423"/>
      <c r="B97" s="422">
        <f>'INPUT SHEET '!A54</f>
        <v>0</v>
      </c>
      <c r="C97" s="427" t="str">
        <f>IF('INPUT SHEET '!B54=""," ",'INPUT SHEET '!B54)</f>
        <v xml:space="preserve"> </v>
      </c>
      <c r="D97" s="428" t="str">
        <f>'INPUT SHEET '!C54</f>
        <v>INFANTRY</v>
      </c>
      <c r="E97" s="428"/>
      <c r="F97" s="245" t="str">
        <f>'INPUT SHEET '!E54</f>
        <v>Average</v>
      </c>
      <c r="G97" s="429" t="str">
        <f>'INPUT SHEET '!G54</f>
        <v>-</v>
      </c>
      <c r="H97" s="245" t="str">
        <f>'INPUT SHEET '!H54</f>
        <v>Experienced</v>
      </c>
      <c r="I97" s="429" t="str">
        <f>CONCATENATE('INPUT SHEET '!J51,"; ",'INPUT SHEET '!K51,"; ",'INPUT SHEET '!L51,"; ",'INPUT SHEET '!M51,"; ",'INPUT SHEET '!N51)</f>
        <v>-; -; -; -; -</v>
      </c>
      <c r="J97" s="429"/>
      <c r="K97" s="429"/>
      <c r="L97" s="246">
        <f>'INPUT SHEET '!O54</f>
        <v>0</v>
      </c>
      <c r="M97" s="431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23"/>
      <c r="B98" s="422"/>
      <c r="C98" s="427"/>
      <c r="D98" s="430" t="str">
        <f>'INPUT SHEET '!D54</f>
        <v>Skirmisher</v>
      </c>
      <c r="E98" s="430"/>
      <c r="F98" s="266" t="str">
        <f>'INPUT SHEET '!F54</f>
        <v>Unprotected</v>
      </c>
      <c r="G98" s="429"/>
      <c r="H98" s="247" t="str">
        <f>'INPUT SHEET '!I54</f>
        <v>Bow</v>
      </c>
      <c r="I98" s="429"/>
      <c r="J98" s="429"/>
      <c r="K98" s="429"/>
      <c r="L98" s="248">
        <f>'INPUT SHEET '!P54</f>
        <v>0</v>
      </c>
      <c r="M98" s="432"/>
      <c r="N98" s="256"/>
      <c r="P98" s="257" t="b">
        <f>P97</f>
        <v>0</v>
      </c>
    </row>
    <row r="99" spans="1:16" ht="20.100000000000001" customHeight="1">
      <c r="A99" s="425" t="s">
        <v>320</v>
      </c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244"/>
      <c r="P99" s="257" t="b">
        <f>P100</f>
        <v>0</v>
      </c>
    </row>
    <row r="100" spans="1:16" ht="15.75">
      <c r="A100" s="424"/>
      <c r="B100" s="422">
        <f>'INPUT SHEET '!A56</f>
        <v>0</v>
      </c>
      <c r="C100" s="427" t="str">
        <f>IF('INPUT SHEET '!B56=""," ",'INPUT SHEET '!B56)</f>
        <v xml:space="preserve"> </v>
      </c>
      <c r="D100" s="428" t="str">
        <f>IF('INPUT SHEET '!C56=""," ",'INPUT SHEET '!C56)</f>
        <v xml:space="preserve"> </v>
      </c>
      <c r="E100" s="428"/>
      <c r="F100" s="245" t="str">
        <f>IF('INPUT SHEET '!E56=""," ",'INPUT SHEET '!E56)</f>
        <v>Average</v>
      </c>
      <c r="G100" s="429" t="str">
        <f>'INPUT SHEET '!G56</f>
        <v>-</v>
      </c>
      <c r="H100" s="245" t="str">
        <f>'INPUT SHEET '!H56</f>
        <v>-</v>
      </c>
      <c r="I100" s="429" t="str">
        <f>CONCATENATE('INPUT SHEET '!J56,"; ",'INPUT SHEET '!K56,"; ",'INPUT SHEET '!L56,"; ",'INPUT SHEET '!M56,"; ",'INPUT SHEET '!N56)</f>
        <v>Expendables; -; -; -; -</v>
      </c>
      <c r="J100" s="429"/>
      <c r="K100" s="429"/>
      <c r="L100" s="246">
        <f>'INPUT SHEET '!O56</f>
        <v>0</v>
      </c>
      <c r="M100" s="431">
        <f>'INPUT SHEET '!Q56</f>
        <v>0</v>
      </c>
      <c r="N100" s="256"/>
      <c r="P100" s="257" t="b">
        <f>'INPUT SHEET '!A56&lt;&gt;0</f>
        <v>0</v>
      </c>
    </row>
    <row r="101" spans="1:16" ht="15.75">
      <c r="A101" s="424"/>
      <c r="B101" s="422"/>
      <c r="C101" s="427"/>
      <c r="D101" s="430" t="str">
        <f>IF('INPUT SHEET '!D56=""," ",'INPUT SHEET '!D56)</f>
        <v xml:space="preserve"> </v>
      </c>
      <c r="E101" s="430"/>
      <c r="F101" s="266" t="str">
        <f>'INPUT SHEET '!F56</f>
        <v>Protected</v>
      </c>
      <c r="G101" s="429"/>
      <c r="H101" s="247" t="str">
        <f>'INPUT SHEET '!I56</f>
        <v>-</v>
      </c>
      <c r="I101" s="429"/>
      <c r="J101" s="429"/>
      <c r="K101" s="429"/>
      <c r="L101" s="248">
        <f>'INPUT SHEET '!P56</f>
        <v>0</v>
      </c>
      <c r="M101" s="432"/>
      <c r="N101" s="256"/>
      <c r="P101" s="257" t="b">
        <f>P100</f>
        <v>0</v>
      </c>
    </row>
    <row r="102" spans="1:16" ht="9" customHeight="1">
      <c r="A102" s="421"/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1"/>
      <c r="M102" s="421"/>
      <c r="N102" s="421"/>
      <c r="O102" s="244"/>
    </row>
  </sheetData>
  <sheetProtection password="CD66" sheet="1" objects="1" scenarios="1" autoFilter="0"/>
  <autoFilter ref="P17:P101"/>
  <mergeCells count="326"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28:M29"/>
    <mergeCell ref="I44:K45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D29:E29"/>
    <mergeCell ref="C44:C45"/>
    <mergeCell ref="D44:E44"/>
    <mergeCell ref="G44:G45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2018-12-21T15:00:13Z</dcterms:modified>
</cp:coreProperties>
</file>