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-465" windowWidth="20730" windowHeight="11760" tabRatio="785" activeTab="1"/>
  </bookViews>
  <sheets>
    <sheet name="READ THESE INSTRUCTIONS" sheetId="4" r:id="rId1"/>
    <sheet name="INPUT SHEET " sheetId="2" r:id="rId2"/>
    <sheet name="PRINT FORMAT" sheetId="7" r:id="rId3"/>
  </sheets>
  <definedNames>
    <definedName name="_xlnm._FilterDatabase" localSheetId="2" hidden="1">'PRINT FORMAT'!$P$17:$P$101</definedName>
    <definedName name="_xlnm.Print_Area" localSheetId="1">'INPUT SHEET '!$A$1:$R$63</definedName>
    <definedName name="_xlnm.Print_Area" localSheetId="2">'PRINT FORMAT'!$A$2:$N$102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4" i="2" l="1"/>
  <c r="CI14" i="2"/>
  <c r="CJ14" i="2"/>
  <c r="CL14" i="2"/>
  <c r="CM14" i="2"/>
  <c r="CK14" i="2"/>
  <c r="CN14" i="2"/>
  <c r="CO14" i="2"/>
  <c r="CP14" i="2"/>
  <c r="CQ14" i="2"/>
  <c r="CS14" i="2"/>
  <c r="CT14" i="2"/>
  <c r="CU14" i="2"/>
  <c r="CV14" i="2"/>
  <c r="P14" i="2"/>
  <c r="Q14" i="2"/>
  <c r="CH15" i="2"/>
  <c r="CI15" i="2"/>
  <c r="CM15" i="2"/>
  <c r="CJ15" i="2"/>
  <c r="CL15" i="2"/>
  <c r="CK15" i="2"/>
  <c r="CN15" i="2"/>
  <c r="CO15" i="2"/>
  <c r="CP15" i="2"/>
  <c r="CQ15" i="2"/>
  <c r="CS15" i="2"/>
  <c r="CT15" i="2"/>
  <c r="CU15" i="2"/>
  <c r="CV15" i="2"/>
  <c r="P15" i="2"/>
  <c r="Q15" i="2"/>
  <c r="CH16" i="2"/>
  <c r="CI16" i="2"/>
  <c r="CJ16" i="2"/>
  <c r="CK16" i="2"/>
  <c r="CL16" i="2"/>
  <c r="CM16" i="2"/>
  <c r="CN16" i="2"/>
  <c r="CO16" i="2"/>
  <c r="CP16" i="2"/>
  <c r="CQ16" i="2"/>
  <c r="CS16" i="2"/>
  <c r="CT16" i="2"/>
  <c r="CU16" i="2"/>
  <c r="CV16" i="2"/>
  <c r="P16" i="2"/>
  <c r="Q16" i="2"/>
  <c r="CH17" i="2"/>
  <c r="CI17" i="2"/>
  <c r="CJ17" i="2"/>
  <c r="CK17" i="2"/>
  <c r="CL17" i="2"/>
  <c r="CM17" i="2"/>
  <c r="CN17" i="2"/>
  <c r="CO17" i="2"/>
  <c r="CP17" i="2"/>
  <c r="CQ17" i="2"/>
  <c r="CS17" i="2"/>
  <c r="CT17" i="2"/>
  <c r="CU17" i="2"/>
  <c r="CV17" i="2"/>
  <c r="P17" i="2"/>
  <c r="Q17" i="2"/>
  <c r="CH18" i="2"/>
  <c r="CI18" i="2"/>
  <c r="CJ18" i="2"/>
  <c r="CK18" i="2"/>
  <c r="CL18" i="2"/>
  <c r="CM18" i="2"/>
  <c r="CN18" i="2"/>
  <c r="CO18" i="2"/>
  <c r="CP18" i="2"/>
  <c r="CQ18" i="2"/>
  <c r="CS18" i="2"/>
  <c r="CT18" i="2"/>
  <c r="CU18" i="2"/>
  <c r="CV18" i="2"/>
  <c r="P18" i="2"/>
  <c r="Q18" i="2"/>
  <c r="CH19" i="2"/>
  <c r="CI19" i="2"/>
  <c r="CJ19" i="2"/>
  <c r="CK19" i="2"/>
  <c r="CL19" i="2"/>
  <c r="CM19" i="2"/>
  <c r="CN19" i="2"/>
  <c r="CO19" i="2"/>
  <c r="CP19" i="2"/>
  <c r="CQ19" i="2"/>
  <c r="CS19" i="2"/>
  <c r="CT19" i="2"/>
  <c r="CU19" i="2"/>
  <c r="CV19" i="2"/>
  <c r="P19" i="2"/>
  <c r="Q19" i="2"/>
  <c r="CH20" i="2"/>
  <c r="CI20" i="2"/>
  <c r="CJ20" i="2"/>
  <c r="CK20" i="2"/>
  <c r="CL20" i="2"/>
  <c r="CM20" i="2"/>
  <c r="CN20" i="2"/>
  <c r="CO20" i="2"/>
  <c r="CP20" i="2"/>
  <c r="CQ20" i="2"/>
  <c r="CS20" i="2"/>
  <c r="CT20" i="2"/>
  <c r="CU20" i="2"/>
  <c r="CV20" i="2"/>
  <c r="P20" i="2"/>
  <c r="Q20" i="2"/>
  <c r="CH21" i="2"/>
  <c r="CI21" i="2"/>
  <c r="CJ21" i="2"/>
  <c r="CK21" i="2"/>
  <c r="CL21" i="2"/>
  <c r="CM21" i="2"/>
  <c r="CN21" i="2"/>
  <c r="CO21" i="2"/>
  <c r="CP21" i="2"/>
  <c r="CQ21" i="2"/>
  <c r="CS21" i="2"/>
  <c r="CT21" i="2"/>
  <c r="CU21" i="2"/>
  <c r="CV21" i="2"/>
  <c r="P21" i="2"/>
  <c r="Q21" i="2"/>
  <c r="CH22" i="2"/>
  <c r="CI22" i="2"/>
  <c r="CJ22" i="2"/>
  <c r="CK22" i="2"/>
  <c r="CL22" i="2"/>
  <c r="CM22" i="2"/>
  <c r="CN22" i="2"/>
  <c r="CO22" i="2"/>
  <c r="CP22" i="2"/>
  <c r="CQ22" i="2"/>
  <c r="CS22" i="2"/>
  <c r="CT22" i="2"/>
  <c r="CU22" i="2"/>
  <c r="CV22" i="2"/>
  <c r="P22" i="2"/>
  <c r="Q22" i="2"/>
  <c r="CH23" i="2"/>
  <c r="CI23" i="2"/>
  <c r="CJ23" i="2"/>
  <c r="CK23" i="2"/>
  <c r="CL23" i="2"/>
  <c r="CM23" i="2"/>
  <c r="CN23" i="2"/>
  <c r="CO23" i="2"/>
  <c r="CP23" i="2"/>
  <c r="CQ23" i="2"/>
  <c r="CS23" i="2"/>
  <c r="CT23" i="2"/>
  <c r="CU23" i="2"/>
  <c r="CV23" i="2"/>
  <c r="P23" i="2"/>
  <c r="Q23" i="2"/>
  <c r="CH24" i="2"/>
  <c r="CI24" i="2"/>
  <c r="CJ24" i="2"/>
  <c r="CK24" i="2"/>
  <c r="CL24" i="2"/>
  <c r="CM24" i="2"/>
  <c r="CN24" i="2"/>
  <c r="CO24" i="2"/>
  <c r="CP24" i="2"/>
  <c r="CQ24" i="2"/>
  <c r="CS24" i="2"/>
  <c r="CT24" i="2"/>
  <c r="CU24" i="2"/>
  <c r="CV24" i="2"/>
  <c r="P24" i="2"/>
  <c r="Q24" i="2"/>
  <c r="CH25" i="2"/>
  <c r="CI25" i="2"/>
  <c r="CJ25" i="2"/>
  <c r="CK25" i="2"/>
  <c r="CL25" i="2"/>
  <c r="CM25" i="2"/>
  <c r="CN25" i="2"/>
  <c r="CO25" i="2"/>
  <c r="CP25" i="2"/>
  <c r="CQ25" i="2"/>
  <c r="CS25" i="2"/>
  <c r="CT25" i="2"/>
  <c r="CU25" i="2"/>
  <c r="CV25" i="2"/>
  <c r="P25" i="2"/>
  <c r="Q25" i="2"/>
  <c r="CH26" i="2"/>
  <c r="CJ26" i="2"/>
  <c r="CK26" i="2"/>
  <c r="CL26" i="2"/>
  <c r="CI26" i="2"/>
  <c r="CM26" i="2"/>
  <c r="CN26" i="2"/>
  <c r="CO26" i="2"/>
  <c r="CP26" i="2"/>
  <c r="CQ26" i="2"/>
  <c r="CU26" i="2"/>
  <c r="CS26" i="2"/>
  <c r="CT26" i="2"/>
  <c r="CV26" i="2"/>
  <c r="P26" i="2"/>
  <c r="Q26" i="2"/>
  <c r="CH27" i="2"/>
  <c r="CK27" i="2"/>
  <c r="CJ27" i="2"/>
  <c r="CL27" i="2"/>
  <c r="CI27" i="2"/>
  <c r="CM27" i="2"/>
  <c r="CN27" i="2"/>
  <c r="CO27" i="2"/>
  <c r="CP27" i="2"/>
  <c r="CQ27" i="2"/>
  <c r="CU27" i="2"/>
  <c r="CS27" i="2"/>
  <c r="CT27" i="2"/>
  <c r="CV27" i="2"/>
  <c r="P27" i="2"/>
  <c r="Q27" i="2"/>
  <c r="CH28" i="2"/>
  <c r="CI28" i="2"/>
  <c r="CJ28" i="2"/>
  <c r="CK28" i="2"/>
  <c r="CL28" i="2"/>
  <c r="CM28" i="2"/>
  <c r="CN28" i="2"/>
  <c r="CO28" i="2"/>
  <c r="CP28" i="2"/>
  <c r="CQ28" i="2"/>
  <c r="CU28" i="2"/>
  <c r="CS28" i="2"/>
  <c r="CT28" i="2"/>
  <c r="CV28" i="2"/>
  <c r="P28" i="2"/>
  <c r="Q28" i="2"/>
  <c r="CH29" i="2"/>
  <c r="CI29" i="2"/>
  <c r="CL29" i="2"/>
  <c r="CJ29" i="2"/>
  <c r="CK29" i="2"/>
  <c r="CM29" i="2"/>
  <c r="CN29" i="2"/>
  <c r="CO29" i="2"/>
  <c r="CP29" i="2"/>
  <c r="CQ29" i="2"/>
  <c r="CS29" i="2"/>
  <c r="CT29" i="2"/>
  <c r="CU29" i="2"/>
  <c r="CV29" i="2"/>
  <c r="P29" i="2"/>
  <c r="Q29" i="2"/>
  <c r="CH30" i="2"/>
  <c r="CI30" i="2"/>
  <c r="CJ30" i="2"/>
  <c r="CL30" i="2"/>
  <c r="CM30" i="2"/>
  <c r="CK30" i="2"/>
  <c r="CN30" i="2"/>
  <c r="CO30" i="2"/>
  <c r="CP30" i="2"/>
  <c r="CQ30" i="2"/>
  <c r="CS30" i="2"/>
  <c r="CT30" i="2"/>
  <c r="CU30" i="2"/>
  <c r="CV30" i="2"/>
  <c r="P30" i="2"/>
  <c r="Q30" i="2"/>
  <c r="P31" i="2"/>
  <c r="Q31" i="2"/>
  <c r="P32" i="2"/>
  <c r="Q32" i="2"/>
  <c r="P33" i="2"/>
  <c r="Q33" i="2"/>
  <c r="P34" i="2"/>
  <c r="Q34" i="2"/>
  <c r="P35" i="2"/>
  <c r="Q35" i="2"/>
  <c r="P36" i="2"/>
  <c r="Q36" i="2"/>
  <c r="P37" i="2"/>
  <c r="Q37" i="2"/>
  <c r="P56" i="2"/>
  <c r="Q56" i="2"/>
  <c r="H58" i="2"/>
  <c r="K5" i="7"/>
  <c r="CH39" i="2"/>
  <c r="CP39" i="2"/>
  <c r="CS39" i="2"/>
  <c r="CT39" i="2"/>
  <c r="CO39" i="2"/>
  <c r="CN39" i="2"/>
  <c r="CM39" i="2"/>
  <c r="CL39" i="2"/>
  <c r="CK39" i="2"/>
  <c r="CU39" i="2"/>
  <c r="CJ39" i="2"/>
  <c r="CI39" i="2"/>
  <c r="CH40" i="2"/>
  <c r="CP40" i="2"/>
  <c r="CS40" i="2"/>
  <c r="CT40" i="2"/>
  <c r="CO40" i="2"/>
  <c r="CN40" i="2"/>
  <c r="CM40" i="2"/>
  <c r="CL40" i="2"/>
  <c r="CK40" i="2"/>
  <c r="CU40" i="2"/>
  <c r="CJ40" i="2"/>
  <c r="CI40" i="2"/>
  <c r="CH41" i="2"/>
  <c r="CP41" i="2"/>
  <c r="CS41" i="2"/>
  <c r="CT41" i="2"/>
  <c r="CO41" i="2"/>
  <c r="CN41" i="2"/>
  <c r="CM41" i="2"/>
  <c r="CL41" i="2"/>
  <c r="CK41" i="2"/>
  <c r="CU41" i="2"/>
  <c r="CJ41" i="2"/>
  <c r="CI41" i="2"/>
  <c r="CH42" i="2"/>
  <c r="CP42" i="2"/>
  <c r="CS42" i="2"/>
  <c r="CT42" i="2"/>
  <c r="CO42" i="2"/>
  <c r="CN42" i="2"/>
  <c r="CM42" i="2"/>
  <c r="CL42" i="2"/>
  <c r="CK42" i="2"/>
  <c r="CU42" i="2"/>
  <c r="CJ42" i="2"/>
  <c r="CI42" i="2"/>
  <c r="CH43" i="2"/>
  <c r="CP43" i="2"/>
  <c r="CS43" i="2"/>
  <c r="CT43" i="2"/>
  <c r="CO43" i="2"/>
  <c r="CN43" i="2"/>
  <c r="CM43" i="2"/>
  <c r="CL43" i="2"/>
  <c r="CK43" i="2"/>
  <c r="CU43" i="2"/>
  <c r="CJ43" i="2"/>
  <c r="CI43" i="2"/>
  <c r="CH44" i="2"/>
  <c r="CP44" i="2"/>
  <c r="CS44" i="2"/>
  <c r="CT44" i="2"/>
  <c r="CO44" i="2"/>
  <c r="CN44" i="2"/>
  <c r="CM44" i="2"/>
  <c r="CL44" i="2"/>
  <c r="CK44" i="2"/>
  <c r="CU44" i="2"/>
  <c r="CJ44" i="2"/>
  <c r="CI44" i="2"/>
  <c r="CH45" i="2"/>
  <c r="CP45" i="2"/>
  <c r="CS45" i="2"/>
  <c r="CT45" i="2"/>
  <c r="CO45" i="2"/>
  <c r="CN45" i="2"/>
  <c r="CM45" i="2"/>
  <c r="CL45" i="2"/>
  <c r="CK45" i="2"/>
  <c r="CU45" i="2"/>
  <c r="CJ45" i="2"/>
  <c r="CI45" i="2"/>
  <c r="F5" i="7"/>
  <c r="E8" i="7"/>
  <c r="P100" i="7"/>
  <c r="P99" i="7"/>
  <c r="P67" i="7"/>
  <c r="P66" i="7"/>
  <c r="P97" i="7"/>
  <c r="P98" i="7"/>
  <c r="B18" i="7"/>
  <c r="C18" i="7"/>
  <c r="B60" i="7"/>
  <c r="CH56" i="2"/>
  <c r="CI56" i="2"/>
  <c r="CJ56" i="2"/>
  <c r="CK56" i="2"/>
  <c r="CL56" i="2"/>
  <c r="CM56" i="2"/>
  <c r="CN56" i="2"/>
  <c r="CO56" i="2"/>
  <c r="CP56" i="2"/>
  <c r="CQ56" i="2"/>
  <c r="CS56" i="2"/>
  <c r="CT56" i="2"/>
  <c r="CU56" i="2"/>
  <c r="CV56" i="2"/>
  <c r="CQ39" i="2"/>
  <c r="CV39" i="2"/>
  <c r="P39" i="2"/>
  <c r="Q39" i="2"/>
  <c r="CQ40" i="2"/>
  <c r="CV40" i="2"/>
  <c r="P40" i="2"/>
  <c r="Q40" i="2"/>
  <c r="CQ41" i="2"/>
  <c r="CV41" i="2"/>
  <c r="P41" i="2"/>
  <c r="Q41" i="2"/>
  <c r="CQ42" i="2"/>
  <c r="CV42" i="2"/>
  <c r="P42" i="2"/>
  <c r="Q42" i="2"/>
  <c r="CQ43" i="2"/>
  <c r="CV43" i="2"/>
  <c r="P43" i="2"/>
  <c r="Q43" i="2"/>
  <c r="CQ44" i="2"/>
  <c r="CV44" i="2"/>
  <c r="P44" i="2"/>
  <c r="Q44" i="2"/>
  <c r="P45" i="2"/>
  <c r="Q45" i="2"/>
  <c r="P46" i="2"/>
  <c r="Q46" i="2"/>
  <c r="P47" i="2"/>
  <c r="Q47" i="2"/>
  <c r="P48" i="2"/>
  <c r="Q48" i="2"/>
  <c r="P49" i="2"/>
  <c r="Q49" i="2"/>
  <c r="P50" i="2"/>
  <c r="Q50" i="2"/>
  <c r="P51" i="2"/>
  <c r="Q51" i="2"/>
  <c r="P52" i="2"/>
  <c r="Q52" i="2"/>
  <c r="P53" i="2"/>
  <c r="Q53" i="2"/>
  <c r="P54" i="2"/>
  <c r="Q54" i="2"/>
  <c r="K58" i="2"/>
  <c r="CI12" i="2"/>
  <c r="CL12" i="2"/>
  <c r="CQ12" i="2"/>
  <c r="CS12" i="2"/>
  <c r="CV12" i="2"/>
  <c r="P12" i="2"/>
  <c r="Q12" i="2"/>
  <c r="P58" i="2"/>
  <c r="H5" i="2"/>
  <c r="H6" i="2"/>
  <c r="H7" i="2"/>
  <c r="H8" i="2"/>
  <c r="D58" i="2"/>
  <c r="P8" i="2"/>
  <c r="DC15" i="2"/>
  <c r="DL15" i="2"/>
  <c r="DD15" i="2"/>
  <c r="DE15" i="2"/>
  <c r="DF15" i="2"/>
  <c r="DG15" i="2"/>
  <c r="DB15" i="2"/>
  <c r="DM15" i="2"/>
  <c r="DI15" i="2"/>
  <c r="DN15" i="2"/>
  <c r="DH15" i="2"/>
  <c r="DO15" i="2"/>
  <c r="DC16" i="2"/>
  <c r="DD16" i="2"/>
  <c r="DE16" i="2"/>
  <c r="DF16" i="2"/>
  <c r="DG16" i="2"/>
  <c r="DB16" i="2"/>
  <c r="DL16" i="2"/>
  <c r="DM16" i="2"/>
  <c r="DI16" i="2"/>
  <c r="DN16" i="2"/>
  <c r="DH16" i="2"/>
  <c r="DO16" i="2"/>
  <c r="DC17" i="2"/>
  <c r="DD17" i="2"/>
  <c r="DE17" i="2"/>
  <c r="DF17" i="2"/>
  <c r="DG17" i="2"/>
  <c r="DB17" i="2"/>
  <c r="DL17" i="2"/>
  <c r="DM17" i="2"/>
  <c r="DI17" i="2"/>
  <c r="DN17" i="2"/>
  <c r="DH17" i="2"/>
  <c r="DO17" i="2"/>
  <c r="DC18" i="2"/>
  <c r="DM18" i="2"/>
  <c r="DB18" i="2"/>
  <c r="DI18" i="2"/>
  <c r="DL18" i="2"/>
  <c r="DD18" i="2"/>
  <c r="DE18" i="2"/>
  <c r="DF18" i="2"/>
  <c r="DG18" i="2"/>
  <c r="DN18" i="2"/>
  <c r="DH18" i="2"/>
  <c r="DO18" i="2"/>
  <c r="DC19" i="2"/>
  <c r="DM19" i="2"/>
  <c r="DB19" i="2"/>
  <c r="DI19" i="2"/>
  <c r="DL19" i="2"/>
  <c r="DD19" i="2"/>
  <c r="DE19" i="2"/>
  <c r="DF19" i="2"/>
  <c r="DG19" i="2"/>
  <c r="DN19" i="2"/>
  <c r="DH19" i="2"/>
  <c r="DO19" i="2"/>
  <c r="DC20" i="2"/>
  <c r="DM20" i="2"/>
  <c r="DB20" i="2"/>
  <c r="DI20" i="2"/>
  <c r="DL20" i="2"/>
  <c r="DD20" i="2"/>
  <c r="DE20" i="2"/>
  <c r="DF20" i="2"/>
  <c r="DG20" i="2"/>
  <c r="DN20" i="2"/>
  <c r="DH20" i="2"/>
  <c r="DO20" i="2"/>
  <c r="DC21" i="2"/>
  <c r="DM21" i="2"/>
  <c r="DB21" i="2"/>
  <c r="DI21" i="2"/>
  <c r="DL21" i="2"/>
  <c r="DD21" i="2"/>
  <c r="DE21" i="2"/>
  <c r="DF21" i="2"/>
  <c r="DG21" i="2"/>
  <c r="DN21" i="2"/>
  <c r="DH21" i="2"/>
  <c r="DO21" i="2"/>
  <c r="DC22" i="2"/>
  <c r="DM22" i="2"/>
  <c r="DB22" i="2"/>
  <c r="DI22" i="2"/>
  <c r="DL22" i="2"/>
  <c r="DD22" i="2"/>
  <c r="DE22" i="2"/>
  <c r="DF22" i="2"/>
  <c r="DG22" i="2"/>
  <c r="DN22" i="2"/>
  <c r="DH22" i="2"/>
  <c r="DO22" i="2"/>
  <c r="DC23" i="2"/>
  <c r="DM23" i="2"/>
  <c r="DB23" i="2"/>
  <c r="DI23" i="2"/>
  <c r="DL23" i="2"/>
  <c r="DD23" i="2"/>
  <c r="DE23" i="2"/>
  <c r="DF23" i="2"/>
  <c r="DG23" i="2"/>
  <c r="DN23" i="2"/>
  <c r="DH23" i="2"/>
  <c r="DO23" i="2"/>
  <c r="DC24" i="2"/>
  <c r="DM24" i="2"/>
  <c r="DB24" i="2"/>
  <c r="DI24" i="2"/>
  <c r="DL24" i="2"/>
  <c r="DD24" i="2"/>
  <c r="DE24" i="2"/>
  <c r="DF24" i="2"/>
  <c r="DG24" i="2"/>
  <c r="DN24" i="2"/>
  <c r="DH24" i="2"/>
  <c r="DO24" i="2"/>
  <c r="DC25" i="2"/>
  <c r="DM25" i="2"/>
  <c r="DB25" i="2"/>
  <c r="DI25" i="2"/>
  <c r="DL25" i="2"/>
  <c r="DD25" i="2"/>
  <c r="DE25" i="2"/>
  <c r="DF25" i="2"/>
  <c r="DG25" i="2"/>
  <c r="DN25" i="2"/>
  <c r="DH25" i="2"/>
  <c r="DO25" i="2"/>
  <c r="DC26" i="2"/>
  <c r="DM26" i="2"/>
  <c r="DB26" i="2"/>
  <c r="DI26" i="2"/>
  <c r="DL26" i="2"/>
  <c r="DD26" i="2"/>
  <c r="DE26" i="2"/>
  <c r="DF26" i="2"/>
  <c r="DG26" i="2"/>
  <c r="DN26" i="2"/>
  <c r="DH26" i="2"/>
  <c r="DO26" i="2"/>
  <c r="DC27" i="2"/>
  <c r="DM27" i="2"/>
  <c r="DB27" i="2"/>
  <c r="DI27" i="2"/>
  <c r="DL27" i="2"/>
  <c r="DD27" i="2"/>
  <c r="DE27" i="2"/>
  <c r="DF27" i="2"/>
  <c r="DG27" i="2"/>
  <c r="DN27" i="2"/>
  <c r="DH27" i="2"/>
  <c r="DO27" i="2"/>
  <c r="DC28" i="2"/>
  <c r="DL28" i="2"/>
  <c r="DD28" i="2"/>
  <c r="DE28" i="2"/>
  <c r="DF28" i="2"/>
  <c r="DG28" i="2"/>
  <c r="DB28" i="2"/>
  <c r="DM28" i="2"/>
  <c r="DI28" i="2"/>
  <c r="DN28" i="2"/>
  <c r="DH28" i="2"/>
  <c r="DO28" i="2"/>
  <c r="DC29" i="2"/>
  <c r="DL29" i="2"/>
  <c r="DD29" i="2"/>
  <c r="DE29" i="2"/>
  <c r="DF29" i="2"/>
  <c r="DG29" i="2"/>
  <c r="DB29" i="2"/>
  <c r="DM29" i="2"/>
  <c r="DI29" i="2"/>
  <c r="DN29" i="2"/>
  <c r="DH29" i="2"/>
  <c r="DO29" i="2"/>
  <c r="DC30" i="2"/>
  <c r="DM30" i="2"/>
  <c r="DB30" i="2"/>
  <c r="DI30" i="2"/>
  <c r="DL30" i="2"/>
  <c r="DD30" i="2"/>
  <c r="DE30" i="2"/>
  <c r="DF30" i="2"/>
  <c r="DG30" i="2"/>
  <c r="DN30" i="2"/>
  <c r="DH30" i="2"/>
  <c r="DO30" i="2"/>
  <c r="DC31" i="2"/>
  <c r="DM31" i="2"/>
  <c r="DB31" i="2"/>
  <c r="DI31" i="2"/>
  <c r="DL31" i="2"/>
  <c r="DD31" i="2"/>
  <c r="DE31" i="2"/>
  <c r="DF31" i="2"/>
  <c r="DG31" i="2"/>
  <c r="DN31" i="2"/>
  <c r="DH31" i="2"/>
  <c r="DO31" i="2"/>
  <c r="DC32" i="2"/>
  <c r="DM32" i="2"/>
  <c r="DB32" i="2"/>
  <c r="DI32" i="2"/>
  <c r="DL32" i="2"/>
  <c r="DD32" i="2"/>
  <c r="DE32" i="2"/>
  <c r="DF32" i="2"/>
  <c r="DG32" i="2"/>
  <c r="DN32" i="2"/>
  <c r="DH32" i="2"/>
  <c r="DO32" i="2"/>
  <c r="DC33" i="2"/>
  <c r="DM33" i="2"/>
  <c r="DB33" i="2"/>
  <c r="DI33" i="2"/>
  <c r="DL33" i="2"/>
  <c r="DD33" i="2"/>
  <c r="DE33" i="2"/>
  <c r="DF33" i="2"/>
  <c r="DG33" i="2"/>
  <c r="DN33" i="2"/>
  <c r="DH33" i="2"/>
  <c r="DO33" i="2"/>
  <c r="DC34" i="2"/>
  <c r="DM34" i="2"/>
  <c r="DB34" i="2"/>
  <c r="DI34" i="2"/>
  <c r="DL34" i="2"/>
  <c r="DD34" i="2"/>
  <c r="DE34" i="2"/>
  <c r="DF34" i="2"/>
  <c r="DG34" i="2"/>
  <c r="DN34" i="2"/>
  <c r="DH34" i="2"/>
  <c r="DO34" i="2"/>
  <c r="DC35" i="2"/>
  <c r="DM35" i="2"/>
  <c r="DB35" i="2"/>
  <c r="DI35" i="2"/>
  <c r="DL35" i="2"/>
  <c r="DD35" i="2"/>
  <c r="DE35" i="2"/>
  <c r="DF35" i="2"/>
  <c r="DG35" i="2"/>
  <c r="DN35" i="2"/>
  <c r="DH35" i="2"/>
  <c r="DO35" i="2"/>
  <c r="DC36" i="2"/>
  <c r="DM36" i="2"/>
  <c r="DB36" i="2"/>
  <c r="DI36" i="2"/>
  <c r="DL36" i="2"/>
  <c r="DD36" i="2"/>
  <c r="DE36" i="2"/>
  <c r="DF36" i="2"/>
  <c r="DG36" i="2"/>
  <c r="DN36" i="2"/>
  <c r="DH36" i="2"/>
  <c r="DO36" i="2"/>
  <c r="DC37" i="2"/>
  <c r="DM37" i="2"/>
  <c r="DB37" i="2"/>
  <c r="DI37" i="2"/>
  <c r="DL37" i="2"/>
  <c r="DD37" i="2"/>
  <c r="DE37" i="2"/>
  <c r="DF37" i="2"/>
  <c r="DG37" i="2"/>
  <c r="DN37" i="2"/>
  <c r="DH37" i="2"/>
  <c r="DO37" i="2"/>
  <c r="DC14" i="2"/>
  <c r="DM14" i="2"/>
  <c r="B97" i="7"/>
  <c r="B95" i="7"/>
  <c r="B93" i="7"/>
  <c r="B91" i="7"/>
  <c r="B89" i="7"/>
  <c r="B87" i="7"/>
  <c r="B85" i="7"/>
  <c r="B83" i="7"/>
  <c r="B81" i="7"/>
  <c r="B79" i="7"/>
  <c r="B77" i="7"/>
  <c r="B75" i="7"/>
  <c r="B73" i="7"/>
  <c r="B71" i="7"/>
  <c r="B69" i="7"/>
  <c r="B67" i="7"/>
  <c r="B100" i="7"/>
  <c r="B64" i="7"/>
  <c r="B62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B20" i="7"/>
  <c r="I5" i="2"/>
  <c r="CQ66" i="2"/>
  <c r="DJ40" i="2"/>
  <c r="DB40" i="2"/>
  <c r="DI40" i="2"/>
  <c r="DL40" i="2"/>
  <c r="DM40" i="2"/>
  <c r="DP40" i="2"/>
  <c r="S40" i="2"/>
  <c r="DJ41" i="2"/>
  <c r="DB41" i="2"/>
  <c r="DI41" i="2"/>
  <c r="DL41" i="2"/>
  <c r="DM41" i="2"/>
  <c r="DP41" i="2"/>
  <c r="S41" i="2"/>
  <c r="DJ42" i="2"/>
  <c r="DB42" i="2"/>
  <c r="DI42" i="2"/>
  <c r="DL42" i="2"/>
  <c r="DM42" i="2"/>
  <c r="DP42" i="2"/>
  <c r="S42" i="2"/>
  <c r="DJ43" i="2"/>
  <c r="DB43" i="2"/>
  <c r="DI43" i="2"/>
  <c r="DL43" i="2"/>
  <c r="DM43" i="2"/>
  <c r="DP43" i="2"/>
  <c r="S43" i="2"/>
  <c r="DJ44" i="2"/>
  <c r="DB44" i="2"/>
  <c r="DI44" i="2"/>
  <c r="DL44" i="2"/>
  <c r="DM44" i="2"/>
  <c r="DP44" i="2"/>
  <c r="S44" i="2"/>
  <c r="DJ45" i="2"/>
  <c r="DB45" i="2"/>
  <c r="DI45" i="2"/>
  <c r="DL45" i="2"/>
  <c r="DM45" i="2"/>
  <c r="DP45" i="2"/>
  <c r="S45" i="2"/>
  <c r="DJ46" i="2"/>
  <c r="DB46" i="2"/>
  <c r="DI46" i="2"/>
  <c r="DL46" i="2"/>
  <c r="DM46" i="2"/>
  <c r="DP46" i="2"/>
  <c r="S46" i="2"/>
  <c r="DJ47" i="2"/>
  <c r="DB47" i="2"/>
  <c r="DI47" i="2"/>
  <c r="DL47" i="2"/>
  <c r="DM47" i="2"/>
  <c r="DP47" i="2"/>
  <c r="S47" i="2"/>
  <c r="DJ48" i="2"/>
  <c r="DB48" i="2"/>
  <c r="DI48" i="2"/>
  <c r="DL48" i="2"/>
  <c r="DM48" i="2"/>
  <c r="DP48" i="2"/>
  <c r="S48" i="2"/>
  <c r="DJ49" i="2"/>
  <c r="DB49" i="2"/>
  <c r="DI49" i="2"/>
  <c r="DL49" i="2"/>
  <c r="DM49" i="2"/>
  <c r="DP49" i="2"/>
  <c r="S49" i="2"/>
  <c r="DJ50" i="2"/>
  <c r="DB50" i="2"/>
  <c r="DI50" i="2"/>
  <c r="DL50" i="2"/>
  <c r="DM50" i="2"/>
  <c r="DP50" i="2"/>
  <c r="S50" i="2"/>
  <c r="DJ51" i="2"/>
  <c r="DB51" i="2"/>
  <c r="DI51" i="2"/>
  <c r="DL51" i="2"/>
  <c r="DM51" i="2"/>
  <c r="DP51" i="2"/>
  <c r="S51" i="2"/>
  <c r="DJ52" i="2"/>
  <c r="DB52" i="2"/>
  <c r="DI52" i="2"/>
  <c r="DL52" i="2"/>
  <c r="DM52" i="2"/>
  <c r="DP52" i="2"/>
  <c r="S52" i="2"/>
  <c r="DJ53" i="2"/>
  <c r="DB53" i="2"/>
  <c r="DI53" i="2"/>
  <c r="DL53" i="2"/>
  <c r="DM53" i="2"/>
  <c r="DP53" i="2"/>
  <c r="S53" i="2"/>
  <c r="DJ54" i="2"/>
  <c r="DB54" i="2"/>
  <c r="DI54" i="2"/>
  <c r="DL54" i="2"/>
  <c r="DM54" i="2"/>
  <c r="DP54" i="2"/>
  <c r="S54" i="2"/>
  <c r="DL39" i="2"/>
  <c r="DB39" i="2"/>
  <c r="DI39" i="2"/>
  <c r="DJ39" i="2"/>
  <c r="DM39" i="2"/>
  <c r="DP39" i="2"/>
  <c r="S39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DL14" i="2"/>
  <c r="DD14" i="2"/>
  <c r="DE14" i="2"/>
  <c r="DF14" i="2"/>
  <c r="DG14" i="2"/>
  <c r="DB14" i="2"/>
  <c r="DI14" i="2"/>
  <c r="DN14" i="2"/>
  <c r="DH14" i="2"/>
  <c r="DO14" i="2"/>
  <c r="S14" i="2"/>
  <c r="CH46" i="2"/>
  <c r="CP46" i="2"/>
  <c r="CS46" i="2"/>
  <c r="CT46" i="2"/>
  <c r="CH47" i="2"/>
  <c r="CP47" i="2"/>
  <c r="CS47" i="2"/>
  <c r="CT47" i="2"/>
  <c r="CH48" i="2"/>
  <c r="CP48" i="2"/>
  <c r="CS48" i="2"/>
  <c r="CT48" i="2"/>
  <c r="CH49" i="2"/>
  <c r="CP49" i="2"/>
  <c r="CS49" i="2"/>
  <c r="CT49" i="2"/>
  <c r="CH50" i="2"/>
  <c r="CP50" i="2"/>
  <c r="CS50" i="2"/>
  <c r="CT50" i="2"/>
  <c r="CH51" i="2"/>
  <c r="CP51" i="2"/>
  <c r="CS51" i="2"/>
  <c r="CT51" i="2"/>
  <c r="CH52" i="2"/>
  <c r="CP52" i="2"/>
  <c r="CS52" i="2"/>
  <c r="CT52" i="2"/>
  <c r="CH53" i="2"/>
  <c r="CP53" i="2"/>
  <c r="CS53" i="2"/>
  <c r="CT53" i="2"/>
  <c r="CH54" i="2"/>
  <c r="CP54" i="2"/>
  <c r="CS54" i="2"/>
  <c r="CT54" i="2"/>
  <c r="CO46" i="2"/>
  <c r="CO47" i="2"/>
  <c r="CO48" i="2"/>
  <c r="CO49" i="2"/>
  <c r="CO50" i="2"/>
  <c r="CO51" i="2"/>
  <c r="CO52" i="2"/>
  <c r="CO53" i="2"/>
  <c r="CO54" i="2"/>
  <c r="CN46" i="2"/>
  <c r="CN47" i="2"/>
  <c r="CN48" i="2"/>
  <c r="CN49" i="2"/>
  <c r="CN50" i="2"/>
  <c r="CN51" i="2"/>
  <c r="CN52" i="2"/>
  <c r="CN53" i="2"/>
  <c r="CM46" i="2"/>
  <c r="CM47" i="2"/>
  <c r="CM48" i="2"/>
  <c r="CM49" i="2"/>
  <c r="CM50" i="2"/>
  <c r="CM51" i="2"/>
  <c r="CM52" i="2"/>
  <c r="CM53" i="2"/>
  <c r="CM54" i="2"/>
  <c r="CL46" i="2"/>
  <c r="CL47" i="2"/>
  <c r="CL48" i="2"/>
  <c r="CL49" i="2"/>
  <c r="CL50" i="2"/>
  <c r="CL51" i="2"/>
  <c r="CL52" i="2"/>
  <c r="CL53" i="2"/>
  <c r="CL54" i="2"/>
  <c r="CK46" i="2"/>
  <c r="CU46" i="2"/>
  <c r="CK47" i="2"/>
  <c r="CU47" i="2"/>
  <c r="CK48" i="2"/>
  <c r="CU48" i="2"/>
  <c r="CK49" i="2"/>
  <c r="CU49" i="2"/>
  <c r="CK50" i="2"/>
  <c r="CU50" i="2"/>
  <c r="CK51" i="2"/>
  <c r="CU51" i="2"/>
  <c r="CK52" i="2"/>
  <c r="CU52" i="2"/>
  <c r="CK53" i="2"/>
  <c r="CU53" i="2"/>
  <c r="CK54" i="2"/>
  <c r="CU54" i="2"/>
  <c r="CJ46" i="2"/>
  <c r="CJ47" i="2"/>
  <c r="CJ48" i="2"/>
  <c r="CJ49" i="2"/>
  <c r="CJ50" i="2"/>
  <c r="CJ51" i="2"/>
  <c r="CJ52" i="2"/>
  <c r="CJ53" i="2"/>
  <c r="CJ54" i="2"/>
  <c r="CI46" i="2"/>
  <c r="CI47" i="2"/>
  <c r="CI48" i="2"/>
  <c r="CI49" i="2"/>
  <c r="CI50" i="2"/>
  <c r="CI51" i="2"/>
  <c r="CI52" i="2"/>
  <c r="CI53" i="2"/>
  <c r="CI54" i="2"/>
  <c r="H96" i="7"/>
  <c r="F96" i="7"/>
  <c r="D96" i="7"/>
  <c r="M95" i="7"/>
  <c r="L95" i="7"/>
  <c r="I95" i="7"/>
  <c r="H95" i="7"/>
  <c r="G95" i="7"/>
  <c r="F95" i="7"/>
  <c r="D95" i="7"/>
  <c r="C95" i="7"/>
  <c r="L96" i="7"/>
  <c r="L98" i="7"/>
  <c r="L94" i="7"/>
  <c r="L92" i="7"/>
  <c r="L90" i="7"/>
  <c r="L88" i="7"/>
  <c r="L86" i="7"/>
  <c r="L84" i="7"/>
  <c r="L82" i="7"/>
  <c r="CQ45" i="2"/>
  <c r="CV45" i="2"/>
  <c r="L80" i="7"/>
  <c r="L78" i="7"/>
  <c r="L76" i="7"/>
  <c r="L74" i="7"/>
  <c r="L72" i="7"/>
  <c r="L70" i="7"/>
  <c r="L68" i="7"/>
  <c r="L101" i="7"/>
  <c r="L65" i="7"/>
  <c r="L63" i="7"/>
  <c r="L61" i="7"/>
  <c r="L59" i="7"/>
  <c r="L57" i="7"/>
  <c r="L55" i="7"/>
  <c r="L53" i="7"/>
  <c r="L51" i="7"/>
  <c r="L49" i="7"/>
  <c r="L47" i="7"/>
  <c r="L45" i="7"/>
  <c r="L43" i="7"/>
  <c r="L41" i="7"/>
  <c r="L39" i="7"/>
  <c r="L37" i="7"/>
  <c r="L35" i="7"/>
  <c r="L33" i="7"/>
  <c r="L31" i="7"/>
  <c r="L29" i="7"/>
  <c r="L27" i="7"/>
  <c r="L25" i="7"/>
  <c r="L23" i="7"/>
  <c r="L21" i="7"/>
  <c r="L19" i="7"/>
  <c r="CH31" i="2"/>
  <c r="CI31" i="2"/>
  <c r="CS31" i="2"/>
  <c r="CT31" i="2"/>
  <c r="CH32" i="2"/>
  <c r="CI32" i="2"/>
  <c r="CS32" i="2"/>
  <c r="CT32" i="2"/>
  <c r="CH33" i="2"/>
  <c r="CI33" i="2"/>
  <c r="CS33" i="2"/>
  <c r="CT33" i="2"/>
  <c r="CH34" i="2"/>
  <c r="CI34" i="2"/>
  <c r="CS34" i="2"/>
  <c r="CT34" i="2"/>
  <c r="CH35" i="2"/>
  <c r="CI35" i="2"/>
  <c r="CS35" i="2"/>
  <c r="CT35" i="2"/>
  <c r="CH36" i="2"/>
  <c r="CI36" i="2"/>
  <c r="CS36" i="2"/>
  <c r="CT36" i="2"/>
  <c r="CH37" i="2"/>
  <c r="CI37" i="2"/>
  <c r="CS37" i="2"/>
  <c r="CT37" i="2"/>
  <c r="CP31" i="2"/>
  <c r="CP32" i="2"/>
  <c r="CP33" i="2"/>
  <c r="CP34" i="2"/>
  <c r="CP35" i="2"/>
  <c r="CP36" i="2"/>
  <c r="CP37" i="2"/>
  <c r="CO31" i="2"/>
  <c r="CO32" i="2"/>
  <c r="CO33" i="2"/>
  <c r="CO34" i="2"/>
  <c r="CO35" i="2"/>
  <c r="CO36" i="2"/>
  <c r="CO37" i="2"/>
  <c r="CN31" i="2"/>
  <c r="CN32" i="2"/>
  <c r="CN33" i="2"/>
  <c r="CN34" i="2"/>
  <c r="CN35" i="2"/>
  <c r="CN36" i="2"/>
  <c r="CN37" i="2"/>
  <c r="CM31" i="2"/>
  <c r="CM32" i="2"/>
  <c r="CM33" i="2"/>
  <c r="CM34" i="2"/>
  <c r="CM35" i="2"/>
  <c r="CM36" i="2"/>
  <c r="CM37" i="2"/>
  <c r="CL31" i="2"/>
  <c r="CL32" i="2"/>
  <c r="CL33" i="2"/>
  <c r="CL34" i="2"/>
  <c r="CL35" i="2"/>
  <c r="CL36" i="2"/>
  <c r="CL37" i="2"/>
  <c r="CK31" i="2"/>
  <c r="CU31" i="2"/>
  <c r="CK32" i="2"/>
  <c r="CU32" i="2"/>
  <c r="CK33" i="2"/>
  <c r="CU33" i="2"/>
  <c r="CK34" i="2"/>
  <c r="CU34" i="2"/>
  <c r="CK35" i="2"/>
  <c r="CU35" i="2"/>
  <c r="CK36" i="2"/>
  <c r="CU36" i="2"/>
  <c r="CK37" i="2"/>
  <c r="CU37" i="2"/>
  <c r="CJ31" i="2"/>
  <c r="CJ32" i="2"/>
  <c r="CJ33" i="2"/>
  <c r="CJ34" i="2"/>
  <c r="CJ35" i="2"/>
  <c r="CJ36" i="2"/>
  <c r="CJ37" i="2"/>
  <c r="P95" i="7"/>
  <c r="P93" i="7"/>
  <c r="P91" i="7"/>
  <c r="P89" i="7"/>
  <c r="P87" i="7"/>
  <c r="P85" i="7"/>
  <c r="P83" i="7"/>
  <c r="P81" i="7"/>
  <c r="P79" i="7"/>
  <c r="P77" i="7"/>
  <c r="P75" i="7"/>
  <c r="P73" i="7"/>
  <c r="P71" i="7"/>
  <c r="P69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32" i="7"/>
  <c r="P30" i="7"/>
  <c r="P28" i="7"/>
  <c r="P26" i="7"/>
  <c r="P24" i="7"/>
  <c r="P22" i="7"/>
  <c r="P20" i="7"/>
  <c r="P18" i="7"/>
  <c r="H94" i="7"/>
  <c r="F94" i="7"/>
  <c r="D94" i="7"/>
  <c r="M93" i="7"/>
  <c r="L93" i="7"/>
  <c r="I93" i="7"/>
  <c r="H93" i="7"/>
  <c r="G93" i="7"/>
  <c r="F93" i="7"/>
  <c r="D93" i="7"/>
  <c r="C93" i="7"/>
  <c r="H92" i="7"/>
  <c r="F92" i="7"/>
  <c r="D92" i="7"/>
  <c r="M91" i="7"/>
  <c r="L91" i="7"/>
  <c r="I91" i="7"/>
  <c r="H91" i="7"/>
  <c r="G91" i="7"/>
  <c r="F91" i="7"/>
  <c r="D91" i="7"/>
  <c r="C91" i="7"/>
  <c r="H90" i="7"/>
  <c r="F90" i="7"/>
  <c r="D90" i="7"/>
  <c r="M89" i="7"/>
  <c r="L89" i="7"/>
  <c r="I89" i="7"/>
  <c r="H89" i="7"/>
  <c r="G89" i="7"/>
  <c r="F89" i="7"/>
  <c r="D89" i="7"/>
  <c r="C89" i="7"/>
  <c r="H88" i="7"/>
  <c r="F88" i="7"/>
  <c r="D88" i="7"/>
  <c r="M87" i="7"/>
  <c r="L87" i="7"/>
  <c r="I87" i="7"/>
  <c r="H87" i="7"/>
  <c r="G87" i="7"/>
  <c r="F87" i="7"/>
  <c r="D87" i="7"/>
  <c r="C87" i="7"/>
  <c r="H86" i="7"/>
  <c r="F86" i="7"/>
  <c r="D86" i="7"/>
  <c r="M85" i="7"/>
  <c r="L85" i="7"/>
  <c r="I85" i="7"/>
  <c r="H85" i="7"/>
  <c r="G85" i="7"/>
  <c r="F85" i="7"/>
  <c r="D85" i="7"/>
  <c r="C85" i="7"/>
  <c r="H84" i="7"/>
  <c r="F84" i="7"/>
  <c r="D84" i="7"/>
  <c r="M83" i="7"/>
  <c r="L83" i="7"/>
  <c r="I83" i="7"/>
  <c r="H83" i="7"/>
  <c r="G83" i="7"/>
  <c r="F83" i="7"/>
  <c r="D83" i="7"/>
  <c r="C83" i="7"/>
  <c r="H82" i="7"/>
  <c r="F82" i="7"/>
  <c r="D82" i="7"/>
  <c r="M81" i="7"/>
  <c r="L81" i="7"/>
  <c r="I81" i="7"/>
  <c r="H81" i="7"/>
  <c r="G81" i="7"/>
  <c r="F81" i="7"/>
  <c r="D81" i="7"/>
  <c r="C81" i="7"/>
  <c r="H80" i="7"/>
  <c r="F80" i="7"/>
  <c r="D80" i="7"/>
  <c r="M79" i="7"/>
  <c r="L79" i="7"/>
  <c r="I79" i="7"/>
  <c r="H79" i="7"/>
  <c r="G79" i="7"/>
  <c r="F79" i="7"/>
  <c r="D79" i="7"/>
  <c r="C79" i="7"/>
  <c r="H78" i="7"/>
  <c r="F78" i="7"/>
  <c r="D78" i="7"/>
  <c r="M77" i="7"/>
  <c r="L77" i="7"/>
  <c r="I77" i="7"/>
  <c r="H77" i="7"/>
  <c r="G77" i="7"/>
  <c r="F77" i="7"/>
  <c r="D77" i="7"/>
  <c r="C77" i="7"/>
  <c r="P82" i="7"/>
  <c r="P80" i="7"/>
  <c r="P78" i="7"/>
  <c r="P90" i="7"/>
  <c r="P88" i="7"/>
  <c r="P86" i="7"/>
  <c r="P92" i="7"/>
  <c r="P94" i="7"/>
  <c r="P96" i="7"/>
  <c r="I75" i="7"/>
  <c r="I73" i="7"/>
  <c r="I71" i="7"/>
  <c r="I69" i="7"/>
  <c r="I97" i="7"/>
  <c r="I67" i="7"/>
  <c r="I100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H31" i="7"/>
  <c r="F31" i="7"/>
  <c r="D31" i="7"/>
  <c r="M30" i="7"/>
  <c r="L30" i="7"/>
  <c r="I30" i="7"/>
  <c r="H30" i="7"/>
  <c r="G30" i="7"/>
  <c r="F30" i="7"/>
  <c r="D30" i="7"/>
  <c r="C30" i="7"/>
  <c r="I28" i="7"/>
  <c r="I26" i="7"/>
  <c r="I24" i="7"/>
  <c r="C24" i="7"/>
  <c r="I22" i="7"/>
  <c r="H27" i="7"/>
  <c r="F27" i="7"/>
  <c r="D27" i="7"/>
  <c r="M26" i="7"/>
  <c r="L26" i="7"/>
  <c r="H26" i="7"/>
  <c r="G26" i="7"/>
  <c r="F26" i="7"/>
  <c r="D26" i="7"/>
  <c r="C26" i="7"/>
  <c r="C20" i="7"/>
  <c r="C22" i="7"/>
  <c r="I20" i="7"/>
  <c r="I18" i="7"/>
  <c r="H63" i="7"/>
  <c r="F63" i="7"/>
  <c r="D63" i="7"/>
  <c r="M62" i="7"/>
  <c r="L62" i="7"/>
  <c r="H62" i="7"/>
  <c r="G62" i="7"/>
  <c r="F62" i="7"/>
  <c r="D62" i="7"/>
  <c r="C62" i="7"/>
  <c r="H61" i="7"/>
  <c r="F61" i="7"/>
  <c r="D61" i="7"/>
  <c r="M60" i="7"/>
  <c r="L60" i="7"/>
  <c r="H60" i="7"/>
  <c r="G60" i="7"/>
  <c r="F60" i="7"/>
  <c r="D60" i="7"/>
  <c r="C60" i="7"/>
  <c r="H59" i="7"/>
  <c r="F59" i="7"/>
  <c r="D59" i="7"/>
  <c r="M58" i="7"/>
  <c r="L58" i="7"/>
  <c r="H58" i="7"/>
  <c r="G58" i="7"/>
  <c r="F58" i="7"/>
  <c r="D58" i="7"/>
  <c r="C58" i="7"/>
  <c r="H57" i="7"/>
  <c r="F57" i="7"/>
  <c r="D57" i="7"/>
  <c r="M56" i="7"/>
  <c r="L56" i="7"/>
  <c r="H56" i="7"/>
  <c r="G56" i="7"/>
  <c r="F56" i="7"/>
  <c r="D56" i="7"/>
  <c r="C56" i="7"/>
  <c r="H55" i="7"/>
  <c r="F55" i="7"/>
  <c r="D55" i="7"/>
  <c r="M54" i="7"/>
  <c r="L54" i="7"/>
  <c r="H54" i="7"/>
  <c r="G54" i="7"/>
  <c r="F54" i="7"/>
  <c r="D54" i="7"/>
  <c r="C54" i="7"/>
  <c r="H53" i="7"/>
  <c r="F53" i="7"/>
  <c r="D53" i="7"/>
  <c r="M52" i="7"/>
  <c r="L52" i="7"/>
  <c r="H52" i="7"/>
  <c r="G52" i="7"/>
  <c r="F52" i="7"/>
  <c r="D52" i="7"/>
  <c r="C52" i="7"/>
  <c r="H51" i="7"/>
  <c r="F51" i="7"/>
  <c r="D51" i="7"/>
  <c r="M50" i="7"/>
  <c r="L50" i="7"/>
  <c r="H50" i="7"/>
  <c r="G50" i="7"/>
  <c r="F50" i="7"/>
  <c r="D50" i="7"/>
  <c r="C50" i="7"/>
  <c r="P63" i="7"/>
  <c r="P61" i="7"/>
  <c r="P59" i="7"/>
  <c r="P57" i="7"/>
  <c r="P55" i="7"/>
  <c r="P53" i="7"/>
  <c r="P51" i="7"/>
  <c r="P6" i="2"/>
  <c r="F13" i="7"/>
  <c r="F12" i="7"/>
  <c r="CO58" i="2"/>
  <c r="CO60" i="2"/>
  <c r="CP58" i="2"/>
  <c r="CP60" i="2"/>
  <c r="CQ58" i="2"/>
  <c r="CQ60" i="2"/>
  <c r="CR58" i="2"/>
  <c r="CR60" i="2"/>
  <c r="CQ62" i="2"/>
  <c r="CQ67" i="2"/>
  <c r="CQ68" i="2"/>
  <c r="CQ69" i="2"/>
  <c r="CQ70" i="2"/>
  <c r="P5" i="2"/>
  <c r="K13" i="7"/>
  <c r="P4" i="2"/>
  <c r="K12" i="7"/>
  <c r="F8" i="7"/>
  <c r="C97" i="7"/>
  <c r="P84" i="7"/>
  <c r="C75" i="7"/>
  <c r="P76" i="7"/>
  <c r="C73" i="7"/>
  <c r="P74" i="7"/>
  <c r="C71" i="7"/>
  <c r="P72" i="7"/>
  <c r="C69" i="7"/>
  <c r="P70" i="7"/>
  <c r="C67" i="7"/>
  <c r="P68" i="7"/>
  <c r="F100" i="7"/>
  <c r="D101" i="7"/>
  <c r="D100" i="7"/>
  <c r="H98" i="7"/>
  <c r="F98" i="7"/>
  <c r="D98" i="7"/>
  <c r="M97" i="7"/>
  <c r="L97" i="7"/>
  <c r="H97" i="7"/>
  <c r="G97" i="7"/>
  <c r="F97" i="7"/>
  <c r="D97" i="7"/>
  <c r="H76" i="7"/>
  <c r="F76" i="7"/>
  <c r="D76" i="7"/>
  <c r="M75" i="7"/>
  <c r="L75" i="7"/>
  <c r="H75" i="7"/>
  <c r="G75" i="7"/>
  <c r="F75" i="7"/>
  <c r="D75" i="7"/>
  <c r="H74" i="7"/>
  <c r="F74" i="7"/>
  <c r="D74" i="7"/>
  <c r="M73" i="7"/>
  <c r="L73" i="7"/>
  <c r="H73" i="7"/>
  <c r="G73" i="7"/>
  <c r="F73" i="7"/>
  <c r="D73" i="7"/>
  <c r="H72" i="7"/>
  <c r="F72" i="7"/>
  <c r="D72" i="7"/>
  <c r="M71" i="7"/>
  <c r="L71" i="7"/>
  <c r="H71" i="7"/>
  <c r="G71" i="7"/>
  <c r="F71" i="7"/>
  <c r="D71" i="7"/>
  <c r="H70" i="7"/>
  <c r="F70" i="7"/>
  <c r="D70" i="7"/>
  <c r="M69" i="7"/>
  <c r="L69" i="7"/>
  <c r="H69" i="7"/>
  <c r="G69" i="7"/>
  <c r="F69" i="7"/>
  <c r="D69" i="7"/>
  <c r="H68" i="7"/>
  <c r="F68" i="7"/>
  <c r="D68" i="7"/>
  <c r="M67" i="7"/>
  <c r="L67" i="7"/>
  <c r="H67" i="7"/>
  <c r="G67" i="7"/>
  <c r="F67" i="7"/>
  <c r="D67" i="7"/>
  <c r="H101" i="7"/>
  <c r="F101" i="7"/>
  <c r="M100" i="7"/>
  <c r="L100" i="7"/>
  <c r="H100" i="7"/>
  <c r="G100" i="7"/>
  <c r="C100" i="7"/>
  <c r="H65" i="7"/>
  <c r="F65" i="7"/>
  <c r="D65" i="7"/>
  <c r="M64" i="7"/>
  <c r="L64" i="7"/>
  <c r="H64" i="7"/>
  <c r="G64" i="7"/>
  <c r="F64" i="7"/>
  <c r="D64" i="7"/>
  <c r="C64" i="7"/>
  <c r="P65" i="7"/>
  <c r="P101" i="7"/>
  <c r="C48" i="7"/>
  <c r="P49" i="7"/>
  <c r="C46" i="7"/>
  <c r="P47" i="7"/>
  <c r="C44" i="7"/>
  <c r="P45" i="7"/>
  <c r="C42" i="7"/>
  <c r="P43" i="7"/>
  <c r="H49" i="7"/>
  <c r="F49" i="7"/>
  <c r="D49" i="7"/>
  <c r="M48" i="7"/>
  <c r="L48" i="7"/>
  <c r="H48" i="7"/>
  <c r="G48" i="7"/>
  <c r="F48" i="7"/>
  <c r="D48" i="7"/>
  <c r="H47" i="7"/>
  <c r="F47" i="7"/>
  <c r="D47" i="7"/>
  <c r="M46" i="7"/>
  <c r="L46" i="7"/>
  <c r="H46" i="7"/>
  <c r="G46" i="7"/>
  <c r="F46" i="7"/>
  <c r="D46" i="7"/>
  <c r="H45" i="7"/>
  <c r="F45" i="7"/>
  <c r="D45" i="7"/>
  <c r="M44" i="7"/>
  <c r="L44" i="7"/>
  <c r="H44" i="7"/>
  <c r="G44" i="7"/>
  <c r="F44" i="7"/>
  <c r="D44" i="7"/>
  <c r="C40" i="7"/>
  <c r="P41" i="7"/>
  <c r="C38" i="7"/>
  <c r="P39" i="7"/>
  <c r="C36" i="7"/>
  <c r="P37" i="7"/>
  <c r="C34" i="7"/>
  <c r="P35" i="7"/>
  <c r="C32" i="7"/>
  <c r="P33" i="7"/>
  <c r="P31" i="7"/>
  <c r="C28" i="7"/>
  <c r="P29" i="7"/>
  <c r="P27" i="7"/>
  <c r="P25" i="7"/>
  <c r="P23" i="7"/>
  <c r="P21" i="7"/>
  <c r="P19" i="7"/>
  <c r="H41" i="7"/>
  <c r="F41" i="7"/>
  <c r="D41" i="7"/>
  <c r="M40" i="7"/>
  <c r="L40" i="7"/>
  <c r="H40" i="7"/>
  <c r="G40" i="7"/>
  <c r="F40" i="7"/>
  <c r="D40" i="7"/>
  <c r="H39" i="7"/>
  <c r="F39" i="7"/>
  <c r="D39" i="7"/>
  <c r="M38" i="7"/>
  <c r="L38" i="7"/>
  <c r="H38" i="7"/>
  <c r="G38" i="7"/>
  <c r="F38" i="7"/>
  <c r="D38" i="7"/>
  <c r="H37" i="7"/>
  <c r="F37" i="7"/>
  <c r="D37" i="7"/>
  <c r="M36" i="7"/>
  <c r="L36" i="7"/>
  <c r="H36" i="7"/>
  <c r="G36" i="7"/>
  <c r="F36" i="7"/>
  <c r="D36" i="7"/>
  <c r="H35" i="7"/>
  <c r="F35" i="7"/>
  <c r="D35" i="7"/>
  <c r="M34" i="7"/>
  <c r="L34" i="7"/>
  <c r="H34" i="7"/>
  <c r="G34" i="7"/>
  <c r="F34" i="7"/>
  <c r="D34" i="7"/>
  <c r="H33" i="7"/>
  <c r="F33" i="7"/>
  <c r="D33" i="7"/>
  <c r="M32" i="7"/>
  <c r="L32" i="7"/>
  <c r="H32" i="7"/>
  <c r="G32" i="7"/>
  <c r="F32" i="7"/>
  <c r="D32" i="7"/>
  <c r="H29" i="7"/>
  <c r="F29" i="7"/>
  <c r="D29" i="7"/>
  <c r="M28" i="7"/>
  <c r="L28" i="7"/>
  <c r="H28" i="7"/>
  <c r="G28" i="7"/>
  <c r="F28" i="7"/>
  <c r="D28" i="7"/>
  <c r="H25" i="7"/>
  <c r="F25" i="7"/>
  <c r="D25" i="7"/>
  <c r="M24" i="7"/>
  <c r="L24" i="7"/>
  <c r="H24" i="7"/>
  <c r="G24" i="7"/>
  <c r="F24" i="7"/>
  <c r="D24" i="7"/>
  <c r="H23" i="7"/>
  <c r="F23" i="7"/>
  <c r="D23" i="7"/>
  <c r="M22" i="7"/>
  <c r="L22" i="7"/>
  <c r="H22" i="7"/>
  <c r="G22" i="7"/>
  <c r="F22" i="7"/>
  <c r="D22" i="7"/>
  <c r="H21" i="7"/>
  <c r="F21" i="7"/>
  <c r="D21" i="7"/>
  <c r="M20" i="7"/>
  <c r="L20" i="7"/>
  <c r="H20" i="7"/>
  <c r="G20" i="7"/>
  <c r="F20" i="7"/>
  <c r="D20" i="7"/>
  <c r="H43" i="7"/>
  <c r="F43" i="7"/>
  <c r="D43" i="7"/>
  <c r="M42" i="7"/>
  <c r="L42" i="7"/>
  <c r="H42" i="7"/>
  <c r="G42" i="7"/>
  <c r="F42" i="7"/>
  <c r="D42" i="7"/>
  <c r="M18" i="7"/>
  <c r="L18" i="7"/>
  <c r="H19" i="7"/>
  <c r="H18" i="7"/>
  <c r="G18" i="7"/>
  <c r="F19" i="7"/>
  <c r="F18" i="7"/>
  <c r="D19" i="7"/>
  <c r="D18" i="7"/>
  <c r="K7" i="7"/>
  <c r="K10" i="7"/>
  <c r="K9" i="7"/>
  <c r="K8" i="7"/>
  <c r="E9" i="7"/>
  <c r="E10" i="7"/>
  <c r="F9" i="7"/>
  <c r="F10" i="7"/>
  <c r="F7" i="7"/>
  <c r="B2" i="7"/>
  <c r="DJ14" i="2"/>
  <c r="CQ31" i="2"/>
  <c r="CV31" i="2"/>
  <c r="R31" i="2"/>
  <c r="CG31" i="2"/>
  <c r="DJ31" i="2"/>
  <c r="CQ32" i="2"/>
  <c r="CV32" i="2"/>
  <c r="R32" i="2"/>
  <c r="CG32" i="2"/>
  <c r="DJ32" i="2"/>
  <c r="CQ33" i="2"/>
  <c r="CV33" i="2"/>
  <c r="R33" i="2"/>
  <c r="CG33" i="2"/>
  <c r="DJ33" i="2"/>
  <c r="CQ34" i="2"/>
  <c r="CV34" i="2"/>
  <c r="R34" i="2"/>
  <c r="CG34" i="2"/>
  <c r="DJ34" i="2"/>
  <c r="CQ35" i="2"/>
  <c r="CV35" i="2"/>
  <c r="R35" i="2"/>
  <c r="CG35" i="2"/>
  <c r="DJ35" i="2"/>
  <c r="CQ36" i="2"/>
  <c r="CV36" i="2"/>
  <c r="R36" i="2"/>
  <c r="CG36" i="2"/>
  <c r="DJ36" i="2"/>
  <c r="CQ37" i="2"/>
  <c r="CV37" i="2"/>
  <c r="R37" i="2"/>
  <c r="CG37" i="2"/>
  <c r="DJ37" i="2"/>
  <c r="CQ46" i="2"/>
  <c r="CV46" i="2"/>
  <c r="CQ47" i="2"/>
  <c r="CV47" i="2"/>
  <c r="CQ48" i="2"/>
  <c r="CV48" i="2"/>
  <c r="CQ49" i="2"/>
  <c r="CV49" i="2"/>
  <c r="CQ50" i="2"/>
  <c r="CV50" i="2"/>
  <c r="CQ51" i="2"/>
  <c r="CV51" i="2"/>
  <c r="CQ52" i="2"/>
  <c r="CV52" i="2"/>
  <c r="CQ53" i="2"/>
  <c r="CV53" i="2"/>
  <c r="CN54" i="2"/>
  <c r="CQ54" i="2"/>
  <c r="CV5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R19" i="2"/>
  <c r="CG19" i="2"/>
  <c r="R20" i="2"/>
  <c r="CG20" i="2"/>
  <c r="R21" i="2"/>
  <c r="CG21" i="2"/>
  <c r="R22" i="2"/>
  <c r="CG22" i="2"/>
  <c r="R23" i="2"/>
  <c r="CG23" i="2"/>
  <c r="R24" i="2"/>
  <c r="CG24" i="2"/>
  <c r="R25" i="2"/>
  <c r="CG25" i="2"/>
  <c r="R42" i="2"/>
  <c r="CG42" i="2"/>
  <c r="R43" i="2"/>
  <c r="CG43" i="2"/>
  <c r="R44" i="2"/>
  <c r="CG44" i="2"/>
  <c r="R45" i="2"/>
  <c r="CG45" i="2"/>
  <c r="R46" i="2"/>
  <c r="CG46" i="2"/>
  <c r="R47" i="2"/>
  <c r="CG47" i="2"/>
  <c r="R48" i="2"/>
  <c r="CG48" i="2"/>
  <c r="R49" i="2"/>
  <c r="CG49" i="2"/>
  <c r="R50" i="2"/>
  <c r="CG50" i="2"/>
  <c r="R51" i="2"/>
  <c r="CG51" i="2"/>
  <c r="R18" i="2"/>
  <c r="CG18" i="2"/>
  <c r="R26" i="2"/>
  <c r="CG26" i="2"/>
  <c r="R27" i="2"/>
  <c r="CG27" i="2"/>
  <c r="R28" i="2"/>
  <c r="CG28" i="2"/>
  <c r="R29" i="2"/>
  <c r="CG29" i="2"/>
  <c r="R30" i="2"/>
  <c r="CG30" i="2"/>
  <c r="I8" i="2"/>
  <c r="I7" i="2"/>
  <c r="R15" i="2"/>
  <c r="CG15" i="2"/>
  <c r="R16" i="2"/>
  <c r="CG16" i="2"/>
  <c r="R17" i="2"/>
  <c r="CG17" i="2"/>
  <c r="DJ56" i="2"/>
  <c r="DB56" i="2"/>
  <c r="DH56" i="2"/>
  <c r="DI56" i="2"/>
  <c r="DD56" i="2"/>
  <c r="I6" i="2"/>
  <c r="R40" i="2"/>
  <c r="R41" i="2"/>
  <c r="R52" i="2"/>
  <c r="R53" i="2"/>
  <c r="R54" i="2"/>
  <c r="R14" i="2"/>
  <c r="R39" i="2"/>
  <c r="R56" i="2"/>
  <c r="CG41" i="2"/>
  <c r="CG52" i="2"/>
  <c r="CG53" i="2"/>
  <c r="CG56" i="2"/>
  <c r="CG14" i="2"/>
  <c r="CG40" i="2"/>
  <c r="CG39" i="2"/>
  <c r="CG54" i="2"/>
  <c r="CG12" i="2"/>
  <c r="R12" i="2"/>
</calcChain>
</file>

<file path=xl/comments1.xml><?xml version="1.0" encoding="utf-8"?>
<comments xmlns="http://schemas.openxmlformats.org/spreadsheetml/2006/main">
  <authors>
    <author>Simon Hall</author>
  </authors>
  <commentList>
    <comment ref="AU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BC7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eqivalent</t>
        </r>
      </text>
    </comment>
    <comment ref="AU8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U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BC8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2 bases equivalent</t>
        </r>
      </text>
    </comment>
    <comment ref="AM8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Much bearer to bow for MTD as 2vs 3 range</t>
        </r>
      </text>
    </comment>
    <comment ref="AU84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K8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extra range and dedaly vs moutned so kuch better than bow</t>
        </r>
      </text>
    </comment>
    <comment ref="AK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1/3rd way to skilled bow</t>
        </r>
      </text>
    </comment>
    <comment ref="AM8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 much better than how as dropping S for charging on mtd</t>
        </r>
      </text>
    </comment>
    <comment ref="AU8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U8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K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less than sling a little but more than Jv now El effect removed</t>
        </r>
      </text>
    </comment>
    <comment ref="AU8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U9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  <comment ref="AK98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inn general fighting factors around 1/2 but shooting same as TuGs</t>
        </r>
      </text>
    </comment>
    <comment ref="AA99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equivalent to polearm</t>
        </r>
      </text>
    </comment>
    <comment ref="AA103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Same as short spear</t>
        </r>
      </text>
    </comment>
    <comment ref="AA105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about 3x SSp</t>
        </r>
      </text>
    </comment>
    <comment ref="AA107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 bit better than SSp + Shie
ld Cover</t>
        </r>
      </text>
    </comment>
    <comment ref="AA110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similar to SSp
</t>
        </r>
      </text>
    </comment>
    <comment ref="AA111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about 1/2 of ME
</t>
        </r>
      </text>
    </comment>
    <comment ref="AA112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note all "obstacles only paying for haf bases</t>
        </r>
      </text>
    </comment>
    <comment ref="AA116" authorId="0">
      <text>
        <r>
          <rPr>
            <b/>
            <sz val="9"/>
            <color indexed="81"/>
            <rFont val="Calibri"/>
            <family val="2"/>
          </rPr>
          <t>Simon Hall:</t>
        </r>
        <r>
          <rPr>
            <sz val="9"/>
            <color indexed="81"/>
            <rFont val="Calibri"/>
            <family val="2"/>
          </rPr>
          <t xml:space="preserve">
Worth more to infantry than cavalry</t>
        </r>
      </text>
    </comment>
  </commentList>
</comments>
</file>

<file path=xl/sharedStrings.xml><?xml version="1.0" encoding="utf-8"?>
<sst xmlns="http://schemas.openxmlformats.org/spreadsheetml/2006/main" count="1694" uniqueCount="336">
  <si>
    <t>Pts</t>
  </si>
  <si>
    <t>ARMY</t>
  </si>
  <si>
    <t>Type</t>
  </si>
  <si>
    <t>A</t>
  </si>
  <si>
    <t>Sub</t>
  </si>
  <si>
    <t>CinC</t>
  </si>
  <si>
    <t>Name</t>
  </si>
  <si>
    <t>Number of bases</t>
  </si>
  <si>
    <t>CAMP</t>
  </si>
  <si>
    <t>Shooting</t>
  </si>
  <si>
    <t>Average</t>
  </si>
  <si>
    <t>Poor</t>
  </si>
  <si>
    <t>B</t>
  </si>
  <si>
    <t>Pike</t>
  </si>
  <si>
    <t>SHOOTING</t>
  </si>
  <si>
    <t>na</t>
  </si>
  <si>
    <t>WEAPONS</t>
  </si>
  <si>
    <t>CHARACTERISTICS</t>
  </si>
  <si>
    <t>Points per base</t>
  </si>
  <si>
    <t>Points Total</t>
  </si>
  <si>
    <t>DATE</t>
  </si>
  <si>
    <t>GENERALS</t>
  </si>
  <si>
    <t>Legendary Professional</t>
  </si>
  <si>
    <t>Sub/Ally</t>
  </si>
  <si>
    <t>Competent Professional</t>
  </si>
  <si>
    <t>Talented Professional</t>
  </si>
  <si>
    <t>Legendary Instinctive</t>
  </si>
  <si>
    <t>Talented Instinctive</t>
  </si>
  <si>
    <t>Competent Instinctive</t>
  </si>
  <si>
    <t>PBS</t>
  </si>
  <si>
    <t>SUB</t>
  </si>
  <si>
    <t>Shove</t>
  </si>
  <si>
    <t>Mediocre Professional</t>
  </si>
  <si>
    <t>Mediocre Instinctive</t>
  </si>
  <si>
    <t>Drilled Flexible</t>
  </si>
  <si>
    <t>Formed Flexible</t>
  </si>
  <si>
    <t>Tribal Flexible</t>
  </si>
  <si>
    <t>Skirmisher</t>
  </si>
  <si>
    <t>Superior</t>
  </si>
  <si>
    <t>Exceptional</t>
  </si>
  <si>
    <t>INFANTRY</t>
  </si>
  <si>
    <t>ARTILLERY</t>
  </si>
  <si>
    <t>ELEPHANTS</t>
  </si>
  <si>
    <t>CAVALRY</t>
  </si>
  <si>
    <t>CAMELRY</t>
  </si>
  <si>
    <t>BATTLE WAGONS</t>
  </si>
  <si>
    <t>Training &amp; Formation</t>
  </si>
  <si>
    <t>Quality</t>
  </si>
  <si>
    <t>Protection</t>
  </si>
  <si>
    <t xml:space="preserve"> Special Characteristics</t>
  </si>
  <si>
    <t>-</t>
  </si>
  <si>
    <t>Protected</t>
  </si>
  <si>
    <t>Melee Expert</t>
  </si>
  <si>
    <t>Long Spear</t>
  </si>
  <si>
    <t>Short Spear</t>
  </si>
  <si>
    <t>Combat Shy</t>
  </si>
  <si>
    <t>Fanatic</t>
  </si>
  <si>
    <t>Cantabrian</t>
  </si>
  <si>
    <t>African</t>
  </si>
  <si>
    <t>Bow</t>
  </si>
  <si>
    <t>Crossbow</t>
  </si>
  <si>
    <t>Sling</t>
  </si>
  <si>
    <t>Javelin</t>
  </si>
  <si>
    <t>Dismountable</t>
  </si>
  <si>
    <t>Pavise</t>
  </si>
  <si>
    <t>Orb</t>
  </si>
  <si>
    <t>2-H Cut-Crush</t>
  </si>
  <si>
    <t>Charging Lancer</t>
  </si>
  <si>
    <t>Impact Weapon</t>
  </si>
  <si>
    <t>Powerbow</t>
  </si>
  <si>
    <t>Firearm</t>
  </si>
  <si>
    <t>Qual Mult</t>
  </si>
  <si>
    <t>Shooting skill</t>
  </si>
  <si>
    <t>Sp Ch A</t>
  </si>
  <si>
    <t>Sp Ch B</t>
  </si>
  <si>
    <t>Cost for Average</t>
  </si>
  <si>
    <t>X</t>
  </si>
  <si>
    <t>TABLE OFFSET</t>
  </si>
  <si>
    <t>MELEE</t>
  </si>
  <si>
    <t>DevastatIng Chargers</t>
  </si>
  <si>
    <t>CALCULATION ZONE</t>
  </si>
  <si>
    <t>C&amp;C Cards</t>
  </si>
  <si>
    <t>Set up modifiers</t>
  </si>
  <si>
    <t>General</t>
  </si>
  <si>
    <t>C-in-C and Sub Generals</t>
  </si>
  <si>
    <t>Generals PBS</t>
  </si>
  <si>
    <t>Ally?</t>
  </si>
  <si>
    <t>yes</t>
  </si>
  <si>
    <t>no</t>
  </si>
  <si>
    <t>Sub 1</t>
  </si>
  <si>
    <t>Sub 2</t>
  </si>
  <si>
    <t>Sub 3</t>
  </si>
  <si>
    <t>Calcaulations for Cavalry etc.</t>
  </si>
  <si>
    <t>Cav</t>
  </si>
  <si>
    <t>Cam</t>
  </si>
  <si>
    <t>Skirm</t>
  </si>
  <si>
    <t>Per</t>
  </si>
  <si>
    <t>GENREALS PBS</t>
  </si>
  <si>
    <t>Calculations</t>
  </si>
  <si>
    <t>Polearm</t>
  </si>
  <si>
    <t>Shieldwall</t>
  </si>
  <si>
    <t>Allied</t>
  </si>
  <si>
    <t>NA</t>
  </si>
  <si>
    <t>Any cells you need to empty just use "clear--&gt;contents" command</t>
  </si>
  <si>
    <t>Prot  Mult</t>
  </si>
  <si>
    <t>Unprotected</t>
  </si>
  <si>
    <t>x</t>
  </si>
  <si>
    <t>Chariots</t>
  </si>
  <si>
    <t>All blue areas are calculations or areas to leave blank</t>
  </si>
  <si>
    <t>Barricades</t>
  </si>
  <si>
    <t>COST PER BASE PRE QUAL</t>
  </si>
  <si>
    <t>TOTAL pre Qual</t>
  </si>
  <si>
    <t>Skilled</t>
  </si>
  <si>
    <t>Unskilled</t>
  </si>
  <si>
    <t>Experienced</t>
  </si>
  <si>
    <t>Drilled Close</t>
  </si>
  <si>
    <t>Formed Close</t>
  </si>
  <si>
    <t>Tribal Close</t>
  </si>
  <si>
    <t>Shoot &amp; Charge</t>
  </si>
  <si>
    <t>Integral Shooters</t>
  </si>
  <si>
    <t>Light Art</t>
  </si>
  <si>
    <t>Heavy Art</t>
  </si>
  <si>
    <t>C</t>
  </si>
  <si>
    <t>ALLIES</t>
  </si>
  <si>
    <t>PBS Terrain Maps</t>
  </si>
  <si>
    <t>TRIUMPH</t>
  </si>
  <si>
    <t>Max</t>
  </si>
  <si>
    <t>If you break your opponents army you have a Triumph</t>
  </si>
  <si>
    <t>2 Victory Points</t>
  </si>
  <si>
    <t>1 Victory Point</t>
  </si>
  <si>
    <t>Per enemy TuG Destroyed</t>
  </si>
  <si>
    <t>Per enemy SuG destroyed</t>
  </si>
  <si>
    <t>Generals</t>
  </si>
  <si>
    <t>If you live to fight another day (or mutual break)</t>
  </si>
  <si>
    <t>Contact Details</t>
  </si>
  <si>
    <t>Player</t>
  </si>
  <si>
    <t>UG No</t>
  </si>
  <si>
    <t>TuGs</t>
  </si>
  <si>
    <t>SuGs</t>
  </si>
  <si>
    <t>Shield Cover</t>
  </si>
  <si>
    <t>Foot</t>
  </si>
  <si>
    <t>Inf</t>
  </si>
  <si>
    <t>Art</t>
  </si>
  <si>
    <t>El</t>
  </si>
  <si>
    <t>BWg</t>
  </si>
  <si>
    <t>Camp</t>
  </si>
  <si>
    <t>Flexible Camp</t>
  </si>
  <si>
    <t>Mobile Camp</t>
  </si>
  <si>
    <t>Fortified Camp</t>
  </si>
  <si>
    <t>No Camp</t>
  </si>
  <si>
    <t xml:space="preserve">           15 Victory Points</t>
  </si>
  <si>
    <t xml:space="preserve">DAMAGE DONE SCORE </t>
  </si>
  <si>
    <t>Drilled Loose</t>
  </si>
  <si>
    <t>Formed Loose</t>
  </si>
  <si>
    <t>Tribal Loose</t>
  </si>
  <si>
    <t>TuGs to Break</t>
  </si>
  <si>
    <t>SURVIVAL</t>
  </si>
  <si>
    <t>+2 Victory Points</t>
  </si>
  <si>
    <t>SCORING SYSTEM - minimum  score is 0, maximum score is 15</t>
  </si>
  <si>
    <t>All grey areas area fixed</t>
  </si>
  <si>
    <t>Fixed</t>
  </si>
  <si>
    <t>Click on the box and if a menu a small arrow appears - click on this to get choices</t>
  </si>
  <si>
    <t>Put UG numbers next to TuGs and SuGs and it will give you Army Break points</t>
  </si>
  <si>
    <t>Expendables</t>
  </si>
  <si>
    <t>Break on *</t>
  </si>
  <si>
    <t>* Mixed TuGs need to be done manually</t>
  </si>
  <si>
    <t>Darts</t>
  </si>
  <si>
    <t>TUGS</t>
  </si>
  <si>
    <t>LIGHT CHARIOTS</t>
  </si>
  <si>
    <t>BATTLE CHARIOTS</t>
  </si>
  <si>
    <t>B CH</t>
  </si>
  <si>
    <t>L CH</t>
  </si>
  <si>
    <t>Mtd Polearm</t>
  </si>
  <si>
    <t>CAMPS</t>
  </si>
  <si>
    <t>Ally reduction</t>
  </si>
  <si>
    <t>NOTES FOR TEAM</t>
  </si>
  <si>
    <t>SUGS</t>
  </si>
  <si>
    <t>MAIN</t>
  </si>
  <si>
    <t>Scouting</t>
  </si>
  <si>
    <t>Feigned Flight</t>
  </si>
  <si>
    <t>TuG</t>
  </si>
  <si>
    <t>SuG</t>
  </si>
  <si>
    <t>Cards/PBS</t>
  </si>
  <si>
    <t>Terrain</t>
  </si>
  <si>
    <t>Std</t>
  </si>
  <si>
    <t>Cst</t>
  </si>
  <si>
    <t>Plns</t>
  </si>
  <si>
    <t>Frst</t>
  </si>
  <si>
    <t>Mtns</t>
  </si>
  <si>
    <t>Dsrt</t>
  </si>
  <si>
    <t>Jngl</t>
  </si>
  <si>
    <t>Expendable TuGs</t>
  </si>
  <si>
    <t>Column check</t>
  </si>
  <si>
    <t>Army C</t>
  </si>
  <si>
    <t>Softened numbers of cards</t>
  </si>
  <si>
    <t>Flex?</t>
  </si>
  <si>
    <t>OFFSET</t>
  </si>
  <si>
    <t>Caltrops</t>
  </si>
  <si>
    <t>Stakes</t>
  </si>
  <si>
    <t>Obstacles</t>
  </si>
  <si>
    <t>Armour</t>
  </si>
  <si>
    <t>Weapon</t>
  </si>
  <si>
    <t>Skill</t>
  </si>
  <si>
    <t>Melee Weapon</t>
  </si>
  <si>
    <t>Light Foot exc art</t>
  </si>
  <si>
    <t>D</t>
  </si>
  <si>
    <t>E</t>
  </si>
  <si>
    <t>Fleet of Foot</t>
  </si>
  <si>
    <t>Impact vs Foot</t>
  </si>
  <si>
    <t>Melee vs Foot</t>
  </si>
  <si>
    <t>Impact vs Mtd</t>
  </si>
  <si>
    <t>Melee vs Mtd</t>
  </si>
  <si>
    <t>Ranks</t>
  </si>
  <si>
    <t>DC &amp; Long Spear</t>
  </si>
  <si>
    <t>Partial</t>
  </si>
  <si>
    <t>Long Spear &amp; Melee Expert</t>
  </si>
  <si>
    <t>2-H Cut and Crush</t>
  </si>
  <si>
    <t>Any</t>
  </si>
  <si>
    <t>IW &amp; Melee Expert</t>
  </si>
  <si>
    <t>DC &amp; Melee Expert</t>
  </si>
  <si>
    <t>1/0</t>
  </si>
  <si>
    <t>Good</t>
  </si>
  <si>
    <t>DC and Short Spear</t>
  </si>
  <si>
    <t>S Spear &amp; Melee Expert</t>
  </si>
  <si>
    <t>Devastating Charger</t>
  </si>
  <si>
    <t>2S</t>
  </si>
  <si>
    <t>3/2</t>
  </si>
  <si>
    <t>2/1</t>
  </si>
  <si>
    <t>2/3/4</t>
  </si>
  <si>
    <t>1/2</t>
  </si>
  <si>
    <t>CAV VERSION</t>
  </si>
  <si>
    <t>Charging Lancer/ME</t>
  </si>
  <si>
    <t>Long Spear/ME</t>
  </si>
  <si>
    <t>Mounted Polearm/ME</t>
  </si>
  <si>
    <t>Short Spear/ME</t>
  </si>
  <si>
    <t>Mounted Polearm</t>
  </si>
  <si>
    <t>VS Pk/Lsp</t>
  </si>
  <si>
    <t>Vs Foot</t>
  </si>
  <si>
    <t>vs Mtd</t>
  </si>
  <si>
    <t>Melee</t>
  </si>
  <si>
    <t>Dev Charger</t>
  </si>
  <si>
    <t>any</t>
  </si>
  <si>
    <t>GG</t>
  </si>
  <si>
    <t>1 and cancels ME</t>
  </si>
  <si>
    <t>2 in melee</t>
  </si>
  <si>
    <t>0S</t>
  </si>
  <si>
    <t>1S exc CL/LSp</t>
  </si>
  <si>
    <t>2018 points</t>
  </si>
  <si>
    <t>INF VERSION</t>
  </si>
  <si>
    <t>Charge Only</t>
  </si>
  <si>
    <t>- / Farm Cv</t>
  </si>
  <si>
    <t>Harm / FArm Cv</t>
  </si>
  <si>
    <t>HArm / Prot Cv</t>
  </si>
  <si>
    <t>FArm</t>
  </si>
  <si>
    <t>- / FArm</t>
  </si>
  <si>
    <t>ArmHrs/Prot</t>
  </si>
  <si>
    <t>ArmHrs/FArm</t>
  </si>
  <si>
    <t>Mortem et Gloriam Army Builder</t>
  </si>
  <si>
    <t>The army builder will automatically price your army and work out your PBS and Scouting cards/discs</t>
  </si>
  <si>
    <t>It also means we can optimise points on an annual cycle with ease leading to no super armies</t>
  </si>
  <si>
    <t>Colour Coded areas</t>
  </si>
  <si>
    <t>If superior is worth +10 and armour is worth +10, then Superior-Armour is always worth more than 20</t>
  </si>
  <si>
    <t>This is why purely additive systems find players choosing higher quality troops</t>
  </si>
  <si>
    <t>Filling it in</t>
  </si>
  <si>
    <t xml:space="preserve"> If the UG no is blank it will put 0.  If incomplete as a line it will give an NA.</t>
  </si>
  <si>
    <t>Camps have their options in characteristics</t>
  </si>
  <si>
    <t>Each line needs complete entries to calculate, including "-" to ensure you have covered everything</t>
  </si>
  <si>
    <t>The sheet is protected so you cannot alter areas you shouldn't</t>
  </si>
  <si>
    <t>Drop down choices need "-" if nothing and these are in as a default at the start for you</t>
  </si>
  <si>
    <t>Kiel</t>
  </si>
  <si>
    <t>White areas are for you to type into directly</t>
  </si>
  <si>
    <t>Type into</t>
  </si>
  <si>
    <t>Drop Down menu</t>
  </si>
  <si>
    <t>All light sand areas are drop down menuswith fixed choices</t>
  </si>
  <si>
    <r>
      <t xml:space="preserve">For mixed UGs put separate lines for troops but with the </t>
    </r>
    <r>
      <rPr>
        <u/>
        <sz val="16"/>
        <color theme="1"/>
        <rFont val="Arial"/>
      </rPr>
      <t>same</t>
    </r>
    <r>
      <rPr>
        <sz val="16"/>
        <color theme="1"/>
        <rFont val="Arial"/>
      </rPr>
      <t xml:space="preserve"> UG number for both lines</t>
    </r>
  </si>
  <si>
    <t>Why and on line army builder ….?</t>
  </si>
  <si>
    <t>We use this on-line method as for points to balance properly the system has to be multiplicative….</t>
  </si>
  <si>
    <t>SUG CAHRACTERISTICS</t>
  </si>
  <si>
    <t>TUG CHARACTERISTICS</t>
  </si>
  <si>
    <t>2018 ref</t>
  </si>
  <si>
    <t>Drop downs have own ists</t>
  </si>
  <si>
    <t>Foot down 10/5 for drilled/other</t>
  </si>
  <si>
    <t>Paise/Sheild Cover 5/12</t>
  </si>
  <si>
    <t>4th generals</t>
  </si>
  <si>
    <t>3rd General</t>
  </si>
  <si>
    <t>2nd General</t>
  </si>
  <si>
    <t>Achilles</t>
  </si>
  <si>
    <t>Only Special</t>
  </si>
  <si>
    <t>SuG Melee Weapons</t>
  </si>
  <si>
    <t>Light Chariots</t>
  </si>
  <si>
    <t>Arm Check</t>
  </si>
  <si>
    <t>ARMOUR CHECK</t>
  </si>
  <si>
    <t>Other Cv/Cm</t>
  </si>
  <si>
    <t>SUG LIST</t>
  </si>
  <si>
    <t>2019 Changes: Charge only and ArmHrs added, Generals up, Ch Lancer, Dev Charger down, S&amp;C down, Skilled up, Pike Up 010119</t>
  </si>
  <si>
    <t>TUGs</t>
  </si>
  <si>
    <t>Army Commander</t>
  </si>
  <si>
    <t>Sub or Ally 1</t>
  </si>
  <si>
    <t>Sub or Ally 2</t>
  </si>
  <si>
    <t>Sub or Ally 3</t>
  </si>
  <si>
    <t>AC</t>
  </si>
  <si>
    <t>Melee Weaponry</t>
  </si>
  <si>
    <t>Characteristics</t>
  </si>
  <si>
    <t>Date</t>
  </si>
  <si>
    <t>TOTAL PTS</t>
  </si>
  <si>
    <t>Display</t>
  </si>
  <si>
    <t>SCOUTING</t>
  </si>
  <si>
    <t>Printing out your army</t>
  </si>
  <si>
    <t>Use the Print Format sheet to print out your army list.</t>
  </si>
  <si>
    <t>To select only the rows with values, use the filter on cell M17 and select TRUE.</t>
  </si>
  <si>
    <t>Devastating Chargers</t>
  </si>
  <si>
    <t>Flex/Skirm Cav/Cm</t>
  </si>
  <si>
    <t>cards/discs</t>
  </si>
  <si>
    <t>TuGs TO BREAK</t>
  </si>
  <si>
    <t>POINTS TOTAL</t>
  </si>
  <si>
    <t>PBS MAP</t>
  </si>
  <si>
    <t>EXP lIST</t>
  </si>
  <si>
    <t>Scout contrib</t>
  </si>
  <si>
    <t>TOTAL POINTS</t>
  </si>
  <si>
    <t>SUGs</t>
  </si>
  <si>
    <t>EXPENDABLES</t>
  </si>
  <si>
    <t>Allies</t>
  </si>
  <si>
    <t>Player Details</t>
  </si>
  <si>
    <t>cards</t>
  </si>
  <si>
    <t>Type (max 2 Talented or better) - Legendary sub list special only</t>
  </si>
  <si>
    <r>
      <rPr>
        <b/>
        <u/>
        <sz val="12"/>
        <color rgb="FFFFFF00"/>
        <rFont val="Calibri"/>
        <family val="2"/>
        <scheme val="minor"/>
      </rPr>
      <t>PRINT FILTER</t>
    </r>
    <r>
      <rPr>
        <b/>
        <sz val="12"/>
        <color rgb="FFFFFF00"/>
        <rFont val="Calibri"/>
        <family val="2"/>
        <scheme val="minor"/>
      </rPr>
      <t xml:space="preserve">
Once you have completed entering your army, click the down arrow on the cell below (P15) and untick FALSE (0 in Libre Office) to display only the rows with entries.</t>
    </r>
  </si>
  <si>
    <t>Weaponry</t>
  </si>
  <si>
    <t>Shooting Skill</t>
  </si>
  <si>
    <t>Training - Formation</t>
  </si>
  <si>
    <t>No. of Bases</t>
  </si>
  <si>
    <t>Pts/base</t>
  </si>
  <si>
    <t>Viking</t>
  </si>
  <si>
    <t>SR</t>
  </si>
  <si>
    <t>Huscarls</t>
  </si>
  <si>
    <t>Hird</t>
  </si>
  <si>
    <t>Skirmishing Archers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</si>
</sst>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7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4"/>
      <color theme="1"/>
      <name val="Calibri"/>
      <scheme val="minor"/>
    </font>
    <font>
      <b/>
      <i/>
      <sz val="11"/>
      <color theme="1"/>
      <name val="Calibri"/>
      <scheme val="minor"/>
    </font>
    <font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4"/>
      <color theme="1"/>
      <name val="Calibri"/>
      <scheme val="minor"/>
    </font>
    <font>
      <sz val="8"/>
      <name val="Calibri"/>
      <family val="2"/>
      <scheme val="minor"/>
    </font>
    <font>
      <i/>
      <sz val="14"/>
      <color theme="1"/>
      <name val="Calibri"/>
      <scheme val="minor"/>
    </font>
    <font>
      <sz val="16"/>
      <color theme="1"/>
      <name val="Calibri"/>
      <scheme val="minor"/>
    </font>
    <font>
      <i/>
      <sz val="16"/>
      <color theme="1"/>
      <name val="Calibri"/>
      <scheme val="minor"/>
    </font>
    <font>
      <sz val="14"/>
      <color theme="7" tint="0.79998168889431442"/>
      <name val="Calibri"/>
      <scheme val="minor"/>
    </font>
    <font>
      <b/>
      <sz val="16"/>
      <color theme="7" tint="0.79998168889431442"/>
      <name val="Calibri"/>
      <family val="2"/>
      <scheme val="minor"/>
    </font>
    <font>
      <b/>
      <i/>
      <sz val="16"/>
      <color theme="1"/>
      <name val="Calibri"/>
      <scheme val="minor"/>
    </font>
    <font>
      <b/>
      <i/>
      <sz val="16"/>
      <color theme="7" tint="0.79998168889431442"/>
      <name val="Calibri"/>
      <scheme val="minor"/>
    </font>
    <font>
      <sz val="18"/>
      <name val="Calibri"/>
      <scheme val="minor"/>
    </font>
    <font>
      <b/>
      <sz val="18"/>
      <color theme="1"/>
      <name val="Calibri"/>
      <family val="2"/>
      <scheme val="minor"/>
    </font>
    <font>
      <b/>
      <i/>
      <sz val="18"/>
      <color theme="1"/>
      <name val="Calibri"/>
      <scheme val="minor"/>
    </font>
    <font>
      <b/>
      <sz val="11"/>
      <color rgb="FF000000"/>
      <name val="Calibri"/>
      <scheme val="minor"/>
    </font>
    <font>
      <b/>
      <sz val="14"/>
      <name val="Calibri"/>
      <scheme val="minor"/>
    </font>
    <font>
      <sz val="11"/>
      <color theme="0"/>
      <name val="Calibri"/>
      <scheme val="minor"/>
    </font>
    <font>
      <b/>
      <sz val="9"/>
      <color theme="7" tint="0.7999816888943144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7" tint="0.79998168889431442"/>
      <name val="Calibri"/>
      <scheme val="minor"/>
    </font>
    <font>
      <sz val="11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FF"/>
      <name val="Calibri"/>
      <scheme val="minor"/>
    </font>
    <font>
      <sz val="11"/>
      <color rgb="FF3366FF"/>
      <name val="Calibri"/>
      <scheme val="minor"/>
    </font>
    <font>
      <b/>
      <sz val="11"/>
      <name val="Calibri"/>
      <scheme val="minor"/>
    </font>
    <font>
      <sz val="24"/>
      <color rgb="FFFFFF00"/>
      <name val="UTM Than Chien Tranh"/>
    </font>
    <font>
      <sz val="16"/>
      <color theme="1"/>
      <name val="Arial"/>
    </font>
    <font>
      <b/>
      <sz val="16"/>
      <color theme="1"/>
      <name val="Arial"/>
    </font>
    <font>
      <i/>
      <sz val="16"/>
      <color theme="1"/>
      <name val="Arial"/>
    </font>
    <font>
      <sz val="11"/>
      <color theme="1"/>
      <name val="Arial"/>
    </font>
    <font>
      <sz val="14"/>
      <color theme="1"/>
      <name val="Arial"/>
    </font>
    <font>
      <sz val="18"/>
      <color theme="1"/>
      <name val="Arial"/>
    </font>
    <font>
      <i/>
      <sz val="14"/>
      <color theme="1"/>
      <name val="Arial"/>
    </font>
    <font>
      <i/>
      <sz val="11"/>
      <color theme="1"/>
      <name val="Arial"/>
    </font>
    <font>
      <u/>
      <sz val="16"/>
      <color theme="1"/>
      <name val="Arial"/>
    </font>
    <font>
      <sz val="12"/>
      <color theme="1"/>
      <name val="Arial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7" tint="0.79998168889431442"/>
      <name val="Calibri"/>
      <scheme val="minor"/>
    </font>
    <font>
      <sz val="11"/>
      <color rgb="FF660066"/>
      <name val="Calibri"/>
      <scheme val="minor"/>
    </font>
    <font>
      <sz val="12"/>
      <color rgb="FFFFFF00"/>
      <name val="Calibri"/>
      <scheme val="minor"/>
    </font>
    <font>
      <sz val="11"/>
      <color rgb="FF3F3F76"/>
      <name val="Calibri"/>
      <family val="2"/>
      <scheme val="minor"/>
    </font>
    <font>
      <sz val="8"/>
      <color theme="7" tint="0.79998168889431442"/>
      <name val="Calibri"/>
      <family val="2"/>
      <scheme val="minor"/>
    </font>
    <font>
      <sz val="10"/>
      <color theme="7" tint="0.79998168889431442"/>
      <name val="Calibri"/>
      <family val="2"/>
      <scheme val="minor"/>
    </font>
    <font>
      <b/>
      <sz val="10"/>
      <color rgb="FF660066"/>
      <name val="Calibri"/>
      <family val="2"/>
      <scheme val="minor"/>
    </font>
    <font>
      <sz val="10"/>
      <color rgb="FF660066"/>
      <name val="Calibri"/>
      <family val="2"/>
      <scheme val="minor"/>
    </font>
    <font>
      <b/>
      <sz val="10"/>
      <color theme="7" tint="0.79998168889431442"/>
      <name val="Calibri"/>
      <family val="2"/>
      <scheme val="minor"/>
    </font>
    <font>
      <sz val="24"/>
      <color rgb="FFFFFF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u/>
      <sz val="12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48"/>
      <color theme="7" tint="0.79998168889431442"/>
      <name val="Calibri"/>
      <scheme val="minor"/>
    </font>
    <font>
      <b/>
      <sz val="14"/>
      <color rgb="FF660066"/>
      <name val="Calibri"/>
      <scheme val="minor"/>
    </font>
    <font>
      <sz val="14"/>
      <name val="Calibri"/>
      <scheme val="minor"/>
    </font>
    <font>
      <b/>
      <sz val="12"/>
      <name val="Calibri"/>
      <scheme val="minor"/>
    </font>
    <font>
      <b/>
      <sz val="36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FD2EE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FCF4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C99"/>
      </patternFill>
    </fill>
  </fills>
  <borders count="6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89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60" fillId="22" borderId="60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81">
    <xf numFmtId="0" fontId="0" fillId="0" borderId="0" xfId="0"/>
    <xf numFmtId="0" fontId="0" fillId="0" borderId="0" xfId="0"/>
    <xf numFmtId="0" fontId="0" fillId="0" borderId="0" xfId="0" applyFill="1"/>
    <xf numFmtId="0" fontId="14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10" borderId="0" xfId="0" applyFill="1"/>
    <xf numFmtId="0" fontId="25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8" fillId="0" borderId="2" xfId="0" applyFont="1" applyFill="1" applyBorder="1" applyAlignment="1">
      <alignment vertical="center"/>
    </xf>
    <xf numFmtId="1" fontId="4" fillId="15" borderId="2" xfId="0" applyNumberFormat="1" applyFont="1" applyFill="1" applyBorder="1" applyAlignment="1">
      <alignment horizontal="center" vertical="center" wrapText="1"/>
    </xf>
    <xf numFmtId="1" fontId="0" fillId="15" borderId="2" xfId="0" applyNumberFormat="1" applyFont="1" applyFill="1" applyBorder="1" applyAlignment="1">
      <alignment horizontal="center" vertical="center"/>
    </xf>
    <xf numFmtId="164" fontId="0" fillId="15" borderId="2" xfId="0" applyNumberForma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9" borderId="1" xfId="0" applyFont="1" applyFill="1" applyBorder="1" applyAlignment="1" applyProtection="1">
      <alignment vertical="center"/>
      <protection locked="0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 wrapText="1"/>
    </xf>
    <xf numFmtId="164" fontId="0" fillId="7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2" fontId="18" fillId="16" borderId="2" xfId="0" applyNumberFormat="1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165" fontId="0" fillId="0" borderId="0" xfId="731" applyNumberFormat="1" applyFont="1" applyFill="1" applyAlignment="1">
      <alignment horizontal="center" vertical="center" wrapText="1"/>
    </xf>
    <xf numFmtId="0" fontId="0" fillId="0" borderId="0" xfId="0" quotePrefix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14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horizontal="center" vertical="center"/>
    </xf>
    <xf numFmtId="165" fontId="0" fillId="0" borderId="0" xfId="731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65" fontId="0" fillId="0" borderId="0" xfId="731" quotePrefix="1" applyNumberFormat="1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16" fillId="10" borderId="0" xfId="0" applyFont="1" applyFill="1" applyBorder="1" applyAlignment="1">
      <alignment vertical="center"/>
    </xf>
    <xf numFmtId="0" fontId="16" fillId="6" borderId="12" xfId="0" applyFont="1" applyFill="1" applyBorder="1" applyAlignment="1">
      <alignment vertical="center"/>
    </xf>
    <xf numFmtId="1" fontId="16" fillId="6" borderId="13" xfId="0" applyNumberFormat="1" applyFont="1" applyFill="1" applyBorder="1" applyAlignment="1">
      <alignment vertical="center"/>
    </xf>
    <xf numFmtId="0" fontId="16" fillId="10" borderId="0" xfId="0" applyFont="1" applyFill="1" applyBorder="1" applyAlignment="1">
      <alignment horizontal="center" vertical="center"/>
    </xf>
    <xf numFmtId="1" fontId="16" fillId="4" borderId="13" xfId="0" applyNumberFormat="1" applyFont="1" applyFill="1" applyBorder="1" applyAlignment="1">
      <alignment vertical="center"/>
    </xf>
    <xf numFmtId="0" fontId="16" fillId="5" borderId="11" xfId="0" applyFont="1" applyFill="1" applyBorder="1" applyAlignment="1">
      <alignment horizontal="center" vertical="center"/>
    </xf>
    <xf numFmtId="1" fontId="16" fillId="5" borderId="13" xfId="0" applyNumberFormat="1" applyFont="1" applyFill="1" applyBorder="1" applyAlignment="1">
      <alignment vertical="center"/>
    </xf>
    <xf numFmtId="1" fontId="16" fillId="10" borderId="0" xfId="0" applyNumberFormat="1" applyFont="1" applyFill="1" applyBorder="1" applyAlignment="1">
      <alignment vertical="center"/>
    </xf>
    <xf numFmtId="0" fontId="16" fillId="13" borderId="2" xfId="0" applyFont="1" applyFill="1" applyBorder="1" applyAlignment="1">
      <alignment horizontal="center" vertical="center"/>
    </xf>
    <xf numFmtId="1" fontId="22" fillId="13" borderId="2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4" fillId="15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vertical="center"/>
    </xf>
    <xf numFmtId="0" fontId="29" fillId="19" borderId="41" xfId="0" applyFont="1" applyFill="1" applyBorder="1" applyAlignment="1" applyProtection="1">
      <alignment horizontal="center" vertical="center"/>
      <protection locked="0"/>
    </xf>
    <xf numFmtId="0" fontId="0" fillId="19" borderId="2" xfId="0" applyFill="1" applyBorder="1" applyAlignment="1" applyProtection="1">
      <alignment horizontal="center" vertical="center"/>
      <protection locked="0"/>
    </xf>
    <xf numFmtId="0" fontId="0" fillId="19" borderId="2" xfId="0" applyFont="1" applyFill="1" applyBorder="1" applyAlignment="1" applyProtection="1">
      <alignment horizontal="center" vertical="center"/>
      <protection locked="0"/>
    </xf>
    <xf numFmtId="0" fontId="45" fillId="13" borderId="0" xfId="0" applyFont="1" applyFill="1"/>
    <xf numFmtId="0" fontId="45" fillId="10" borderId="0" xfId="0" applyFont="1" applyFill="1"/>
    <xf numFmtId="0" fontId="45" fillId="0" borderId="0" xfId="0" applyFont="1"/>
    <xf numFmtId="0" fontId="45" fillId="0" borderId="0" xfId="0" applyFont="1" applyFill="1"/>
    <xf numFmtId="0" fontId="47" fillId="0" borderId="0" xfId="0" applyFont="1" applyFill="1"/>
    <xf numFmtId="0" fontId="45" fillId="0" borderId="37" xfId="0" applyFont="1" applyBorder="1" applyAlignment="1">
      <alignment horizontal="right" indent="1"/>
    </xf>
    <xf numFmtId="0" fontId="45" fillId="13" borderId="23" xfId="0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indent="1"/>
    </xf>
    <xf numFmtId="0" fontId="45" fillId="12" borderId="7" xfId="0" applyFont="1" applyFill="1" applyBorder="1" applyAlignment="1">
      <alignment horizontal="center" vertical="center"/>
    </xf>
    <xf numFmtId="0" fontId="45" fillId="0" borderId="6" xfId="0" applyFont="1" applyBorder="1" applyAlignment="1">
      <alignment horizontal="right" vertical="center" indent="1"/>
    </xf>
    <xf numFmtId="0" fontId="48" fillId="13" borderId="0" xfId="0" applyFont="1" applyFill="1"/>
    <xf numFmtId="0" fontId="48" fillId="10" borderId="0" xfId="0" applyFont="1" applyFill="1"/>
    <xf numFmtId="0" fontId="45" fillId="0" borderId="8" xfId="0" applyFont="1" applyBorder="1" applyAlignment="1">
      <alignment horizontal="right" indent="1"/>
    </xf>
    <xf numFmtId="0" fontId="48" fillId="0" borderId="0" xfId="0" applyFont="1"/>
    <xf numFmtId="0" fontId="49" fillId="13" borderId="0" xfId="0" applyFont="1" applyFill="1"/>
    <xf numFmtId="0" fontId="49" fillId="10" borderId="0" xfId="0" applyFont="1" applyFill="1"/>
    <xf numFmtId="0" fontId="45" fillId="0" borderId="3" xfId="0" applyFont="1" applyBorder="1"/>
    <xf numFmtId="0" fontId="49" fillId="0" borderId="0" xfId="0" applyFont="1"/>
    <xf numFmtId="0" fontId="49" fillId="0" borderId="0" xfId="0" applyFont="1" applyFill="1"/>
    <xf numFmtId="0" fontId="51" fillId="0" borderId="0" xfId="0" applyFont="1" applyFill="1"/>
    <xf numFmtId="0" fontId="45" fillId="0" borderId="6" xfId="0" applyFont="1" applyBorder="1"/>
    <xf numFmtId="0" fontId="48" fillId="0" borderId="0" xfId="0" applyFont="1" applyFill="1"/>
    <xf numFmtId="0" fontId="52" fillId="0" borderId="0" xfId="0" applyFont="1" applyFill="1"/>
    <xf numFmtId="0" fontId="54" fillId="13" borderId="0" xfId="0" applyFont="1" applyFill="1"/>
    <xf numFmtId="0" fontId="54" fillId="10" borderId="0" xfId="0" applyFont="1" applyFill="1"/>
    <xf numFmtId="0" fontId="45" fillId="0" borderId="8" xfId="0" applyFont="1" applyBorder="1"/>
    <xf numFmtId="0" fontId="54" fillId="0" borderId="0" xfId="0" applyFont="1" applyFill="1"/>
    <xf numFmtId="0" fontId="54" fillId="0" borderId="0" xfId="0" applyFont="1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" fontId="0" fillId="0" borderId="0" xfId="0" applyNumberFormat="1" applyAlignment="1">
      <alignment vertical="center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2" fillId="3" borderId="0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0" fontId="0" fillId="0" borderId="0" xfId="0" quotePrefix="1" applyAlignment="1">
      <alignment horizontal="right" vertical="center"/>
    </xf>
    <xf numFmtId="0" fontId="3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42" fillId="3" borderId="0" xfId="0" applyFont="1" applyFill="1" applyAlignment="1">
      <alignment horizontal="right" vertical="center"/>
    </xf>
    <xf numFmtId="0" fontId="42" fillId="3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42" fillId="3" borderId="0" xfId="0" quotePrefix="1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6" fillId="0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vertical="center" wrapText="1"/>
    </xf>
    <xf numFmtId="0" fontId="4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11" borderId="0" xfId="0" quotePrefix="1" applyFill="1" applyAlignment="1">
      <alignment horizontal="right" vertical="center"/>
    </xf>
    <xf numFmtId="0" fontId="11" fillId="0" borderId="0" xfId="0" quotePrefix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1" fillId="0" borderId="0" xfId="0" quotePrefix="1" applyFont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left" vertical="center"/>
    </xf>
    <xf numFmtId="0" fontId="24" fillId="8" borderId="21" xfId="0" applyFont="1" applyFill="1" applyBorder="1" applyAlignment="1">
      <alignment vertical="center"/>
    </xf>
    <xf numFmtId="0" fontId="6" fillId="8" borderId="26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8" fillId="9" borderId="3" xfId="0" applyFont="1" applyFill="1" applyBorder="1" applyAlignment="1" applyProtection="1">
      <alignment horizontal="center" vertical="center"/>
      <protection locked="0"/>
    </xf>
    <xf numFmtId="0" fontId="8" fillId="13" borderId="4" xfId="0" applyFont="1" applyFill="1" applyBorder="1" applyAlignment="1" applyProtection="1">
      <alignment vertical="center"/>
      <protection locked="0"/>
    </xf>
    <xf numFmtId="0" fontId="0" fillId="9" borderId="2" xfId="0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8" fillId="9" borderId="6" xfId="0" applyFont="1" applyFill="1" applyBorder="1" applyAlignment="1" applyProtection="1">
      <alignment horizontal="center" vertical="center"/>
      <protection locked="0"/>
    </xf>
    <xf numFmtId="0" fontId="8" fillId="13" borderId="2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13" borderId="9" xfId="0" applyFont="1" applyFill="1" applyBorder="1" applyAlignment="1" applyProtection="1">
      <alignment vertical="center"/>
      <protection locked="0"/>
    </xf>
    <xf numFmtId="0" fontId="0" fillId="19" borderId="9" xfId="0" applyFill="1" applyBorder="1" applyAlignment="1" applyProtection="1">
      <alignment horizontal="center" vertical="center"/>
      <protection locked="0"/>
    </xf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left" vertical="center"/>
    </xf>
    <xf numFmtId="0" fontId="7" fillId="12" borderId="0" xfId="0" applyFont="1" applyFill="1" applyBorder="1" applyAlignment="1">
      <alignment horizontal="center" vertical="center"/>
    </xf>
    <xf numFmtId="0" fontId="0" fillId="19" borderId="37" xfId="0" applyFill="1" applyBorder="1" applyAlignment="1" applyProtection="1">
      <alignment horizontal="center" vertical="center"/>
      <protection locked="0"/>
    </xf>
    <xf numFmtId="0" fontId="4" fillId="19" borderId="2" xfId="0" applyFont="1" applyFill="1" applyBorder="1" applyAlignment="1" applyProtection="1">
      <alignment vertical="center"/>
      <protection locked="0"/>
    </xf>
    <xf numFmtId="0" fontId="0" fillId="7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 applyProtection="1">
      <alignment horizontal="center" vertical="center" wrapText="1"/>
    </xf>
    <xf numFmtId="0" fontId="8" fillId="19" borderId="2" xfId="0" applyFont="1" applyFill="1" applyBorder="1" applyAlignment="1" applyProtection="1">
      <alignment horizontal="center" vertical="center"/>
      <protection locked="0"/>
    </xf>
    <xf numFmtId="0" fontId="17" fillId="13" borderId="2" xfId="0" applyFont="1" applyFill="1" applyBorder="1" applyAlignment="1" applyProtection="1">
      <alignment vertical="center"/>
      <protection locked="0"/>
    </xf>
    <xf numFmtId="0" fontId="1" fillId="19" borderId="2" xfId="0" applyFont="1" applyFill="1" applyBorder="1" applyAlignment="1" applyProtection="1">
      <alignment horizontal="center" vertical="center"/>
      <protection locked="0"/>
    </xf>
    <xf numFmtId="0" fontId="1" fillId="19" borderId="2" xfId="0" applyFont="1" applyFill="1" applyBorder="1" applyAlignment="1" applyProtection="1">
      <alignment horizontal="center" vertical="center"/>
    </xf>
    <xf numFmtId="0" fontId="29" fillId="13" borderId="31" xfId="0" applyFont="1" applyFill="1" applyBorder="1" applyAlignment="1" applyProtection="1">
      <alignment horizontal="center" vertical="center"/>
      <protection locked="0"/>
    </xf>
    <xf numFmtId="0" fontId="4" fillId="14" borderId="0" xfId="0" applyFont="1" applyFill="1" applyAlignment="1">
      <alignment horizontal="center" vertical="center"/>
    </xf>
    <xf numFmtId="0" fontId="31" fillId="14" borderId="0" xfId="0" quotePrefix="1" applyFont="1" applyFill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0" fillId="15" borderId="43" xfId="0" applyFill="1" applyBorder="1" applyAlignment="1">
      <alignment horizontal="center" vertical="center"/>
    </xf>
    <xf numFmtId="0" fontId="0" fillId="15" borderId="35" xfId="0" applyFill="1" applyBorder="1" applyAlignment="1">
      <alignment horizontal="center" vertical="center"/>
    </xf>
    <xf numFmtId="0" fontId="25" fillId="8" borderId="11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/>
    </xf>
    <xf numFmtId="0" fontId="17" fillId="13" borderId="25" xfId="0" applyFont="1" applyFill="1" applyBorder="1" applyAlignment="1" applyProtection="1">
      <alignment vertical="center"/>
      <protection locked="0"/>
    </xf>
    <xf numFmtId="0" fontId="1" fillId="19" borderId="25" xfId="0" applyFont="1" applyFill="1" applyBorder="1" applyAlignment="1" applyProtection="1">
      <alignment horizontal="center" vertical="center"/>
      <protection locked="0"/>
    </xf>
    <xf numFmtId="0" fontId="1" fillId="19" borderId="25" xfId="0" applyFont="1" applyFill="1" applyBorder="1" applyAlignment="1" applyProtection="1">
      <alignment horizontal="center" vertical="center"/>
    </xf>
    <xf numFmtId="0" fontId="0" fillId="19" borderId="25" xfId="0" applyFont="1" applyFill="1" applyBorder="1" applyAlignment="1" applyProtection="1">
      <alignment horizontal="center" vertical="center"/>
      <protection locked="0"/>
    </xf>
    <xf numFmtId="0" fontId="8" fillId="19" borderId="25" xfId="0" applyFont="1" applyFill="1" applyBorder="1" applyAlignment="1" applyProtection="1">
      <alignment horizontal="center" vertical="center"/>
      <protection locked="0"/>
    </xf>
    <xf numFmtId="1" fontId="4" fillId="15" borderId="25" xfId="0" applyNumberFormat="1" applyFont="1" applyFill="1" applyBorder="1" applyAlignment="1">
      <alignment horizontal="center" vertical="center" wrapText="1"/>
    </xf>
    <xf numFmtId="1" fontId="0" fillId="15" borderId="25" xfId="0" applyNumberFormat="1" applyFont="1" applyFill="1" applyBorder="1" applyAlignment="1">
      <alignment horizontal="center" vertical="center"/>
    </xf>
    <xf numFmtId="164" fontId="0" fillId="15" borderId="25" xfId="0" applyNumberFormat="1" applyFill="1" applyBorder="1" applyAlignment="1">
      <alignment horizontal="center" vertical="center" wrapText="1"/>
    </xf>
    <xf numFmtId="0" fontId="0" fillId="10" borderId="3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vertical="center"/>
    </xf>
    <xf numFmtId="0" fontId="0" fillId="10" borderId="32" xfId="0" applyFill="1" applyBorder="1" applyAlignment="1">
      <alignment horizontal="center" vertical="center"/>
    </xf>
    <xf numFmtId="0" fontId="16" fillId="10" borderId="33" xfId="0" applyFont="1" applyFill="1" applyBorder="1" applyAlignment="1">
      <alignment vertical="center"/>
    </xf>
    <xf numFmtId="1" fontId="0" fillId="10" borderId="0" xfId="0" applyNumberForma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42" xfId="0" applyFill="1" applyBorder="1" applyAlignment="1">
      <alignment horizontal="center" vertical="center"/>
    </xf>
    <xf numFmtId="0" fontId="0" fillId="10" borderId="33" xfId="0" applyFill="1" applyBorder="1" applyAlignment="1">
      <alignment vertical="center"/>
    </xf>
    <xf numFmtId="0" fontId="0" fillId="10" borderId="0" xfId="0" applyFill="1" applyBorder="1" applyAlignment="1">
      <alignment horizontal="center" vertical="center"/>
    </xf>
    <xf numFmtId="0" fontId="33" fillId="10" borderId="0" xfId="0" applyFont="1" applyFill="1" applyBorder="1" applyAlignment="1">
      <alignment vertical="center"/>
    </xf>
    <xf numFmtId="0" fontId="0" fillId="7" borderId="7" xfId="0" applyFill="1" applyBorder="1" applyAlignment="1">
      <alignment horizontal="center" vertical="center"/>
    </xf>
    <xf numFmtId="0" fontId="17" fillId="13" borderId="6" xfId="0" applyFont="1" applyFill="1" applyBorder="1" applyAlignment="1" applyProtection="1">
      <alignment horizontal="center" vertical="center"/>
      <protection locked="0"/>
    </xf>
    <xf numFmtId="164" fontId="0" fillId="15" borderId="7" xfId="0" applyNumberFormat="1" applyFill="1" applyBorder="1" applyAlignment="1">
      <alignment horizontal="center" vertical="center" wrapText="1"/>
    </xf>
    <xf numFmtId="0" fontId="17" fillId="13" borderId="59" xfId="0" applyFont="1" applyFill="1" applyBorder="1" applyAlignment="1" applyProtection="1">
      <alignment horizontal="center" vertical="center"/>
      <protection locked="0"/>
    </xf>
    <xf numFmtId="164" fontId="0" fillId="15" borderId="50" xfId="0" applyNumberFormat="1" applyFill="1" applyBorder="1" applyAlignment="1">
      <alignment horizontal="center" vertical="center" wrapText="1"/>
    </xf>
    <xf numFmtId="0" fontId="59" fillId="0" borderId="0" xfId="0" applyFont="1" applyFill="1" applyAlignment="1">
      <alignment horizontal="center" vertical="center"/>
    </xf>
    <xf numFmtId="0" fontId="1" fillId="20" borderId="2" xfId="0" applyFont="1" applyFill="1" applyBorder="1" applyAlignment="1">
      <alignment horizontal="center" vertical="center" wrapText="1"/>
    </xf>
    <xf numFmtId="0" fontId="1" fillId="2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71" fillId="8" borderId="21" xfId="0" applyFont="1" applyFill="1" applyBorder="1" applyAlignment="1">
      <alignment vertical="center"/>
    </xf>
    <xf numFmtId="0" fontId="65" fillId="8" borderId="21" xfId="0" applyFont="1" applyFill="1" applyBorder="1" applyAlignment="1">
      <alignment vertical="center"/>
    </xf>
    <xf numFmtId="0" fontId="16" fillId="4" borderId="12" xfId="0" applyFont="1" applyFill="1" applyBorder="1" applyAlignment="1">
      <alignment horizontal="center" vertical="center"/>
    </xf>
    <xf numFmtId="0" fontId="22" fillId="11" borderId="28" xfId="0" applyFont="1" applyFill="1" applyBorder="1" applyAlignment="1">
      <alignment horizontal="center" vertical="center"/>
    </xf>
    <xf numFmtId="0" fontId="22" fillId="11" borderId="35" xfId="0" applyFont="1" applyFill="1" applyBorder="1" applyAlignment="1">
      <alignment horizontal="center" vertical="center"/>
    </xf>
    <xf numFmtId="0" fontId="29" fillId="19" borderId="11" xfId="0" applyFont="1" applyFill="1" applyBorder="1" applyAlignment="1" applyProtection="1">
      <alignment horizontal="center" vertical="center"/>
      <protection locked="0"/>
    </xf>
    <xf numFmtId="0" fontId="29" fillId="19" borderId="53" xfId="0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24" fillId="10" borderId="0" xfId="0" applyFont="1" applyFill="1" applyBorder="1" applyAlignment="1">
      <alignment horizontal="left" vertical="center" wrapText="1"/>
    </xf>
    <xf numFmtId="0" fontId="73" fillId="13" borderId="3" xfId="0" applyFont="1" applyFill="1" applyBorder="1" applyAlignment="1">
      <alignment vertical="center" wrapText="1"/>
    </xf>
    <xf numFmtId="0" fontId="73" fillId="13" borderId="6" xfId="0" applyFont="1" applyFill="1" applyBorder="1" applyAlignment="1">
      <alignment vertical="center" wrapText="1"/>
    </xf>
    <xf numFmtId="0" fontId="73" fillId="13" borderId="8" xfId="0" applyFont="1" applyFill="1" applyBorder="1" applyAlignment="1">
      <alignment vertical="center" wrapText="1"/>
    </xf>
    <xf numFmtId="0" fontId="73" fillId="13" borderId="3" xfId="0" applyFont="1" applyFill="1" applyBorder="1" applyAlignment="1">
      <alignment horizontal="right" vertical="center"/>
    </xf>
    <xf numFmtId="0" fontId="73" fillId="13" borderId="6" xfId="0" applyFont="1" applyFill="1" applyBorder="1" applyAlignment="1">
      <alignment horizontal="right" vertical="center"/>
    </xf>
    <xf numFmtId="0" fontId="73" fillId="13" borderId="8" xfId="0" applyFont="1" applyFill="1" applyBorder="1" applyAlignment="1">
      <alignment horizontal="right" vertical="center"/>
    </xf>
    <xf numFmtId="1" fontId="32" fillId="0" borderId="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62" fillId="10" borderId="0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3" fillId="13" borderId="59" xfId="0" applyFont="1" applyFill="1" applyBorder="1" applyAlignment="1">
      <alignment horizontal="right" vertical="center"/>
    </xf>
    <xf numFmtId="1" fontId="32" fillId="0" borderId="25" xfId="0" applyNumberFormat="1" applyFont="1" applyFill="1" applyBorder="1" applyAlignment="1">
      <alignment horizontal="center" vertical="center" wrapText="1"/>
    </xf>
    <xf numFmtId="0" fontId="75" fillId="13" borderId="2" xfId="0" applyFont="1" applyFill="1" applyBorder="1" applyAlignment="1">
      <alignment horizontal="center" vertical="center" wrapText="1"/>
    </xf>
    <xf numFmtId="49" fontId="75" fillId="13" borderId="2" xfId="0" applyNumberFormat="1" applyFont="1" applyFill="1" applyBorder="1" applyAlignment="1">
      <alignment horizontal="center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25" fillId="8" borderId="58" xfId="0" applyFont="1" applyFill="1" applyBorder="1" applyAlignment="1">
      <alignment vertical="center"/>
    </xf>
    <xf numFmtId="0" fontId="25" fillId="8" borderId="66" xfId="0" applyFont="1" applyFill="1" applyBorder="1" applyAlignment="1">
      <alignment vertical="center"/>
    </xf>
    <xf numFmtId="0" fontId="61" fillId="10" borderId="0" xfId="0" applyFont="1" applyFill="1" applyBorder="1" applyAlignment="1">
      <alignment horizontal="center" vertical="center" wrapText="1"/>
    </xf>
    <xf numFmtId="0" fontId="58" fillId="10" borderId="0" xfId="0" applyFont="1" applyFill="1" applyAlignment="1">
      <alignment vertical="center"/>
    </xf>
    <xf numFmtId="0" fontId="58" fillId="0" borderId="0" xfId="0" applyFont="1" applyFill="1" applyAlignment="1">
      <alignment vertical="center"/>
    </xf>
    <xf numFmtId="0" fontId="63" fillId="10" borderId="0" xfId="0" applyFont="1" applyFill="1" applyBorder="1" applyAlignment="1">
      <alignment vertical="center" wrapText="1"/>
    </xf>
    <xf numFmtId="0" fontId="64" fillId="10" borderId="0" xfId="0" applyFont="1" applyFill="1" applyBorder="1" applyAlignment="1">
      <alignment vertical="center"/>
    </xf>
    <xf numFmtId="0" fontId="65" fillId="10" borderId="0" xfId="0" applyFont="1" applyFill="1" applyBorder="1" applyAlignment="1">
      <alignment horizontal="left" vertical="center" wrapText="1"/>
    </xf>
    <xf numFmtId="0" fontId="60" fillId="22" borderId="60" xfId="88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46" fillId="18" borderId="16" xfId="0" applyFont="1" applyFill="1" applyBorder="1" applyAlignment="1">
      <alignment horizontal="left"/>
    </xf>
    <xf numFmtId="0" fontId="46" fillId="18" borderId="27" xfId="0" applyFont="1" applyFill="1" applyBorder="1" applyAlignment="1">
      <alignment horizontal="left"/>
    </xf>
    <xf numFmtId="0" fontId="50" fillId="0" borderId="5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45" fillId="19" borderId="7" xfId="0" applyFont="1" applyFill="1" applyBorder="1" applyAlignment="1">
      <alignment horizontal="center" vertical="center" wrapText="1"/>
    </xf>
    <xf numFmtId="0" fontId="45" fillId="19" borderId="10" xfId="0" applyFont="1" applyFill="1" applyBorder="1" applyAlignment="1">
      <alignment horizontal="center" vertical="center" wrapText="1"/>
    </xf>
    <xf numFmtId="0" fontId="45" fillId="0" borderId="8" xfId="0" applyFont="1" applyBorder="1" applyAlignment="1">
      <alignment horizontal="right"/>
    </xf>
    <xf numFmtId="0" fontId="45" fillId="0" borderId="10" xfId="0" applyFont="1" applyBorder="1" applyAlignment="1">
      <alignment horizontal="right"/>
    </xf>
    <xf numFmtId="0" fontId="44" fillId="10" borderId="52" xfId="0" applyFont="1" applyFill="1" applyBorder="1" applyAlignment="1">
      <alignment horizontal="center" vertical="center"/>
    </xf>
    <xf numFmtId="0" fontId="46" fillId="0" borderId="25" xfId="0" applyFont="1" applyBorder="1" applyAlignment="1">
      <alignment horizontal="center"/>
    </xf>
    <xf numFmtId="0" fontId="45" fillId="0" borderId="6" xfId="0" applyFont="1" applyBorder="1" applyAlignment="1">
      <alignment horizontal="left"/>
    </xf>
    <xf numFmtId="0" fontId="45" fillId="0" borderId="7" xfId="0" applyFont="1" applyBorder="1" applyAlignment="1">
      <alignment horizontal="left"/>
    </xf>
    <xf numFmtId="0" fontId="45" fillId="0" borderId="6" xfId="0" applyFont="1" applyBorder="1" applyAlignment="1">
      <alignment horizontal="right"/>
    </xf>
    <xf numFmtId="0" fontId="45" fillId="0" borderId="7" xfId="0" applyFont="1" applyBorder="1" applyAlignment="1">
      <alignment horizontal="right"/>
    </xf>
    <xf numFmtId="0" fontId="37" fillId="8" borderId="11" xfId="0" applyFont="1" applyFill="1" applyBorder="1" applyAlignment="1">
      <alignment horizontal="center" vertical="center"/>
    </xf>
    <xf numFmtId="0" fontId="37" fillId="8" borderId="12" xfId="0" applyFont="1" applyFill="1" applyBorder="1" applyAlignment="1">
      <alignment horizontal="center" vertical="center"/>
    </xf>
    <xf numFmtId="0" fontId="37" fillId="8" borderId="13" xfId="0" applyFont="1" applyFill="1" applyBorder="1" applyAlignment="1">
      <alignment horizontal="center" vertical="center"/>
    </xf>
    <xf numFmtId="0" fontId="72" fillId="8" borderId="33" xfId="0" applyFont="1" applyFill="1" applyBorder="1" applyAlignment="1">
      <alignment horizontal="center" vertical="center"/>
    </xf>
    <xf numFmtId="0" fontId="72" fillId="8" borderId="42" xfId="0" applyFont="1" applyFill="1" applyBorder="1" applyAlignment="1">
      <alignment horizontal="center" vertical="center"/>
    </xf>
    <xf numFmtId="0" fontId="72" fillId="8" borderId="34" xfId="0" applyFont="1" applyFill="1" applyBorder="1" applyAlignment="1">
      <alignment horizontal="center" vertical="center"/>
    </xf>
    <xf numFmtId="0" fontId="72" fillId="8" borderId="57" xfId="0" applyFont="1" applyFill="1" applyBorder="1" applyAlignment="1">
      <alignment horizontal="center" vertical="center"/>
    </xf>
    <xf numFmtId="0" fontId="37" fillId="8" borderId="1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51" xfId="0" applyFont="1" applyFill="1" applyBorder="1" applyAlignment="1">
      <alignment horizontal="center" vertical="center" wrapText="1"/>
    </xf>
    <xf numFmtId="0" fontId="57" fillId="8" borderId="67" xfId="0" applyFont="1" applyFill="1" applyBorder="1" applyAlignment="1">
      <alignment horizontal="right" vertical="center"/>
    </xf>
    <xf numFmtId="0" fontId="57" fillId="8" borderId="65" xfId="0" applyFont="1" applyFill="1" applyBorder="1" applyAlignment="1">
      <alignment horizontal="right" vertical="center"/>
    </xf>
    <xf numFmtId="0" fontId="57" fillId="8" borderId="30" xfId="0" applyFont="1" applyFill="1" applyBorder="1" applyAlignment="1">
      <alignment horizontal="right" vertical="center"/>
    </xf>
    <xf numFmtId="0" fontId="57" fillId="8" borderId="24" xfId="0" applyFont="1" applyFill="1" applyBorder="1" applyAlignment="1">
      <alignment horizontal="right" vertical="center"/>
    </xf>
    <xf numFmtId="1" fontId="19" fillId="3" borderId="2" xfId="0" applyNumberFormat="1" applyFont="1" applyFill="1" applyBorder="1" applyAlignment="1">
      <alignment horizontal="center" vertical="center"/>
    </xf>
    <xf numFmtId="1" fontId="19" fillId="3" borderId="7" xfId="0" applyNumberFormat="1" applyFont="1" applyFill="1" applyBorder="1" applyAlignment="1">
      <alignment horizontal="center" vertical="center"/>
    </xf>
    <xf numFmtId="1" fontId="19" fillId="3" borderId="9" xfId="0" applyNumberFormat="1" applyFont="1" applyFill="1" applyBorder="1" applyAlignment="1">
      <alignment horizontal="center" vertical="center"/>
    </xf>
    <xf numFmtId="1" fontId="19" fillId="3" borderId="10" xfId="0" applyNumberFormat="1" applyFont="1" applyFill="1" applyBorder="1" applyAlignment="1">
      <alignment horizontal="center" vertical="center"/>
    </xf>
    <xf numFmtId="0" fontId="57" fillId="8" borderId="3" xfId="0" applyFont="1" applyFill="1" applyBorder="1" applyAlignment="1">
      <alignment horizontal="right" vertical="center"/>
    </xf>
    <xf numFmtId="0" fontId="57" fillId="8" borderId="4" xfId="0" applyFont="1" applyFill="1" applyBorder="1" applyAlignment="1">
      <alignment horizontal="right" vertical="center"/>
    </xf>
    <xf numFmtId="0" fontId="57" fillId="8" borderId="6" xfId="0" applyFont="1" applyFill="1" applyBorder="1" applyAlignment="1">
      <alignment horizontal="right" vertical="center"/>
    </xf>
    <xf numFmtId="0" fontId="57" fillId="8" borderId="2" xfId="0" applyFont="1" applyFill="1" applyBorder="1" applyAlignment="1">
      <alignment horizontal="right" vertical="center"/>
    </xf>
    <xf numFmtId="0" fontId="57" fillId="8" borderId="8" xfId="0" applyFont="1" applyFill="1" applyBorder="1" applyAlignment="1">
      <alignment horizontal="right" vertical="center"/>
    </xf>
    <xf numFmtId="0" fontId="57" fillId="8" borderId="9" xfId="0" applyFont="1" applyFill="1" applyBorder="1" applyAlignment="1">
      <alignment horizontal="right" vertical="center"/>
    </xf>
    <xf numFmtId="1" fontId="29" fillId="15" borderId="19" xfId="0" applyNumberFormat="1" applyFont="1" applyFill="1" applyBorder="1" applyAlignment="1">
      <alignment horizontal="center" vertical="center"/>
    </xf>
    <xf numFmtId="1" fontId="29" fillId="15" borderId="9" xfId="0" applyNumberFormat="1" applyFont="1" applyFill="1" applyBorder="1" applyAlignment="1">
      <alignment horizontal="center" vertical="center"/>
    </xf>
    <xf numFmtId="0" fontId="57" fillId="8" borderId="0" xfId="0" applyFont="1" applyFill="1" applyBorder="1" applyAlignment="1">
      <alignment horizontal="center" vertical="center" wrapText="1"/>
    </xf>
    <xf numFmtId="0" fontId="57" fillId="8" borderId="51" xfId="0" applyFont="1" applyFill="1" applyBorder="1" applyAlignment="1">
      <alignment horizontal="center" vertical="center" wrapText="1"/>
    </xf>
    <xf numFmtId="0" fontId="25" fillId="8" borderId="11" xfId="0" applyFont="1" applyFill="1" applyBorder="1" applyAlignment="1">
      <alignment horizontal="center" vertical="center"/>
    </xf>
    <xf numFmtId="0" fontId="25" fillId="8" borderId="12" xfId="0" applyFont="1" applyFill="1" applyBorder="1" applyAlignment="1">
      <alignment horizontal="center" vertical="center"/>
    </xf>
    <xf numFmtId="0" fontId="29" fillId="13" borderId="11" xfId="0" applyFont="1" applyFill="1" applyBorder="1" applyAlignment="1" applyProtection="1">
      <alignment horizontal="center" vertical="center"/>
      <protection locked="0"/>
    </xf>
    <xf numFmtId="0" fontId="29" fillId="13" borderId="1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32" fillId="21" borderId="11" xfId="0" applyFont="1" applyFill="1" applyBorder="1" applyAlignment="1">
      <alignment horizontal="center" vertical="center"/>
    </xf>
    <xf numFmtId="0" fontId="32" fillId="21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18" fillId="19" borderId="2" xfId="0" applyFont="1" applyFill="1" applyBorder="1" applyAlignment="1" applyProtection="1">
      <alignment horizontal="center" vertical="center"/>
      <protection locked="0"/>
    </xf>
    <xf numFmtId="0" fontId="6" fillId="8" borderId="0" xfId="0" applyFont="1" applyFill="1" applyBorder="1" applyAlignment="1">
      <alignment horizontal="center" vertical="center"/>
    </xf>
    <xf numFmtId="0" fontId="6" fillId="8" borderId="51" xfId="0" applyFont="1" applyFill="1" applyBorder="1" applyAlignment="1">
      <alignment horizontal="center" vertical="center"/>
    </xf>
    <xf numFmtId="0" fontId="6" fillId="8" borderId="55" xfId="0" applyFont="1" applyFill="1" applyBorder="1" applyAlignment="1">
      <alignment horizontal="center" vertical="center" wrapText="1"/>
    </xf>
    <xf numFmtId="0" fontId="6" fillId="8" borderId="56" xfId="0" applyFont="1" applyFill="1" applyBorder="1" applyAlignment="1">
      <alignment horizontal="center" vertical="center" wrapText="1"/>
    </xf>
    <xf numFmtId="0" fontId="16" fillId="15" borderId="19" xfId="0" applyFont="1" applyFill="1" applyBorder="1" applyAlignment="1">
      <alignment horizontal="center" vertical="center"/>
    </xf>
    <xf numFmtId="0" fontId="16" fillId="15" borderId="23" xfId="0" applyFont="1" applyFill="1" applyBorder="1" applyAlignment="1">
      <alignment horizontal="center" vertical="center"/>
    </xf>
    <xf numFmtId="0" fontId="16" fillId="15" borderId="9" xfId="0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/>
    </xf>
    <xf numFmtId="0" fontId="19" fillId="16" borderId="4" xfId="0" applyFont="1" applyFill="1" applyBorder="1" applyAlignment="1">
      <alignment horizontal="center" vertical="center"/>
    </xf>
    <xf numFmtId="0" fontId="19" fillId="16" borderId="5" xfId="0" applyFont="1" applyFill="1" applyBorder="1" applyAlignment="1">
      <alignment horizontal="center" vertical="center"/>
    </xf>
    <xf numFmtId="0" fontId="19" fillId="16" borderId="2" xfId="0" applyFont="1" applyFill="1" applyBorder="1" applyAlignment="1">
      <alignment horizontal="center" vertical="center"/>
    </xf>
    <xf numFmtId="0" fontId="19" fillId="16" borderId="7" xfId="0" applyFont="1" applyFill="1" applyBorder="1" applyAlignment="1">
      <alignment horizontal="center" vertical="center"/>
    </xf>
    <xf numFmtId="1" fontId="6" fillId="8" borderId="4" xfId="0" applyNumberFormat="1" applyFont="1" applyFill="1" applyBorder="1" applyAlignment="1">
      <alignment horizontal="center" vertical="center" wrapText="1"/>
    </xf>
    <xf numFmtId="1" fontId="6" fillId="8" borderId="25" xfId="0" applyNumberFormat="1" applyFont="1" applyFill="1" applyBorder="1" applyAlignment="1">
      <alignment horizontal="center" vertical="center" wrapText="1"/>
    </xf>
    <xf numFmtId="0" fontId="28" fillId="13" borderId="11" xfId="439" applyFont="1" applyFill="1" applyBorder="1" applyAlignment="1" applyProtection="1">
      <alignment horizontal="center" vertical="center"/>
      <protection locked="0"/>
    </xf>
    <xf numFmtId="0" fontId="28" fillId="13" borderId="12" xfId="439" applyFont="1" applyFill="1" applyBorder="1" applyAlignment="1" applyProtection="1">
      <alignment horizontal="center" vertical="center"/>
      <protection locked="0"/>
    </xf>
    <xf numFmtId="0" fontId="28" fillId="13" borderId="13" xfId="439" applyFont="1" applyFill="1" applyBorder="1" applyAlignment="1" applyProtection="1">
      <alignment horizontal="center" vertical="center"/>
      <protection locked="0"/>
    </xf>
    <xf numFmtId="0" fontId="25" fillId="8" borderId="13" xfId="0" applyFont="1" applyFill="1" applyBorder="1" applyAlignment="1">
      <alignment horizontal="center" vertical="center"/>
    </xf>
    <xf numFmtId="0" fontId="25" fillId="8" borderId="16" xfId="0" applyFont="1" applyFill="1" applyBorder="1" applyAlignment="1">
      <alignment horizontal="center" vertical="center"/>
    </xf>
    <xf numFmtId="0" fontId="25" fillId="8" borderId="15" xfId="0" applyFont="1" applyFill="1" applyBorder="1" applyAlignment="1">
      <alignment horizontal="center" vertical="center"/>
    </xf>
    <xf numFmtId="0" fontId="29" fillId="13" borderId="45" xfId="0" applyFont="1" applyFill="1" applyBorder="1" applyAlignment="1" applyProtection="1">
      <alignment horizontal="center" vertical="center"/>
      <protection locked="0"/>
    </xf>
    <xf numFmtId="0" fontId="29" fillId="13" borderId="46" xfId="0" applyFont="1" applyFill="1" applyBorder="1" applyAlignment="1" applyProtection="1">
      <alignment horizontal="center" vertical="center"/>
      <protection locked="0"/>
    </xf>
    <xf numFmtId="0" fontId="29" fillId="13" borderId="12" xfId="0" applyFont="1" applyFill="1" applyBorder="1" applyAlignment="1" applyProtection="1">
      <alignment horizontal="center" vertical="center"/>
      <protection locked="0"/>
    </xf>
    <xf numFmtId="0" fontId="25" fillId="8" borderId="54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 wrapText="1"/>
    </xf>
    <xf numFmtId="0" fontId="6" fillId="8" borderId="50" xfId="0" applyFont="1" applyFill="1" applyBorder="1" applyAlignment="1">
      <alignment horizontal="center" vertical="center" wrapText="1"/>
    </xf>
    <xf numFmtId="0" fontId="6" fillId="8" borderId="18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34" fillId="8" borderId="14" xfId="0" applyFont="1" applyFill="1" applyBorder="1" applyAlignment="1">
      <alignment horizontal="center" vertical="center"/>
    </xf>
    <xf numFmtId="0" fontId="34" fillId="8" borderId="22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6" fillId="8" borderId="42" xfId="0" applyFont="1" applyFill="1" applyBorder="1" applyAlignment="1">
      <alignment horizontal="left" vertical="center"/>
    </xf>
    <xf numFmtId="0" fontId="6" fillId="8" borderId="3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8" borderId="40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vertical="center"/>
    </xf>
    <xf numFmtId="0" fontId="18" fillId="11" borderId="12" xfId="0" applyFont="1" applyFill="1" applyBorder="1" applyAlignment="1">
      <alignment horizontal="center" vertical="center"/>
    </xf>
    <xf numFmtId="0" fontId="18" fillId="11" borderId="13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 wrapText="1"/>
    </xf>
    <xf numFmtId="0" fontId="22" fillId="11" borderId="15" xfId="0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horizontal="center" vertical="center" wrapText="1"/>
    </xf>
    <xf numFmtId="0" fontId="18" fillId="11" borderId="30" xfId="0" applyFont="1" applyFill="1" applyBorder="1" applyAlignment="1">
      <alignment horizontal="center" vertical="center" wrapText="1"/>
    </xf>
    <xf numFmtId="0" fontId="18" fillId="11" borderId="29" xfId="0" applyFont="1" applyFill="1" applyBorder="1" applyAlignment="1">
      <alignment horizontal="center" vertical="center" wrapText="1"/>
    </xf>
    <xf numFmtId="0" fontId="18" fillId="11" borderId="36" xfId="0" applyFont="1" applyFill="1" applyBorder="1" applyAlignment="1">
      <alignment horizontal="center" vertical="center" wrapText="1"/>
    </xf>
    <xf numFmtId="0" fontId="18" fillId="11" borderId="33" xfId="0" applyFont="1" applyFill="1" applyBorder="1" applyAlignment="1">
      <alignment horizontal="center" vertical="center"/>
    </xf>
    <xf numFmtId="0" fontId="18" fillId="11" borderId="0" xfId="0" applyFont="1" applyFill="1" applyBorder="1" applyAlignment="1">
      <alignment horizontal="center" vertical="center"/>
    </xf>
    <xf numFmtId="0" fontId="18" fillId="11" borderId="42" xfId="0" applyFont="1" applyFill="1" applyBorder="1" applyAlignment="1">
      <alignment horizontal="center" vertical="center"/>
    </xf>
    <xf numFmtId="0" fontId="7" fillId="11" borderId="47" xfId="0" applyFont="1" applyFill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/>
    </xf>
    <xf numFmtId="0" fontId="7" fillId="11" borderId="49" xfId="0" applyFont="1" applyFill="1" applyBorder="1" applyAlignment="1">
      <alignment horizontal="center" vertical="center"/>
    </xf>
    <xf numFmtId="0" fontId="22" fillId="11" borderId="37" xfId="0" applyFont="1" applyFill="1" applyBorder="1" applyAlignment="1">
      <alignment horizontal="center" vertical="center"/>
    </xf>
    <xf numFmtId="0" fontId="22" fillId="11" borderId="19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18" fillId="11" borderId="8" xfId="0" quotePrefix="1" applyFont="1" applyFill="1" applyBorder="1" applyAlignment="1">
      <alignment horizontal="center" vertical="center"/>
    </xf>
    <xf numFmtId="0" fontId="18" fillId="11" borderId="9" xfId="0" quotePrefix="1" applyFont="1" applyFill="1" applyBorder="1" applyAlignment="1">
      <alignment horizontal="center" vertical="center"/>
    </xf>
    <xf numFmtId="0" fontId="18" fillId="11" borderId="10" xfId="0" quotePrefix="1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22" fillId="11" borderId="16" xfId="0" applyFont="1" applyFill="1" applyBorder="1" applyAlignment="1">
      <alignment horizontal="center" vertical="center"/>
    </xf>
    <xf numFmtId="0" fontId="22" fillId="11" borderId="15" xfId="0" applyFont="1" applyFill="1" applyBorder="1" applyAlignment="1">
      <alignment horizontal="center" vertical="center"/>
    </xf>
    <xf numFmtId="0" fontId="22" fillId="11" borderId="30" xfId="0" applyFont="1" applyFill="1" applyBorder="1" applyAlignment="1">
      <alignment horizontal="center" vertical="center"/>
    </xf>
    <xf numFmtId="0" fontId="22" fillId="11" borderId="29" xfId="0" applyFont="1" applyFill="1" applyBorder="1" applyAlignment="1">
      <alignment horizontal="center" vertical="center"/>
    </xf>
    <xf numFmtId="0" fontId="18" fillId="11" borderId="28" xfId="0" applyFont="1" applyFill="1" applyBorder="1" applyAlignment="1">
      <alignment horizontal="center" vertical="center"/>
    </xf>
    <xf numFmtId="0" fontId="18" fillId="11" borderId="15" xfId="0" applyFont="1" applyFill="1" applyBorder="1" applyAlignment="1">
      <alignment horizontal="center" vertical="center"/>
    </xf>
    <xf numFmtId="0" fontId="18" fillId="11" borderId="35" xfId="0" applyFont="1" applyFill="1" applyBorder="1" applyAlignment="1">
      <alignment horizontal="center" vertical="center"/>
    </xf>
    <xf numFmtId="0" fontId="18" fillId="11" borderId="29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59" fillId="10" borderId="0" xfId="0" applyFont="1" applyFill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6" fillId="10" borderId="0" xfId="0" applyFont="1" applyFill="1" applyAlignment="1">
      <alignment horizontal="center" vertical="center" textRotation="255"/>
    </xf>
    <xf numFmtId="0" fontId="68" fillId="10" borderId="0" xfId="0" applyFont="1" applyFill="1" applyAlignment="1">
      <alignment horizontal="center" vertical="center" textRotation="255"/>
    </xf>
    <xf numFmtId="0" fontId="56" fillId="10" borderId="0" xfId="0" applyFont="1" applyFill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1" fillId="2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66" fillId="10" borderId="33" xfId="0" applyFont="1" applyFill="1" applyBorder="1" applyAlignment="1">
      <alignment horizontal="center" vertical="center"/>
    </xf>
    <xf numFmtId="0" fontId="66" fillId="10" borderId="42" xfId="0" applyFont="1" applyFill="1" applyBorder="1" applyAlignment="1">
      <alignment horizontal="center" vertical="center"/>
    </xf>
    <xf numFmtId="0" fontId="74" fillId="13" borderId="25" xfId="0" applyFont="1" applyFill="1" applyBorder="1" applyAlignment="1">
      <alignment horizontal="left" vertical="center" wrapText="1"/>
    </xf>
    <xf numFmtId="0" fontId="74" fillId="13" borderId="50" xfId="0" applyFont="1" applyFill="1" applyBorder="1" applyAlignment="1">
      <alignment horizontal="left" vertical="center" wrapText="1"/>
    </xf>
    <xf numFmtId="0" fontId="74" fillId="0" borderId="9" xfId="0" applyFont="1" applyFill="1" applyBorder="1" applyAlignment="1">
      <alignment horizontal="left" vertical="center" wrapText="1"/>
    </xf>
    <xf numFmtId="0" fontId="74" fillId="0" borderId="10" xfId="0" applyFont="1" applyFill="1" applyBorder="1" applyAlignment="1">
      <alignment horizontal="left" vertical="center" wrapText="1"/>
    </xf>
    <xf numFmtId="0" fontId="75" fillId="13" borderId="2" xfId="0" applyFont="1" applyFill="1" applyBorder="1" applyAlignment="1">
      <alignment horizontal="center" vertical="center" wrapText="1"/>
    </xf>
    <xf numFmtId="0" fontId="74" fillId="0" borderId="4" xfId="0" applyFont="1" applyFill="1" applyBorder="1" applyAlignment="1">
      <alignment horizontal="left" vertical="center"/>
    </xf>
    <xf numFmtId="0" fontId="74" fillId="0" borderId="5" xfId="0" applyFont="1" applyFill="1" applyBorder="1" applyAlignment="1">
      <alignment horizontal="left" vertical="center"/>
    </xf>
    <xf numFmtId="0" fontId="74" fillId="0" borderId="2" xfId="0" applyFont="1" applyFill="1" applyBorder="1" applyAlignment="1">
      <alignment horizontal="left" vertical="center"/>
    </xf>
    <xf numFmtId="0" fontId="74" fillId="0" borderId="7" xfId="0" applyFont="1" applyFill="1" applyBorder="1" applyAlignment="1">
      <alignment horizontal="left" vertical="center"/>
    </xf>
    <xf numFmtId="0" fontId="62" fillId="10" borderId="0" xfId="0" applyFont="1" applyFill="1" applyBorder="1" applyAlignment="1">
      <alignment horizontal="left" vertical="center" wrapText="1"/>
    </xf>
    <xf numFmtId="0" fontId="7" fillId="13" borderId="25" xfId="0" applyFont="1" applyFill="1" applyBorder="1" applyAlignment="1">
      <alignment horizontal="center" vertical="center"/>
    </xf>
    <xf numFmtId="0" fontId="7" fillId="13" borderId="50" xfId="0" applyFont="1" applyFill="1" applyBorder="1" applyAlignment="1">
      <alignment horizontal="center" vertical="center"/>
    </xf>
    <xf numFmtId="1" fontId="74" fillId="0" borderId="4" xfId="0" applyNumberFormat="1" applyFont="1" applyFill="1" applyBorder="1" applyAlignment="1">
      <alignment horizontal="center" vertical="center" wrapText="1"/>
    </xf>
    <xf numFmtId="1" fontId="74" fillId="0" borderId="5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3" fillId="13" borderId="3" xfId="0" applyFont="1" applyFill="1" applyBorder="1" applyAlignment="1">
      <alignment horizontal="center" vertical="center"/>
    </xf>
    <xf numFmtId="0" fontId="73" fillId="13" borderId="4" xfId="0" applyFont="1" applyFill="1" applyBorder="1" applyAlignment="1">
      <alignment horizontal="center" vertical="center"/>
    </xf>
    <xf numFmtId="0" fontId="73" fillId="13" borderId="59" xfId="0" applyFont="1" applyFill="1" applyBorder="1" applyAlignment="1">
      <alignment horizontal="center" vertical="center"/>
    </xf>
    <xf numFmtId="0" fontId="73" fillId="13" borderId="25" xfId="0" applyFont="1" applyFill="1" applyBorder="1" applyAlignment="1">
      <alignment horizontal="center" vertical="center"/>
    </xf>
    <xf numFmtId="0" fontId="74" fillId="13" borderId="4" xfId="0" applyFont="1" applyFill="1" applyBorder="1" applyAlignment="1">
      <alignment horizontal="left" vertical="center" wrapText="1"/>
    </xf>
    <xf numFmtId="0" fontId="74" fillId="13" borderId="5" xfId="0" applyFont="1" applyFill="1" applyBorder="1" applyAlignment="1">
      <alignment horizontal="left" vertical="center" wrapText="1"/>
    </xf>
    <xf numFmtId="0" fontId="75" fillId="13" borderId="25" xfId="0" applyFont="1" applyFill="1" applyBorder="1" applyAlignment="1">
      <alignment horizontal="center" vertical="center" wrapText="1"/>
    </xf>
    <xf numFmtId="0" fontId="75" fillId="13" borderId="19" xfId="0" applyFont="1" applyFill="1" applyBorder="1" applyAlignment="1">
      <alignment horizontal="center" vertical="center" wrapText="1"/>
    </xf>
    <xf numFmtId="0" fontId="75" fillId="13" borderId="62" xfId="0" applyFont="1" applyFill="1" applyBorder="1" applyAlignment="1">
      <alignment horizontal="center" vertical="center"/>
    </xf>
    <xf numFmtId="0" fontId="75" fillId="13" borderId="46" xfId="0" applyFont="1" applyFill="1" applyBorder="1" applyAlignment="1">
      <alignment horizontal="center" vertical="center"/>
    </xf>
    <xf numFmtId="0" fontId="75" fillId="13" borderId="63" xfId="0" applyFont="1" applyFill="1" applyBorder="1" applyAlignment="1">
      <alignment horizontal="center" vertical="center"/>
    </xf>
    <xf numFmtId="0" fontId="75" fillId="13" borderId="64" xfId="0" applyFont="1" applyFill="1" applyBorder="1" applyAlignment="1">
      <alignment horizontal="center" vertical="center"/>
    </xf>
    <xf numFmtId="0" fontId="75" fillId="13" borderId="52" xfId="0" applyFont="1" applyFill="1" applyBorder="1" applyAlignment="1">
      <alignment horizontal="center" vertical="center"/>
    </xf>
    <xf numFmtId="0" fontId="75" fillId="13" borderId="65" xfId="0" applyFont="1" applyFill="1" applyBorder="1" applyAlignment="1">
      <alignment horizontal="center" vertical="center"/>
    </xf>
    <xf numFmtId="49" fontId="75" fillId="13" borderId="25" xfId="0" applyNumberFormat="1" applyFont="1" applyFill="1" applyBorder="1" applyAlignment="1">
      <alignment horizontal="center" vertical="center" wrapText="1"/>
    </xf>
    <xf numFmtId="49" fontId="75" fillId="13" borderId="19" xfId="0" applyNumberFormat="1" applyFont="1" applyFill="1" applyBorder="1" applyAlignment="1">
      <alignment horizontal="center" vertical="center" wrapText="1"/>
    </xf>
    <xf numFmtId="0" fontId="75" fillId="13" borderId="25" xfId="0" quotePrefix="1" applyFont="1" applyFill="1" applyBorder="1" applyAlignment="1">
      <alignment horizontal="center" vertical="center" wrapText="1"/>
    </xf>
    <xf numFmtId="0" fontId="75" fillId="13" borderId="19" xfId="0" quotePrefix="1" applyFont="1" applyFill="1" applyBorder="1" applyAlignment="1">
      <alignment horizontal="center" vertical="center" wrapText="1"/>
    </xf>
    <xf numFmtId="0" fontId="76" fillId="13" borderId="0" xfId="0" applyFont="1" applyFill="1" applyBorder="1" applyAlignment="1">
      <alignment horizontal="center" vertical="center"/>
    </xf>
    <xf numFmtId="0" fontId="69" fillId="8" borderId="0" xfId="881" applyFont="1" applyFill="1" applyBorder="1" applyAlignment="1">
      <alignment horizontal="center" vertical="center" wrapText="1"/>
    </xf>
    <xf numFmtId="0" fontId="69" fillId="8" borderId="61" xfId="881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3" fillId="13" borderId="16" xfId="0" applyFont="1" applyFill="1" applyBorder="1" applyAlignment="1">
      <alignment horizontal="right" vertical="center" wrapText="1"/>
    </xf>
    <xf numFmtId="0" fontId="73" fillId="13" borderId="17" xfId="0" applyFont="1" applyFill="1" applyBorder="1" applyAlignment="1">
      <alignment horizontal="right" vertical="center" wrapText="1"/>
    </xf>
    <xf numFmtId="0" fontId="74" fillId="0" borderId="28" xfId="0" applyFont="1" applyFill="1" applyBorder="1" applyAlignment="1">
      <alignment horizontal="center" vertical="center"/>
    </xf>
    <xf numFmtId="0" fontId="74" fillId="0" borderId="15" xfId="0" applyFont="1" applyFill="1" applyBorder="1" applyAlignment="1">
      <alignment horizontal="center" vertical="center"/>
    </xf>
    <xf numFmtId="0" fontId="74" fillId="0" borderId="27" xfId="0" applyFont="1" applyFill="1" applyBorder="1" applyAlignment="1">
      <alignment horizontal="center" vertical="center"/>
    </xf>
  </cellXfs>
  <cellStyles count="891">
    <cellStyle name="Comma" xfId="7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/>
    <cellStyle name="Input" xfId="881" builtinId="20"/>
    <cellStyle name="Normal" xfId="0" builtinId="0"/>
  </cellStyles>
  <dxfs count="0"/>
  <tableStyles count="0" defaultTableStyle="TableStyleMedium2" defaultPivotStyle="PivotStyleLight16"/>
  <colors>
    <mruColors>
      <color rgb="FF8000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153704</xdr:colOff>
      <xdr:row>3</xdr:row>
      <xdr:rowOff>65156</xdr:rowOff>
    </xdr:from>
    <xdr:to>
      <xdr:col>9</xdr:col>
      <xdr:colOff>1419225</xdr:colOff>
      <xdr:row>8</xdr:row>
      <xdr:rowOff>212203</xdr:rowOff>
    </xdr:to>
    <xdr:pic>
      <xdr:nvPicPr>
        <xdr:cNvPr id="3" name="Picture 2" descr="T shirt image supersmall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971" y="1250489"/>
          <a:ext cx="1370296" cy="1552514"/>
        </a:xfrm>
        <a:prstGeom prst="rect">
          <a:avLst/>
        </a:prstGeom>
      </xdr:spPr>
    </xdr:pic>
    <xdr:clientData/>
  </xdr:twoCellAnchor>
  <xdr:twoCellAnchor editAs="oneCell">
    <xdr:from>
      <xdr:col>0</xdr:col>
      <xdr:colOff>82062</xdr:colOff>
      <xdr:row>56</xdr:row>
      <xdr:rowOff>38100</xdr:rowOff>
    </xdr:from>
    <xdr:to>
      <xdr:col>1</xdr:col>
      <xdr:colOff>1504462</xdr:colOff>
      <xdr:row>58</xdr:row>
      <xdr:rowOff>235105</xdr:rowOff>
    </xdr:to>
    <xdr:pic>
      <xdr:nvPicPr>
        <xdr:cNvPr id="5" name="Picture 4" descr="logo.png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62" y="13089792"/>
          <a:ext cx="2164862" cy="74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1159</xdr:colOff>
      <xdr:row>4</xdr:row>
      <xdr:rowOff>64114</xdr:rowOff>
    </xdr:from>
    <xdr:to>
      <xdr:col>2</xdr:col>
      <xdr:colOff>1600201</xdr:colOff>
      <xdr:row>12</xdr:row>
      <xdr:rowOff>76200</xdr:rowOff>
    </xdr:to>
    <xdr:pic>
      <xdr:nvPicPr>
        <xdr:cNvPr id="2" name="Picture 1" descr="T shirt image supersmall.pn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59" y="749914"/>
          <a:ext cx="1599042" cy="1777386"/>
        </a:xfrm>
        <a:prstGeom prst="rect">
          <a:avLst/>
        </a:prstGeom>
      </xdr:spPr>
    </xdr:pic>
    <xdr:clientData/>
  </xdr:twoCellAnchor>
  <xdr:twoCellAnchor editAs="oneCell">
    <xdr:from>
      <xdr:col>7</xdr:col>
      <xdr:colOff>163581</xdr:colOff>
      <xdr:row>8</xdr:row>
      <xdr:rowOff>220134</xdr:rowOff>
    </xdr:from>
    <xdr:to>
      <xdr:col>8</xdr:col>
      <xdr:colOff>833968</xdr:colOff>
      <xdr:row>11</xdr:row>
      <xdr:rowOff>133096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8481" y="1794934"/>
          <a:ext cx="1635587" cy="573362"/>
        </a:xfrm>
        <a:prstGeom prst="rect">
          <a:avLst/>
        </a:prstGeom>
      </xdr:spPr>
    </xdr:pic>
    <xdr:clientData/>
  </xdr:twoCellAnchor>
  <xdr:twoCellAnchor editAs="oneCell">
    <xdr:from>
      <xdr:col>7</xdr:col>
      <xdr:colOff>618068</xdr:colOff>
      <xdr:row>4</xdr:row>
      <xdr:rowOff>1085</xdr:rowOff>
    </xdr:from>
    <xdr:to>
      <xdr:col>8</xdr:col>
      <xdr:colOff>355600</xdr:colOff>
      <xdr:row>7</xdr:row>
      <xdr:rowOff>59269</xdr:rowOff>
    </xdr:to>
    <xdr:pic>
      <xdr:nvPicPr>
        <xdr:cNvPr id="4" name="Picture 3" descr="red skull.png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2968" y="686885"/>
          <a:ext cx="702732" cy="718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"/>
  <sheetViews>
    <sheetView topLeftCell="A4" zoomScale="120" zoomScaleNormal="120" zoomScalePageLayoutView="120" workbookViewId="0">
      <selection activeCell="C29" sqref="C29"/>
    </sheetView>
  </sheetViews>
  <sheetFormatPr defaultColWidth="8.85546875" defaultRowHeight="15"/>
  <cols>
    <col min="1" max="1" width="8.85546875" style="1"/>
    <col min="2" max="2" width="4.28515625" style="1" customWidth="1"/>
    <col min="3" max="3" width="136.85546875" style="1" customWidth="1"/>
    <col min="4" max="4" width="24.85546875" style="1" customWidth="1"/>
    <col min="5" max="5" width="4.42578125" style="1" customWidth="1"/>
    <col min="6" max="13" width="12.140625" style="1" customWidth="1"/>
    <col min="14" max="15" width="8.42578125" style="1" customWidth="1"/>
    <col min="16" max="16" width="9.42578125" style="2" customWidth="1"/>
    <col min="17" max="17" width="9.28515625" style="2" customWidth="1"/>
    <col min="18" max="21" width="6.7109375" style="2" customWidth="1"/>
    <col min="22" max="23" width="7.7109375" style="3" customWidth="1"/>
    <col min="24" max="25" width="7.42578125" style="2" customWidth="1"/>
    <col min="26" max="26" width="6" style="2" customWidth="1"/>
    <col min="27" max="27" width="10.85546875" style="2" customWidth="1"/>
    <col min="28" max="28" width="4.28515625" style="2" customWidth="1"/>
    <col min="29" max="31" width="8.140625" style="2" customWidth="1"/>
    <col min="32" max="32" width="11.42578125" style="2" customWidth="1"/>
    <col min="33" max="34" width="4.28515625" style="2" customWidth="1"/>
    <col min="35" max="16384" width="8.85546875" style="1"/>
  </cols>
  <sheetData>
    <row r="1" spans="1:34">
      <c r="A1" s="73"/>
      <c r="B1" s="73"/>
      <c r="C1" s="73"/>
      <c r="D1" s="73"/>
      <c r="E1" s="73"/>
      <c r="F1" s="73"/>
      <c r="G1" s="73"/>
      <c r="H1" s="73"/>
    </row>
    <row r="2" spans="1:34" s="4" customFormat="1" ht="36.950000000000003" customHeight="1">
      <c r="A2" s="74"/>
      <c r="B2" s="55"/>
      <c r="C2" s="295" t="s">
        <v>257</v>
      </c>
      <c r="D2" s="295"/>
      <c r="E2" s="55"/>
      <c r="F2" s="74"/>
      <c r="G2" s="74"/>
      <c r="H2" s="74"/>
      <c r="P2" s="5"/>
      <c r="Q2" s="5"/>
      <c r="R2" s="5"/>
      <c r="S2" s="5"/>
      <c r="T2" s="5"/>
      <c r="U2" s="5"/>
      <c r="V2" s="40"/>
      <c r="W2" s="40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s="80" customFormat="1" ht="20.100000000000001" customHeight="1" thickBot="1">
      <c r="A3" s="78"/>
      <c r="B3" s="79"/>
      <c r="C3" s="296" t="s">
        <v>258</v>
      </c>
      <c r="D3" s="296"/>
      <c r="E3" s="79"/>
      <c r="F3" s="78"/>
      <c r="G3" s="78"/>
      <c r="H3" s="78"/>
      <c r="P3" s="81"/>
      <c r="Q3" s="81"/>
      <c r="R3" s="81"/>
      <c r="S3" s="81"/>
      <c r="T3" s="81"/>
      <c r="U3" s="81"/>
      <c r="V3" s="82"/>
      <c r="W3" s="82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spans="1:34" s="80" customFormat="1" ht="20.100000000000001" customHeight="1">
      <c r="A4" s="78"/>
      <c r="B4" s="79"/>
      <c r="C4" s="286" t="s">
        <v>275</v>
      </c>
      <c r="D4" s="287"/>
      <c r="E4" s="79"/>
      <c r="F4" s="78"/>
      <c r="G4" s="78"/>
      <c r="H4" s="78"/>
      <c r="P4" s="81"/>
      <c r="Q4" s="81"/>
      <c r="R4" s="81"/>
      <c r="S4" s="81"/>
      <c r="T4" s="81"/>
      <c r="U4" s="81"/>
      <c r="V4" s="82"/>
      <c r="W4" s="82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spans="1:34" s="80" customFormat="1" ht="20.100000000000001" customHeight="1">
      <c r="A5" s="78"/>
      <c r="B5" s="79"/>
      <c r="C5" s="297" t="s">
        <v>276</v>
      </c>
      <c r="D5" s="298"/>
      <c r="E5" s="79"/>
      <c r="F5" s="78"/>
      <c r="G5" s="78"/>
      <c r="H5" s="78"/>
      <c r="P5" s="81"/>
      <c r="Q5" s="81"/>
      <c r="R5" s="81"/>
      <c r="S5" s="81"/>
      <c r="T5" s="81"/>
      <c r="U5" s="81"/>
      <c r="V5" s="82"/>
      <c r="W5" s="82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spans="1:34" s="80" customFormat="1" ht="20.100000000000001" customHeight="1">
      <c r="A6" s="78"/>
      <c r="B6" s="79"/>
      <c r="C6" s="299" t="s">
        <v>261</v>
      </c>
      <c r="D6" s="300"/>
      <c r="E6" s="79"/>
      <c r="F6" s="78"/>
      <c r="G6" s="78"/>
      <c r="H6" s="78"/>
      <c r="P6" s="81"/>
      <c r="Q6" s="81"/>
      <c r="R6" s="81"/>
      <c r="S6" s="81"/>
      <c r="T6" s="81"/>
      <c r="U6" s="81"/>
      <c r="V6" s="82"/>
      <c r="W6" s="82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spans="1:34" s="80" customFormat="1" ht="20.100000000000001" customHeight="1">
      <c r="A7" s="78"/>
      <c r="B7" s="79"/>
      <c r="C7" s="299" t="s">
        <v>262</v>
      </c>
      <c r="D7" s="300"/>
      <c r="E7" s="79"/>
      <c r="F7" s="78"/>
      <c r="G7" s="78"/>
      <c r="H7" s="78"/>
      <c r="P7" s="81"/>
      <c r="Q7" s="81"/>
      <c r="R7" s="81"/>
      <c r="S7" s="81"/>
      <c r="T7" s="81"/>
      <c r="U7" s="81"/>
      <c r="V7" s="82"/>
      <c r="W7" s="82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spans="1:34" s="80" customFormat="1" ht="20.100000000000001" customHeight="1" thickBot="1">
      <c r="A8" s="78"/>
      <c r="B8" s="79"/>
      <c r="C8" s="293" t="s">
        <v>259</v>
      </c>
      <c r="D8" s="294"/>
      <c r="E8" s="79"/>
      <c r="F8" s="78"/>
      <c r="G8" s="78"/>
      <c r="H8" s="78"/>
      <c r="P8" s="81"/>
      <c r="Q8" s="81"/>
      <c r="R8" s="81"/>
      <c r="S8" s="81"/>
      <c r="T8" s="81"/>
      <c r="U8" s="81"/>
      <c r="V8" s="82"/>
      <c r="W8" s="82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spans="1:34" s="80" customFormat="1" ht="20.100000000000001" customHeight="1">
      <c r="A9" s="78"/>
      <c r="B9" s="79"/>
      <c r="C9" s="286" t="s">
        <v>260</v>
      </c>
      <c r="D9" s="287"/>
      <c r="E9" s="79"/>
      <c r="F9" s="78"/>
      <c r="G9" s="78"/>
      <c r="H9" s="78"/>
      <c r="P9" s="81"/>
      <c r="Q9" s="81"/>
      <c r="R9" s="81"/>
      <c r="S9" s="81"/>
      <c r="T9" s="81"/>
      <c r="U9" s="81"/>
      <c r="V9" s="82"/>
      <c r="W9" s="82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spans="1:34" s="80" customFormat="1" ht="20.25">
      <c r="A10" s="78"/>
      <c r="B10" s="79"/>
      <c r="C10" s="83" t="s">
        <v>270</v>
      </c>
      <c r="D10" s="84" t="s">
        <v>271</v>
      </c>
      <c r="E10" s="79"/>
      <c r="F10" s="78"/>
      <c r="G10" s="78"/>
      <c r="H10" s="78"/>
      <c r="P10" s="81"/>
      <c r="Q10" s="81"/>
      <c r="R10" s="81"/>
      <c r="S10" s="81"/>
      <c r="T10" s="81"/>
      <c r="U10" s="81"/>
      <c r="V10" s="82"/>
      <c r="W10" s="82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spans="1:34" s="80" customFormat="1" ht="20.25">
      <c r="A11" s="78"/>
      <c r="B11" s="79"/>
      <c r="C11" s="83" t="s">
        <v>108</v>
      </c>
      <c r="D11" s="85" t="s">
        <v>98</v>
      </c>
      <c r="E11" s="79"/>
      <c r="F11" s="78"/>
      <c r="G11" s="78"/>
      <c r="H11" s="78"/>
      <c r="P11" s="81"/>
      <c r="Q11" s="81"/>
      <c r="R11" s="81"/>
      <c r="S11" s="81"/>
      <c r="T11" s="81"/>
      <c r="U11" s="81"/>
      <c r="V11" s="82"/>
      <c r="W11" s="82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spans="1:34" s="80" customFormat="1" ht="20.25">
      <c r="A12" s="78"/>
      <c r="B12" s="79"/>
      <c r="C12" s="86" t="s">
        <v>159</v>
      </c>
      <c r="D12" s="87" t="s">
        <v>160</v>
      </c>
      <c r="E12" s="79"/>
      <c r="F12" s="78"/>
      <c r="G12" s="78"/>
      <c r="H12" s="78"/>
      <c r="P12" s="81"/>
      <c r="Q12" s="81"/>
      <c r="R12" s="81"/>
      <c r="S12" s="81"/>
      <c r="T12" s="81"/>
      <c r="U12" s="81"/>
      <c r="V12" s="82"/>
      <c r="W12" s="82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spans="1:34" s="80" customFormat="1" ht="24" customHeight="1">
      <c r="A13" s="78"/>
      <c r="B13" s="79"/>
      <c r="C13" s="88" t="s">
        <v>273</v>
      </c>
      <c r="D13" s="291" t="s">
        <v>272</v>
      </c>
      <c r="E13" s="79"/>
      <c r="F13" s="78"/>
      <c r="G13" s="78"/>
      <c r="H13" s="78"/>
    </row>
    <row r="14" spans="1:34" s="92" customFormat="1" ht="21" thickBot="1">
      <c r="A14" s="89"/>
      <c r="B14" s="90"/>
      <c r="C14" s="91" t="s">
        <v>161</v>
      </c>
      <c r="D14" s="292"/>
      <c r="E14" s="90"/>
      <c r="F14" s="89"/>
      <c r="G14" s="89"/>
      <c r="H14" s="89"/>
    </row>
    <row r="15" spans="1:34" s="80" customFormat="1" ht="20.100000000000001" customHeight="1" thickBot="1">
      <c r="A15" s="78"/>
      <c r="B15" s="79"/>
      <c r="C15" s="286" t="s">
        <v>263</v>
      </c>
      <c r="D15" s="287"/>
      <c r="E15" s="79"/>
      <c r="F15" s="78"/>
      <c r="G15" s="78"/>
      <c r="H15" s="78"/>
      <c r="P15" s="81"/>
      <c r="Q15" s="81"/>
      <c r="R15" s="81"/>
      <c r="S15" s="81"/>
      <c r="T15" s="81"/>
      <c r="U15" s="81"/>
      <c r="V15" s="82"/>
      <c r="W15" s="82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pans="1:34" s="96" customFormat="1" ht="20.25">
      <c r="A16" s="93"/>
      <c r="B16" s="94"/>
      <c r="C16" s="95" t="s">
        <v>267</v>
      </c>
      <c r="D16" s="288" t="s">
        <v>264</v>
      </c>
      <c r="E16" s="94"/>
      <c r="F16" s="93"/>
      <c r="G16" s="93"/>
      <c r="H16" s="93"/>
      <c r="P16" s="97"/>
      <c r="Q16" s="97"/>
      <c r="R16" s="97"/>
      <c r="S16" s="97"/>
      <c r="T16" s="97"/>
      <c r="U16" s="97"/>
      <c r="V16" s="98"/>
      <c r="W16" s="98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1:34" s="96" customFormat="1" ht="20.25">
      <c r="A17" s="93"/>
      <c r="B17" s="94"/>
      <c r="C17" s="99" t="s">
        <v>266</v>
      </c>
      <c r="D17" s="289"/>
      <c r="E17" s="94"/>
      <c r="F17" s="93"/>
      <c r="G17" s="93"/>
      <c r="H17" s="93"/>
      <c r="P17" s="97"/>
      <c r="Q17" s="97"/>
      <c r="R17" s="97"/>
      <c r="S17" s="97"/>
      <c r="T17" s="97"/>
      <c r="U17" s="97"/>
      <c r="V17" s="98"/>
      <c r="W17" s="98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1:34" s="96" customFormat="1" ht="20.25">
      <c r="A18" s="93"/>
      <c r="B18" s="94"/>
      <c r="C18" s="99" t="s">
        <v>268</v>
      </c>
      <c r="D18" s="289"/>
      <c r="E18" s="94"/>
      <c r="F18" s="93"/>
      <c r="G18" s="93"/>
      <c r="H18" s="93"/>
      <c r="P18" s="97"/>
      <c r="Q18" s="97"/>
      <c r="R18" s="97"/>
      <c r="S18" s="97"/>
      <c r="T18" s="97"/>
      <c r="U18" s="97"/>
      <c r="V18" s="98"/>
      <c r="W18" s="98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1:34" s="92" customFormat="1" ht="20.25">
      <c r="A19" s="89"/>
      <c r="B19" s="90"/>
      <c r="C19" s="99" t="s">
        <v>162</v>
      </c>
      <c r="D19" s="289"/>
      <c r="E19" s="90"/>
      <c r="F19" s="89"/>
      <c r="G19" s="89"/>
      <c r="H19" s="89"/>
      <c r="P19" s="100"/>
      <c r="Q19" s="100"/>
      <c r="R19" s="100"/>
      <c r="S19" s="100"/>
      <c r="T19" s="100"/>
      <c r="U19" s="100"/>
      <c r="V19" s="101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</row>
    <row r="20" spans="1:34" s="92" customFormat="1" ht="20.25">
      <c r="A20" s="89"/>
      <c r="B20" s="90"/>
      <c r="C20" s="99" t="s">
        <v>274</v>
      </c>
      <c r="D20" s="289"/>
      <c r="E20" s="90"/>
      <c r="F20" s="89"/>
      <c r="G20" s="89"/>
      <c r="H20" s="89"/>
      <c r="P20" s="100"/>
      <c r="Q20" s="100"/>
      <c r="R20" s="100"/>
      <c r="S20" s="100"/>
      <c r="T20" s="100"/>
      <c r="U20" s="100"/>
      <c r="V20" s="101"/>
      <c r="W20" s="101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</row>
    <row r="21" spans="1:34" s="92" customFormat="1" ht="20.25">
      <c r="A21" s="89"/>
      <c r="B21" s="90"/>
      <c r="C21" s="99" t="s">
        <v>103</v>
      </c>
      <c r="D21" s="289"/>
      <c r="E21" s="90"/>
      <c r="F21" s="89"/>
      <c r="G21" s="89"/>
      <c r="H21" s="89"/>
      <c r="P21" s="100"/>
      <c r="Q21" s="100"/>
      <c r="R21" s="100"/>
      <c r="S21" s="100"/>
      <c r="T21" s="100"/>
      <c r="U21" s="100"/>
      <c r="V21" s="101"/>
      <c r="W21" s="101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</row>
    <row r="22" spans="1:34" s="106" customFormat="1" ht="21" thickBot="1">
      <c r="A22" s="102"/>
      <c r="B22" s="103"/>
      <c r="C22" s="104" t="s">
        <v>265</v>
      </c>
      <c r="D22" s="290"/>
      <c r="E22" s="90"/>
      <c r="F22" s="89"/>
      <c r="G22" s="89"/>
      <c r="H22" s="89"/>
      <c r="I22" s="92"/>
      <c r="J22" s="92"/>
      <c r="K22" s="92"/>
      <c r="L22" s="92"/>
      <c r="M22" s="92"/>
      <c r="N22" s="92"/>
      <c r="O22" s="100"/>
      <c r="P22" s="100"/>
      <c r="Q22" s="100"/>
      <c r="R22" s="100"/>
      <c r="S22" s="100"/>
      <c r="T22" s="100"/>
      <c r="U22" s="101"/>
      <c r="V22" s="101"/>
      <c r="W22" s="100"/>
      <c r="X22" s="100"/>
      <c r="Y22" s="100"/>
      <c r="Z22" s="100"/>
      <c r="AA22" s="105"/>
      <c r="AB22" s="100"/>
      <c r="AC22" s="100"/>
      <c r="AD22" s="100"/>
      <c r="AE22" s="105"/>
      <c r="AF22" s="105"/>
      <c r="AG22" s="105"/>
    </row>
    <row r="23" spans="1:34" s="80" customFormat="1" ht="20.100000000000001" customHeight="1">
      <c r="A23" s="78"/>
      <c r="B23" s="79"/>
      <c r="C23" s="286" t="s">
        <v>307</v>
      </c>
      <c r="D23" s="287"/>
      <c r="E23" s="79"/>
      <c r="F23" s="78"/>
      <c r="G23" s="78"/>
      <c r="H23" s="78"/>
      <c r="P23" s="81"/>
      <c r="Q23" s="81"/>
      <c r="R23" s="81"/>
      <c r="S23" s="81"/>
      <c r="T23" s="81"/>
      <c r="U23" s="81"/>
      <c r="V23" s="82"/>
      <c r="W23" s="82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34" s="96" customFormat="1" ht="23.25">
      <c r="A24" s="93"/>
      <c r="B24" s="94"/>
      <c r="C24" s="99" t="s">
        <v>308</v>
      </c>
      <c r="D24" s="210"/>
      <c r="E24" s="94"/>
      <c r="F24" s="93"/>
      <c r="G24" s="93"/>
      <c r="H24" s="93"/>
      <c r="P24" s="97"/>
      <c r="Q24" s="97"/>
      <c r="R24" s="97"/>
      <c r="S24" s="97"/>
      <c r="T24" s="97"/>
      <c r="U24" s="97"/>
      <c r="V24" s="98"/>
      <c r="W24" s="98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1:34" s="96" customFormat="1" ht="24" thickBot="1">
      <c r="A25" s="93"/>
      <c r="B25" s="94"/>
      <c r="C25" s="104" t="s">
        <v>309</v>
      </c>
      <c r="D25" s="210"/>
      <c r="E25" s="94"/>
      <c r="F25" s="93"/>
      <c r="G25" s="93"/>
      <c r="H25" s="93"/>
      <c r="P25" s="97"/>
      <c r="Q25" s="97"/>
      <c r="R25" s="97"/>
      <c r="S25" s="97"/>
      <c r="T25" s="97"/>
      <c r="U25" s="97"/>
      <c r="V25" s="98"/>
      <c r="W25" s="98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1:34">
      <c r="A26" s="73"/>
      <c r="B26" s="15"/>
      <c r="C26" s="15"/>
      <c r="D26" s="15"/>
      <c r="E26" s="15"/>
      <c r="F26" s="73"/>
      <c r="G26" s="73"/>
      <c r="H26" s="73"/>
    </row>
    <row r="27" spans="1:34">
      <c r="A27" s="73"/>
      <c r="B27" s="15"/>
      <c r="C27" s="15"/>
      <c r="D27" s="15"/>
      <c r="E27" s="15"/>
      <c r="F27" s="73"/>
      <c r="G27" s="73"/>
      <c r="H27" s="73"/>
    </row>
    <row r="28" spans="1:34">
      <c r="A28" s="73"/>
      <c r="B28" s="73"/>
      <c r="C28" s="73"/>
      <c r="D28" s="73"/>
      <c r="E28" s="73"/>
      <c r="F28" s="73"/>
      <c r="G28" s="73"/>
      <c r="H28" s="73"/>
    </row>
    <row r="29" spans="1:34">
      <c r="A29" s="73"/>
      <c r="B29" s="73"/>
      <c r="C29" s="73"/>
      <c r="D29" s="73"/>
      <c r="E29" s="73"/>
      <c r="F29" s="73"/>
      <c r="G29" s="73"/>
      <c r="H29" s="73"/>
    </row>
    <row r="30" spans="1:34">
      <c r="A30" s="73"/>
      <c r="B30" s="73"/>
      <c r="C30" s="73"/>
      <c r="D30" s="73"/>
      <c r="E30" s="73"/>
      <c r="F30" s="73"/>
      <c r="G30" s="73"/>
      <c r="H30" s="73"/>
    </row>
    <row r="31" spans="1:34">
      <c r="A31" s="73"/>
      <c r="B31" s="73"/>
      <c r="C31" s="73"/>
      <c r="D31" s="73"/>
      <c r="E31" s="73"/>
      <c r="F31" s="73"/>
      <c r="G31" s="73"/>
      <c r="H31" s="73"/>
    </row>
    <row r="32" spans="1:34">
      <c r="A32" s="73"/>
      <c r="F32" s="73"/>
      <c r="G32" s="73"/>
      <c r="H32" s="73"/>
    </row>
  </sheetData>
  <mergeCells count="12">
    <mergeCell ref="C2:D2"/>
    <mergeCell ref="C3:D3"/>
    <mergeCell ref="C5:D5"/>
    <mergeCell ref="C6:D6"/>
    <mergeCell ref="C7:D7"/>
    <mergeCell ref="C4:D4"/>
    <mergeCell ref="C23:D23"/>
    <mergeCell ref="D16:D22"/>
    <mergeCell ref="D13:D14"/>
    <mergeCell ref="C8:D8"/>
    <mergeCell ref="C9:D9"/>
    <mergeCell ref="C15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R133"/>
  <sheetViews>
    <sheetView tabSelected="1" topLeftCell="A8" zoomScale="65" zoomScaleNormal="65" zoomScalePageLayoutView="65" workbookViewId="0">
      <selection activeCell="E12" sqref="E12"/>
    </sheetView>
  </sheetViews>
  <sheetFormatPr defaultColWidth="8.85546875" defaultRowHeight="15.75" outlineLevelRow="1"/>
  <cols>
    <col min="1" max="1" width="9.85546875" style="4" customWidth="1"/>
    <col min="2" max="2" width="26.85546875" style="4" customWidth="1"/>
    <col min="3" max="3" width="16" style="38" customWidth="1"/>
    <col min="4" max="4" width="17.140625" style="4" customWidth="1"/>
    <col min="5" max="5" width="12.7109375" style="4" customWidth="1"/>
    <col min="6" max="6" width="14.7109375" style="4" customWidth="1"/>
    <col min="7" max="9" width="14" style="4" customWidth="1"/>
    <col min="10" max="14" width="21.28515625" style="4" customWidth="1"/>
    <col min="15" max="15" width="10.28515625" style="4" customWidth="1"/>
    <col min="16" max="17" width="9.28515625" style="125" customWidth="1"/>
    <col min="18" max="18" width="9.42578125" style="38" customWidth="1"/>
    <col min="19" max="20" width="9.42578125" style="4" customWidth="1"/>
    <col min="21" max="21" width="17.140625" style="21" customWidth="1"/>
    <col min="22" max="36" width="9.42578125" style="4" customWidth="1"/>
    <col min="37" max="37" width="17.140625" style="4" customWidth="1"/>
    <col min="38" max="46" width="9.42578125" style="4" customWidth="1"/>
    <col min="47" max="47" width="17.140625" style="4" customWidth="1"/>
    <col min="48" max="53" width="9.42578125" style="38" customWidth="1"/>
    <col min="54" max="56" width="9.42578125" style="4" customWidth="1"/>
    <col min="57" max="57" width="14" style="38" customWidth="1"/>
    <col min="58" max="59" width="12.140625" style="4" customWidth="1"/>
    <col min="60" max="60" width="8.42578125" style="4" customWidth="1"/>
    <col min="61" max="61" width="18.140625" style="4" customWidth="1"/>
    <col min="62" max="62" width="9.42578125" style="5" customWidth="1"/>
    <col min="63" max="63" width="9.28515625" style="5" customWidth="1"/>
    <col min="64" max="64" width="7.42578125" style="5" customWidth="1"/>
    <col min="65" max="65" width="12.85546875" style="5" customWidth="1"/>
    <col min="66" max="70" width="6.7109375" style="5" customWidth="1"/>
    <col min="71" max="71" width="7.42578125" style="5" customWidth="1"/>
    <col min="72" max="72" width="6.7109375" style="5" customWidth="1"/>
    <col min="73" max="74" width="7.7109375" style="40" customWidth="1"/>
    <col min="75" max="75" width="7.42578125" style="5" customWidth="1"/>
    <col min="76" max="80" width="10.85546875" style="5" customWidth="1"/>
    <col min="81" max="81" width="4.28515625" style="5" customWidth="1"/>
    <col min="82" max="83" width="8.140625" style="5" customWidth="1"/>
    <col min="84" max="87" width="14.7109375" style="5" customWidth="1"/>
    <col min="88" max="90" width="8.140625" style="5" customWidth="1"/>
    <col min="91" max="91" width="8.85546875" style="5" customWidth="1"/>
    <col min="92" max="96" width="12.28515625" style="5" customWidth="1"/>
    <col min="97" max="98" width="4.28515625" style="5" customWidth="1"/>
    <col min="99" max="16384" width="8.85546875" style="4"/>
  </cols>
  <sheetData>
    <row r="1" spans="1:122" s="12" customFormat="1" ht="30" customHeight="1" thickBot="1">
      <c r="A1" s="360" t="s">
        <v>1</v>
      </c>
      <c r="B1" s="361"/>
      <c r="C1" s="361"/>
      <c r="D1" s="213" t="s">
        <v>20</v>
      </c>
      <c r="E1" s="365" t="s">
        <v>123</v>
      </c>
      <c r="F1" s="366"/>
      <c r="G1" s="329" t="s">
        <v>124</v>
      </c>
      <c r="H1" s="330"/>
      <c r="I1" s="330"/>
      <c r="J1" s="329" t="s">
        <v>135</v>
      </c>
      <c r="K1" s="330"/>
      <c r="L1" s="330"/>
      <c r="M1" s="330"/>
      <c r="N1" s="330"/>
      <c r="O1" s="329" t="s">
        <v>134</v>
      </c>
      <c r="P1" s="330"/>
      <c r="Q1" s="330"/>
      <c r="R1" s="330"/>
      <c r="S1" s="359"/>
      <c r="U1" s="21"/>
      <c r="W1" s="18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V1" s="36"/>
      <c r="AW1" s="36"/>
      <c r="AX1" s="36"/>
      <c r="AY1" s="36"/>
      <c r="AZ1" s="36"/>
      <c r="BA1" s="36"/>
      <c r="BE1" s="3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7"/>
      <c r="BV1" s="17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</row>
    <row r="2" spans="1:122" s="18" customFormat="1" ht="30.95" customHeight="1" thickBot="1">
      <c r="A2" s="362" t="s">
        <v>331</v>
      </c>
      <c r="B2" s="363"/>
      <c r="C2" s="363"/>
      <c r="D2" s="207">
        <v>900</v>
      </c>
      <c r="E2" s="331"/>
      <c r="F2" s="364"/>
      <c r="G2" s="254" t="s">
        <v>184</v>
      </c>
      <c r="H2" s="75" t="s">
        <v>185</v>
      </c>
      <c r="I2" s="255" t="s">
        <v>50</v>
      </c>
      <c r="J2" s="331" t="s">
        <v>332</v>
      </c>
      <c r="K2" s="332"/>
      <c r="L2" s="332"/>
      <c r="M2" s="332"/>
      <c r="N2" s="332"/>
      <c r="O2" s="356"/>
      <c r="P2" s="357"/>
      <c r="Q2" s="357"/>
      <c r="R2" s="357"/>
      <c r="S2" s="358"/>
      <c r="T2" s="4"/>
      <c r="U2" s="21"/>
      <c r="V2" s="4"/>
      <c r="W2" s="12"/>
      <c r="X2" s="12"/>
      <c r="Y2" s="12"/>
      <c r="Z2" s="12"/>
      <c r="AA2" s="12"/>
      <c r="AB2" s="12"/>
      <c r="AC2" s="12"/>
      <c r="AD2" s="4"/>
      <c r="AE2" s="4"/>
      <c r="AF2" s="4"/>
      <c r="AG2" s="4"/>
      <c r="AH2" s="4"/>
      <c r="AI2" s="4"/>
      <c r="AJ2" s="4"/>
      <c r="AK2" s="12"/>
      <c r="AL2" s="4"/>
      <c r="AM2" s="4"/>
      <c r="AN2" s="4"/>
      <c r="AO2" s="4"/>
      <c r="AP2" s="4"/>
      <c r="AQ2" s="4"/>
      <c r="AV2" s="37"/>
      <c r="AW2" s="37"/>
      <c r="AX2" s="37"/>
      <c r="AY2" s="37"/>
      <c r="AZ2" s="37"/>
      <c r="BA2" s="37"/>
      <c r="BE2" s="37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20"/>
      <c r="BV2" s="20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</row>
    <row r="3" spans="1:122" s="12" customFormat="1" ht="32.1" customHeight="1" thickBot="1">
      <c r="A3" s="301" t="s">
        <v>84</v>
      </c>
      <c r="B3" s="302"/>
      <c r="C3" s="302"/>
      <c r="D3" s="302"/>
      <c r="E3" s="302"/>
      <c r="F3" s="302"/>
      <c r="G3" s="302"/>
      <c r="H3" s="302"/>
      <c r="I3" s="302"/>
      <c r="J3" s="301" t="s">
        <v>82</v>
      </c>
      <c r="K3" s="302"/>
      <c r="L3" s="302"/>
      <c r="M3" s="302"/>
      <c r="N3" s="302"/>
      <c r="O3" s="302"/>
      <c r="P3" s="302"/>
      <c r="Q3" s="302"/>
      <c r="R3" s="302"/>
      <c r="S3" s="303"/>
      <c r="T3" s="4"/>
      <c r="U3" s="21"/>
      <c r="V3" s="4"/>
      <c r="W3" s="4"/>
      <c r="X3" s="18"/>
      <c r="Y3" s="18"/>
      <c r="Z3" s="18"/>
      <c r="AA3" s="18"/>
      <c r="AB3" s="18"/>
      <c r="AC3" s="1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V3" s="36"/>
      <c r="AW3" s="36"/>
      <c r="AX3" s="36"/>
      <c r="AY3" s="36"/>
      <c r="AZ3" s="36"/>
      <c r="BA3" s="36"/>
      <c r="BE3" s="36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9"/>
      <c r="BV3" s="169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  <c r="CT3" s="168"/>
    </row>
    <row r="4" spans="1:122" s="26" customFormat="1" ht="24" thickBot="1">
      <c r="A4" s="170" t="s">
        <v>83</v>
      </c>
      <c r="B4" s="171" t="s">
        <v>6</v>
      </c>
      <c r="C4" s="250" t="s">
        <v>324</v>
      </c>
      <c r="D4" s="249"/>
      <c r="E4" s="249"/>
      <c r="F4" s="249"/>
      <c r="G4" s="215" t="s">
        <v>86</v>
      </c>
      <c r="H4" s="215" t="s">
        <v>0</v>
      </c>
      <c r="I4" s="172" t="s">
        <v>81</v>
      </c>
      <c r="J4" s="276"/>
      <c r="K4" s="304">
        <v>2019.01</v>
      </c>
      <c r="L4" s="305"/>
      <c r="M4" s="327"/>
      <c r="N4" s="311" t="s">
        <v>315</v>
      </c>
      <c r="O4" s="312"/>
      <c r="P4" s="325">
        <f>IFERROR(INT(CQ70+CQ62/3),0)+1</f>
        <v>5</v>
      </c>
      <c r="Q4" s="325"/>
      <c r="R4" s="346" t="s">
        <v>312</v>
      </c>
      <c r="S4" s="347"/>
      <c r="T4" s="4"/>
      <c r="U4" s="21"/>
      <c r="V4" s="4"/>
      <c r="W4" s="4"/>
      <c r="X4" s="12"/>
      <c r="Y4" s="12"/>
      <c r="Z4" s="12"/>
      <c r="AA4" s="12"/>
      <c r="AB4" s="12"/>
      <c r="AC4" s="12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38"/>
      <c r="AW4" s="38"/>
      <c r="AX4" s="38"/>
      <c r="AY4" s="38"/>
      <c r="AZ4" s="38"/>
      <c r="BA4" s="38"/>
      <c r="BB4" s="4"/>
      <c r="BC4" s="4"/>
      <c r="BD4" s="4"/>
      <c r="BE4" s="38"/>
      <c r="BF4" s="4"/>
      <c r="BG4" s="4"/>
      <c r="BH4" s="4"/>
      <c r="BI4" s="4"/>
      <c r="BJ4" s="173"/>
      <c r="BK4" s="173"/>
      <c r="BL4" s="173"/>
      <c r="BM4" s="173"/>
      <c r="BN4" s="173"/>
      <c r="BO4" s="173"/>
      <c r="BP4" s="173"/>
      <c r="BQ4" s="173"/>
      <c r="BR4" s="173"/>
      <c r="BS4" s="173"/>
      <c r="BT4" s="173"/>
      <c r="BU4" s="174"/>
      <c r="BV4" s="174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N4" s="173"/>
      <c r="CO4" s="173"/>
      <c r="CP4" s="173"/>
      <c r="CQ4" s="173"/>
      <c r="CR4" s="173"/>
      <c r="CS4" s="173"/>
      <c r="CT4" s="173"/>
    </row>
    <row r="5" spans="1:122" ht="23.1" customHeight="1" thickBot="1">
      <c r="A5" s="175" t="s">
        <v>193</v>
      </c>
      <c r="B5" s="176"/>
      <c r="C5" s="341" t="s">
        <v>27</v>
      </c>
      <c r="D5" s="341"/>
      <c r="E5" s="341"/>
      <c r="F5" s="341"/>
      <c r="G5" s="177" t="s">
        <v>102</v>
      </c>
      <c r="H5" s="218">
        <f>VLOOKUP(C5,'INPUT SHEET '!BF74:BH82,2,FALSE)-IF(G5="yes",100,0)</f>
        <v>900</v>
      </c>
      <c r="I5" s="211">
        <f>VLOOKUP(C5,'INPUT SHEET '!BF74:BJ82,4,FALSE)</f>
        <v>4</v>
      </c>
      <c r="J5" s="276"/>
      <c r="K5" s="304"/>
      <c r="L5" s="305"/>
      <c r="M5" s="328"/>
      <c r="N5" s="313" t="s">
        <v>306</v>
      </c>
      <c r="O5" s="314"/>
      <c r="P5" s="326">
        <f>IFERROR(INT(CQ70/3+CQ62),0)</f>
        <v>1</v>
      </c>
      <c r="Q5" s="326"/>
      <c r="R5" s="348" t="s">
        <v>312</v>
      </c>
      <c r="S5" s="349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78"/>
      <c r="BV5" s="178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</row>
    <row r="6" spans="1:122" ht="21" customHeight="1">
      <c r="A6" s="179" t="s">
        <v>89</v>
      </c>
      <c r="B6" s="180"/>
      <c r="C6" s="341" t="s">
        <v>28</v>
      </c>
      <c r="D6" s="341"/>
      <c r="E6" s="341"/>
      <c r="F6" s="341"/>
      <c r="G6" s="76" t="s">
        <v>88</v>
      </c>
      <c r="H6" s="218">
        <f>VLOOKUP(C6,'INPUT SHEET '!BF74:BH82,3,FALSE)-IF(G6="yes",$BI$86,0)</f>
        <v>400</v>
      </c>
      <c r="I6" s="211">
        <f>VLOOKUP(C6,'INPUT SHEET '!BF74:BJ82,4,FALSE)</f>
        <v>3</v>
      </c>
      <c r="J6" s="276"/>
      <c r="K6" s="304"/>
      <c r="L6" s="305"/>
      <c r="M6" s="308"/>
      <c r="N6" s="319" t="s">
        <v>313</v>
      </c>
      <c r="O6" s="320"/>
      <c r="P6" s="350">
        <f>INT((SUMPRODUCT((A14:A37 &lt;&gt; "")/COUNTIF(A14:A37,A14:A37 &amp; ""))+1)/2)</f>
        <v>5</v>
      </c>
      <c r="Q6" s="350"/>
      <c r="R6" s="350"/>
      <c r="S6" s="351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78"/>
      <c r="BV6" s="178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</row>
    <row r="7" spans="1:122" ht="21" customHeight="1">
      <c r="A7" s="179" t="s">
        <v>90</v>
      </c>
      <c r="B7" s="180"/>
      <c r="C7" s="341" t="s">
        <v>28</v>
      </c>
      <c r="D7" s="341"/>
      <c r="E7" s="341"/>
      <c r="F7" s="341"/>
      <c r="G7" s="76" t="s">
        <v>88</v>
      </c>
      <c r="H7" s="218">
        <f>IFERROR(VLOOKUP(C7,'INPUT SHEET '!BF75:BH83,3,FALSE)-IF(G7="yes",$BI$86,0),0)</f>
        <v>400</v>
      </c>
      <c r="I7" s="211">
        <f>IFERROR(VLOOKUP(C7,'INPUT SHEET '!BF74:BJ82,4,FALSE),0)</f>
        <v>3</v>
      </c>
      <c r="J7" s="276"/>
      <c r="K7" s="304"/>
      <c r="L7" s="305"/>
      <c r="M7" s="309"/>
      <c r="N7" s="321"/>
      <c r="O7" s="322"/>
      <c r="P7" s="352"/>
      <c r="Q7" s="352"/>
      <c r="R7" s="352"/>
      <c r="S7" s="353"/>
      <c r="U7" s="4"/>
      <c r="AF7" s="12"/>
      <c r="AN7" s="26"/>
      <c r="AO7" s="26"/>
      <c r="AP7" s="26"/>
      <c r="AQ7" s="26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2"/>
      <c r="BV7" s="182"/>
      <c r="BW7" s="181"/>
      <c r="BX7" s="181"/>
      <c r="BY7" s="181"/>
      <c r="BZ7" s="181"/>
      <c r="CA7" s="181"/>
      <c r="CB7" s="181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</row>
    <row r="8" spans="1:122" ht="21" customHeight="1" thickBot="1">
      <c r="A8" s="183" t="s">
        <v>91</v>
      </c>
      <c r="B8" s="184"/>
      <c r="C8" s="341" t="s">
        <v>28</v>
      </c>
      <c r="D8" s="341"/>
      <c r="E8" s="341"/>
      <c r="F8" s="341"/>
      <c r="G8" s="185" t="s">
        <v>88</v>
      </c>
      <c r="H8" s="218">
        <f>IFERROR(VLOOKUP(C8,'INPUT SHEET '!BF76:BH84,3,FALSE)-IF(G8="yes",$BI$86,0),0)</f>
        <v>400</v>
      </c>
      <c r="I8" s="212">
        <f>IFERROR(VLOOKUP(C8,'INPUT SHEET '!BF74:BJ82,4,FALSE),0)</f>
        <v>3</v>
      </c>
      <c r="J8" s="276"/>
      <c r="K8" s="304"/>
      <c r="L8" s="305"/>
      <c r="M8" s="309"/>
      <c r="N8" s="321" t="s">
        <v>314</v>
      </c>
      <c r="O8" s="322"/>
      <c r="P8" s="315">
        <f>P58+K58+H58+D58</f>
        <v>10388</v>
      </c>
      <c r="Q8" s="315"/>
      <c r="R8" s="315"/>
      <c r="S8" s="316"/>
      <c r="U8" s="4"/>
      <c r="AD8" s="12"/>
      <c r="AE8" s="12"/>
      <c r="AF8" s="18"/>
      <c r="AN8" s="26"/>
      <c r="AO8" s="26"/>
      <c r="AP8" s="26"/>
      <c r="AQ8" s="26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2"/>
      <c r="BV8" s="182"/>
      <c r="BW8" s="181"/>
      <c r="BX8" s="181"/>
      <c r="BY8" s="181"/>
      <c r="BZ8" s="181"/>
      <c r="CA8" s="181"/>
      <c r="CB8" s="181"/>
      <c r="CC8" s="122"/>
      <c r="CD8" s="4"/>
      <c r="CE8" s="4"/>
      <c r="CF8" s="4"/>
      <c r="CG8" s="4"/>
      <c r="CH8" s="4"/>
      <c r="CI8" s="4"/>
      <c r="CJ8" s="4"/>
      <c r="CK8" s="122"/>
      <c r="CL8" s="122"/>
      <c r="CM8" s="122"/>
      <c r="CN8" s="122"/>
      <c r="CO8" s="122"/>
      <c r="CP8" s="122"/>
      <c r="CQ8" s="122"/>
      <c r="CR8" s="122"/>
      <c r="CS8" s="122"/>
      <c r="CT8" s="122"/>
    </row>
    <row r="9" spans="1:122" ht="21" customHeight="1" thickBot="1">
      <c r="A9" s="337" t="s">
        <v>294</v>
      </c>
      <c r="B9" s="338"/>
      <c r="C9" s="338"/>
      <c r="D9" s="338"/>
      <c r="E9" s="338"/>
      <c r="F9" s="338"/>
      <c r="G9" s="338"/>
      <c r="H9" s="338"/>
      <c r="I9" s="338"/>
      <c r="J9" s="277"/>
      <c r="K9" s="306"/>
      <c r="L9" s="307"/>
      <c r="M9" s="310"/>
      <c r="N9" s="323"/>
      <c r="O9" s="324"/>
      <c r="P9" s="317"/>
      <c r="Q9" s="317"/>
      <c r="R9" s="317"/>
      <c r="S9" s="318"/>
      <c r="U9" s="4"/>
      <c r="W9" s="26"/>
      <c r="AD9" s="18"/>
      <c r="AE9" s="18"/>
      <c r="AF9" s="12"/>
      <c r="AV9" s="4"/>
      <c r="AW9" s="4"/>
      <c r="AX9" s="4"/>
      <c r="AY9" s="4"/>
      <c r="AZ9" s="4"/>
      <c r="BA9" s="4"/>
      <c r="BE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8"/>
      <c r="BU9" s="38"/>
      <c r="BV9" s="38"/>
      <c r="BW9" s="38"/>
      <c r="BX9" s="38"/>
      <c r="BY9" s="38"/>
      <c r="BZ9" s="4"/>
      <c r="CA9" s="4"/>
      <c r="CB9" s="4"/>
      <c r="CC9" s="38"/>
      <c r="CD9" s="4"/>
      <c r="CE9" s="4"/>
      <c r="CF9" s="4"/>
      <c r="CG9" s="342" t="s">
        <v>6</v>
      </c>
      <c r="CH9" s="340" t="s">
        <v>80</v>
      </c>
      <c r="CI9" s="340"/>
      <c r="CJ9" s="340"/>
      <c r="CK9" s="340"/>
      <c r="CL9" s="340"/>
      <c r="CM9" s="340"/>
      <c r="CN9" s="340"/>
      <c r="CO9" s="340"/>
      <c r="CP9" s="340"/>
      <c r="CQ9" s="340"/>
      <c r="CR9" s="340"/>
      <c r="CS9" s="340"/>
      <c r="CT9" s="340"/>
      <c r="CU9" s="340"/>
      <c r="CV9" s="340"/>
      <c r="CW9" s="186"/>
      <c r="CX9" s="186"/>
      <c r="CY9" s="186"/>
      <c r="CZ9" s="186"/>
      <c r="DA9" s="181"/>
      <c r="DB9" s="187"/>
      <c r="DC9" s="187"/>
      <c r="DD9" s="187"/>
      <c r="DE9" s="187"/>
      <c r="DF9" s="187"/>
      <c r="DG9" s="187"/>
      <c r="DH9" s="187"/>
      <c r="DI9" s="187"/>
      <c r="DJ9" s="187"/>
      <c r="DK9" s="188"/>
      <c r="DL9" s="188"/>
      <c r="DM9" s="187"/>
      <c r="DN9" s="187"/>
      <c r="DO9" s="187"/>
      <c r="DP9" s="187"/>
      <c r="DQ9" s="181"/>
      <c r="DR9" s="181"/>
    </row>
    <row r="10" spans="1:122" s="26" customFormat="1" ht="18" customHeight="1">
      <c r="A10" s="380" t="s">
        <v>136</v>
      </c>
      <c r="B10" s="339" t="s">
        <v>6</v>
      </c>
      <c r="C10" s="339" t="s">
        <v>2</v>
      </c>
      <c r="D10" s="378" t="s">
        <v>46</v>
      </c>
      <c r="E10" s="376" t="s">
        <v>47</v>
      </c>
      <c r="F10" s="376" t="s">
        <v>200</v>
      </c>
      <c r="G10" s="376" t="s">
        <v>203</v>
      </c>
      <c r="H10" s="339" t="s">
        <v>14</v>
      </c>
      <c r="I10" s="339"/>
      <c r="J10" s="334" t="s">
        <v>49</v>
      </c>
      <c r="K10" s="335"/>
      <c r="L10" s="335"/>
      <c r="M10" s="335"/>
      <c r="N10" s="336"/>
      <c r="O10" s="378" t="s">
        <v>7</v>
      </c>
      <c r="P10" s="354" t="s">
        <v>18</v>
      </c>
      <c r="Q10" s="354" t="s">
        <v>19</v>
      </c>
      <c r="R10" s="367" t="s">
        <v>164</v>
      </c>
      <c r="S10" s="344" t="s">
        <v>317</v>
      </c>
      <c r="T10" s="4"/>
      <c r="U10" s="4"/>
      <c r="V10" s="4"/>
      <c r="X10" s="4"/>
      <c r="Y10" s="4"/>
      <c r="Z10" s="4"/>
      <c r="AA10" s="4"/>
      <c r="AB10" s="4"/>
      <c r="AC10" s="4"/>
      <c r="AD10" s="12"/>
      <c r="AE10" s="12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BT10" s="46"/>
      <c r="BU10" s="46"/>
      <c r="BV10" s="46"/>
      <c r="BW10" s="46"/>
      <c r="BX10" s="46"/>
      <c r="BY10" s="46"/>
      <c r="CC10" s="46"/>
      <c r="CG10" s="342"/>
      <c r="CH10" s="189"/>
      <c r="CI10" s="189"/>
      <c r="CJ10" s="189"/>
      <c r="CK10" s="189"/>
      <c r="CL10" s="189"/>
      <c r="CM10" s="189"/>
      <c r="CN10" s="189"/>
      <c r="CO10" s="189"/>
      <c r="CP10" s="189"/>
      <c r="CQ10" s="189"/>
      <c r="CR10" s="189"/>
      <c r="CS10" s="190"/>
      <c r="CT10" s="190"/>
      <c r="CU10" s="189"/>
      <c r="CV10" s="189"/>
      <c r="CW10" s="189"/>
      <c r="CX10" s="189"/>
      <c r="CY10" s="189"/>
      <c r="CZ10" s="189"/>
      <c r="DA10" s="191"/>
      <c r="DB10" s="192" t="s">
        <v>92</v>
      </c>
      <c r="DC10" s="192"/>
      <c r="DD10" s="333" t="s">
        <v>291</v>
      </c>
      <c r="DE10" s="333"/>
      <c r="DF10" s="333"/>
      <c r="DG10" s="333"/>
      <c r="DH10" s="192"/>
      <c r="DI10" s="193"/>
      <c r="DJ10" s="193"/>
      <c r="DK10" s="194"/>
      <c r="DL10" s="194"/>
      <c r="DM10" s="193"/>
      <c r="DN10" s="193"/>
      <c r="DO10" s="193"/>
      <c r="DP10" s="193"/>
      <c r="DQ10" s="191"/>
      <c r="DR10" s="191"/>
    </row>
    <row r="11" spans="1:122" s="26" customFormat="1" ht="20.100000000000001" customHeight="1" thickBot="1">
      <c r="A11" s="381"/>
      <c r="B11" s="382"/>
      <c r="C11" s="382"/>
      <c r="D11" s="379"/>
      <c r="E11" s="377"/>
      <c r="F11" s="377"/>
      <c r="G11" s="377"/>
      <c r="H11" s="217" t="s">
        <v>202</v>
      </c>
      <c r="I11" s="217" t="s">
        <v>201</v>
      </c>
      <c r="J11" s="217" t="s">
        <v>3</v>
      </c>
      <c r="K11" s="214" t="s">
        <v>12</v>
      </c>
      <c r="L11" s="214" t="s">
        <v>122</v>
      </c>
      <c r="M11" s="214" t="s">
        <v>205</v>
      </c>
      <c r="N11" s="214" t="s">
        <v>206</v>
      </c>
      <c r="O11" s="379"/>
      <c r="P11" s="355"/>
      <c r="Q11" s="355"/>
      <c r="R11" s="368"/>
      <c r="S11" s="345"/>
      <c r="T11" s="4"/>
      <c r="U11" s="4"/>
      <c r="V11" s="4"/>
      <c r="W11" s="4"/>
      <c r="AD11" s="4"/>
      <c r="AE11" s="4"/>
      <c r="AF11" s="4"/>
      <c r="AG11" s="4"/>
      <c r="AN11" s="4"/>
      <c r="AO11" s="4"/>
      <c r="AP11" s="4"/>
      <c r="AQ11" s="4"/>
      <c r="BT11" s="46"/>
      <c r="BU11" s="46"/>
      <c r="BV11" s="46"/>
      <c r="BW11" s="46"/>
      <c r="BX11" s="46"/>
      <c r="BY11" s="46"/>
      <c r="CC11" s="46"/>
      <c r="CG11" s="343"/>
      <c r="CH11" s="189" t="s">
        <v>77</v>
      </c>
      <c r="CI11" s="189" t="s">
        <v>177</v>
      </c>
      <c r="CJ11" s="189" t="s">
        <v>78</v>
      </c>
      <c r="CK11" s="189" t="s">
        <v>14</v>
      </c>
      <c r="CL11" s="189" t="s">
        <v>73</v>
      </c>
      <c r="CM11" s="189" t="s">
        <v>74</v>
      </c>
      <c r="CN11" s="189" t="s">
        <v>122</v>
      </c>
      <c r="CO11" s="189" t="s">
        <v>205</v>
      </c>
      <c r="CP11" s="189" t="s">
        <v>206</v>
      </c>
      <c r="CQ11" s="189" t="s">
        <v>111</v>
      </c>
      <c r="CR11" s="189"/>
      <c r="CS11" s="190" t="s">
        <v>71</v>
      </c>
      <c r="CT11" s="190" t="s">
        <v>104</v>
      </c>
      <c r="CU11" s="189" t="s">
        <v>72</v>
      </c>
      <c r="CV11" s="189" t="s">
        <v>110</v>
      </c>
      <c r="CW11" s="189"/>
      <c r="CX11" s="189"/>
      <c r="CY11" s="189"/>
      <c r="CZ11" s="189"/>
      <c r="DA11" s="173"/>
      <c r="DB11" s="333" t="s">
        <v>93</v>
      </c>
      <c r="DC11" s="333" t="s">
        <v>195</v>
      </c>
      <c r="DD11" s="333" t="s">
        <v>253</v>
      </c>
      <c r="DE11" s="333" t="s">
        <v>255</v>
      </c>
      <c r="DF11" s="333" t="s">
        <v>256</v>
      </c>
      <c r="DG11" s="333" t="s">
        <v>290</v>
      </c>
      <c r="DH11" s="333" t="s">
        <v>107</v>
      </c>
      <c r="DI11" s="333" t="s">
        <v>94</v>
      </c>
      <c r="DJ11" s="333" t="s">
        <v>95</v>
      </c>
      <c r="DK11" s="195"/>
      <c r="DL11" s="418" t="s">
        <v>192</v>
      </c>
      <c r="DM11" s="417" t="s">
        <v>311</v>
      </c>
      <c r="DN11" s="417" t="s">
        <v>292</v>
      </c>
      <c r="DO11" s="417" t="s">
        <v>289</v>
      </c>
      <c r="DP11" s="417" t="s">
        <v>204</v>
      </c>
      <c r="DQ11" s="173"/>
      <c r="DR11" s="173"/>
    </row>
    <row r="12" spans="1:122" ht="17.100000000000001" customHeight="1">
      <c r="A12" s="196">
        <v>0</v>
      </c>
      <c r="B12" s="197" t="s">
        <v>8</v>
      </c>
      <c r="C12" s="70" t="s">
        <v>8</v>
      </c>
      <c r="D12" s="71" t="s">
        <v>153</v>
      </c>
      <c r="E12" s="77" t="s">
        <v>11</v>
      </c>
      <c r="F12" s="71" t="s">
        <v>51</v>
      </c>
      <c r="G12" s="71" t="s">
        <v>102</v>
      </c>
      <c r="H12" s="71" t="s">
        <v>102</v>
      </c>
      <c r="I12" s="71" t="s">
        <v>102</v>
      </c>
      <c r="J12" s="77" t="s">
        <v>148</v>
      </c>
      <c r="K12" s="71" t="s">
        <v>102</v>
      </c>
      <c r="L12" s="71" t="s">
        <v>102</v>
      </c>
      <c r="M12" s="71" t="s">
        <v>102</v>
      </c>
      <c r="N12" s="71" t="s">
        <v>102</v>
      </c>
      <c r="O12" s="202">
        <v>3</v>
      </c>
      <c r="P12" s="23">
        <f>CV12</f>
        <v>96</v>
      </c>
      <c r="Q12" s="24">
        <f>O12*P12</f>
        <v>288</v>
      </c>
      <c r="R12" s="72">
        <f>INT(O12/2+0.99)</f>
        <v>2</v>
      </c>
      <c r="S12" s="239"/>
      <c r="U12" s="4"/>
      <c r="X12" s="26"/>
      <c r="Y12" s="26"/>
      <c r="Z12" s="26"/>
      <c r="AA12" s="26"/>
      <c r="AB12" s="26"/>
      <c r="AC12" s="26"/>
      <c r="AH12" s="26"/>
      <c r="AI12" s="26"/>
      <c r="AJ12" s="26"/>
      <c r="AK12" s="26"/>
      <c r="AL12" s="26"/>
      <c r="AM12" s="26"/>
      <c r="AV12" s="4"/>
      <c r="AW12" s="4"/>
      <c r="AX12" s="4"/>
      <c r="AY12" s="4"/>
      <c r="AZ12" s="4"/>
      <c r="BA12" s="4"/>
      <c r="BE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8"/>
      <c r="BU12" s="38"/>
      <c r="BV12" s="38"/>
      <c r="BW12" s="38"/>
      <c r="BX12" s="38"/>
      <c r="BY12" s="38"/>
      <c r="BZ12" s="4"/>
      <c r="CA12" s="4"/>
      <c r="CB12" s="4"/>
      <c r="CC12" s="38"/>
      <c r="CD12" s="4"/>
      <c r="CE12" s="4"/>
      <c r="CF12" s="4"/>
      <c r="CG12" s="27" t="str">
        <f>B12</f>
        <v>CAMP</v>
      </c>
      <c r="CH12" s="28">
        <v>10</v>
      </c>
      <c r="CI12" s="28">
        <f>VLOOKUP(D12,'INPUT SHEET '!$U$73:$AD$82,'INPUT SHEET '!CH12,FALSE)</f>
        <v>70</v>
      </c>
      <c r="CJ12" s="28"/>
      <c r="CK12" s="28"/>
      <c r="CL12" s="28">
        <f>VLOOKUP(J12,'INPUT SHEET '!AU122:BD126,$CH12,FALSE)</f>
        <v>90</v>
      </c>
      <c r="CM12" s="28"/>
      <c r="CN12" s="28"/>
      <c r="CO12" s="28"/>
      <c r="CP12" s="28"/>
      <c r="CQ12" s="28">
        <f>SUM(CI12:CM12)-CK12</f>
        <v>160</v>
      </c>
      <c r="CR12" s="28"/>
      <c r="CS12" s="30">
        <f>VLOOKUP(E12,'INPUT SHEET '!$AF$73:$AG$76,2,0)</f>
        <v>0.6</v>
      </c>
      <c r="CT12" s="30">
        <v>1</v>
      </c>
      <c r="CU12" s="28">
        <v>1</v>
      </c>
      <c r="CV12" s="31">
        <f>CQ12*CS12*CT12+CK12*CU12</f>
        <v>96</v>
      </c>
      <c r="CW12" s="31"/>
      <c r="CX12" s="31"/>
      <c r="CY12" s="31"/>
      <c r="CZ12" s="31"/>
      <c r="DA12" s="32"/>
      <c r="DB12" s="333"/>
      <c r="DC12" s="333"/>
      <c r="DD12" s="333"/>
      <c r="DE12" s="333"/>
      <c r="DF12" s="333"/>
      <c r="DG12" s="333"/>
      <c r="DH12" s="333"/>
      <c r="DI12" s="333"/>
      <c r="DJ12" s="333"/>
      <c r="DK12" s="33"/>
      <c r="DL12" s="418"/>
      <c r="DM12" s="417"/>
      <c r="DN12" s="417"/>
      <c r="DO12" s="417"/>
      <c r="DP12" s="417"/>
      <c r="DQ12" s="32"/>
      <c r="DR12" s="32"/>
    </row>
    <row r="13" spans="1:122" ht="17.100000000000001" customHeight="1" thickBot="1">
      <c r="A13" s="369" t="s">
        <v>137</v>
      </c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M13" s="370"/>
      <c r="N13" s="370"/>
      <c r="O13" s="370"/>
      <c r="P13" s="371" t="s">
        <v>165</v>
      </c>
      <c r="Q13" s="371"/>
      <c r="R13" s="372"/>
      <c r="S13" s="216"/>
      <c r="U13" s="4"/>
      <c r="X13" s="26"/>
      <c r="Y13" s="26"/>
      <c r="Z13" s="26"/>
      <c r="AA13" s="26"/>
      <c r="AB13" s="26"/>
      <c r="AC13" s="26"/>
      <c r="AV13" s="4"/>
      <c r="AW13" s="4"/>
      <c r="AX13" s="4"/>
      <c r="AY13" s="4"/>
      <c r="AZ13" s="4"/>
      <c r="BA13" s="4"/>
      <c r="BE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8"/>
      <c r="BU13" s="38"/>
      <c r="BV13" s="38"/>
      <c r="BW13" s="38"/>
      <c r="BX13" s="38"/>
      <c r="BY13" s="38"/>
      <c r="BZ13" s="4"/>
      <c r="CA13" s="4"/>
      <c r="CB13" s="4"/>
      <c r="CC13" s="38"/>
      <c r="CD13" s="4"/>
      <c r="CE13" s="4"/>
      <c r="CF13" s="4"/>
      <c r="CG13" s="4" t="s">
        <v>167</v>
      </c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DK13" s="54"/>
      <c r="DL13" s="151"/>
      <c r="DQ13" s="32"/>
      <c r="DR13" s="32"/>
    </row>
    <row r="14" spans="1:122" ht="17.100000000000001" customHeight="1" thickBot="1">
      <c r="A14" s="240">
        <v>1</v>
      </c>
      <c r="B14" s="204" t="s">
        <v>333</v>
      </c>
      <c r="C14" s="205" t="s">
        <v>40</v>
      </c>
      <c r="D14" s="205" t="s">
        <v>35</v>
      </c>
      <c r="E14" s="205" t="s">
        <v>38</v>
      </c>
      <c r="F14" s="205" t="s">
        <v>51</v>
      </c>
      <c r="G14" s="205" t="s">
        <v>66</v>
      </c>
      <c r="H14" s="205" t="s">
        <v>50</v>
      </c>
      <c r="I14" s="205" t="s">
        <v>50</v>
      </c>
      <c r="J14" s="205" t="s">
        <v>63</v>
      </c>
      <c r="K14" s="205" t="s">
        <v>119</v>
      </c>
      <c r="L14" s="205" t="s">
        <v>50</v>
      </c>
      <c r="M14" s="205" t="s">
        <v>50</v>
      </c>
      <c r="N14" s="205" t="s">
        <v>50</v>
      </c>
      <c r="O14" s="205">
        <v>6</v>
      </c>
      <c r="P14" s="23">
        <f t="shared" ref="P14:P37" si="0">IFERROR(IF(A14&gt;0,CV14,0),0)</f>
        <v>165</v>
      </c>
      <c r="Q14" s="24">
        <f>IFERROR(IF(76&gt;0,O14*P14,0),0)</f>
        <v>990</v>
      </c>
      <c r="R14" s="25">
        <f t="shared" ref="R14:R37" si="1">IF(O14=0,0,O14/IF(D14="Skirmisher",3,2)+0.5)</f>
        <v>3.5</v>
      </c>
      <c r="S14" s="241">
        <f t="shared" ref="S14:S37" si="2">(DM14/10)+(DN14/20)+(DO14/20)</f>
        <v>0</v>
      </c>
      <c r="U14" s="4"/>
      <c r="X14" s="26"/>
      <c r="Y14" s="26"/>
      <c r="Z14" s="26"/>
      <c r="AA14" s="26"/>
      <c r="AB14" s="26"/>
      <c r="AC14" s="26"/>
      <c r="AV14" s="4"/>
      <c r="AW14" s="4"/>
      <c r="AX14" s="4"/>
      <c r="AY14" s="4"/>
      <c r="AZ14" s="4"/>
      <c r="BA14" s="4"/>
      <c r="BE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8"/>
      <c r="BU14" s="38"/>
      <c r="BV14" s="38"/>
      <c r="BW14" s="38"/>
      <c r="BX14" s="38"/>
      <c r="BY14" s="38"/>
      <c r="BZ14" s="4"/>
      <c r="CA14" s="4"/>
      <c r="CB14" s="4"/>
      <c r="CC14" s="38"/>
      <c r="CD14" s="4"/>
      <c r="CE14" s="4"/>
      <c r="CF14" s="4"/>
      <c r="CG14" s="27" t="str">
        <f t="shared" ref="CG14:CG37" si="3">B14</f>
        <v>Huscarls</v>
      </c>
      <c r="CH14" s="28">
        <f>VLOOKUP(C14,'INPUT SHEET '!$U$84:$V$92,2,FALSE)</f>
        <v>2</v>
      </c>
      <c r="CI14" s="28">
        <f>VLOOKUP(D14,'INPUT SHEET '!$U$73:$AD$82,'INPUT SHEET '!CH14,FALSE)</f>
        <v>70</v>
      </c>
      <c r="CJ14" s="28">
        <f>VLOOKUP(G14,'INPUT SHEET '!$AK$74:$AS$92,CH14,FALSE)</f>
        <v>32</v>
      </c>
      <c r="CK14" s="29">
        <f>VLOOKUP(I14,'INPUT SHEET '!$AK$83:$AS$92,CH14,FALSE)</f>
        <v>0</v>
      </c>
      <c r="CL14" s="28">
        <f>IFERROR(VLOOKUP(J14,'INPUT SHEET '!$AU$74:$BD$126,$CH14,FALSE),0)</f>
        <v>10</v>
      </c>
      <c r="CM14" s="28">
        <f>IFERROR(VLOOKUP(K14,'INPUT SHEET '!$AU$74:$BD$126,$CH14,FALSE),0)</f>
        <v>6</v>
      </c>
      <c r="CN14" s="28">
        <f>IFERROR(VLOOKUP(L14,'INPUT SHEET '!$AU$74:$BD$126,$CH14,FALSE),0)</f>
        <v>0</v>
      </c>
      <c r="CO14" s="28">
        <f>IFERROR(VLOOKUP(M14,'INPUT SHEET '!$AU$74:$BD$126,$CH14,FALSE),0)</f>
        <v>0</v>
      </c>
      <c r="CP14" s="28">
        <f>IFERROR(VLOOKUP(N14,'INPUT SHEET '!$AU$74:$BD$126,$CH14,FALSE),0)</f>
        <v>0</v>
      </c>
      <c r="CQ14" s="28">
        <f t="shared" ref="CQ14:CQ37" si="4">SUM(CI14:CP14)-CK14</f>
        <v>118</v>
      </c>
      <c r="CR14" s="28"/>
      <c r="CS14" s="30">
        <f>VLOOKUP(E14,'INPUT SHEET '!$AF$73:$AG$76,2,0)</f>
        <v>1.4</v>
      </c>
      <c r="CT14" s="30">
        <f>VLOOKUP(F14,'INPUT SHEET '!$AF$85:$AG$90,2,0)</f>
        <v>1</v>
      </c>
      <c r="CU14" s="28">
        <f>IF(CK14=0,1,VLOOKUP(H14,'INPUT SHEET '!$AF$79:$AG$83,2,FALSE))</f>
        <v>1</v>
      </c>
      <c r="CV14" s="31">
        <f>INT(CQ14*CS14*CT14+CK14*CU14)</f>
        <v>165</v>
      </c>
      <c r="CW14" s="31"/>
      <c r="CX14" s="31"/>
      <c r="CY14" s="31"/>
      <c r="CZ14" s="31"/>
      <c r="DA14" s="32"/>
      <c r="DB14" s="28">
        <f t="shared" ref="DB14:DB37" si="5">IF(C14="CAVALRY",1,0)</f>
        <v>0</v>
      </c>
      <c r="DC14" s="28">
        <f t="shared" ref="DC14:DC37" si="6">IF(D14="Drilled Flexible",1,0)+IF(D14="Formed Flexible",1,0)+IF(D14="Tribal Flexible",1,0)</f>
        <v>1</v>
      </c>
      <c r="DD14" s="28">
        <f t="shared" ref="DD14:DD37" si="7">IF(F14="FArm",0,1)</f>
        <v>1</v>
      </c>
      <c r="DE14" s="28">
        <f t="shared" ref="DE14:DE37" si="8">IF(F14="ArmHrs/Prot",0,1)</f>
        <v>1</v>
      </c>
      <c r="DF14" s="28">
        <f t="shared" ref="DF14:DF37" si="9">IF(F14="ArmHrs/FArm",0,1)</f>
        <v>1</v>
      </c>
      <c r="DG14" s="28">
        <f>MIN(DD14:DF14)</f>
        <v>1</v>
      </c>
      <c r="DH14" s="28">
        <f t="shared" ref="DH14:DH37" si="10">IF(C14="light chariots",1,0)</f>
        <v>0</v>
      </c>
      <c r="DI14" s="28">
        <f t="shared" ref="DI14:DI37" si="11">IF(C14="CAMELRY",1,0)</f>
        <v>0</v>
      </c>
      <c r="DJ14" s="28">
        <f t="shared" ref="DJ14:DJ37" si="12">IF(D14="Skirmisher",1,0)</f>
        <v>0</v>
      </c>
      <c r="DK14" s="33"/>
      <c r="DL14" s="34">
        <f t="shared" ref="DL14:DL37" si="13">IF(A14&gt;0,1,0)</f>
        <v>1</v>
      </c>
      <c r="DM14" s="28">
        <f t="shared" ref="DM14:DM37" si="14">IF(DC14=1,O14*DC14*DL14*DG14*DB14,0)</f>
        <v>0</v>
      </c>
      <c r="DN14" s="28">
        <f t="shared" ref="DN14:DN37" si="15">IF(DC14=0,O14*(DB14+DI14)*DL14*DG14,0)</f>
        <v>0</v>
      </c>
      <c r="DO14" s="28">
        <f t="shared" ref="DO14:DO37" si="16">O14*DH14*DL14</f>
        <v>0</v>
      </c>
      <c r="DP14" s="28" t="s">
        <v>76</v>
      </c>
      <c r="DQ14" s="32"/>
      <c r="DR14" s="32"/>
    </row>
    <row r="15" spans="1:122" ht="17.100000000000001" customHeight="1" thickBot="1">
      <c r="A15" s="240">
        <v>2</v>
      </c>
      <c r="B15" s="204" t="s">
        <v>333</v>
      </c>
      <c r="C15" s="205" t="s">
        <v>40</v>
      </c>
      <c r="D15" s="205" t="s">
        <v>35</v>
      </c>
      <c r="E15" s="205" t="s">
        <v>38</v>
      </c>
      <c r="F15" s="205" t="s">
        <v>51</v>
      </c>
      <c r="G15" s="205" t="s">
        <v>66</v>
      </c>
      <c r="H15" s="205" t="s">
        <v>50</v>
      </c>
      <c r="I15" s="205" t="s">
        <v>50</v>
      </c>
      <c r="J15" s="205" t="s">
        <v>63</v>
      </c>
      <c r="K15" s="205" t="s">
        <v>119</v>
      </c>
      <c r="L15" s="205" t="s">
        <v>50</v>
      </c>
      <c r="M15" s="205" t="s">
        <v>50</v>
      </c>
      <c r="N15" s="205" t="s">
        <v>50</v>
      </c>
      <c r="O15" s="205">
        <v>6</v>
      </c>
      <c r="P15" s="23">
        <f t="shared" si="0"/>
        <v>165</v>
      </c>
      <c r="Q15" s="24">
        <f t="shared" ref="Q15:Q54" si="17">IFERROR(IF(76&gt;0,O15*P15,0),0)</f>
        <v>990</v>
      </c>
      <c r="R15" s="25">
        <f t="shared" si="1"/>
        <v>3.5</v>
      </c>
      <c r="S15" s="241">
        <f t="shared" si="2"/>
        <v>0</v>
      </c>
      <c r="U15" s="4"/>
      <c r="X15" s="26"/>
      <c r="Y15" s="26"/>
      <c r="Z15" s="26"/>
      <c r="AA15" s="26"/>
      <c r="AB15" s="26"/>
      <c r="AC15" s="26"/>
      <c r="AG15" s="26"/>
      <c r="AV15" s="4"/>
      <c r="AW15" s="4"/>
      <c r="AX15" s="4"/>
      <c r="AY15" s="4"/>
      <c r="AZ15" s="4"/>
      <c r="BA15" s="4"/>
      <c r="BE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8"/>
      <c r="BU15" s="38"/>
      <c r="BV15" s="38"/>
      <c r="BW15" s="38"/>
      <c r="BX15" s="38"/>
      <c r="BY15" s="38"/>
      <c r="BZ15" s="4"/>
      <c r="CA15" s="4"/>
      <c r="CB15" s="4"/>
      <c r="CC15" s="38"/>
      <c r="CD15" s="4"/>
      <c r="CE15" s="4"/>
      <c r="CF15" s="4"/>
      <c r="CG15" s="27" t="str">
        <f t="shared" si="3"/>
        <v>Huscarls</v>
      </c>
      <c r="CH15" s="28">
        <f>VLOOKUP(C15,'INPUT SHEET '!$U$84:$V$92,2,FALSE)</f>
        <v>2</v>
      </c>
      <c r="CI15" s="28">
        <f>VLOOKUP(D15,'INPUT SHEET '!$U$73:$AD$82,'INPUT SHEET '!CH15,FALSE)</f>
        <v>70</v>
      </c>
      <c r="CJ15" s="28">
        <f>VLOOKUP(G15,'INPUT SHEET '!$AK$74:$AS$92,CH15,FALSE)</f>
        <v>32</v>
      </c>
      <c r="CK15" s="29">
        <f>VLOOKUP(I15,'INPUT SHEET '!$AK$83:$AS$92,CH15,FALSE)</f>
        <v>0</v>
      </c>
      <c r="CL15" s="28">
        <f>IFERROR(VLOOKUP(J15,'INPUT SHEET '!$AU$74:$BD$126,$CH15,FALSE),0)</f>
        <v>10</v>
      </c>
      <c r="CM15" s="28">
        <f>IFERROR(VLOOKUP(K15,'INPUT SHEET '!$AU$74:$BD$126,$CH15,FALSE),0)</f>
        <v>6</v>
      </c>
      <c r="CN15" s="28">
        <f>IFERROR(VLOOKUP(L15,'INPUT SHEET '!$AU$74:$BD$126,$CH15,FALSE),0)</f>
        <v>0</v>
      </c>
      <c r="CO15" s="28">
        <f>IFERROR(VLOOKUP(M15,'INPUT SHEET '!$AU$74:$BD$126,$CH15,FALSE),0)</f>
        <v>0</v>
      </c>
      <c r="CP15" s="28">
        <f>IFERROR(VLOOKUP(N15,'INPUT SHEET '!$AU$74:$BD$126,$CH15,FALSE),0)</f>
        <v>0</v>
      </c>
      <c r="CQ15" s="28">
        <f t="shared" si="4"/>
        <v>118</v>
      </c>
      <c r="CR15" s="28"/>
      <c r="CS15" s="30">
        <f>VLOOKUP(E15,'INPUT SHEET '!$AF$73:$AG$76,2,0)</f>
        <v>1.4</v>
      </c>
      <c r="CT15" s="30">
        <f>VLOOKUP(F15,'INPUT SHEET '!$AF$85:$AG$90,2,0)</f>
        <v>1</v>
      </c>
      <c r="CU15" s="28">
        <f>IF(CK15=0,1,VLOOKUP(H15,'INPUT SHEET '!$AF$79:$AG$83,2,FALSE))</f>
        <v>1</v>
      </c>
      <c r="CV15" s="31">
        <f t="shared" ref="CV15:CV37" si="18">INT(CQ15*CS15*CT15+CK15*CU15)</f>
        <v>165</v>
      </c>
      <c r="CW15" s="31"/>
      <c r="CX15" s="31"/>
      <c r="CY15" s="31"/>
      <c r="CZ15" s="31"/>
      <c r="DA15" s="32"/>
      <c r="DB15" s="28">
        <f t="shared" si="5"/>
        <v>0</v>
      </c>
      <c r="DC15" s="28">
        <f t="shared" si="6"/>
        <v>1</v>
      </c>
      <c r="DD15" s="28">
        <f t="shared" si="7"/>
        <v>1</v>
      </c>
      <c r="DE15" s="28">
        <f t="shared" si="8"/>
        <v>1</v>
      </c>
      <c r="DF15" s="28">
        <f t="shared" si="9"/>
        <v>1</v>
      </c>
      <c r="DG15" s="28">
        <f t="shared" ref="DG15:DG37" si="19">MIN(DD15:DF15)</f>
        <v>1</v>
      </c>
      <c r="DH15" s="28">
        <f t="shared" si="10"/>
        <v>0</v>
      </c>
      <c r="DI15" s="28">
        <f t="shared" si="11"/>
        <v>0</v>
      </c>
      <c r="DJ15" s="28">
        <f t="shared" si="12"/>
        <v>0</v>
      </c>
      <c r="DK15" s="33"/>
      <c r="DL15" s="34">
        <f t="shared" si="13"/>
        <v>1</v>
      </c>
      <c r="DM15" s="28">
        <f t="shared" si="14"/>
        <v>0</v>
      </c>
      <c r="DN15" s="28">
        <f t="shared" si="15"/>
        <v>0</v>
      </c>
      <c r="DO15" s="28">
        <f t="shared" si="16"/>
        <v>0</v>
      </c>
      <c r="DP15" s="28" t="s">
        <v>76</v>
      </c>
      <c r="DQ15" s="32"/>
      <c r="DR15" s="32"/>
    </row>
    <row r="16" spans="1:122" ht="17.100000000000001" customHeight="1" thickBot="1">
      <c r="A16" s="240">
        <v>3</v>
      </c>
      <c r="B16" s="204" t="s">
        <v>333</v>
      </c>
      <c r="C16" s="205" t="s">
        <v>40</v>
      </c>
      <c r="D16" s="205" t="s">
        <v>35</v>
      </c>
      <c r="E16" s="205" t="s">
        <v>38</v>
      </c>
      <c r="F16" s="205" t="s">
        <v>51</v>
      </c>
      <c r="G16" s="205" t="s">
        <v>66</v>
      </c>
      <c r="H16" s="205" t="s">
        <v>50</v>
      </c>
      <c r="I16" s="205" t="s">
        <v>50</v>
      </c>
      <c r="J16" s="205" t="s">
        <v>63</v>
      </c>
      <c r="K16" s="205" t="s">
        <v>119</v>
      </c>
      <c r="L16" s="205" t="s">
        <v>50</v>
      </c>
      <c r="M16" s="205" t="s">
        <v>50</v>
      </c>
      <c r="N16" s="205" t="s">
        <v>50</v>
      </c>
      <c r="O16" s="205">
        <v>6</v>
      </c>
      <c r="P16" s="23">
        <f t="shared" si="0"/>
        <v>165</v>
      </c>
      <c r="Q16" s="24">
        <f t="shared" si="17"/>
        <v>990</v>
      </c>
      <c r="R16" s="25">
        <f t="shared" si="1"/>
        <v>3.5</v>
      </c>
      <c r="S16" s="241">
        <f t="shared" si="2"/>
        <v>0</v>
      </c>
      <c r="U16" s="4"/>
      <c r="X16" s="26"/>
      <c r="Y16" s="26"/>
      <c r="Z16" s="26"/>
      <c r="AA16" s="26"/>
      <c r="AB16" s="26"/>
      <c r="AC16" s="26"/>
      <c r="AF16" s="26"/>
      <c r="AG16" s="26"/>
      <c r="AV16" s="4"/>
      <c r="AW16" s="4"/>
      <c r="AX16" s="4"/>
      <c r="AY16" s="4"/>
      <c r="AZ16" s="4"/>
      <c r="BA16" s="4"/>
      <c r="BE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8"/>
      <c r="BU16" s="38"/>
      <c r="BV16" s="38"/>
      <c r="BW16" s="38"/>
      <c r="BX16" s="38"/>
      <c r="BY16" s="38"/>
      <c r="BZ16" s="4"/>
      <c r="CA16" s="4"/>
      <c r="CB16" s="4"/>
      <c r="CC16" s="38"/>
      <c r="CD16" s="4"/>
      <c r="CE16" s="4"/>
      <c r="CF16" s="4"/>
      <c r="CG16" s="27" t="str">
        <f t="shared" si="3"/>
        <v>Huscarls</v>
      </c>
      <c r="CH16" s="28">
        <f>VLOOKUP(C16,'INPUT SHEET '!$U$84:$V$92,2,FALSE)</f>
        <v>2</v>
      </c>
      <c r="CI16" s="28">
        <f>VLOOKUP(D16,'INPUT SHEET '!$U$73:$AD$82,'INPUT SHEET '!CH16,FALSE)</f>
        <v>70</v>
      </c>
      <c r="CJ16" s="28">
        <f>VLOOKUP(G16,'INPUT SHEET '!$AK$74:$AS$92,CH16,FALSE)</f>
        <v>32</v>
      </c>
      <c r="CK16" s="29">
        <f>VLOOKUP(I16,'INPUT SHEET '!$AK$83:$AS$92,CH16,FALSE)</f>
        <v>0</v>
      </c>
      <c r="CL16" s="28">
        <f>IFERROR(VLOOKUP(J16,'INPUT SHEET '!$AU$74:$BD$126,$CH16,FALSE),0)</f>
        <v>10</v>
      </c>
      <c r="CM16" s="28">
        <f>IFERROR(VLOOKUP(K16,'INPUT SHEET '!$AU$74:$BD$126,$CH16,FALSE),0)</f>
        <v>6</v>
      </c>
      <c r="CN16" s="28">
        <f>IFERROR(VLOOKUP(L16,'INPUT SHEET '!$AU$74:$BD$126,$CH16,FALSE),0)</f>
        <v>0</v>
      </c>
      <c r="CO16" s="28">
        <f>IFERROR(VLOOKUP(M16,'INPUT SHEET '!$AU$74:$BD$126,$CH16,FALSE),0)</f>
        <v>0</v>
      </c>
      <c r="CP16" s="28">
        <f>IFERROR(VLOOKUP(N16,'INPUT SHEET '!$AU$74:$BD$126,$CH16,FALSE),0)</f>
        <v>0</v>
      </c>
      <c r="CQ16" s="28">
        <f t="shared" si="4"/>
        <v>118</v>
      </c>
      <c r="CR16" s="28"/>
      <c r="CS16" s="30">
        <f>VLOOKUP(E16,'INPUT SHEET '!$AF$73:$AG$76,2,0)</f>
        <v>1.4</v>
      </c>
      <c r="CT16" s="30">
        <f>VLOOKUP(F16,'INPUT SHEET '!$AF$85:$AG$90,2,0)</f>
        <v>1</v>
      </c>
      <c r="CU16" s="28">
        <f>IF(CK16=0,1,VLOOKUP(H16,'INPUT SHEET '!$AF$79:$AG$83,2,FALSE))</f>
        <v>1</v>
      </c>
      <c r="CV16" s="31">
        <f t="shared" si="18"/>
        <v>165</v>
      </c>
      <c r="CW16" s="31"/>
      <c r="CX16" s="31"/>
      <c r="CY16" s="31"/>
      <c r="CZ16" s="31"/>
      <c r="DA16" s="32"/>
      <c r="DB16" s="28">
        <f t="shared" si="5"/>
        <v>0</v>
      </c>
      <c r="DC16" s="28">
        <f t="shared" si="6"/>
        <v>1</v>
      </c>
      <c r="DD16" s="28">
        <f t="shared" si="7"/>
        <v>1</v>
      </c>
      <c r="DE16" s="28">
        <f t="shared" si="8"/>
        <v>1</v>
      </c>
      <c r="DF16" s="28">
        <f t="shared" si="9"/>
        <v>1</v>
      </c>
      <c r="DG16" s="28">
        <f t="shared" si="19"/>
        <v>1</v>
      </c>
      <c r="DH16" s="28">
        <f t="shared" si="10"/>
        <v>0</v>
      </c>
      <c r="DI16" s="28">
        <f t="shared" si="11"/>
        <v>0</v>
      </c>
      <c r="DJ16" s="28">
        <f t="shared" si="12"/>
        <v>0</v>
      </c>
      <c r="DK16" s="33"/>
      <c r="DL16" s="34">
        <f t="shared" si="13"/>
        <v>1</v>
      </c>
      <c r="DM16" s="28">
        <f t="shared" si="14"/>
        <v>0</v>
      </c>
      <c r="DN16" s="28">
        <f t="shared" si="15"/>
        <v>0</v>
      </c>
      <c r="DO16" s="28">
        <f t="shared" si="16"/>
        <v>0</v>
      </c>
      <c r="DP16" s="28" t="s">
        <v>76</v>
      </c>
      <c r="DQ16" s="32"/>
      <c r="DR16" s="32"/>
    </row>
    <row r="17" spans="1:122" ht="17.100000000000001" customHeight="1" thickBot="1">
      <c r="A17" s="240">
        <v>4</v>
      </c>
      <c r="B17" s="204" t="s">
        <v>333</v>
      </c>
      <c r="C17" s="205" t="s">
        <v>40</v>
      </c>
      <c r="D17" s="205" t="s">
        <v>35</v>
      </c>
      <c r="E17" s="205" t="s">
        <v>38</v>
      </c>
      <c r="F17" s="205" t="s">
        <v>51</v>
      </c>
      <c r="G17" s="205" t="s">
        <v>66</v>
      </c>
      <c r="H17" s="205" t="s">
        <v>50</v>
      </c>
      <c r="I17" s="205" t="s">
        <v>50</v>
      </c>
      <c r="J17" s="205" t="s">
        <v>63</v>
      </c>
      <c r="K17" s="205" t="s">
        <v>119</v>
      </c>
      <c r="L17" s="205" t="s">
        <v>50</v>
      </c>
      <c r="M17" s="205" t="s">
        <v>50</v>
      </c>
      <c r="N17" s="205" t="s">
        <v>50</v>
      </c>
      <c r="O17" s="205">
        <v>6</v>
      </c>
      <c r="P17" s="23">
        <f t="shared" si="0"/>
        <v>165</v>
      </c>
      <c r="Q17" s="24">
        <f t="shared" si="17"/>
        <v>990</v>
      </c>
      <c r="R17" s="25">
        <f t="shared" si="1"/>
        <v>3.5</v>
      </c>
      <c r="S17" s="241">
        <f t="shared" si="2"/>
        <v>0</v>
      </c>
      <c r="U17" s="4"/>
      <c r="X17" s="26"/>
      <c r="Y17" s="26"/>
      <c r="Z17" s="26"/>
      <c r="AA17" s="26"/>
      <c r="AB17" s="26"/>
      <c r="AC17" s="26"/>
      <c r="AF17" s="26"/>
      <c r="AG17" s="26"/>
      <c r="AV17" s="4"/>
      <c r="AW17" s="4"/>
      <c r="AX17" s="4"/>
      <c r="AY17" s="4"/>
      <c r="AZ17" s="4"/>
      <c r="BA17" s="4"/>
      <c r="BE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8"/>
      <c r="BU17" s="38"/>
      <c r="BV17" s="38"/>
      <c r="BW17" s="38"/>
      <c r="BX17" s="38"/>
      <c r="BY17" s="38"/>
      <c r="BZ17" s="4"/>
      <c r="CA17" s="4"/>
      <c r="CB17" s="4"/>
      <c r="CC17" s="38"/>
      <c r="CD17" s="4"/>
      <c r="CE17" s="4"/>
      <c r="CF17" s="4"/>
      <c r="CG17" s="27" t="str">
        <f t="shared" si="3"/>
        <v>Huscarls</v>
      </c>
      <c r="CH17" s="28">
        <f>VLOOKUP(C17,'INPUT SHEET '!$U$84:$V$92,2,FALSE)</f>
        <v>2</v>
      </c>
      <c r="CI17" s="28">
        <f>VLOOKUP(D17,'INPUT SHEET '!$U$73:$AD$82,'INPUT SHEET '!CH17,FALSE)</f>
        <v>70</v>
      </c>
      <c r="CJ17" s="28">
        <f>VLOOKUP(G17,'INPUT SHEET '!$AK$74:$AS$92,CH17,FALSE)</f>
        <v>32</v>
      </c>
      <c r="CK17" s="29">
        <f>VLOOKUP(I17,'INPUT SHEET '!$AK$83:$AS$92,CH17,FALSE)</f>
        <v>0</v>
      </c>
      <c r="CL17" s="28">
        <f>IFERROR(VLOOKUP(J17,'INPUT SHEET '!$AU$74:$BD$126,$CH17,FALSE),0)</f>
        <v>10</v>
      </c>
      <c r="CM17" s="28">
        <f>IFERROR(VLOOKUP(K17,'INPUT SHEET '!$AU$74:$BD$126,$CH17,FALSE),0)</f>
        <v>6</v>
      </c>
      <c r="CN17" s="28">
        <f>IFERROR(VLOOKUP(L17,'INPUT SHEET '!$AU$74:$BD$126,$CH17,FALSE),0)</f>
        <v>0</v>
      </c>
      <c r="CO17" s="28">
        <f>IFERROR(VLOOKUP(M17,'INPUT SHEET '!$AU$74:$BD$126,$CH17,FALSE),0)</f>
        <v>0</v>
      </c>
      <c r="CP17" s="28">
        <f>IFERROR(VLOOKUP(N17,'INPUT SHEET '!$AU$74:$BD$126,$CH17,FALSE),0)</f>
        <v>0</v>
      </c>
      <c r="CQ17" s="28">
        <f t="shared" si="4"/>
        <v>118</v>
      </c>
      <c r="CR17" s="28"/>
      <c r="CS17" s="30">
        <f>VLOOKUP(E17,'INPUT SHEET '!$AF$73:$AG$76,2,0)</f>
        <v>1.4</v>
      </c>
      <c r="CT17" s="30">
        <f>VLOOKUP(F17,'INPUT SHEET '!$AF$85:$AG$90,2,0)</f>
        <v>1</v>
      </c>
      <c r="CU17" s="28">
        <f>IF(CK17=0,1,VLOOKUP(H17,'INPUT SHEET '!$AF$79:$AG$83,2,FALSE))</f>
        <v>1</v>
      </c>
      <c r="CV17" s="31">
        <f t="shared" si="18"/>
        <v>165</v>
      </c>
      <c r="CW17" s="31"/>
      <c r="CX17" s="31"/>
      <c r="CY17" s="31"/>
      <c r="CZ17" s="31"/>
      <c r="DA17" s="32"/>
      <c r="DB17" s="28">
        <f t="shared" si="5"/>
        <v>0</v>
      </c>
      <c r="DC17" s="28">
        <f t="shared" si="6"/>
        <v>1</v>
      </c>
      <c r="DD17" s="28">
        <f t="shared" si="7"/>
        <v>1</v>
      </c>
      <c r="DE17" s="28">
        <f t="shared" si="8"/>
        <v>1</v>
      </c>
      <c r="DF17" s="28">
        <f t="shared" si="9"/>
        <v>1</v>
      </c>
      <c r="DG17" s="28">
        <f t="shared" si="19"/>
        <v>1</v>
      </c>
      <c r="DH17" s="28">
        <f t="shared" si="10"/>
        <v>0</v>
      </c>
      <c r="DI17" s="28">
        <f t="shared" si="11"/>
        <v>0</v>
      </c>
      <c r="DJ17" s="28">
        <f t="shared" si="12"/>
        <v>0</v>
      </c>
      <c r="DK17" s="33"/>
      <c r="DL17" s="34">
        <f t="shared" si="13"/>
        <v>1</v>
      </c>
      <c r="DM17" s="28">
        <f t="shared" si="14"/>
        <v>0</v>
      </c>
      <c r="DN17" s="28">
        <f t="shared" si="15"/>
        <v>0</v>
      </c>
      <c r="DO17" s="28">
        <f t="shared" si="16"/>
        <v>0</v>
      </c>
      <c r="DP17" s="28" t="s">
        <v>76</v>
      </c>
      <c r="DQ17" s="32"/>
      <c r="DR17" s="32"/>
    </row>
    <row r="18" spans="1:122" ht="17.100000000000001" customHeight="1" thickBot="1">
      <c r="A18" s="240">
        <v>5</v>
      </c>
      <c r="B18" s="204" t="s">
        <v>334</v>
      </c>
      <c r="C18" s="205" t="s">
        <v>40</v>
      </c>
      <c r="D18" s="205" t="s">
        <v>116</v>
      </c>
      <c r="E18" s="205" t="s">
        <v>10</v>
      </c>
      <c r="F18" s="205" t="s">
        <v>51</v>
      </c>
      <c r="G18" s="205" t="s">
        <v>54</v>
      </c>
      <c r="H18" s="205" t="s">
        <v>50</v>
      </c>
      <c r="I18" s="205" t="s">
        <v>50</v>
      </c>
      <c r="J18" s="205" t="s">
        <v>100</v>
      </c>
      <c r="K18" s="205" t="s">
        <v>119</v>
      </c>
      <c r="L18" s="205" t="s">
        <v>50</v>
      </c>
      <c r="M18" s="205" t="s">
        <v>50</v>
      </c>
      <c r="N18" s="205" t="s">
        <v>50</v>
      </c>
      <c r="O18" s="205">
        <v>8</v>
      </c>
      <c r="P18" s="23">
        <f t="shared" si="0"/>
        <v>83</v>
      </c>
      <c r="Q18" s="24">
        <f t="shared" si="17"/>
        <v>664</v>
      </c>
      <c r="R18" s="25">
        <f t="shared" si="1"/>
        <v>4.5</v>
      </c>
      <c r="S18" s="241">
        <f t="shared" si="2"/>
        <v>0</v>
      </c>
      <c r="U18" s="4"/>
      <c r="X18" s="26"/>
      <c r="Y18" s="26"/>
      <c r="Z18" s="26"/>
      <c r="AA18" s="26"/>
      <c r="AB18" s="26"/>
      <c r="AC18" s="26"/>
      <c r="AF18" s="26"/>
      <c r="AG18" s="26"/>
      <c r="AV18" s="4"/>
      <c r="AW18" s="4"/>
      <c r="AX18" s="4"/>
      <c r="AY18" s="4"/>
      <c r="AZ18" s="4"/>
      <c r="BA18" s="4"/>
      <c r="BE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8"/>
      <c r="BU18" s="38"/>
      <c r="BV18" s="38"/>
      <c r="BW18" s="38"/>
      <c r="BX18" s="38"/>
      <c r="BY18" s="38"/>
      <c r="BZ18" s="4"/>
      <c r="CA18" s="4"/>
      <c r="CB18" s="4"/>
      <c r="CC18" s="38"/>
      <c r="CD18" s="4"/>
      <c r="CE18" s="4"/>
      <c r="CF18" s="4"/>
      <c r="CG18" s="27" t="str">
        <f t="shared" si="3"/>
        <v>Hird</v>
      </c>
      <c r="CH18" s="28">
        <f>VLOOKUP(C18,'INPUT SHEET '!$U$84:$V$92,2,FALSE)</f>
        <v>2</v>
      </c>
      <c r="CI18" s="28">
        <f>VLOOKUP(D18,'INPUT SHEET '!$U$73:$AD$82,'INPUT SHEET '!CH18,FALSE)</f>
        <v>65</v>
      </c>
      <c r="CJ18" s="28">
        <f>VLOOKUP(G18,'INPUT SHEET '!$AK$74:$AS$92,CH18,FALSE)</f>
        <v>7</v>
      </c>
      <c r="CK18" s="29">
        <f>VLOOKUP(I18,'INPUT SHEET '!$AK$83:$AS$92,CH18,FALSE)</f>
        <v>0</v>
      </c>
      <c r="CL18" s="28">
        <f>IFERROR(VLOOKUP(J18,'INPUT SHEET '!$AU$74:$BD$126,$CH18,FALSE),0)</f>
        <v>5</v>
      </c>
      <c r="CM18" s="28">
        <f>IFERROR(VLOOKUP(K18,'INPUT SHEET '!$AU$74:$BD$126,$CH18,FALSE),0)</f>
        <v>6</v>
      </c>
      <c r="CN18" s="28">
        <f>IFERROR(VLOOKUP(L18,'INPUT SHEET '!$AU$74:$BD$126,$CH18,FALSE),0)</f>
        <v>0</v>
      </c>
      <c r="CO18" s="28">
        <f>IFERROR(VLOOKUP(M18,'INPUT SHEET '!$AU$74:$BD$126,$CH18,FALSE),0)</f>
        <v>0</v>
      </c>
      <c r="CP18" s="28">
        <f>IFERROR(VLOOKUP(N18,'INPUT SHEET '!$AU$74:$BD$126,$CH18,FALSE),0)</f>
        <v>0</v>
      </c>
      <c r="CQ18" s="28">
        <f t="shared" si="4"/>
        <v>83</v>
      </c>
      <c r="CR18" s="28"/>
      <c r="CS18" s="30">
        <f>VLOOKUP(E18,'INPUT SHEET '!$AF$73:$AG$76,2,0)</f>
        <v>1</v>
      </c>
      <c r="CT18" s="30">
        <f>VLOOKUP(F18,'INPUT SHEET '!$AF$85:$AG$90,2,0)</f>
        <v>1</v>
      </c>
      <c r="CU18" s="28">
        <f>IF(CK18=0,1,VLOOKUP(H18,'INPUT SHEET '!$AF$79:$AG$83,2,FALSE))</f>
        <v>1</v>
      </c>
      <c r="CV18" s="31">
        <f t="shared" si="18"/>
        <v>83</v>
      </c>
      <c r="CW18" s="31"/>
      <c r="CX18" s="31"/>
      <c r="CY18" s="31"/>
      <c r="CZ18" s="31"/>
      <c r="DA18" s="32"/>
      <c r="DB18" s="28">
        <f t="shared" si="5"/>
        <v>0</v>
      </c>
      <c r="DC18" s="28">
        <f t="shared" si="6"/>
        <v>0</v>
      </c>
      <c r="DD18" s="28">
        <f t="shared" si="7"/>
        <v>1</v>
      </c>
      <c r="DE18" s="28">
        <f t="shared" si="8"/>
        <v>1</v>
      </c>
      <c r="DF18" s="28">
        <f t="shared" si="9"/>
        <v>1</v>
      </c>
      <c r="DG18" s="28">
        <f t="shared" si="19"/>
        <v>1</v>
      </c>
      <c r="DH18" s="28">
        <f t="shared" si="10"/>
        <v>0</v>
      </c>
      <c r="DI18" s="28">
        <f t="shared" si="11"/>
        <v>0</v>
      </c>
      <c r="DJ18" s="28">
        <f t="shared" si="12"/>
        <v>0</v>
      </c>
      <c r="DK18" s="33"/>
      <c r="DL18" s="34">
        <f t="shared" si="13"/>
        <v>1</v>
      </c>
      <c r="DM18" s="28">
        <f t="shared" si="14"/>
        <v>0</v>
      </c>
      <c r="DN18" s="28">
        <f t="shared" si="15"/>
        <v>0</v>
      </c>
      <c r="DO18" s="28">
        <f t="shared" si="16"/>
        <v>0</v>
      </c>
      <c r="DP18" s="28" t="s">
        <v>76</v>
      </c>
      <c r="DQ18" s="32"/>
      <c r="DR18" s="32"/>
    </row>
    <row r="19" spans="1:122" ht="17.100000000000001" customHeight="1" thickBot="1">
      <c r="A19" s="240">
        <v>6</v>
      </c>
      <c r="B19" s="204" t="s">
        <v>334</v>
      </c>
      <c r="C19" s="205" t="s">
        <v>40</v>
      </c>
      <c r="D19" s="205" t="s">
        <v>116</v>
      </c>
      <c r="E19" s="205" t="s">
        <v>10</v>
      </c>
      <c r="F19" s="205" t="s">
        <v>51</v>
      </c>
      <c r="G19" s="205" t="s">
        <v>54</v>
      </c>
      <c r="H19" s="205" t="s">
        <v>50</v>
      </c>
      <c r="I19" s="205" t="s">
        <v>50</v>
      </c>
      <c r="J19" s="205" t="s">
        <v>100</v>
      </c>
      <c r="K19" s="205" t="s">
        <v>119</v>
      </c>
      <c r="L19" s="205" t="s">
        <v>50</v>
      </c>
      <c r="M19" s="205" t="s">
        <v>50</v>
      </c>
      <c r="N19" s="205" t="s">
        <v>50</v>
      </c>
      <c r="O19" s="205">
        <v>8</v>
      </c>
      <c r="P19" s="23">
        <f t="shared" si="0"/>
        <v>83</v>
      </c>
      <c r="Q19" s="24">
        <f t="shared" si="17"/>
        <v>664</v>
      </c>
      <c r="R19" s="25">
        <f t="shared" si="1"/>
        <v>4.5</v>
      </c>
      <c r="S19" s="241">
        <f t="shared" si="2"/>
        <v>0</v>
      </c>
      <c r="U19" s="4"/>
      <c r="X19" s="26"/>
      <c r="Y19" s="26"/>
      <c r="Z19" s="26"/>
      <c r="AA19" s="26"/>
      <c r="AB19" s="26"/>
      <c r="AC19" s="26"/>
      <c r="AF19" s="26"/>
      <c r="AG19" s="26"/>
      <c r="AV19" s="4"/>
      <c r="AW19" s="4"/>
      <c r="AX19" s="4"/>
      <c r="AY19" s="4"/>
      <c r="AZ19" s="4"/>
      <c r="BA19" s="4"/>
      <c r="BE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8"/>
      <c r="BU19" s="38"/>
      <c r="BV19" s="38"/>
      <c r="BW19" s="38"/>
      <c r="BX19" s="38"/>
      <c r="BY19" s="38"/>
      <c r="BZ19" s="4"/>
      <c r="CA19" s="4"/>
      <c r="CB19" s="4"/>
      <c r="CC19" s="38"/>
      <c r="CD19" s="4"/>
      <c r="CE19" s="4"/>
      <c r="CF19" s="4"/>
      <c r="CG19" s="27" t="str">
        <f t="shared" si="3"/>
        <v>Hird</v>
      </c>
      <c r="CH19" s="28">
        <f>VLOOKUP(C19,'INPUT SHEET '!$U$84:$V$92,2,FALSE)</f>
        <v>2</v>
      </c>
      <c r="CI19" s="28">
        <f>VLOOKUP(D19,'INPUT SHEET '!$U$73:$AD$82,'INPUT SHEET '!CH19,FALSE)</f>
        <v>65</v>
      </c>
      <c r="CJ19" s="28">
        <f>VLOOKUP(G19,'INPUT SHEET '!$AK$74:$AS$92,CH19,FALSE)</f>
        <v>7</v>
      </c>
      <c r="CK19" s="29">
        <f>VLOOKUP(I19,'INPUT SHEET '!$AK$83:$AS$92,CH19,FALSE)</f>
        <v>0</v>
      </c>
      <c r="CL19" s="28">
        <f>IFERROR(VLOOKUP(J19,'INPUT SHEET '!$AU$74:$BD$126,$CH19,FALSE),0)</f>
        <v>5</v>
      </c>
      <c r="CM19" s="28">
        <f>IFERROR(VLOOKUP(K19,'INPUT SHEET '!$AU$74:$BD$126,$CH19,FALSE),0)</f>
        <v>6</v>
      </c>
      <c r="CN19" s="28">
        <f>IFERROR(VLOOKUP(L19,'INPUT SHEET '!$AU$74:$BD$126,$CH19,FALSE),0)</f>
        <v>0</v>
      </c>
      <c r="CO19" s="28">
        <f>IFERROR(VLOOKUP(M19,'INPUT SHEET '!$AU$74:$BD$126,$CH19,FALSE),0)</f>
        <v>0</v>
      </c>
      <c r="CP19" s="28">
        <f>IFERROR(VLOOKUP(N19,'INPUT SHEET '!$AU$74:$BD$126,$CH19,FALSE),0)</f>
        <v>0</v>
      </c>
      <c r="CQ19" s="28">
        <f t="shared" ref="CQ19:CQ25" si="20">SUM(CI19:CP19)-CK19</f>
        <v>83</v>
      </c>
      <c r="CR19" s="28"/>
      <c r="CS19" s="30">
        <f>VLOOKUP(E19,'INPUT SHEET '!$AF$73:$AG$76,2,0)</f>
        <v>1</v>
      </c>
      <c r="CT19" s="30">
        <f>VLOOKUP(F19,'INPUT SHEET '!$AF$85:$AG$90,2,0)</f>
        <v>1</v>
      </c>
      <c r="CU19" s="28">
        <f>IF(CK19=0,1,VLOOKUP(H19,'INPUT SHEET '!$AF$79:$AG$83,2,FALSE))</f>
        <v>1</v>
      </c>
      <c r="CV19" s="31">
        <f t="shared" si="18"/>
        <v>83</v>
      </c>
      <c r="CW19" s="31"/>
      <c r="CX19" s="31"/>
      <c r="CY19" s="31"/>
      <c r="CZ19" s="31"/>
      <c r="DA19" s="32"/>
      <c r="DB19" s="28">
        <f t="shared" si="5"/>
        <v>0</v>
      </c>
      <c r="DC19" s="28">
        <f t="shared" si="6"/>
        <v>0</v>
      </c>
      <c r="DD19" s="28">
        <f t="shared" si="7"/>
        <v>1</v>
      </c>
      <c r="DE19" s="28">
        <f t="shared" si="8"/>
        <v>1</v>
      </c>
      <c r="DF19" s="28">
        <f t="shared" si="9"/>
        <v>1</v>
      </c>
      <c r="DG19" s="28">
        <f t="shared" si="19"/>
        <v>1</v>
      </c>
      <c r="DH19" s="28">
        <f t="shared" si="10"/>
        <v>0</v>
      </c>
      <c r="DI19" s="28">
        <f t="shared" si="11"/>
        <v>0</v>
      </c>
      <c r="DJ19" s="28">
        <f t="shared" si="12"/>
        <v>0</v>
      </c>
      <c r="DK19" s="33"/>
      <c r="DL19" s="34">
        <f t="shared" si="13"/>
        <v>1</v>
      </c>
      <c r="DM19" s="28">
        <f t="shared" si="14"/>
        <v>0</v>
      </c>
      <c r="DN19" s="28">
        <f t="shared" si="15"/>
        <v>0</v>
      </c>
      <c r="DO19" s="28">
        <f t="shared" si="16"/>
        <v>0</v>
      </c>
      <c r="DP19" s="28" t="s">
        <v>76</v>
      </c>
      <c r="DQ19" s="32"/>
      <c r="DR19" s="32"/>
    </row>
    <row r="20" spans="1:122" ht="17.100000000000001" customHeight="1" thickBot="1">
      <c r="A20" s="240">
        <v>7</v>
      </c>
      <c r="B20" s="204" t="s">
        <v>334</v>
      </c>
      <c r="C20" s="205" t="s">
        <v>40</v>
      </c>
      <c r="D20" s="205" t="s">
        <v>116</v>
      </c>
      <c r="E20" s="205" t="s">
        <v>10</v>
      </c>
      <c r="F20" s="205" t="s">
        <v>51</v>
      </c>
      <c r="G20" s="205" t="s">
        <v>54</v>
      </c>
      <c r="H20" s="205" t="s">
        <v>50</v>
      </c>
      <c r="I20" s="205" t="s">
        <v>50</v>
      </c>
      <c r="J20" s="205" t="s">
        <v>100</v>
      </c>
      <c r="K20" s="205" t="s">
        <v>119</v>
      </c>
      <c r="L20" s="205" t="s">
        <v>50</v>
      </c>
      <c r="M20" s="205" t="s">
        <v>50</v>
      </c>
      <c r="N20" s="205" t="s">
        <v>50</v>
      </c>
      <c r="O20" s="205">
        <v>8</v>
      </c>
      <c r="P20" s="23">
        <f t="shared" si="0"/>
        <v>83</v>
      </c>
      <c r="Q20" s="24">
        <f t="shared" si="17"/>
        <v>664</v>
      </c>
      <c r="R20" s="25">
        <f t="shared" si="1"/>
        <v>4.5</v>
      </c>
      <c r="S20" s="241">
        <f t="shared" si="2"/>
        <v>0</v>
      </c>
      <c r="U20" s="4"/>
      <c r="X20" s="26"/>
      <c r="Y20" s="26"/>
      <c r="Z20" s="26"/>
      <c r="AA20" s="26"/>
      <c r="AB20" s="26"/>
      <c r="AC20" s="26"/>
      <c r="AF20" s="26"/>
      <c r="AG20" s="26"/>
      <c r="AV20" s="4"/>
      <c r="AW20" s="4"/>
      <c r="AX20" s="4"/>
      <c r="AY20" s="4"/>
      <c r="AZ20" s="4"/>
      <c r="BA20" s="4"/>
      <c r="BE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8"/>
      <c r="BU20" s="38"/>
      <c r="BV20" s="38"/>
      <c r="BW20" s="38"/>
      <c r="BX20" s="38"/>
      <c r="BY20" s="38"/>
      <c r="BZ20" s="4"/>
      <c r="CA20" s="4"/>
      <c r="CB20" s="4"/>
      <c r="CC20" s="38"/>
      <c r="CD20" s="4"/>
      <c r="CE20" s="4"/>
      <c r="CF20" s="4"/>
      <c r="CG20" s="27" t="str">
        <f t="shared" si="3"/>
        <v>Hird</v>
      </c>
      <c r="CH20" s="28">
        <f>VLOOKUP(C20,'INPUT SHEET '!$U$84:$V$92,2,FALSE)</f>
        <v>2</v>
      </c>
      <c r="CI20" s="28">
        <f>VLOOKUP(D20,'INPUT SHEET '!$U$73:$AD$82,'INPUT SHEET '!CH20,FALSE)</f>
        <v>65</v>
      </c>
      <c r="CJ20" s="28">
        <f>VLOOKUP(G20,'INPUT SHEET '!$AK$74:$AS$92,CH20,FALSE)</f>
        <v>7</v>
      </c>
      <c r="CK20" s="29">
        <f>VLOOKUP(I20,'INPUT SHEET '!$AK$83:$AS$92,CH20,FALSE)</f>
        <v>0</v>
      </c>
      <c r="CL20" s="28">
        <f>IFERROR(VLOOKUP(J20,'INPUT SHEET '!$AU$74:$BD$126,$CH20,FALSE),0)</f>
        <v>5</v>
      </c>
      <c r="CM20" s="28">
        <f>IFERROR(VLOOKUP(K20,'INPUT SHEET '!$AU$74:$BD$126,$CH20,FALSE),0)</f>
        <v>6</v>
      </c>
      <c r="CN20" s="28">
        <f>IFERROR(VLOOKUP(L20,'INPUT SHEET '!$AU$74:$BD$126,$CH20,FALSE),0)</f>
        <v>0</v>
      </c>
      <c r="CO20" s="28">
        <f>IFERROR(VLOOKUP(M20,'INPUT SHEET '!$AU$74:$BD$126,$CH20,FALSE),0)</f>
        <v>0</v>
      </c>
      <c r="CP20" s="28">
        <f>IFERROR(VLOOKUP(N20,'INPUT SHEET '!$AU$74:$BD$126,$CH20,FALSE),0)</f>
        <v>0</v>
      </c>
      <c r="CQ20" s="28">
        <f t="shared" si="20"/>
        <v>83</v>
      </c>
      <c r="CR20" s="28"/>
      <c r="CS20" s="30">
        <f>VLOOKUP(E20,'INPUT SHEET '!$AF$73:$AG$76,2,0)</f>
        <v>1</v>
      </c>
      <c r="CT20" s="30">
        <f>VLOOKUP(F20,'INPUT SHEET '!$AF$85:$AG$90,2,0)</f>
        <v>1</v>
      </c>
      <c r="CU20" s="28">
        <f>IF(CK20=0,1,VLOOKUP(H20,'INPUT SHEET '!$AF$79:$AG$83,2,FALSE))</f>
        <v>1</v>
      </c>
      <c r="CV20" s="31">
        <f t="shared" si="18"/>
        <v>83</v>
      </c>
      <c r="CW20" s="31"/>
      <c r="CX20" s="31"/>
      <c r="CY20" s="31"/>
      <c r="CZ20" s="31"/>
      <c r="DA20" s="32"/>
      <c r="DB20" s="28">
        <f t="shared" si="5"/>
        <v>0</v>
      </c>
      <c r="DC20" s="28">
        <f t="shared" si="6"/>
        <v>0</v>
      </c>
      <c r="DD20" s="28">
        <f t="shared" si="7"/>
        <v>1</v>
      </c>
      <c r="DE20" s="28">
        <f t="shared" si="8"/>
        <v>1</v>
      </c>
      <c r="DF20" s="28">
        <f t="shared" si="9"/>
        <v>1</v>
      </c>
      <c r="DG20" s="28">
        <f t="shared" si="19"/>
        <v>1</v>
      </c>
      <c r="DH20" s="28">
        <f t="shared" si="10"/>
        <v>0</v>
      </c>
      <c r="DI20" s="28">
        <f t="shared" si="11"/>
        <v>0</v>
      </c>
      <c r="DJ20" s="28">
        <f t="shared" si="12"/>
        <v>0</v>
      </c>
      <c r="DK20" s="33"/>
      <c r="DL20" s="34">
        <f t="shared" si="13"/>
        <v>1</v>
      </c>
      <c r="DM20" s="28">
        <f t="shared" si="14"/>
        <v>0</v>
      </c>
      <c r="DN20" s="28">
        <f t="shared" si="15"/>
        <v>0</v>
      </c>
      <c r="DO20" s="28">
        <f t="shared" si="16"/>
        <v>0</v>
      </c>
      <c r="DP20" s="28" t="s">
        <v>76</v>
      </c>
      <c r="DQ20" s="32"/>
      <c r="DR20" s="32"/>
    </row>
    <row r="21" spans="1:122" ht="17.100000000000001" customHeight="1" thickBot="1">
      <c r="A21" s="240">
        <v>8</v>
      </c>
      <c r="B21" s="204" t="s">
        <v>334</v>
      </c>
      <c r="C21" s="205" t="s">
        <v>40</v>
      </c>
      <c r="D21" s="205" t="s">
        <v>116</v>
      </c>
      <c r="E21" s="205" t="s">
        <v>10</v>
      </c>
      <c r="F21" s="205" t="s">
        <v>51</v>
      </c>
      <c r="G21" s="205" t="s">
        <v>54</v>
      </c>
      <c r="H21" s="205" t="s">
        <v>50</v>
      </c>
      <c r="I21" s="205" t="s">
        <v>50</v>
      </c>
      <c r="J21" s="205" t="s">
        <v>100</v>
      </c>
      <c r="K21" s="205" t="s">
        <v>119</v>
      </c>
      <c r="L21" s="205" t="s">
        <v>50</v>
      </c>
      <c r="M21" s="205" t="s">
        <v>50</v>
      </c>
      <c r="N21" s="205" t="s">
        <v>50</v>
      </c>
      <c r="O21" s="205">
        <v>8</v>
      </c>
      <c r="P21" s="23">
        <f t="shared" si="0"/>
        <v>83</v>
      </c>
      <c r="Q21" s="24">
        <f t="shared" si="17"/>
        <v>664</v>
      </c>
      <c r="R21" s="25">
        <f t="shared" si="1"/>
        <v>4.5</v>
      </c>
      <c r="S21" s="241">
        <f t="shared" si="2"/>
        <v>0</v>
      </c>
      <c r="U21" s="4"/>
      <c r="X21" s="26"/>
      <c r="Y21" s="26"/>
      <c r="Z21" s="26"/>
      <c r="AA21" s="26"/>
      <c r="AB21" s="26"/>
      <c r="AC21" s="26"/>
      <c r="AF21" s="26"/>
      <c r="AG21" s="26"/>
      <c r="AV21" s="4"/>
      <c r="AW21" s="4"/>
      <c r="AX21" s="4"/>
      <c r="AY21" s="4"/>
      <c r="AZ21" s="4"/>
      <c r="BA21" s="4"/>
      <c r="BE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8"/>
      <c r="BU21" s="38"/>
      <c r="BV21" s="38"/>
      <c r="BW21" s="38"/>
      <c r="BX21" s="38"/>
      <c r="BY21" s="38"/>
      <c r="BZ21" s="4"/>
      <c r="CA21" s="4"/>
      <c r="CB21" s="4"/>
      <c r="CC21" s="38"/>
      <c r="CD21" s="4"/>
      <c r="CE21" s="4"/>
      <c r="CF21" s="4"/>
      <c r="CG21" s="27" t="str">
        <f t="shared" si="3"/>
        <v>Hird</v>
      </c>
      <c r="CH21" s="28">
        <f>VLOOKUP(C21,'INPUT SHEET '!$U$84:$V$92,2,FALSE)</f>
        <v>2</v>
      </c>
      <c r="CI21" s="28">
        <f>VLOOKUP(D21,'INPUT SHEET '!$U$73:$AD$82,'INPUT SHEET '!CH21,FALSE)</f>
        <v>65</v>
      </c>
      <c r="CJ21" s="28">
        <f>VLOOKUP(G21,'INPUT SHEET '!$AK$74:$AS$92,CH21,FALSE)</f>
        <v>7</v>
      </c>
      <c r="CK21" s="29">
        <f>VLOOKUP(I21,'INPUT SHEET '!$AK$83:$AS$92,CH21,FALSE)</f>
        <v>0</v>
      </c>
      <c r="CL21" s="28">
        <f>IFERROR(VLOOKUP(J21,'INPUT SHEET '!$AU$74:$BD$126,$CH21,FALSE),0)</f>
        <v>5</v>
      </c>
      <c r="CM21" s="28">
        <f>IFERROR(VLOOKUP(K21,'INPUT SHEET '!$AU$74:$BD$126,$CH21,FALSE),0)</f>
        <v>6</v>
      </c>
      <c r="CN21" s="28">
        <f>IFERROR(VLOOKUP(L21,'INPUT SHEET '!$AU$74:$BD$126,$CH21,FALSE),0)</f>
        <v>0</v>
      </c>
      <c r="CO21" s="28">
        <f>IFERROR(VLOOKUP(M21,'INPUT SHEET '!$AU$74:$BD$126,$CH21,FALSE),0)</f>
        <v>0</v>
      </c>
      <c r="CP21" s="28">
        <f>IFERROR(VLOOKUP(N21,'INPUT SHEET '!$AU$74:$BD$126,$CH21,FALSE),0)</f>
        <v>0</v>
      </c>
      <c r="CQ21" s="28">
        <f t="shared" si="20"/>
        <v>83</v>
      </c>
      <c r="CR21" s="28"/>
      <c r="CS21" s="30">
        <f>VLOOKUP(E21,'INPUT SHEET '!$AF$73:$AG$76,2,0)</f>
        <v>1</v>
      </c>
      <c r="CT21" s="30">
        <f>VLOOKUP(F21,'INPUT SHEET '!$AF$85:$AG$90,2,0)</f>
        <v>1</v>
      </c>
      <c r="CU21" s="28">
        <f>IF(CK21=0,1,VLOOKUP(H21,'INPUT SHEET '!$AF$79:$AG$83,2,FALSE))</f>
        <v>1</v>
      </c>
      <c r="CV21" s="31">
        <f t="shared" si="18"/>
        <v>83</v>
      </c>
      <c r="CW21" s="31"/>
      <c r="CX21" s="31"/>
      <c r="CY21" s="31"/>
      <c r="CZ21" s="31"/>
      <c r="DA21" s="32"/>
      <c r="DB21" s="28">
        <f t="shared" si="5"/>
        <v>0</v>
      </c>
      <c r="DC21" s="28">
        <f t="shared" si="6"/>
        <v>0</v>
      </c>
      <c r="DD21" s="28">
        <f t="shared" si="7"/>
        <v>1</v>
      </c>
      <c r="DE21" s="28">
        <f t="shared" si="8"/>
        <v>1</v>
      </c>
      <c r="DF21" s="28">
        <f t="shared" si="9"/>
        <v>1</v>
      </c>
      <c r="DG21" s="28">
        <f t="shared" si="19"/>
        <v>1</v>
      </c>
      <c r="DH21" s="28">
        <f t="shared" si="10"/>
        <v>0</v>
      </c>
      <c r="DI21" s="28">
        <f t="shared" si="11"/>
        <v>0</v>
      </c>
      <c r="DJ21" s="28">
        <f t="shared" si="12"/>
        <v>0</v>
      </c>
      <c r="DK21" s="33"/>
      <c r="DL21" s="34">
        <f t="shared" si="13"/>
        <v>1</v>
      </c>
      <c r="DM21" s="28">
        <f t="shared" si="14"/>
        <v>0</v>
      </c>
      <c r="DN21" s="28">
        <f t="shared" si="15"/>
        <v>0</v>
      </c>
      <c r="DO21" s="28">
        <f t="shared" si="16"/>
        <v>0</v>
      </c>
      <c r="DP21" s="28" t="s">
        <v>76</v>
      </c>
      <c r="DQ21" s="32"/>
      <c r="DR21" s="32"/>
    </row>
    <row r="22" spans="1:122" ht="17.100000000000001" customHeight="1" thickBot="1">
      <c r="A22" s="240">
        <v>9</v>
      </c>
      <c r="B22" s="204" t="s">
        <v>334</v>
      </c>
      <c r="C22" s="205" t="s">
        <v>40</v>
      </c>
      <c r="D22" s="205" t="s">
        <v>116</v>
      </c>
      <c r="E22" s="205" t="s">
        <v>10</v>
      </c>
      <c r="F22" s="205" t="s">
        <v>51</v>
      </c>
      <c r="G22" s="205" t="s">
        <v>54</v>
      </c>
      <c r="H22" s="205" t="s">
        <v>50</v>
      </c>
      <c r="I22" s="205" t="s">
        <v>50</v>
      </c>
      <c r="J22" s="205" t="s">
        <v>100</v>
      </c>
      <c r="K22" s="205" t="s">
        <v>119</v>
      </c>
      <c r="L22" s="205" t="s">
        <v>50</v>
      </c>
      <c r="M22" s="205" t="s">
        <v>50</v>
      </c>
      <c r="N22" s="205" t="s">
        <v>50</v>
      </c>
      <c r="O22" s="205">
        <v>8</v>
      </c>
      <c r="P22" s="23">
        <f t="shared" si="0"/>
        <v>83</v>
      </c>
      <c r="Q22" s="24">
        <f t="shared" si="17"/>
        <v>664</v>
      </c>
      <c r="R22" s="25">
        <f t="shared" si="1"/>
        <v>4.5</v>
      </c>
      <c r="S22" s="241">
        <f t="shared" si="2"/>
        <v>0</v>
      </c>
      <c r="U22" s="4"/>
      <c r="X22" s="26"/>
      <c r="Y22" s="26"/>
      <c r="Z22" s="26"/>
      <c r="AA22" s="26"/>
      <c r="AB22" s="26"/>
      <c r="AC22" s="26"/>
      <c r="AF22" s="26"/>
      <c r="AG22" s="26"/>
      <c r="AV22" s="4"/>
      <c r="AW22" s="4"/>
      <c r="AX22" s="4"/>
      <c r="AY22" s="4"/>
      <c r="AZ22" s="4"/>
      <c r="BA22" s="4"/>
      <c r="BE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8"/>
      <c r="BU22" s="38"/>
      <c r="BV22" s="38"/>
      <c r="BW22" s="38"/>
      <c r="BX22" s="38"/>
      <c r="BY22" s="38"/>
      <c r="BZ22" s="4"/>
      <c r="CA22" s="4"/>
      <c r="CB22" s="4"/>
      <c r="CC22" s="38"/>
      <c r="CD22" s="4"/>
      <c r="CE22" s="4"/>
      <c r="CF22" s="4"/>
      <c r="CG22" s="27" t="str">
        <f t="shared" si="3"/>
        <v>Hird</v>
      </c>
      <c r="CH22" s="28">
        <f>VLOOKUP(C22,'INPUT SHEET '!$U$84:$V$92,2,FALSE)</f>
        <v>2</v>
      </c>
      <c r="CI22" s="28">
        <f>VLOOKUP(D22,'INPUT SHEET '!$U$73:$AD$82,'INPUT SHEET '!CH22,FALSE)</f>
        <v>65</v>
      </c>
      <c r="CJ22" s="28">
        <f>VLOOKUP(G22,'INPUT SHEET '!$AK$74:$AS$92,CH22,FALSE)</f>
        <v>7</v>
      </c>
      <c r="CK22" s="29">
        <f>VLOOKUP(I22,'INPUT SHEET '!$AK$83:$AS$92,CH22,FALSE)</f>
        <v>0</v>
      </c>
      <c r="CL22" s="28">
        <f>IFERROR(VLOOKUP(J22,'INPUT SHEET '!$AU$74:$BD$126,$CH22,FALSE),0)</f>
        <v>5</v>
      </c>
      <c r="CM22" s="28">
        <f>IFERROR(VLOOKUP(K22,'INPUT SHEET '!$AU$74:$BD$126,$CH22,FALSE),0)</f>
        <v>6</v>
      </c>
      <c r="CN22" s="28">
        <f>IFERROR(VLOOKUP(L22,'INPUT SHEET '!$AU$74:$BD$126,$CH22,FALSE),0)</f>
        <v>0</v>
      </c>
      <c r="CO22" s="28">
        <f>IFERROR(VLOOKUP(M22,'INPUT SHEET '!$AU$74:$BD$126,$CH22,FALSE),0)</f>
        <v>0</v>
      </c>
      <c r="CP22" s="28">
        <f>IFERROR(VLOOKUP(N22,'INPUT SHEET '!$AU$74:$BD$126,$CH22,FALSE),0)</f>
        <v>0</v>
      </c>
      <c r="CQ22" s="28">
        <f t="shared" si="20"/>
        <v>83</v>
      </c>
      <c r="CR22" s="28"/>
      <c r="CS22" s="30">
        <f>VLOOKUP(E22,'INPUT SHEET '!$AF$73:$AG$76,2,0)</f>
        <v>1</v>
      </c>
      <c r="CT22" s="30">
        <f>VLOOKUP(F22,'INPUT SHEET '!$AF$85:$AG$90,2,0)</f>
        <v>1</v>
      </c>
      <c r="CU22" s="28">
        <f>IF(CK22=0,1,VLOOKUP(H22,'INPUT SHEET '!$AF$79:$AG$83,2,FALSE))</f>
        <v>1</v>
      </c>
      <c r="CV22" s="31">
        <f t="shared" si="18"/>
        <v>83</v>
      </c>
      <c r="CW22" s="31"/>
      <c r="CX22" s="31"/>
      <c r="CY22" s="31"/>
      <c r="CZ22" s="31"/>
      <c r="DA22" s="32"/>
      <c r="DB22" s="28">
        <f t="shared" si="5"/>
        <v>0</v>
      </c>
      <c r="DC22" s="28">
        <f t="shared" si="6"/>
        <v>0</v>
      </c>
      <c r="DD22" s="28">
        <f t="shared" si="7"/>
        <v>1</v>
      </c>
      <c r="DE22" s="28">
        <f t="shared" si="8"/>
        <v>1</v>
      </c>
      <c r="DF22" s="28">
        <f t="shared" si="9"/>
        <v>1</v>
      </c>
      <c r="DG22" s="28">
        <f t="shared" si="19"/>
        <v>1</v>
      </c>
      <c r="DH22" s="28">
        <f t="shared" si="10"/>
        <v>0</v>
      </c>
      <c r="DI22" s="28">
        <f t="shared" si="11"/>
        <v>0</v>
      </c>
      <c r="DJ22" s="28">
        <f t="shared" si="12"/>
        <v>0</v>
      </c>
      <c r="DK22" s="33"/>
      <c r="DL22" s="34">
        <f t="shared" si="13"/>
        <v>1</v>
      </c>
      <c r="DM22" s="28">
        <f t="shared" si="14"/>
        <v>0</v>
      </c>
      <c r="DN22" s="28">
        <f t="shared" si="15"/>
        <v>0</v>
      </c>
      <c r="DO22" s="28">
        <f t="shared" si="16"/>
        <v>0</v>
      </c>
      <c r="DP22" s="28" t="s">
        <v>76</v>
      </c>
      <c r="DQ22" s="32"/>
      <c r="DR22" s="32"/>
    </row>
    <row r="23" spans="1:122" ht="17.100000000000001" customHeight="1" thickBot="1">
      <c r="A23" s="240"/>
      <c r="B23" s="204"/>
      <c r="C23" s="205" t="s">
        <v>40</v>
      </c>
      <c r="D23" s="205" t="s">
        <v>153</v>
      </c>
      <c r="E23" s="205" t="s">
        <v>10</v>
      </c>
      <c r="F23" s="205" t="s">
        <v>51</v>
      </c>
      <c r="G23" s="205" t="s">
        <v>50</v>
      </c>
      <c r="H23" s="205" t="s">
        <v>50</v>
      </c>
      <c r="I23" s="205" t="s">
        <v>50</v>
      </c>
      <c r="J23" s="205" t="s">
        <v>50</v>
      </c>
      <c r="K23" s="205" t="s">
        <v>50</v>
      </c>
      <c r="L23" s="205" t="s">
        <v>50</v>
      </c>
      <c r="M23" s="205" t="s">
        <v>50</v>
      </c>
      <c r="N23" s="205" t="s">
        <v>50</v>
      </c>
      <c r="O23" s="205"/>
      <c r="P23" s="23">
        <f t="shared" si="0"/>
        <v>0</v>
      </c>
      <c r="Q23" s="24">
        <f t="shared" si="17"/>
        <v>0</v>
      </c>
      <c r="R23" s="25">
        <f t="shared" si="1"/>
        <v>0</v>
      </c>
      <c r="S23" s="241">
        <f t="shared" si="2"/>
        <v>0</v>
      </c>
      <c r="U23" s="4"/>
      <c r="X23" s="26"/>
      <c r="Y23" s="26"/>
      <c r="Z23" s="26"/>
      <c r="AA23" s="26"/>
      <c r="AB23" s="26"/>
      <c r="AC23" s="26"/>
      <c r="AF23" s="26"/>
      <c r="AG23" s="26"/>
      <c r="AV23" s="4"/>
      <c r="AW23" s="4"/>
      <c r="AX23" s="4"/>
      <c r="AY23" s="4"/>
      <c r="AZ23" s="4"/>
      <c r="BA23" s="4"/>
      <c r="BE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8"/>
      <c r="BU23" s="38"/>
      <c r="BV23" s="38"/>
      <c r="BW23" s="38"/>
      <c r="BX23" s="38"/>
      <c r="BY23" s="38"/>
      <c r="BZ23" s="4"/>
      <c r="CA23" s="4"/>
      <c r="CB23" s="4"/>
      <c r="CC23" s="38"/>
      <c r="CD23" s="4"/>
      <c r="CE23" s="4"/>
      <c r="CF23" s="4"/>
      <c r="CG23" s="27">
        <f t="shared" si="3"/>
        <v>0</v>
      </c>
      <c r="CH23" s="28">
        <f>VLOOKUP(C23,'INPUT SHEET '!$U$84:$V$92,2,FALSE)</f>
        <v>2</v>
      </c>
      <c r="CI23" s="28">
        <f>VLOOKUP(D23,'INPUT SHEET '!$U$73:$AD$82,'INPUT SHEET '!CH23,FALSE)</f>
        <v>60</v>
      </c>
      <c r="CJ23" s="28">
        <f>VLOOKUP(G23,'INPUT SHEET '!$AK$74:$AS$92,CH23,FALSE)</f>
        <v>0</v>
      </c>
      <c r="CK23" s="29">
        <f>VLOOKUP(I23,'INPUT SHEET '!$AK$83:$AS$92,CH23,FALSE)</f>
        <v>0</v>
      </c>
      <c r="CL23" s="28">
        <f>IFERROR(VLOOKUP(J23,'INPUT SHEET '!$AU$74:$BD$126,$CH23,FALSE),0)</f>
        <v>0</v>
      </c>
      <c r="CM23" s="28">
        <f>IFERROR(VLOOKUP(K23,'INPUT SHEET '!$AU$74:$BD$126,$CH23,FALSE),0)</f>
        <v>0</v>
      </c>
      <c r="CN23" s="28">
        <f>IFERROR(VLOOKUP(L23,'INPUT SHEET '!$AU$74:$BD$126,$CH23,FALSE),0)</f>
        <v>0</v>
      </c>
      <c r="CO23" s="28">
        <f>IFERROR(VLOOKUP(M23,'INPUT SHEET '!$AU$74:$BD$126,$CH23,FALSE),0)</f>
        <v>0</v>
      </c>
      <c r="CP23" s="28">
        <f>IFERROR(VLOOKUP(N23,'INPUT SHEET '!$AU$74:$BD$126,$CH23,FALSE),0)</f>
        <v>0</v>
      </c>
      <c r="CQ23" s="28">
        <f t="shared" si="20"/>
        <v>60</v>
      </c>
      <c r="CR23" s="28"/>
      <c r="CS23" s="30">
        <f>VLOOKUP(E23,'INPUT SHEET '!$AF$73:$AG$76,2,0)</f>
        <v>1</v>
      </c>
      <c r="CT23" s="30">
        <f>VLOOKUP(F23,'INPUT SHEET '!$AF$85:$AG$90,2,0)</f>
        <v>1</v>
      </c>
      <c r="CU23" s="28">
        <f>IF(CK23=0,1,VLOOKUP(H23,'INPUT SHEET '!$AF$79:$AG$83,2,FALSE))</f>
        <v>1</v>
      </c>
      <c r="CV23" s="31">
        <f t="shared" si="18"/>
        <v>60</v>
      </c>
      <c r="CW23" s="31"/>
      <c r="CX23" s="31"/>
      <c r="CY23" s="31"/>
      <c r="CZ23" s="31"/>
      <c r="DA23" s="32"/>
      <c r="DB23" s="28">
        <f t="shared" si="5"/>
        <v>0</v>
      </c>
      <c r="DC23" s="28">
        <f t="shared" si="6"/>
        <v>0</v>
      </c>
      <c r="DD23" s="28">
        <f t="shared" si="7"/>
        <v>1</v>
      </c>
      <c r="DE23" s="28">
        <f t="shared" si="8"/>
        <v>1</v>
      </c>
      <c r="DF23" s="28">
        <f t="shared" si="9"/>
        <v>1</v>
      </c>
      <c r="DG23" s="28">
        <f t="shared" si="19"/>
        <v>1</v>
      </c>
      <c r="DH23" s="28">
        <f t="shared" si="10"/>
        <v>0</v>
      </c>
      <c r="DI23" s="28">
        <f t="shared" si="11"/>
        <v>0</v>
      </c>
      <c r="DJ23" s="28">
        <f t="shared" si="12"/>
        <v>0</v>
      </c>
      <c r="DK23" s="33"/>
      <c r="DL23" s="34">
        <f t="shared" si="13"/>
        <v>0</v>
      </c>
      <c r="DM23" s="28">
        <f t="shared" si="14"/>
        <v>0</v>
      </c>
      <c r="DN23" s="28">
        <f t="shared" si="15"/>
        <v>0</v>
      </c>
      <c r="DO23" s="28">
        <f t="shared" si="16"/>
        <v>0</v>
      </c>
      <c r="DP23" s="28" t="s">
        <v>76</v>
      </c>
      <c r="DQ23" s="32"/>
      <c r="DR23" s="32"/>
    </row>
    <row r="24" spans="1:122" ht="17.100000000000001" customHeight="1" thickBot="1">
      <c r="A24" s="240"/>
      <c r="B24" s="204"/>
      <c r="C24" s="205" t="s">
        <v>40</v>
      </c>
      <c r="D24" s="205" t="s">
        <v>153</v>
      </c>
      <c r="E24" s="205" t="s">
        <v>10</v>
      </c>
      <c r="F24" s="205" t="s">
        <v>51</v>
      </c>
      <c r="G24" s="205" t="s">
        <v>50</v>
      </c>
      <c r="H24" s="205" t="s">
        <v>50</v>
      </c>
      <c r="I24" s="205" t="s">
        <v>50</v>
      </c>
      <c r="J24" s="205" t="s">
        <v>50</v>
      </c>
      <c r="K24" s="205" t="s">
        <v>50</v>
      </c>
      <c r="L24" s="205" t="s">
        <v>50</v>
      </c>
      <c r="M24" s="205" t="s">
        <v>50</v>
      </c>
      <c r="N24" s="205" t="s">
        <v>50</v>
      </c>
      <c r="O24" s="205"/>
      <c r="P24" s="23">
        <f t="shared" si="0"/>
        <v>0</v>
      </c>
      <c r="Q24" s="24">
        <f t="shared" si="17"/>
        <v>0</v>
      </c>
      <c r="R24" s="25">
        <f t="shared" si="1"/>
        <v>0</v>
      </c>
      <c r="S24" s="241">
        <f t="shared" si="2"/>
        <v>0</v>
      </c>
      <c r="U24" s="4"/>
      <c r="X24" s="26"/>
      <c r="Y24" s="26"/>
      <c r="Z24" s="26"/>
      <c r="AA24" s="26"/>
      <c r="AB24" s="26"/>
      <c r="AC24" s="26"/>
      <c r="AF24" s="26"/>
      <c r="AG24" s="26"/>
      <c r="AV24" s="4"/>
      <c r="AW24" s="4"/>
      <c r="AX24" s="4"/>
      <c r="AY24" s="4"/>
      <c r="AZ24" s="4"/>
      <c r="BA24" s="4"/>
      <c r="BE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8"/>
      <c r="BU24" s="38"/>
      <c r="BV24" s="38"/>
      <c r="BW24" s="38"/>
      <c r="BX24" s="38"/>
      <c r="BY24" s="38"/>
      <c r="BZ24" s="4"/>
      <c r="CA24" s="4"/>
      <c r="CB24" s="4"/>
      <c r="CC24" s="38"/>
      <c r="CD24" s="4"/>
      <c r="CE24" s="4"/>
      <c r="CF24" s="4"/>
      <c r="CG24" s="27">
        <f t="shared" si="3"/>
        <v>0</v>
      </c>
      <c r="CH24" s="28">
        <f>VLOOKUP(C24,'INPUT SHEET '!$U$84:$V$92,2,FALSE)</f>
        <v>2</v>
      </c>
      <c r="CI24" s="28">
        <f>VLOOKUP(D24,'INPUT SHEET '!$U$73:$AD$82,'INPUT SHEET '!CH24,FALSE)</f>
        <v>60</v>
      </c>
      <c r="CJ24" s="28">
        <f>VLOOKUP(G24,'INPUT SHEET '!$AK$74:$AS$92,CH24,FALSE)</f>
        <v>0</v>
      </c>
      <c r="CK24" s="29">
        <f>VLOOKUP(I24,'INPUT SHEET '!$AK$83:$AS$92,CH24,FALSE)</f>
        <v>0</v>
      </c>
      <c r="CL24" s="28">
        <f>IFERROR(VLOOKUP(J24,'INPUT SHEET '!$AU$74:$BD$126,$CH24,FALSE),0)</f>
        <v>0</v>
      </c>
      <c r="CM24" s="28">
        <f>IFERROR(VLOOKUP(K24,'INPUT SHEET '!$AU$74:$BD$126,$CH24,FALSE),0)</f>
        <v>0</v>
      </c>
      <c r="CN24" s="28">
        <f>IFERROR(VLOOKUP(L24,'INPUT SHEET '!$AU$74:$BD$126,$CH24,FALSE),0)</f>
        <v>0</v>
      </c>
      <c r="CO24" s="28">
        <f>IFERROR(VLOOKUP(M24,'INPUT SHEET '!$AU$74:$BD$126,$CH24,FALSE),0)</f>
        <v>0</v>
      </c>
      <c r="CP24" s="28">
        <f>IFERROR(VLOOKUP(N24,'INPUT SHEET '!$AU$74:$BD$126,$CH24,FALSE),0)</f>
        <v>0</v>
      </c>
      <c r="CQ24" s="28">
        <f t="shared" si="20"/>
        <v>60</v>
      </c>
      <c r="CR24" s="28"/>
      <c r="CS24" s="30">
        <f>VLOOKUP(E24,'INPUT SHEET '!$AF$73:$AG$76,2,0)</f>
        <v>1</v>
      </c>
      <c r="CT24" s="30">
        <f>VLOOKUP(F24,'INPUT SHEET '!$AF$85:$AG$90,2,0)</f>
        <v>1</v>
      </c>
      <c r="CU24" s="28">
        <f>IF(CK24=0,1,VLOOKUP(H24,'INPUT SHEET '!$AF$79:$AG$83,2,FALSE))</f>
        <v>1</v>
      </c>
      <c r="CV24" s="31">
        <f t="shared" si="18"/>
        <v>60</v>
      </c>
      <c r="CW24" s="31"/>
      <c r="CX24" s="31"/>
      <c r="CY24" s="31"/>
      <c r="CZ24" s="31"/>
      <c r="DA24" s="32"/>
      <c r="DB24" s="28">
        <f t="shared" si="5"/>
        <v>0</v>
      </c>
      <c r="DC24" s="28">
        <f t="shared" si="6"/>
        <v>0</v>
      </c>
      <c r="DD24" s="28">
        <f t="shared" si="7"/>
        <v>1</v>
      </c>
      <c r="DE24" s="28">
        <f t="shared" si="8"/>
        <v>1</v>
      </c>
      <c r="DF24" s="28">
        <f t="shared" si="9"/>
        <v>1</v>
      </c>
      <c r="DG24" s="28">
        <f t="shared" si="19"/>
        <v>1</v>
      </c>
      <c r="DH24" s="28">
        <f t="shared" si="10"/>
        <v>0</v>
      </c>
      <c r="DI24" s="28">
        <f t="shared" si="11"/>
        <v>0</v>
      </c>
      <c r="DJ24" s="28">
        <f t="shared" si="12"/>
        <v>0</v>
      </c>
      <c r="DK24" s="33"/>
      <c r="DL24" s="34">
        <f t="shared" si="13"/>
        <v>0</v>
      </c>
      <c r="DM24" s="28">
        <f t="shared" si="14"/>
        <v>0</v>
      </c>
      <c r="DN24" s="28">
        <f t="shared" si="15"/>
        <v>0</v>
      </c>
      <c r="DO24" s="28">
        <f t="shared" si="16"/>
        <v>0</v>
      </c>
      <c r="DP24" s="28" t="s">
        <v>76</v>
      </c>
      <c r="DQ24" s="32"/>
      <c r="DR24" s="32"/>
    </row>
    <row r="25" spans="1:122" ht="17.100000000000001" customHeight="1" thickBot="1">
      <c r="A25" s="240"/>
      <c r="B25" s="204"/>
      <c r="C25" s="205" t="s">
        <v>40</v>
      </c>
      <c r="D25" s="205" t="s">
        <v>153</v>
      </c>
      <c r="E25" s="205" t="s">
        <v>10</v>
      </c>
      <c r="F25" s="205" t="s">
        <v>51</v>
      </c>
      <c r="G25" s="205" t="s">
        <v>50</v>
      </c>
      <c r="H25" s="205" t="s">
        <v>50</v>
      </c>
      <c r="I25" s="205" t="s">
        <v>50</v>
      </c>
      <c r="J25" s="205" t="s">
        <v>50</v>
      </c>
      <c r="K25" s="205" t="s">
        <v>50</v>
      </c>
      <c r="L25" s="205" t="s">
        <v>50</v>
      </c>
      <c r="M25" s="205" t="s">
        <v>50</v>
      </c>
      <c r="N25" s="205" t="s">
        <v>50</v>
      </c>
      <c r="O25" s="205"/>
      <c r="P25" s="23">
        <f t="shared" si="0"/>
        <v>0</v>
      </c>
      <c r="Q25" s="24">
        <f t="shared" si="17"/>
        <v>0</v>
      </c>
      <c r="R25" s="25">
        <f t="shared" si="1"/>
        <v>0</v>
      </c>
      <c r="S25" s="241">
        <f t="shared" si="2"/>
        <v>0</v>
      </c>
      <c r="U25" s="4"/>
      <c r="X25" s="26"/>
      <c r="Y25" s="26"/>
      <c r="Z25" s="26"/>
      <c r="AA25" s="26"/>
      <c r="AB25" s="26"/>
      <c r="AC25" s="26"/>
      <c r="AF25" s="26"/>
      <c r="AG25" s="26"/>
      <c r="AV25" s="4"/>
      <c r="AW25" s="4"/>
      <c r="AX25" s="4"/>
      <c r="AY25" s="4"/>
      <c r="AZ25" s="4"/>
      <c r="BA25" s="4"/>
      <c r="BE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8"/>
      <c r="BU25" s="38"/>
      <c r="BV25" s="38"/>
      <c r="BW25" s="38"/>
      <c r="BX25" s="38"/>
      <c r="BY25" s="38"/>
      <c r="BZ25" s="4"/>
      <c r="CA25" s="4"/>
      <c r="CB25" s="4"/>
      <c r="CC25" s="38"/>
      <c r="CD25" s="4"/>
      <c r="CE25" s="4"/>
      <c r="CF25" s="4"/>
      <c r="CG25" s="27">
        <f t="shared" si="3"/>
        <v>0</v>
      </c>
      <c r="CH25" s="28">
        <f>VLOOKUP(C25,'INPUT SHEET '!$U$84:$V$92,2,FALSE)</f>
        <v>2</v>
      </c>
      <c r="CI25" s="28">
        <f>VLOOKUP(D25,'INPUT SHEET '!$U$73:$AD$82,'INPUT SHEET '!CH25,FALSE)</f>
        <v>60</v>
      </c>
      <c r="CJ25" s="28">
        <f>VLOOKUP(G25,'INPUT SHEET '!$AK$74:$AS$92,CH25,FALSE)</f>
        <v>0</v>
      </c>
      <c r="CK25" s="29">
        <f>VLOOKUP(I25,'INPUT SHEET '!$AK$83:$AS$92,CH25,FALSE)</f>
        <v>0</v>
      </c>
      <c r="CL25" s="28">
        <f>IFERROR(VLOOKUP(J25,'INPUT SHEET '!$AU$74:$BD$126,$CH25,FALSE),0)</f>
        <v>0</v>
      </c>
      <c r="CM25" s="28">
        <f>IFERROR(VLOOKUP(K25,'INPUT SHEET '!$AU$74:$BD$126,$CH25,FALSE),0)</f>
        <v>0</v>
      </c>
      <c r="CN25" s="28">
        <f>IFERROR(VLOOKUP(L25,'INPUT SHEET '!$AU$74:$BD$126,$CH25,FALSE),0)</f>
        <v>0</v>
      </c>
      <c r="CO25" s="28">
        <f>IFERROR(VLOOKUP(M25,'INPUT SHEET '!$AU$74:$BD$126,$CH25,FALSE),0)</f>
        <v>0</v>
      </c>
      <c r="CP25" s="28">
        <f>IFERROR(VLOOKUP(N25,'INPUT SHEET '!$AU$74:$BD$126,$CH25,FALSE),0)</f>
        <v>0</v>
      </c>
      <c r="CQ25" s="28">
        <f t="shared" si="20"/>
        <v>60</v>
      </c>
      <c r="CR25" s="28"/>
      <c r="CS25" s="30">
        <f>VLOOKUP(E25,'INPUT SHEET '!$AF$73:$AG$76,2,0)</f>
        <v>1</v>
      </c>
      <c r="CT25" s="30">
        <f>VLOOKUP(F25,'INPUT SHEET '!$AF$85:$AG$90,2,0)</f>
        <v>1</v>
      </c>
      <c r="CU25" s="28">
        <f>IF(CK25=0,1,VLOOKUP(H25,'INPUT SHEET '!$AF$79:$AG$83,2,FALSE))</f>
        <v>1</v>
      </c>
      <c r="CV25" s="31">
        <f t="shared" si="18"/>
        <v>60</v>
      </c>
      <c r="CW25" s="31"/>
      <c r="CX25" s="31"/>
      <c r="CY25" s="31"/>
      <c r="CZ25" s="31"/>
      <c r="DA25" s="32"/>
      <c r="DB25" s="28">
        <f t="shared" si="5"/>
        <v>0</v>
      </c>
      <c r="DC25" s="28">
        <f t="shared" si="6"/>
        <v>0</v>
      </c>
      <c r="DD25" s="28">
        <f t="shared" si="7"/>
        <v>1</v>
      </c>
      <c r="DE25" s="28">
        <f t="shared" si="8"/>
        <v>1</v>
      </c>
      <c r="DF25" s="28">
        <f t="shared" si="9"/>
        <v>1</v>
      </c>
      <c r="DG25" s="28">
        <f t="shared" si="19"/>
        <v>1</v>
      </c>
      <c r="DH25" s="28">
        <f t="shared" si="10"/>
        <v>0</v>
      </c>
      <c r="DI25" s="28">
        <f t="shared" si="11"/>
        <v>0</v>
      </c>
      <c r="DJ25" s="28">
        <f t="shared" si="12"/>
        <v>0</v>
      </c>
      <c r="DK25" s="33"/>
      <c r="DL25" s="34">
        <f t="shared" si="13"/>
        <v>0</v>
      </c>
      <c r="DM25" s="28">
        <f t="shared" si="14"/>
        <v>0</v>
      </c>
      <c r="DN25" s="28">
        <f t="shared" si="15"/>
        <v>0</v>
      </c>
      <c r="DO25" s="28">
        <f t="shared" si="16"/>
        <v>0</v>
      </c>
      <c r="DP25" s="28" t="s">
        <v>76</v>
      </c>
      <c r="DQ25" s="32"/>
      <c r="DR25" s="32"/>
    </row>
    <row r="26" spans="1:122" ht="17.100000000000001" customHeight="1" thickBot="1">
      <c r="A26" s="240"/>
      <c r="B26" s="204"/>
      <c r="C26" s="205" t="s">
        <v>40</v>
      </c>
      <c r="D26" s="205" t="s">
        <v>153</v>
      </c>
      <c r="E26" s="205" t="s">
        <v>10</v>
      </c>
      <c r="F26" s="205" t="s">
        <v>51</v>
      </c>
      <c r="G26" s="205" t="s">
        <v>50</v>
      </c>
      <c r="H26" s="205" t="s">
        <v>50</v>
      </c>
      <c r="I26" s="205" t="s">
        <v>50</v>
      </c>
      <c r="J26" s="205" t="s">
        <v>50</v>
      </c>
      <c r="K26" s="205" t="s">
        <v>50</v>
      </c>
      <c r="L26" s="205" t="s">
        <v>50</v>
      </c>
      <c r="M26" s="205" t="s">
        <v>50</v>
      </c>
      <c r="N26" s="205" t="s">
        <v>50</v>
      </c>
      <c r="O26" s="205"/>
      <c r="P26" s="23">
        <f t="shared" si="0"/>
        <v>0</v>
      </c>
      <c r="Q26" s="24">
        <f t="shared" si="17"/>
        <v>0</v>
      </c>
      <c r="R26" s="25">
        <f t="shared" si="1"/>
        <v>0</v>
      </c>
      <c r="S26" s="241">
        <f t="shared" si="2"/>
        <v>0</v>
      </c>
      <c r="U26" s="4"/>
      <c r="X26" s="26"/>
      <c r="Y26" s="26"/>
      <c r="Z26" s="26"/>
      <c r="AA26" s="26"/>
      <c r="AB26" s="26"/>
      <c r="AC26" s="26"/>
      <c r="AF26" s="26"/>
      <c r="AG26" s="26"/>
      <c r="AV26" s="4"/>
      <c r="AW26" s="4"/>
      <c r="AX26" s="4"/>
      <c r="AY26" s="4"/>
      <c r="AZ26" s="4"/>
      <c r="BA26" s="4"/>
      <c r="BE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8"/>
      <c r="BU26" s="38"/>
      <c r="BV26" s="38"/>
      <c r="BW26" s="38"/>
      <c r="BX26" s="38"/>
      <c r="BY26" s="38"/>
      <c r="BZ26" s="4"/>
      <c r="CA26" s="4"/>
      <c r="CB26" s="4"/>
      <c r="CC26" s="38"/>
      <c r="CD26" s="4"/>
      <c r="CE26" s="4"/>
      <c r="CF26" s="4"/>
      <c r="CG26" s="27">
        <f t="shared" si="3"/>
        <v>0</v>
      </c>
      <c r="CH26" s="28">
        <f>VLOOKUP(C26,'INPUT SHEET '!$U$84:$V$92,2,FALSE)</f>
        <v>2</v>
      </c>
      <c r="CI26" s="28">
        <f>VLOOKUP(D26,'INPUT SHEET '!$U$73:$AD$82,'INPUT SHEET '!CH26,FALSE)</f>
        <v>60</v>
      </c>
      <c r="CJ26" s="28">
        <f>VLOOKUP(G26,'INPUT SHEET '!$AK$74:$AS$92,CH26,FALSE)</f>
        <v>0</v>
      </c>
      <c r="CK26" s="29">
        <f>VLOOKUP(I26,'INPUT SHEET '!$AK$83:$AS$92,CH26,FALSE)</f>
        <v>0</v>
      </c>
      <c r="CL26" s="28">
        <f>IFERROR(VLOOKUP(J26,'INPUT SHEET '!$AU$74:$BD$126,$CH26,FALSE),0)</f>
        <v>0</v>
      </c>
      <c r="CM26" s="28">
        <f>IFERROR(VLOOKUP(K26,'INPUT SHEET '!$AU$74:$BD$126,$CH26,FALSE),0)</f>
        <v>0</v>
      </c>
      <c r="CN26" s="28">
        <f>IFERROR(VLOOKUP(L26,'INPUT SHEET '!$AU$74:$BD$126,$CH26,FALSE),0)</f>
        <v>0</v>
      </c>
      <c r="CO26" s="28">
        <f>IFERROR(VLOOKUP(M26,'INPUT SHEET '!$AU$74:$BD$126,$CH26,FALSE),0)</f>
        <v>0</v>
      </c>
      <c r="CP26" s="28">
        <f>IFERROR(VLOOKUP(N26,'INPUT SHEET '!$AU$74:$BD$126,$CH26,FALSE),0)</f>
        <v>0</v>
      </c>
      <c r="CQ26" s="28">
        <f t="shared" si="4"/>
        <v>60</v>
      </c>
      <c r="CR26" s="28"/>
      <c r="CS26" s="30">
        <f>VLOOKUP(E26,'INPUT SHEET '!$AF$73:$AG$76,2,0)</f>
        <v>1</v>
      </c>
      <c r="CT26" s="30">
        <f>VLOOKUP(F26,'INPUT SHEET '!$AF$85:$AG$90,2,0)</f>
        <v>1</v>
      </c>
      <c r="CU26" s="28">
        <f>IF(CK26=0,1,VLOOKUP(H26,'INPUT SHEET '!$AF$79:$AG$83,2,FALSE))</f>
        <v>1</v>
      </c>
      <c r="CV26" s="31">
        <f t="shared" si="18"/>
        <v>60</v>
      </c>
      <c r="CW26" s="31"/>
      <c r="CX26" s="31"/>
      <c r="CY26" s="31"/>
      <c r="CZ26" s="31"/>
      <c r="DA26" s="32"/>
      <c r="DB26" s="28">
        <f t="shared" si="5"/>
        <v>0</v>
      </c>
      <c r="DC26" s="28">
        <f t="shared" si="6"/>
        <v>0</v>
      </c>
      <c r="DD26" s="28">
        <f t="shared" si="7"/>
        <v>1</v>
      </c>
      <c r="DE26" s="28">
        <f t="shared" si="8"/>
        <v>1</v>
      </c>
      <c r="DF26" s="28">
        <f t="shared" si="9"/>
        <v>1</v>
      </c>
      <c r="DG26" s="28">
        <f t="shared" si="19"/>
        <v>1</v>
      </c>
      <c r="DH26" s="28">
        <f t="shared" si="10"/>
        <v>0</v>
      </c>
      <c r="DI26" s="28">
        <f t="shared" si="11"/>
        <v>0</v>
      </c>
      <c r="DJ26" s="28">
        <f t="shared" si="12"/>
        <v>0</v>
      </c>
      <c r="DK26" s="33"/>
      <c r="DL26" s="34">
        <f t="shared" si="13"/>
        <v>0</v>
      </c>
      <c r="DM26" s="28">
        <f t="shared" si="14"/>
        <v>0</v>
      </c>
      <c r="DN26" s="28">
        <f t="shared" si="15"/>
        <v>0</v>
      </c>
      <c r="DO26" s="28">
        <f t="shared" si="16"/>
        <v>0</v>
      </c>
      <c r="DP26" s="28" t="s">
        <v>76</v>
      </c>
      <c r="DQ26" s="32"/>
      <c r="DR26" s="32"/>
    </row>
    <row r="27" spans="1:122" ht="17.100000000000001" customHeight="1" thickBot="1">
      <c r="A27" s="240"/>
      <c r="B27" s="204"/>
      <c r="C27" s="205" t="s">
        <v>40</v>
      </c>
      <c r="D27" s="205" t="s">
        <v>153</v>
      </c>
      <c r="E27" s="205" t="s">
        <v>10</v>
      </c>
      <c r="F27" s="205" t="s">
        <v>51</v>
      </c>
      <c r="G27" s="205" t="s">
        <v>50</v>
      </c>
      <c r="H27" s="205" t="s">
        <v>50</v>
      </c>
      <c r="I27" s="205" t="s">
        <v>50</v>
      </c>
      <c r="J27" s="205" t="s">
        <v>50</v>
      </c>
      <c r="K27" s="205" t="s">
        <v>50</v>
      </c>
      <c r="L27" s="205" t="s">
        <v>50</v>
      </c>
      <c r="M27" s="205" t="s">
        <v>50</v>
      </c>
      <c r="N27" s="205" t="s">
        <v>50</v>
      </c>
      <c r="O27" s="205"/>
      <c r="P27" s="23">
        <f t="shared" si="0"/>
        <v>0</v>
      </c>
      <c r="Q27" s="24">
        <f t="shared" si="17"/>
        <v>0</v>
      </c>
      <c r="R27" s="25">
        <f t="shared" si="1"/>
        <v>0</v>
      </c>
      <c r="S27" s="241">
        <f t="shared" si="2"/>
        <v>0</v>
      </c>
      <c r="U27" s="4"/>
      <c r="X27" s="26"/>
      <c r="Y27" s="26"/>
      <c r="Z27" s="26"/>
      <c r="AA27" s="26"/>
      <c r="AB27" s="26"/>
      <c r="AC27" s="26"/>
      <c r="AF27" s="26"/>
      <c r="AG27" s="26"/>
      <c r="AV27" s="4"/>
      <c r="AW27" s="4"/>
      <c r="AX27" s="4"/>
      <c r="AY27" s="4"/>
      <c r="AZ27" s="4"/>
      <c r="BA27" s="4"/>
      <c r="BE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8"/>
      <c r="BU27" s="38"/>
      <c r="BV27" s="38"/>
      <c r="BW27" s="38"/>
      <c r="BX27" s="38"/>
      <c r="BY27" s="38"/>
      <c r="BZ27" s="4"/>
      <c r="CA27" s="4"/>
      <c r="CB27" s="4"/>
      <c r="CC27" s="38"/>
      <c r="CD27" s="4"/>
      <c r="CE27" s="4"/>
      <c r="CF27" s="4"/>
      <c r="CG27" s="27">
        <f t="shared" si="3"/>
        <v>0</v>
      </c>
      <c r="CH27" s="28">
        <f>VLOOKUP(C27,'INPUT SHEET '!$U$84:$V$92,2,FALSE)</f>
        <v>2</v>
      </c>
      <c r="CI27" s="28">
        <f>VLOOKUP(D27,'INPUT SHEET '!$U$73:$AD$82,'INPUT SHEET '!CH27,FALSE)</f>
        <v>60</v>
      </c>
      <c r="CJ27" s="28">
        <f>VLOOKUP(G27,'INPUT SHEET '!$AK$74:$AS$92,CH27,FALSE)</f>
        <v>0</v>
      </c>
      <c r="CK27" s="29">
        <f>VLOOKUP(I27,'INPUT SHEET '!$AK$83:$AS$92,CH27,FALSE)</f>
        <v>0</v>
      </c>
      <c r="CL27" s="28">
        <f>IFERROR(VLOOKUP(J27,'INPUT SHEET '!$AU$74:$BD$126,$CH27,FALSE),0)</f>
        <v>0</v>
      </c>
      <c r="CM27" s="28">
        <f>IFERROR(VLOOKUP(K27,'INPUT SHEET '!$AU$74:$BD$126,$CH27,FALSE),0)</f>
        <v>0</v>
      </c>
      <c r="CN27" s="28">
        <f>IFERROR(VLOOKUP(L27,'INPUT SHEET '!$AU$74:$BD$126,$CH27,FALSE),0)</f>
        <v>0</v>
      </c>
      <c r="CO27" s="28">
        <f>IFERROR(VLOOKUP(M27,'INPUT SHEET '!$AU$74:$BD$126,$CH27,FALSE),0)</f>
        <v>0</v>
      </c>
      <c r="CP27" s="28">
        <f>IFERROR(VLOOKUP(N27,'INPUT SHEET '!$AU$74:$BD$126,$CH27,FALSE),0)</f>
        <v>0</v>
      </c>
      <c r="CQ27" s="28">
        <f t="shared" si="4"/>
        <v>60</v>
      </c>
      <c r="CR27" s="28"/>
      <c r="CS27" s="30">
        <f>VLOOKUP(E27,'INPUT SHEET '!$AF$73:$AG$76,2,0)</f>
        <v>1</v>
      </c>
      <c r="CT27" s="30">
        <f>VLOOKUP(F27,'INPUT SHEET '!$AF$85:$AG$90,2,0)</f>
        <v>1</v>
      </c>
      <c r="CU27" s="28">
        <f>IF(CK27=0,1,VLOOKUP(H27,'INPUT SHEET '!$AF$79:$AG$83,2,FALSE))</f>
        <v>1</v>
      </c>
      <c r="CV27" s="31">
        <f t="shared" si="18"/>
        <v>60</v>
      </c>
      <c r="CW27" s="31"/>
      <c r="CX27" s="31"/>
      <c r="CY27" s="31"/>
      <c r="CZ27" s="31"/>
      <c r="DA27" s="32"/>
      <c r="DB27" s="28">
        <f t="shared" si="5"/>
        <v>0</v>
      </c>
      <c r="DC27" s="28">
        <f t="shared" si="6"/>
        <v>0</v>
      </c>
      <c r="DD27" s="28">
        <f t="shared" si="7"/>
        <v>1</v>
      </c>
      <c r="DE27" s="28">
        <f t="shared" si="8"/>
        <v>1</v>
      </c>
      <c r="DF27" s="28">
        <f t="shared" si="9"/>
        <v>1</v>
      </c>
      <c r="DG27" s="28">
        <f t="shared" si="19"/>
        <v>1</v>
      </c>
      <c r="DH27" s="28">
        <f t="shared" si="10"/>
        <v>0</v>
      </c>
      <c r="DI27" s="28">
        <f t="shared" si="11"/>
        <v>0</v>
      </c>
      <c r="DJ27" s="28">
        <f t="shared" si="12"/>
        <v>0</v>
      </c>
      <c r="DK27" s="33"/>
      <c r="DL27" s="34">
        <f t="shared" si="13"/>
        <v>0</v>
      </c>
      <c r="DM27" s="28">
        <f t="shared" si="14"/>
        <v>0</v>
      </c>
      <c r="DN27" s="28">
        <f t="shared" si="15"/>
        <v>0</v>
      </c>
      <c r="DO27" s="28">
        <f t="shared" si="16"/>
        <v>0</v>
      </c>
      <c r="DP27" s="28" t="s">
        <v>76</v>
      </c>
      <c r="DQ27" s="32"/>
      <c r="DR27" s="32"/>
    </row>
    <row r="28" spans="1:122" ht="17.100000000000001" customHeight="1" thickBot="1">
      <c r="A28" s="240"/>
      <c r="B28" s="204"/>
      <c r="C28" s="205" t="s">
        <v>40</v>
      </c>
      <c r="D28" s="205" t="s">
        <v>153</v>
      </c>
      <c r="E28" s="205" t="s">
        <v>10</v>
      </c>
      <c r="F28" s="205" t="s">
        <v>51</v>
      </c>
      <c r="G28" s="205" t="s">
        <v>50</v>
      </c>
      <c r="H28" s="205" t="s">
        <v>50</v>
      </c>
      <c r="I28" s="205" t="s">
        <v>50</v>
      </c>
      <c r="J28" s="205" t="s">
        <v>50</v>
      </c>
      <c r="K28" s="205" t="s">
        <v>50</v>
      </c>
      <c r="L28" s="205" t="s">
        <v>50</v>
      </c>
      <c r="M28" s="205" t="s">
        <v>50</v>
      </c>
      <c r="N28" s="205" t="s">
        <v>50</v>
      </c>
      <c r="O28" s="205"/>
      <c r="P28" s="23">
        <f t="shared" si="0"/>
        <v>0</v>
      </c>
      <c r="Q28" s="24">
        <f t="shared" si="17"/>
        <v>0</v>
      </c>
      <c r="R28" s="25">
        <f t="shared" si="1"/>
        <v>0</v>
      </c>
      <c r="S28" s="241">
        <f t="shared" si="2"/>
        <v>0</v>
      </c>
      <c r="U28" s="4"/>
      <c r="X28" s="26"/>
      <c r="Y28" s="26"/>
      <c r="Z28" s="26"/>
      <c r="AA28" s="26"/>
      <c r="AB28" s="26"/>
      <c r="AC28" s="26"/>
      <c r="AF28" s="26"/>
      <c r="AG28" s="26"/>
      <c r="AV28" s="4"/>
      <c r="AW28" s="4"/>
      <c r="AX28" s="4"/>
      <c r="AY28" s="4"/>
      <c r="AZ28" s="4"/>
      <c r="BA28" s="4"/>
      <c r="BE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8"/>
      <c r="BU28" s="38"/>
      <c r="BV28" s="38"/>
      <c r="BW28" s="38"/>
      <c r="BX28" s="38"/>
      <c r="BY28" s="38"/>
      <c r="BZ28" s="4"/>
      <c r="CA28" s="4"/>
      <c r="CB28" s="4"/>
      <c r="CC28" s="38"/>
      <c r="CD28" s="4"/>
      <c r="CE28" s="4"/>
      <c r="CF28" s="4"/>
      <c r="CG28" s="27">
        <f t="shared" si="3"/>
        <v>0</v>
      </c>
      <c r="CH28" s="28">
        <f>VLOOKUP(C28,'INPUT SHEET '!$U$84:$V$92,2,FALSE)</f>
        <v>2</v>
      </c>
      <c r="CI28" s="28">
        <f>VLOOKUP(D28,'INPUT SHEET '!$U$73:$AD$82,'INPUT SHEET '!CH28,FALSE)</f>
        <v>60</v>
      </c>
      <c r="CJ28" s="28">
        <f>VLOOKUP(G28,'INPUT SHEET '!$AK$74:$AS$92,CH28,FALSE)</f>
        <v>0</v>
      </c>
      <c r="CK28" s="29">
        <f>VLOOKUP(I28,'INPUT SHEET '!$AK$83:$AS$92,CH28,FALSE)</f>
        <v>0</v>
      </c>
      <c r="CL28" s="28">
        <f>IFERROR(VLOOKUP(J28,'INPUT SHEET '!$AU$74:$BD$126,$CH28,FALSE),0)</f>
        <v>0</v>
      </c>
      <c r="CM28" s="28">
        <f>IFERROR(VLOOKUP(K28,'INPUT SHEET '!$AU$74:$BD$126,$CH28,FALSE),0)</f>
        <v>0</v>
      </c>
      <c r="CN28" s="28">
        <f>IFERROR(VLOOKUP(L28,'INPUT SHEET '!$AU$74:$BD$126,$CH28,FALSE),0)</f>
        <v>0</v>
      </c>
      <c r="CO28" s="28">
        <f>IFERROR(VLOOKUP(M28,'INPUT SHEET '!$AU$74:$BD$126,$CH28,FALSE),0)</f>
        <v>0</v>
      </c>
      <c r="CP28" s="28">
        <f>IFERROR(VLOOKUP(N28,'INPUT SHEET '!$AU$74:$BD$126,$CH28,FALSE),0)</f>
        <v>0</v>
      </c>
      <c r="CQ28" s="28">
        <f t="shared" si="4"/>
        <v>60</v>
      </c>
      <c r="CR28" s="28"/>
      <c r="CS28" s="30">
        <f>VLOOKUP(E28,'INPUT SHEET '!$AF$73:$AG$76,2,0)</f>
        <v>1</v>
      </c>
      <c r="CT28" s="30">
        <f>VLOOKUP(F28,'INPUT SHEET '!$AF$85:$AG$90,2,0)</f>
        <v>1</v>
      </c>
      <c r="CU28" s="28">
        <f>IF(CK28=0,1,VLOOKUP(H28,'INPUT SHEET '!$AF$79:$AG$83,2,FALSE))</f>
        <v>1</v>
      </c>
      <c r="CV28" s="31">
        <f t="shared" si="18"/>
        <v>60</v>
      </c>
      <c r="CW28" s="31"/>
      <c r="CX28" s="31"/>
      <c r="CY28" s="31"/>
      <c r="CZ28" s="31"/>
      <c r="DA28" s="32"/>
      <c r="DB28" s="28">
        <f t="shared" si="5"/>
        <v>0</v>
      </c>
      <c r="DC28" s="28">
        <f t="shared" si="6"/>
        <v>0</v>
      </c>
      <c r="DD28" s="28">
        <f t="shared" si="7"/>
        <v>1</v>
      </c>
      <c r="DE28" s="28">
        <f t="shared" si="8"/>
        <v>1</v>
      </c>
      <c r="DF28" s="28">
        <f t="shared" si="9"/>
        <v>1</v>
      </c>
      <c r="DG28" s="28">
        <f t="shared" si="19"/>
        <v>1</v>
      </c>
      <c r="DH28" s="28">
        <f t="shared" si="10"/>
        <v>0</v>
      </c>
      <c r="DI28" s="28">
        <f t="shared" si="11"/>
        <v>0</v>
      </c>
      <c r="DJ28" s="28">
        <f t="shared" si="12"/>
        <v>0</v>
      </c>
      <c r="DK28" s="33"/>
      <c r="DL28" s="34">
        <f t="shared" si="13"/>
        <v>0</v>
      </c>
      <c r="DM28" s="28">
        <f t="shared" si="14"/>
        <v>0</v>
      </c>
      <c r="DN28" s="28">
        <f t="shared" si="15"/>
        <v>0</v>
      </c>
      <c r="DO28" s="28">
        <f t="shared" si="16"/>
        <v>0</v>
      </c>
      <c r="DP28" s="28" t="s">
        <v>76</v>
      </c>
      <c r="DQ28" s="32"/>
      <c r="DR28" s="32"/>
    </row>
    <row r="29" spans="1:122" ht="17.100000000000001" customHeight="1" thickBot="1">
      <c r="A29" s="240"/>
      <c r="B29" s="204"/>
      <c r="C29" s="205" t="s">
        <v>40</v>
      </c>
      <c r="D29" s="205" t="s">
        <v>153</v>
      </c>
      <c r="E29" s="205" t="s">
        <v>10</v>
      </c>
      <c r="F29" s="205" t="s">
        <v>51</v>
      </c>
      <c r="G29" s="205" t="s">
        <v>50</v>
      </c>
      <c r="H29" s="205" t="s">
        <v>50</v>
      </c>
      <c r="I29" s="205" t="s">
        <v>50</v>
      </c>
      <c r="J29" s="205" t="s">
        <v>50</v>
      </c>
      <c r="K29" s="205" t="s">
        <v>50</v>
      </c>
      <c r="L29" s="205" t="s">
        <v>50</v>
      </c>
      <c r="M29" s="205" t="s">
        <v>50</v>
      </c>
      <c r="N29" s="205" t="s">
        <v>50</v>
      </c>
      <c r="O29" s="205"/>
      <c r="P29" s="23">
        <f t="shared" si="0"/>
        <v>0</v>
      </c>
      <c r="Q29" s="24">
        <f t="shared" si="17"/>
        <v>0</v>
      </c>
      <c r="R29" s="25">
        <f t="shared" si="1"/>
        <v>0</v>
      </c>
      <c r="S29" s="241">
        <f t="shared" si="2"/>
        <v>0</v>
      </c>
      <c r="U29" s="4"/>
      <c r="X29" s="26"/>
      <c r="Y29" s="26"/>
      <c r="Z29" s="26"/>
      <c r="AA29" s="26"/>
      <c r="AB29" s="26"/>
      <c r="AC29" s="26"/>
      <c r="AF29" s="26"/>
      <c r="AG29" s="26"/>
      <c r="AV29" s="4"/>
      <c r="AW29" s="4"/>
      <c r="AX29" s="4"/>
      <c r="AY29" s="4"/>
      <c r="AZ29" s="4"/>
      <c r="BA29" s="4"/>
      <c r="BE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8"/>
      <c r="BU29" s="38"/>
      <c r="BV29" s="38"/>
      <c r="BW29" s="38"/>
      <c r="BX29" s="38"/>
      <c r="BY29" s="38"/>
      <c r="BZ29" s="4"/>
      <c r="CA29" s="4"/>
      <c r="CB29" s="4"/>
      <c r="CC29" s="38"/>
      <c r="CD29" s="4"/>
      <c r="CE29" s="4"/>
      <c r="CF29" s="4"/>
      <c r="CG29" s="27">
        <f t="shared" si="3"/>
        <v>0</v>
      </c>
      <c r="CH29" s="28">
        <f>VLOOKUP(C29,'INPUT SHEET '!$U$84:$V$92,2,FALSE)</f>
        <v>2</v>
      </c>
      <c r="CI29" s="28">
        <f>VLOOKUP(D29,'INPUT SHEET '!$U$73:$AD$82,'INPUT SHEET '!CH29,FALSE)</f>
        <v>60</v>
      </c>
      <c r="CJ29" s="28">
        <f>VLOOKUP(G29,'INPUT SHEET '!$AK$74:$AS$92,CH29,FALSE)</f>
        <v>0</v>
      </c>
      <c r="CK29" s="29">
        <f>VLOOKUP(I29,'INPUT SHEET '!$AK$83:$AS$92,CH29,FALSE)</f>
        <v>0</v>
      </c>
      <c r="CL29" s="28">
        <f>IFERROR(VLOOKUP(J29,'INPUT SHEET '!$AU$74:$BD$126,$CH29,FALSE),0)</f>
        <v>0</v>
      </c>
      <c r="CM29" s="28">
        <f>IFERROR(VLOOKUP(K29,'INPUT SHEET '!$AU$74:$BD$126,$CH29,FALSE),0)</f>
        <v>0</v>
      </c>
      <c r="CN29" s="28">
        <f>IFERROR(VLOOKUP(L29,'INPUT SHEET '!$AU$74:$BD$126,$CH29,FALSE),0)</f>
        <v>0</v>
      </c>
      <c r="CO29" s="28">
        <f>IFERROR(VLOOKUP(M29,'INPUT SHEET '!$AU$74:$BD$126,$CH29,FALSE),0)</f>
        <v>0</v>
      </c>
      <c r="CP29" s="28">
        <f>IFERROR(VLOOKUP(N29,'INPUT SHEET '!$AU$74:$BD$126,$CH29,FALSE),0)</f>
        <v>0</v>
      </c>
      <c r="CQ29" s="28">
        <f t="shared" si="4"/>
        <v>60</v>
      </c>
      <c r="CR29" s="28"/>
      <c r="CS29" s="30">
        <f>VLOOKUP(E29,'INPUT SHEET '!$AF$73:$AG$76,2,0)</f>
        <v>1</v>
      </c>
      <c r="CT29" s="30">
        <f>VLOOKUP(F29,'INPUT SHEET '!$AF$85:$AG$90,2,0)</f>
        <v>1</v>
      </c>
      <c r="CU29" s="28">
        <f>IF(CK29=0,1,VLOOKUP(H29,'INPUT SHEET '!$AF$79:$AG$83,2,FALSE))</f>
        <v>1</v>
      </c>
      <c r="CV29" s="31">
        <f t="shared" si="18"/>
        <v>60</v>
      </c>
      <c r="CW29" s="31"/>
      <c r="CX29" s="31"/>
      <c r="CY29" s="31"/>
      <c r="CZ29" s="31"/>
      <c r="DA29" s="32"/>
      <c r="DB29" s="28">
        <f t="shared" si="5"/>
        <v>0</v>
      </c>
      <c r="DC29" s="28">
        <f t="shared" si="6"/>
        <v>0</v>
      </c>
      <c r="DD29" s="28">
        <f t="shared" si="7"/>
        <v>1</v>
      </c>
      <c r="DE29" s="28">
        <f t="shared" si="8"/>
        <v>1</v>
      </c>
      <c r="DF29" s="28">
        <f t="shared" si="9"/>
        <v>1</v>
      </c>
      <c r="DG29" s="28">
        <f t="shared" si="19"/>
        <v>1</v>
      </c>
      <c r="DH29" s="28">
        <f t="shared" si="10"/>
        <v>0</v>
      </c>
      <c r="DI29" s="28">
        <f t="shared" si="11"/>
        <v>0</v>
      </c>
      <c r="DJ29" s="28">
        <f t="shared" si="12"/>
        <v>0</v>
      </c>
      <c r="DK29" s="33"/>
      <c r="DL29" s="34">
        <f t="shared" si="13"/>
        <v>0</v>
      </c>
      <c r="DM29" s="28">
        <f t="shared" si="14"/>
        <v>0</v>
      </c>
      <c r="DN29" s="28">
        <f t="shared" si="15"/>
        <v>0</v>
      </c>
      <c r="DO29" s="28">
        <f t="shared" si="16"/>
        <v>0</v>
      </c>
      <c r="DP29" s="28" t="s">
        <v>76</v>
      </c>
      <c r="DQ29" s="32"/>
      <c r="DR29" s="32"/>
    </row>
    <row r="30" spans="1:122" ht="17.100000000000001" customHeight="1" thickBot="1">
      <c r="A30" s="240"/>
      <c r="B30" s="204"/>
      <c r="C30" s="205" t="s">
        <v>40</v>
      </c>
      <c r="D30" s="205" t="s">
        <v>153</v>
      </c>
      <c r="E30" s="205" t="s">
        <v>10</v>
      </c>
      <c r="F30" s="205" t="s">
        <v>51</v>
      </c>
      <c r="G30" s="205" t="s">
        <v>50</v>
      </c>
      <c r="H30" s="205" t="s">
        <v>50</v>
      </c>
      <c r="I30" s="205" t="s">
        <v>50</v>
      </c>
      <c r="J30" s="205" t="s">
        <v>50</v>
      </c>
      <c r="K30" s="205" t="s">
        <v>50</v>
      </c>
      <c r="L30" s="205" t="s">
        <v>50</v>
      </c>
      <c r="M30" s="205" t="s">
        <v>50</v>
      </c>
      <c r="N30" s="205" t="s">
        <v>50</v>
      </c>
      <c r="O30" s="205"/>
      <c r="P30" s="23">
        <f t="shared" si="0"/>
        <v>0</v>
      </c>
      <c r="Q30" s="24">
        <f t="shared" si="17"/>
        <v>0</v>
      </c>
      <c r="R30" s="25">
        <f t="shared" si="1"/>
        <v>0</v>
      </c>
      <c r="S30" s="241">
        <f t="shared" si="2"/>
        <v>0</v>
      </c>
      <c r="U30" s="4"/>
      <c r="X30" s="26"/>
      <c r="Y30" s="26"/>
      <c r="Z30" s="26"/>
      <c r="AA30" s="26"/>
      <c r="AB30" s="26"/>
      <c r="AC30" s="26"/>
      <c r="AF30" s="26"/>
      <c r="AG30" s="26"/>
      <c r="AV30" s="4"/>
      <c r="AW30" s="4"/>
      <c r="AX30" s="4"/>
      <c r="AY30" s="4"/>
      <c r="AZ30" s="4"/>
      <c r="BA30" s="4"/>
      <c r="BE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8"/>
      <c r="BU30" s="38"/>
      <c r="BV30" s="38"/>
      <c r="BW30" s="38"/>
      <c r="BX30" s="38"/>
      <c r="BY30" s="38"/>
      <c r="BZ30" s="4"/>
      <c r="CA30" s="4"/>
      <c r="CB30" s="4"/>
      <c r="CC30" s="38"/>
      <c r="CD30" s="4"/>
      <c r="CE30" s="4"/>
      <c r="CF30" s="4"/>
      <c r="CG30" s="27">
        <f t="shared" si="3"/>
        <v>0</v>
      </c>
      <c r="CH30" s="28">
        <f>VLOOKUP(C30,'INPUT SHEET '!$U$84:$V$92,2,FALSE)</f>
        <v>2</v>
      </c>
      <c r="CI30" s="28">
        <f>VLOOKUP(D30,'INPUT SHEET '!$U$73:$AD$82,'INPUT SHEET '!CH30,FALSE)</f>
        <v>60</v>
      </c>
      <c r="CJ30" s="28">
        <f>VLOOKUP(G30,'INPUT SHEET '!$AK$74:$AS$92,CH30,FALSE)</f>
        <v>0</v>
      </c>
      <c r="CK30" s="29">
        <f>VLOOKUP(I30,'INPUT SHEET '!$AK$83:$AS$92,CH30,FALSE)</f>
        <v>0</v>
      </c>
      <c r="CL30" s="28">
        <f>IFERROR(VLOOKUP(J30,'INPUT SHEET '!$AU$74:$BD$126,$CH30,FALSE),0)</f>
        <v>0</v>
      </c>
      <c r="CM30" s="28">
        <f>IFERROR(VLOOKUP(K30,'INPUT SHEET '!$AU$74:$BD$126,$CH30,FALSE),0)</f>
        <v>0</v>
      </c>
      <c r="CN30" s="28">
        <f>IFERROR(VLOOKUP(L30,'INPUT SHEET '!$AU$74:$BD$126,$CH30,FALSE),0)</f>
        <v>0</v>
      </c>
      <c r="CO30" s="28">
        <f>IFERROR(VLOOKUP(M30,'INPUT SHEET '!$AU$74:$BD$126,$CH30,FALSE),0)</f>
        <v>0</v>
      </c>
      <c r="CP30" s="28">
        <f>IFERROR(VLOOKUP(N30,'INPUT SHEET '!$AU$74:$BD$126,$CH30,FALSE),0)</f>
        <v>0</v>
      </c>
      <c r="CQ30" s="28">
        <f t="shared" si="4"/>
        <v>60</v>
      </c>
      <c r="CR30" s="28"/>
      <c r="CS30" s="30">
        <f>VLOOKUP(E30,'INPUT SHEET '!$AF$73:$AG$76,2,0)</f>
        <v>1</v>
      </c>
      <c r="CT30" s="30">
        <f>VLOOKUP(F30,'INPUT SHEET '!$AF$85:$AG$90,2,0)</f>
        <v>1</v>
      </c>
      <c r="CU30" s="28">
        <f>IF(CK30=0,1,VLOOKUP(H30,'INPUT SHEET '!$AF$79:$AG$83,2,FALSE))</f>
        <v>1</v>
      </c>
      <c r="CV30" s="31">
        <f t="shared" si="18"/>
        <v>60</v>
      </c>
      <c r="CW30" s="31"/>
      <c r="CX30" s="31"/>
      <c r="CY30" s="31"/>
      <c r="CZ30" s="31"/>
      <c r="DA30" s="32"/>
      <c r="DB30" s="28">
        <f t="shared" si="5"/>
        <v>0</v>
      </c>
      <c r="DC30" s="28">
        <f t="shared" si="6"/>
        <v>0</v>
      </c>
      <c r="DD30" s="28">
        <f t="shared" si="7"/>
        <v>1</v>
      </c>
      <c r="DE30" s="28">
        <f t="shared" si="8"/>
        <v>1</v>
      </c>
      <c r="DF30" s="28">
        <f t="shared" si="9"/>
        <v>1</v>
      </c>
      <c r="DG30" s="28">
        <f t="shared" si="19"/>
        <v>1</v>
      </c>
      <c r="DH30" s="28">
        <f t="shared" si="10"/>
        <v>0</v>
      </c>
      <c r="DI30" s="28">
        <f t="shared" si="11"/>
        <v>0</v>
      </c>
      <c r="DJ30" s="28">
        <f t="shared" si="12"/>
        <v>0</v>
      </c>
      <c r="DK30" s="33"/>
      <c r="DL30" s="34">
        <f t="shared" si="13"/>
        <v>0</v>
      </c>
      <c r="DM30" s="28">
        <f t="shared" si="14"/>
        <v>0</v>
      </c>
      <c r="DN30" s="28">
        <f t="shared" si="15"/>
        <v>0</v>
      </c>
      <c r="DO30" s="28">
        <f t="shared" si="16"/>
        <v>0</v>
      </c>
      <c r="DP30" s="28" t="s">
        <v>76</v>
      </c>
      <c r="DQ30" s="32"/>
      <c r="DR30" s="32"/>
    </row>
    <row r="31" spans="1:122" ht="17.100000000000001" customHeight="1" thickBot="1">
      <c r="A31" s="240"/>
      <c r="B31" s="204"/>
      <c r="C31" s="205" t="s">
        <v>40</v>
      </c>
      <c r="D31" s="205" t="s">
        <v>153</v>
      </c>
      <c r="E31" s="205" t="s">
        <v>10</v>
      </c>
      <c r="F31" s="205" t="s">
        <v>51</v>
      </c>
      <c r="G31" s="205" t="s">
        <v>50</v>
      </c>
      <c r="H31" s="205" t="s">
        <v>50</v>
      </c>
      <c r="I31" s="205" t="s">
        <v>50</v>
      </c>
      <c r="J31" s="205" t="s">
        <v>50</v>
      </c>
      <c r="K31" s="205" t="s">
        <v>50</v>
      </c>
      <c r="L31" s="205" t="s">
        <v>50</v>
      </c>
      <c r="M31" s="205" t="s">
        <v>50</v>
      </c>
      <c r="N31" s="205" t="s">
        <v>50</v>
      </c>
      <c r="O31" s="205"/>
      <c r="P31" s="23">
        <f t="shared" si="0"/>
        <v>0</v>
      </c>
      <c r="Q31" s="24">
        <f t="shared" si="17"/>
        <v>0</v>
      </c>
      <c r="R31" s="25">
        <f t="shared" si="1"/>
        <v>0</v>
      </c>
      <c r="S31" s="241">
        <f t="shared" si="2"/>
        <v>0</v>
      </c>
      <c r="U31" s="4"/>
      <c r="X31" s="26"/>
      <c r="Y31" s="26"/>
      <c r="Z31" s="26"/>
      <c r="AA31" s="26"/>
      <c r="AB31" s="26"/>
      <c r="AC31" s="26"/>
      <c r="AF31" s="26"/>
      <c r="AG31" s="26"/>
      <c r="AV31" s="4"/>
      <c r="AW31" s="4"/>
      <c r="AX31" s="4"/>
      <c r="AY31" s="4"/>
      <c r="AZ31" s="4"/>
      <c r="BA31" s="4"/>
      <c r="BE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8"/>
      <c r="BU31" s="38"/>
      <c r="BV31" s="38"/>
      <c r="BW31" s="38"/>
      <c r="BX31" s="38"/>
      <c r="BY31" s="38"/>
      <c r="BZ31" s="4"/>
      <c r="CA31" s="4"/>
      <c r="CB31" s="4"/>
      <c r="CC31" s="38"/>
      <c r="CD31" s="4"/>
      <c r="CE31" s="4"/>
      <c r="CF31" s="4"/>
      <c r="CG31" s="27">
        <f t="shared" si="3"/>
        <v>0</v>
      </c>
      <c r="CH31" s="28">
        <f>VLOOKUP(C31,'INPUT SHEET '!$U$84:$V$92,2,FALSE)</f>
        <v>2</v>
      </c>
      <c r="CI31" s="28">
        <f>VLOOKUP(D31,'INPUT SHEET '!$U$73:$AD$82,'INPUT SHEET '!CH31,FALSE)</f>
        <v>60</v>
      </c>
      <c r="CJ31" s="28">
        <f>VLOOKUP(G31,'INPUT SHEET '!$AK$74:$AS$92,CH31,FALSE)</f>
        <v>0</v>
      </c>
      <c r="CK31" s="29">
        <f>VLOOKUP(I31,'INPUT SHEET '!$AK$83:$AS$92,CH31,FALSE)</f>
        <v>0</v>
      </c>
      <c r="CL31" s="28">
        <f>IFERROR(VLOOKUP(J31,'INPUT SHEET '!$AU$74:$BD$126,$CH31,FALSE),0)</f>
        <v>0</v>
      </c>
      <c r="CM31" s="28">
        <f>IFERROR(VLOOKUP(K31,'INPUT SHEET '!$AU$74:$BD$126,$CH31,FALSE),0)</f>
        <v>0</v>
      </c>
      <c r="CN31" s="28">
        <f>IFERROR(VLOOKUP(L31,'INPUT SHEET '!$AU$74:$BD$126,$CH31,FALSE),0)</f>
        <v>0</v>
      </c>
      <c r="CO31" s="28">
        <f>IFERROR(VLOOKUP(M31,'INPUT SHEET '!$AU$74:$BD$126,$CH31,FALSE),0)</f>
        <v>0</v>
      </c>
      <c r="CP31" s="28">
        <f>IFERROR(VLOOKUP(N31,'INPUT SHEET '!$AU$74:$BD$126,$CH31,FALSE),0)</f>
        <v>0</v>
      </c>
      <c r="CQ31" s="28">
        <f t="shared" si="4"/>
        <v>60</v>
      </c>
      <c r="CR31" s="28"/>
      <c r="CS31" s="30">
        <f>VLOOKUP(E31,'INPUT SHEET '!$AF$73:$AG$76,2,0)</f>
        <v>1</v>
      </c>
      <c r="CT31" s="30">
        <f>VLOOKUP(F31,'INPUT SHEET '!$AF$85:$AG$90,2,0)</f>
        <v>1</v>
      </c>
      <c r="CU31" s="28">
        <f>IF(CK31=0,1,VLOOKUP(H31,'INPUT SHEET '!$AF$79:$AG$83,2,FALSE))</f>
        <v>1</v>
      </c>
      <c r="CV31" s="31">
        <f t="shared" si="18"/>
        <v>60</v>
      </c>
      <c r="CW31" s="31"/>
      <c r="CX31" s="31"/>
      <c r="CY31" s="31"/>
      <c r="CZ31" s="31"/>
      <c r="DA31" s="32"/>
      <c r="DB31" s="28">
        <f t="shared" si="5"/>
        <v>0</v>
      </c>
      <c r="DC31" s="28">
        <f t="shared" si="6"/>
        <v>0</v>
      </c>
      <c r="DD31" s="28">
        <f t="shared" si="7"/>
        <v>1</v>
      </c>
      <c r="DE31" s="28">
        <f t="shared" si="8"/>
        <v>1</v>
      </c>
      <c r="DF31" s="28">
        <f t="shared" si="9"/>
        <v>1</v>
      </c>
      <c r="DG31" s="28">
        <f t="shared" si="19"/>
        <v>1</v>
      </c>
      <c r="DH31" s="28">
        <f t="shared" si="10"/>
        <v>0</v>
      </c>
      <c r="DI31" s="28">
        <f t="shared" si="11"/>
        <v>0</v>
      </c>
      <c r="DJ31" s="28">
        <f t="shared" si="12"/>
        <v>0</v>
      </c>
      <c r="DK31" s="33"/>
      <c r="DL31" s="34">
        <f t="shared" si="13"/>
        <v>0</v>
      </c>
      <c r="DM31" s="28">
        <f t="shared" si="14"/>
        <v>0</v>
      </c>
      <c r="DN31" s="28">
        <f t="shared" si="15"/>
        <v>0</v>
      </c>
      <c r="DO31" s="28">
        <f t="shared" si="16"/>
        <v>0</v>
      </c>
      <c r="DP31" s="28" t="s">
        <v>76</v>
      </c>
      <c r="DQ31" s="32"/>
      <c r="DR31" s="32"/>
    </row>
    <row r="32" spans="1:122" ht="17.100000000000001" customHeight="1" thickBot="1">
      <c r="A32" s="240"/>
      <c r="B32" s="204"/>
      <c r="C32" s="205" t="s">
        <v>40</v>
      </c>
      <c r="D32" s="205" t="s">
        <v>153</v>
      </c>
      <c r="E32" s="205" t="s">
        <v>10</v>
      </c>
      <c r="F32" s="205" t="s">
        <v>51</v>
      </c>
      <c r="G32" s="205" t="s">
        <v>50</v>
      </c>
      <c r="H32" s="205" t="s">
        <v>50</v>
      </c>
      <c r="I32" s="205" t="s">
        <v>50</v>
      </c>
      <c r="J32" s="205" t="s">
        <v>50</v>
      </c>
      <c r="K32" s="205" t="s">
        <v>50</v>
      </c>
      <c r="L32" s="205" t="s">
        <v>50</v>
      </c>
      <c r="M32" s="205" t="s">
        <v>50</v>
      </c>
      <c r="N32" s="205" t="s">
        <v>50</v>
      </c>
      <c r="O32" s="205"/>
      <c r="P32" s="23">
        <f t="shared" si="0"/>
        <v>0</v>
      </c>
      <c r="Q32" s="24">
        <f t="shared" si="17"/>
        <v>0</v>
      </c>
      <c r="R32" s="25">
        <f t="shared" si="1"/>
        <v>0</v>
      </c>
      <c r="S32" s="241">
        <f t="shared" si="2"/>
        <v>0</v>
      </c>
      <c r="U32" s="4"/>
      <c r="X32" s="26"/>
      <c r="Y32" s="26"/>
      <c r="Z32" s="26"/>
      <c r="AA32" s="26"/>
      <c r="AB32" s="26"/>
      <c r="AC32" s="26"/>
      <c r="AF32" s="26"/>
      <c r="AG32" s="26"/>
      <c r="AV32" s="4"/>
      <c r="AW32" s="4"/>
      <c r="AX32" s="4"/>
      <c r="AY32" s="4"/>
      <c r="AZ32" s="4"/>
      <c r="BA32" s="4"/>
      <c r="BE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8"/>
      <c r="BU32" s="38"/>
      <c r="BV32" s="38"/>
      <c r="BW32" s="38"/>
      <c r="BX32" s="38"/>
      <c r="BY32" s="38"/>
      <c r="BZ32" s="4"/>
      <c r="CA32" s="4"/>
      <c r="CB32" s="4"/>
      <c r="CC32" s="38"/>
      <c r="CD32" s="4"/>
      <c r="CE32" s="4"/>
      <c r="CF32" s="4"/>
      <c r="CG32" s="27">
        <f t="shared" si="3"/>
        <v>0</v>
      </c>
      <c r="CH32" s="28">
        <f>VLOOKUP(C32,'INPUT SHEET '!$U$84:$V$92,2,FALSE)</f>
        <v>2</v>
      </c>
      <c r="CI32" s="28">
        <f>VLOOKUP(D32,'INPUT SHEET '!$U$73:$AD$82,'INPUT SHEET '!CH32,FALSE)</f>
        <v>60</v>
      </c>
      <c r="CJ32" s="28">
        <f>VLOOKUP(G32,'INPUT SHEET '!$AK$74:$AS$92,CH32,FALSE)</f>
        <v>0</v>
      </c>
      <c r="CK32" s="29">
        <f>VLOOKUP(I32,'INPUT SHEET '!$AK$83:$AS$92,CH32,FALSE)</f>
        <v>0</v>
      </c>
      <c r="CL32" s="28">
        <f>IFERROR(VLOOKUP(J32,'INPUT SHEET '!$AU$74:$BD$126,$CH32,FALSE),0)</f>
        <v>0</v>
      </c>
      <c r="CM32" s="28">
        <f>IFERROR(VLOOKUP(K32,'INPUT SHEET '!$AU$74:$BD$126,$CH32,FALSE),0)</f>
        <v>0</v>
      </c>
      <c r="CN32" s="28">
        <f>IFERROR(VLOOKUP(L32,'INPUT SHEET '!$AU$74:$BD$126,$CH32,FALSE),0)</f>
        <v>0</v>
      </c>
      <c r="CO32" s="28">
        <f>IFERROR(VLOOKUP(M32,'INPUT SHEET '!$AU$74:$BD$126,$CH32,FALSE),0)</f>
        <v>0</v>
      </c>
      <c r="CP32" s="28">
        <f>IFERROR(VLOOKUP(N32,'INPUT SHEET '!$AU$74:$BD$126,$CH32,FALSE),0)</f>
        <v>0</v>
      </c>
      <c r="CQ32" s="28">
        <f t="shared" si="4"/>
        <v>60</v>
      </c>
      <c r="CR32" s="28"/>
      <c r="CS32" s="30">
        <f>VLOOKUP(E32,'INPUT SHEET '!$AF$73:$AG$76,2,0)</f>
        <v>1</v>
      </c>
      <c r="CT32" s="30">
        <f>VLOOKUP(F32,'INPUT SHEET '!$AF$85:$AG$90,2,0)</f>
        <v>1</v>
      </c>
      <c r="CU32" s="28">
        <f>IF(CK32=0,1,VLOOKUP(H32,'INPUT SHEET '!$AF$79:$AG$83,2,FALSE))</f>
        <v>1</v>
      </c>
      <c r="CV32" s="31">
        <f t="shared" si="18"/>
        <v>60</v>
      </c>
      <c r="CW32" s="31"/>
      <c r="CX32" s="31"/>
      <c r="CY32" s="31"/>
      <c r="CZ32" s="31"/>
      <c r="DA32" s="32"/>
      <c r="DB32" s="28">
        <f t="shared" si="5"/>
        <v>0</v>
      </c>
      <c r="DC32" s="28">
        <f t="shared" si="6"/>
        <v>0</v>
      </c>
      <c r="DD32" s="28">
        <f t="shared" si="7"/>
        <v>1</v>
      </c>
      <c r="DE32" s="28">
        <f t="shared" si="8"/>
        <v>1</v>
      </c>
      <c r="DF32" s="28">
        <f t="shared" si="9"/>
        <v>1</v>
      </c>
      <c r="DG32" s="28">
        <f t="shared" si="19"/>
        <v>1</v>
      </c>
      <c r="DH32" s="28">
        <f t="shared" si="10"/>
        <v>0</v>
      </c>
      <c r="DI32" s="28">
        <f t="shared" si="11"/>
        <v>0</v>
      </c>
      <c r="DJ32" s="28">
        <f t="shared" si="12"/>
        <v>0</v>
      </c>
      <c r="DK32" s="33"/>
      <c r="DL32" s="34">
        <f t="shared" si="13"/>
        <v>0</v>
      </c>
      <c r="DM32" s="28">
        <f t="shared" si="14"/>
        <v>0</v>
      </c>
      <c r="DN32" s="28">
        <f t="shared" si="15"/>
        <v>0</v>
      </c>
      <c r="DO32" s="28">
        <f t="shared" si="16"/>
        <v>0</v>
      </c>
      <c r="DP32" s="28" t="s">
        <v>76</v>
      </c>
      <c r="DQ32" s="32"/>
      <c r="DR32" s="32"/>
    </row>
    <row r="33" spans="1:122" ht="17.100000000000001" customHeight="1" thickBot="1">
      <c r="A33" s="240"/>
      <c r="B33" s="204"/>
      <c r="C33" s="205" t="s">
        <v>40</v>
      </c>
      <c r="D33" s="205" t="s">
        <v>153</v>
      </c>
      <c r="E33" s="205" t="s">
        <v>10</v>
      </c>
      <c r="F33" s="205" t="s">
        <v>51</v>
      </c>
      <c r="G33" s="205" t="s">
        <v>50</v>
      </c>
      <c r="H33" s="205" t="s">
        <v>50</v>
      </c>
      <c r="I33" s="205" t="s">
        <v>50</v>
      </c>
      <c r="J33" s="205" t="s">
        <v>50</v>
      </c>
      <c r="K33" s="205" t="s">
        <v>50</v>
      </c>
      <c r="L33" s="205" t="s">
        <v>50</v>
      </c>
      <c r="M33" s="205" t="s">
        <v>50</v>
      </c>
      <c r="N33" s="205" t="s">
        <v>50</v>
      </c>
      <c r="O33" s="205"/>
      <c r="P33" s="23">
        <f t="shared" si="0"/>
        <v>0</v>
      </c>
      <c r="Q33" s="24">
        <f t="shared" si="17"/>
        <v>0</v>
      </c>
      <c r="R33" s="25">
        <f t="shared" si="1"/>
        <v>0</v>
      </c>
      <c r="S33" s="241">
        <f t="shared" si="2"/>
        <v>0</v>
      </c>
      <c r="U33" s="4"/>
      <c r="X33" s="26"/>
      <c r="Y33" s="26"/>
      <c r="Z33" s="26"/>
      <c r="AA33" s="26"/>
      <c r="AB33" s="26"/>
      <c r="AC33" s="26"/>
      <c r="AF33" s="26"/>
      <c r="AG33" s="26"/>
      <c r="AV33" s="4"/>
      <c r="AW33" s="4"/>
      <c r="AX33" s="4"/>
      <c r="AY33" s="4"/>
      <c r="AZ33" s="4"/>
      <c r="BA33" s="4"/>
      <c r="BE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8"/>
      <c r="BU33" s="38"/>
      <c r="BV33" s="38"/>
      <c r="BW33" s="38"/>
      <c r="BX33" s="38"/>
      <c r="BY33" s="38"/>
      <c r="BZ33" s="4"/>
      <c r="CA33" s="4"/>
      <c r="CB33" s="4"/>
      <c r="CC33" s="38"/>
      <c r="CD33" s="4"/>
      <c r="CE33" s="4"/>
      <c r="CF33" s="4"/>
      <c r="CG33" s="27">
        <f t="shared" si="3"/>
        <v>0</v>
      </c>
      <c r="CH33" s="28">
        <f>VLOOKUP(C33,'INPUT SHEET '!$U$84:$V$92,2,FALSE)</f>
        <v>2</v>
      </c>
      <c r="CI33" s="28">
        <f>VLOOKUP(D33,'INPUT SHEET '!$U$73:$AD$82,'INPUT SHEET '!CH33,FALSE)</f>
        <v>60</v>
      </c>
      <c r="CJ33" s="28">
        <f>VLOOKUP(G33,'INPUT SHEET '!$AK$74:$AS$92,CH33,FALSE)</f>
        <v>0</v>
      </c>
      <c r="CK33" s="29">
        <f>VLOOKUP(I33,'INPUT SHEET '!$AK$83:$AS$92,CH33,FALSE)</f>
        <v>0</v>
      </c>
      <c r="CL33" s="28">
        <f>IFERROR(VLOOKUP(J33,'INPUT SHEET '!$AU$74:$BD$126,$CH33,FALSE),0)</f>
        <v>0</v>
      </c>
      <c r="CM33" s="28">
        <f>IFERROR(VLOOKUP(K33,'INPUT SHEET '!$AU$74:$BD$126,$CH33,FALSE),0)</f>
        <v>0</v>
      </c>
      <c r="CN33" s="28">
        <f>IFERROR(VLOOKUP(L33,'INPUT SHEET '!$AU$74:$BD$126,$CH33,FALSE),0)</f>
        <v>0</v>
      </c>
      <c r="CO33" s="28">
        <f>IFERROR(VLOOKUP(M33,'INPUT SHEET '!$AU$74:$BD$126,$CH33,FALSE),0)</f>
        <v>0</v>
      </c>
      <c r="CP33" s="28">
        <f>IFERROR(VLOOKUP(N33,'INPUT SHEET '!$AU$74:$BD$126,$CH33,FALSE),0)</f>
        <v>0</v>
      </c>
      <c r="CQ33" s="28">
        <f t="shared" si="4"/>
        <v>60</v>
      </c>
      <c r="CR33" s="28"/>
      <c r="CS33" s="30">
        <f>VLOOKUP(E33,'INPUT SHEET '!$AF$73:$AG$76,2,0)</f>
        <v>1</v>
      </c>
      <c r="CT33" s="30">
        <f>VLOOKUP(F33,'INPUT SHEET '!$AF$85:$AG$90,2,0)</f>
        <v>1</v>
      </c>
      <c r="CU33" s="28">
        <f>IF(CK33=0,1,VLOOKUP(H33,'INPUT SHEET '!$AF$79:$AG$83,2,FALSE))</f>
        <v>1</v>
      </c>
      <c r="CV33" s="31">
        <f t="shared" si="18"/>
        <v>60</v>
      </c>
      <c r="CW33" s="31"/>
      <c r="CX33" s="31"/>
      <c r="CY33" s="31"/>
      <c r="CZ33" s="31"/>
      <c r="DA33" s="32"/>
      <c r="DB33" s="28">
        <f t="shared" si="5"/>
        <v>0</v>
      </c>
      <c r="DC33" s="28">
        <f t="shared" si="6"/>
        <v>0</v>
      </c>
      <c r="DD33" s="28">
        <f t="shared" si="7"/>
        <v>1</v>
      </c>
      <c r="DE33" s="28">
        <f t="shared" si="8"/>
        <v>1</v>
      </c>
      <c r="DF33" s="28">
        <f t="shared" si="9"/>
        <v>1</v>
      </c>
      <c r="DG33" s="28">
        <f t="shared" si="19"/>
        <v>1</v>
      </c>
      <c r="DH33" s="28">
        <f t="shared" si="10"/>
        <v>0</v>
      </c>
      <c r="DI33" s="28">
        <f t="shared" si="11"/>
        <v>0</v>
      </c>
      <c r="DJ33" s="28">
        <f t="shared" si="12"/>
        <v>0</v>
      </c>
      <c r="DK33" s="33"/>
      <c r="DL33" s="34">
        <f t="shared" si="13"/>
        <v>0</v>
      </c>
      <c r="DM33" s="28">
        <f t="shared" si="14"/>
        <v>0</v>
      </c>
      <c r="DN33" s="28">
        <f t="shared" si="15"/>
        <v>0</v>
      </c>
      <c r="DO33" s="28">
        <f t="shared" si="16"/>
        <v>0</v>
      </c>
      <c r="DP33" s="28" t="s">
        <v>76</v>
      </c>
      <c r="DQ33" s="32"/>
      <c r="DR33" s="32"/>
    </row>
    <row r="34" spans="1:122" ht="17.100000000000001" customHeight="1" thickBot="1">
      <c r="A34" s="240"/>
      <c r="B34" s="204"/>
      <c r="C34" s="205" t="s">
        <v>40</v>
      </c>
      <c r="D34" s="205" t="s">
        <v>153</v>
      </c>
      <c r="E34" s="205" t="s">
        <v>10</v>
      </c>
      <c r="F34" s="205" t="s">
        <v>51</v>
      </c>
      <c r="G34" s="205" t="s">
        <v>50</v>
      </c>
      <c r="H34" s="205" t="s">
        <v>50</v>
      </c>
      <c r="I34" s="205" t="s">
        <v>50</v>
      </c>
      <c r="J34" s="205" t="s">
        <v>50</v>
      </c>
      <c r="K34" s="205" t="s">
        <v>50</v>
      </c>
      <c r="L34" s="205" t="s">
        <v>50</v>
      </c>
      <c r="M34" s="205" t="s">
        <v>50</v>
      </c>
      <c r="N34" s="205" t="s">
        <v>50</v>
      </c>
      <c r="O34" s="205"/>
      <c r="P34" s="23">
        <f t="shared" si="0"/>
        <v>0</v>
      </c>
      <c r="Q34" s="24">
        <f t="shared" si="17"/>
        <v>0</v>
      </c>
      <c r="R34" s="25">
        <f t="shared" si="1"/>
        <v>0</v>
      </c>
      <c r="S34" s="241">
        <f t="shared" si="2"/>
        <v>0</v>
      </c>
      <c r="U34" s="4"/>
      <c r="X34" s="26"/>
      <c r="Y34" s="26"/>
      <c r="Z34" s="26"/>
      <c r="AA34" s="26"/>
      <c r="AB34" s="26"/>
      <c r="AC34" s="26"/>
      <c r="AF34" s="26"/>
      <c r="AG34" s="26"/>
      <c r="AV34" s="4"/>
      <c r="AW34" s="4"/>
      <c r="AX34" s="4"/>
      <c r="AY34" s="4"/>
      <c r="AZ34" s="4"/>
      <c r="BA34" s="4"/>
      <c r="BE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8"/>
      <c r="BU34" s="38"/>
      <c r="BV34" s="38"/>
      <c r="BW34" s="38"/>
      <c r="BX34" s="38"/>
      <c r="BY34" s="38"/>
      <c r="BZ34" s="4"/>
      <c r="CA34" s="4"/>
      <c r="CB34" s="4"/>
      <c r="CC34" s="38"/>
      <c r="CD34" s="4"/>
      <c r="CE34" s="4"/>
      <c r="CF34" s="4"/>
      <c r="CG34" s="27">
        <f t="shared" si="3"/>
        <v>0</v>
      </c>
      <c r="CH34" s="28">
        <f>VLOOKUP(C34,'INPUT SHEET '!$U$84:$V$92,2,FALSE)</f>
        <v>2</v>
      </c>
      <c r="CI34" s="28">
        <f>VLOOKUP(D34,'INPUT SHEET '!$U$73:$AD$82,'INPUT SHEET '!CH34,FALSE)</f>
        <v>60</v>
      </c>
      <c r="CJ34" s="28">
        <f>VLOOKUP(G34,'INPUT SHEET '!$AK$74:$AS$92,CH34,FALSE)</f>
        <v>0</v>
      </c>
      <c r="CK34" s="29">
        <f>VLOOKUP(I34,'INPUT SHEET '!$AK$83:$AS$92,CH34,FALSE)</f>
        <v>0</v>
      </c>
      <c r="CL34" s="28">
        <f>IFERROR(VLOOKUP(J34,'INPUT SHEET '!$AU$74:$BD$126,$CH34,FALSE),0)</f>
        <v>0</v>
      </c>
      <c r="CM34" s="28">
        <f>IFERROR(VLOOKUP(K34,'INPUT SHEET '!$AU$74:$BD$126,$CH34,FALSE),0)</f>
        <v>0</v>
      </c>
      <c r="CN34" s="28">
        <f>IFERROR(VLOOKUP(L34,'INPUT SHEET '!$AU$74:$BD$126,$CH34,FALSE),0)</f>
        <v>0</v>
      </c>
      <c r="CO34" s="28">
        <f>IFERROR(VLOOKUP(M34,'INPUT SHEET '!$AU$74:$BD$126,$CH34,FALSE),0)</f>
        <v>0</v>
      </c>
      <c r="CP34" s="28">
        <f>IFERROR(VLOOKUP(N34,'INPUT SHEET '!$AU$74:$BD$126,$CH34,FALSE),0)</f>
        <v>0</v>
      </c>
      <c r="CQ34" s="28">
        <f t="shared" si="4"/>
        <v>60</v>
      </c>
      <c r="CR34" s="28"/>
      <c r="CS34" s="30">
        <f>VLOOKUP(E34,'INPUT SHEET '!$AF$73:$AG$76,2,0)</f>
        <v>1</v>
      </c>
      <c r="CT34" s="30">
        <f>VLOOKUP(F34,'INPUT SHEET '!$AF$85:$AG$90,2,0)</f>
        <v>1</v>
      </c>
      <c r="CU34" s="28">
        <f>IF(CK34=0,1,VLOOKUP(H34,'INPUT SHEET '!$AF$79:$AG$83,2,FALSE))</f>
        <v>1</v>
      </c>
      <c r="CV34" s="31">
        <f t="shared" si="18"/>
        <v>60</v>
      </c>
      <c r="CW34" s="31"/>
      <c r="CX34" s="31"/>
      <c r="CY34" s="31"/>
      <c r="CZ34" s="31"/>
      <c r="DA34" s="32"/>
      <c r="DB34" s="28">
        <f t="shared" si="5"/>
        <v>0</v>
      </c>
      <c r="DC34" s="28">
        <f t="shared" si="6"/>
        <v>0</v>
      </c>
      <c r="DD34" s="28">
        <f t="shared" si="7"/>
        <v>1</v>
      </c>
      <c r="DE34" s="28">
        <f t="shared" si="8"/>
        <v>1</v>
      </c>
      <c r="DF34" s="28">
        <f t="shared" si="9"/>
        <v>1</v>
      </c>
      <c r="DG34" s="28">
        <f t="shared" si="19"/>
        <v>1</v>
      </c>
      <c r="DH34" s="28">
        <f t="shared" si="10"/>
        <v>0</v>
      </c>
      <c r="DI34" s="28">
        <f t="shared" si="11"/>
        <v>0</v>
      </c>
      <c r="DJ34" s="28">
        <f t="shared" si="12"/>
        <v>0</v>
      </c>
      <c r="DK34" s="33"/>
      <c r="DL34" s="34">
        <f t="shared" si="13"/>
        <v>0</v>
      </c>
      <c r="DM34" s="28">
        <f t="shared" si="14"/>
        <v>0</v>
      </c>
      <c r="DN34" s="28">
        <f t="shared" si="15"/>
        <v>0</v>
      </c>
      <c r="DO34" s="28">
        <f t="shared" si="16"/>
        <v>0</v>
      </c>
      <c r="DP34" s="28" t="s">
        <v>76</v>
      </c>
      <c r="DQ34" s="32"/>
      <c r="DR34" s="32"/>
    </row>
    <row r="35" spans="1:122" ht="17.100000000000001" customHeight="1" thickBot="1">
      <c r="A35" s="240"/>
      <c r="B35" s="204"/>
      <c r="C35" s="205" t="s">
        <v>40</v>
      </c>
      <c r="D35" s="205" t="s">
        <v>153</v>
      </c>
      <c r="E35" s="205" t="s">
        <v>10</v>
      </c>
      <c r="F35" s="205" t="s">
        <v>51</v>
      </c>
      <c r="G35" s="205" t="s">
        <v>50</v>
      </c>
      <c r="H35" s="205" t="s">
        <v>50</v>
      </c>
      <c r="I35" s="205" t="s">
        <v>50</v>
      </c>
      <c r="J35" s="205" t="s">
        <v>50</v>
      </c>
      <c r="K35" s="205" t="s">
        <v>50</v>
      </c>
      <c r="L35" s="205" t="s">
        <v>50</v>
      </c>
      <c r="M35" s="205" t="s">
        <v>50</v>
      </c>
      <c r="N35" s="205" t="s">
        <v>50</v>
      </c>
      <c r="O35" s="205"/>
      <c r="P35" s="23">
        <f t="shared" si="0"/>
        <v>0</v>
      </c>
      <c r="Q35" s="24">
        <f t="shared" si="17"/>
        <v>0</v>
      </c>
      <c r="R35" s="25">
        <f t="shared" si="1"/>
        <v>0</v>
      </c>
      <c r="S35" s="241">
        <f t="shared" si="2"/>
        <v>0</v>
      </c>
      <c r="U35" s="4"/>
      <c r="X35" s="26"/>
      <c r="Y35" s="26"/>
      <c r="Z35" s="26"/>
      <c r="AA35" s="26"/>
      <c r="AB35" s="26"/>
      <c r="AC35" s="26"/>
      <c r="AF35" s="26"/>
      <c r="AG35" s="26"/>
      <c r="AV35" s="4"/>
      <c r="AW35" s="4"/>
      <c r="AX35" s="4"/>
      <c r="AY35" s="4"/>
      <c r="AZ35" s="4"/>
      <c r="BA35" s="4"/>
      <c r="BE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8"/>
      <c r="BU35" s="38"/>
      <c r="BV35" s="38"/>
      <c r="BW35" s="38"/>
      <c r="BX35" s="38"/>
      <c r="BY35" s="38"/>
      <c r="BZ35" s="4"/>
      <c r="CA35" s="4"/>
      <c r="CB35" s="4"/>
      <c r="CC35" s="38"/>
      <c r="CD35" s="4"/>
      <c r="CE35" s="4"/>
      <c r="CF35" s="4"/>
      <c r="CG35" s="27">
        <f t="shared" si="3"/>
        <v>0</v>
      </c>
      <c r="CH35" s="28">
        <f>VLOOKUP(C35,'INPUT SHEET '!$U$84:$V$92,2,FALSE)</f>
        <v>2</v>
      </c>
      <c r="CI35" s="28">
        <f>VLOOKUP(D35,'INPUT SHEET '!$U$73:$AD$82,'INPUT SHEET '!CH35,FALSE)</f>
        <v>60</v>
      </c>
      <c r="CJ35" s="28">
        <f>VLOOKUP(G35,'INPUT SHEET '!$AK$74:$AS$92,CH35,FALSE)</f>
        <v>0</v>
      </c>
      <c r="CK35" s="29">
        <f>VLOOKUP(I35,'INPUT SHEET '!$AK$83:$AS$92,CH35,FALSE)</f>
        <v>0</v>
      </c>
      <c r="CL35" s="28">
        <f>IFERROR(VLOOKUP(J35,'INPUT SHEET '!$AU$74:$BD$126,$CH35,FALSE),0)</f>
        <v>0</v>
      </c>
      <c r="CM35" s="28">
        <f>IFERROR(VLOOKUP(K35,'INPUT SHEET '!$AU$74:$BD$126,$CH35,FALSE),0)</f>
        <v>0</v>
      </c>
      <c r="CN35" s="28">
        <f>IFERROR(VLOOKUP(L35,'INPUT SHEET '!$AU$74:$BD$126,$CH35,FALSE),0)</f>
        <v>0</v>
      </c>
      <c r="CO35" s="28">
        <f>IFERROR(VLOOKUP(M35,'INPUT SHEET '!$AU$74:$BD$126,$CH35,FALSE),0)</f>
        <v>0</v>
      </c>
      <c r="CP35" s="28">
        <f>IFERROR(VLOOKUP(N35,'INPUT SHEET '!$AU$74:$BD$126,$CH35,FALSE),0)</f>
        <v>0</v>
      </c>
      <c r="CQ35" s="28">
        <f t="shared" si="4"/>
        <v>60</v>
      </c>
      <c r="CR35" s="28"/>
      <c r="CS35" s="30">
        <f>VLOOKUP(E35,'INPUT SHEET '!$AF$73:$AG$76,2,0)</f>
        <v>1</v>
      </c>
      <c r="CT35" s="30">
        <f>VLOOKUP(F35,'INPUT SHEET '!$AF$85:$AG$90,2,0)</f>
        <v>1</v>
      </c>
      <c r="CU35" s="28">
        <f>IF(CK35=0,1,VLOOKUP(H35,'INPUT SHEET '!$AF$79:$AG$83,2,FALSE))</f>
        <v>1</v>
      </c>
      <c r="CV35" s="31">
        <f t="shared" si="18"/>
        <v>60</v>
      </c>
      <c r="CW35" s="31"/>
      <c r="CX35" s="31"/>
      <c r="CY35" s="31"/>
      <c r="CZ35" s="31"/>
      <c r="DA35" s="32"/>
      <c r="DB35" s="28">
        <f t="shared" si="5"/>
        <v>0</v>
      </c>
      <c r="DC35" s="28">
        <f t="shared" si="6"/>
        <v>0</v>
      </c>
      <c r="DD35" s="28">
        <f t="shared" si="7"/>
        <v>1</v>
      </c>
      <c r="DE35" s="28">
        <f t="shared" si="8"/>
        <v>1</v>
      </c>
      <c r="DF35" s="28">
        <f t="shared" si="9"/>
        <v>1</v>
      </c>
      <c r="DG35" s="28">
        <f t="shared" si="19"/>
        <v>1</v>
      </c>
      <c r="DH35" s="28">
        <f t="shared" si="10"/>
        <v>0</v>
      </c>
      <c r="DI35" s="28">
        <f t="shared" si="11"/>
        <v>0</v>
      </c>
      <c r="DJ35" s="28">
        <f t="shared" si="12"/>
        <v>0</v>
      </c>
      <c r="DK35" s="33"/>
      <c r="DL35" s="34">
        <f t="shared" si="13"/>
        <v>0</v>
      </c>
      <c r="DM35" s="28">
        <f t="shared" si="14"/>
        <v>0</v>
      </c>
      <c r="DN35" s="28">
        <f t="shared" si="15"/>
        <v>0</v>
      </c>
      <c r="DO35" s="28">
        <f t="shared" si="16"/>
        <v>0</v>
      </c>
      <c r="DP35" s="28" t="s">
        <v>76</v>
      </c>
      <c r="DQ35" s="32"/>
      <c r="DR35" s="32"/>
    </row>
    <row r="36" spans="1:122" ht="17.100000000000001" customHeight="1" thickBot="1">
      <c r="A36" s="240"/>
      <c r="B36" s="204"/>
      <c r="C36" s="205" t="s">
        <v>40</v>
      </c>
      <c r="D36" s="205" t="s">
        <v>153</v>
      </c>
      <c r="E36" s="205" t="s">
        <v>10</v>
      </c>
      <c r="F36" s="205" t="s">
        <v>51</v>
      </c>
      <c r="G36" s="205" t="s">
        <v>50</v>
      </c>
      <c r="H36" s="205" t="s">
        <v>50</v>
      </c>
      <c r="I36" s="205" t="s">
        <v>50</v>
      </c>
      <c r="J36" s="205" t="s">
        <v>50</v>
      </c>
      <c r="K36" s="205" t="s">
        <v>50</v>
      </c>
      <c r="L36" s="205" t="s">
        <v>50</v>
      </c>
      <c r="M36" s="205" t="s">
        <v>50</v>
      </c>
      <c r="N36" s="205" t="s">
        <v>50</v>
      </c>
      <c r="O36" s="205"/>
      <c r="P36" s="23">
        <f t="shared" si="0"/>
        <v>0</v>
      </c>
      <c r="Q36" s="24">
        <f t="shared" si="17"/>
        <v>0</v>
      </c>
      <c r="R36" s="25">
        <f t="shared" si="1"/>
        <v>0</v>
      </c>
      <c r="S36" s="241">
        <f t="shared" si="2"/>
        <v>0</v>
      </c>
      <c r="U36" s="4"/>
      <c r="X36" s="26"/>
      <c r="Y36" s="26"/>
      <c r="Z36" s="26"/>
      <c r="AA36" s="26"/>
      <c r="AB36" s="26"/>
      <c r="AC36" s="26"/>
      <c r="AF36" s="26"/>
      <c r="AG36" s="26"/>
      <c r="AV36" s="4"/>
      <c r="AW36" s="4"/>
      <c r="AX36" s="4"/>
      <c r="AY36" s="4"/>
      <c r="AZ36" s="4"/>
      <c r="BA36" s="4"/>
      <c r="BE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8"/>
      <c r="BU36" s="38"/>
      <c r="BV36" s="38"/>
      <c r="BW36" s="38"/>
      <c r="BX36" s="38"/>
      <c r="BY36" s="38"/>
      <c r="BZ36" s="4"/>
      <c r="CA36" s="4"/>
      <c r="CB36" s="4"/>
      <c r="CC36" s="38"/>
      <c r="CD36" s="4"/>
      <c r="CE36" s="4"/>
      <c r="CF36" s="4"/>
      <c r="CG36" s="27">
        <f t="shared" si="3"/>
        <v>0</v>
      </c>
      <c r="CH36" s="28">
        <f>VLOOKUP(C36,'INPUT SHEET '!$U$84:$V$92,2,FALSE)</f>
        <v>2</v>
      </c>
      <c r="CI36" s="28">
        <f>VLOOKUP(D36,'INPUT SHEET '!$U$73:$AD$82,'INPUT SHEET '!CH36,FALSE)</f>
        <v>60</v>
      </c>
      <c r="CJ36" s="28">
        <f>VLOOKUP(G36,'INPUT SHEET '!$AK$74:$AS$92,CH36,FALSE)</f>
        <v>0</v>
      </c>
      <c r="CK36" s="29">
        <f>VLOOKUP(I36,'INPUT SHEET '!$AK$83:$AS$92,CH36,FALSE)</f>
        <v>0</v>
      </c>
      <c r="CL36" s="28">
        <f>IFERROR(VLOOKUP(J36,'INPUT SHEET '!$AU$74:$BD$126,$CH36,FALSE),0)</f>
        <v>0</v>
      </c>
      <c r="CM36" s="28">
        <f>IFERROR(VLOOKUP(K36,'INPUT SHEET '!$AU$74:$BD$126,$CH36,FALSE),0)</f>
        <v>0</v>
      </c>
      <c r="CN36" s="28">
        <f>IFERROR(VLOOKUP(L36,'INPUT SHEET '!$AU$74:$BD$126,$CH36,FALSE),0)</f>
        <v>0</v>
      </c>
      <c r="CO36" s="28">
        <f>IFERROR(VLOOKUP(M36,'INPUT SHEET '!$AU$74:$BD$126,$CH36,FALSE),0)</f>
        <v>0</v>
      </c>
      <c r="CP36" s="28">
        <f>IFERROR(VLOOKUP(N36,'INPUT SHEET '!$AU$74:$BD$126,$CH36,FALSE),0)</f>
        <v>0</v>
      </c>
      <c r="CQ36" s="28">
        <f t="shared" si="4"/>
        <v>60</v>
      </c>
      <c r="CR36" s="28"/>
      <c r="CS36" s="30">
        <f>VLOOKUP(E36,'INPUT SHEET '!$AF$73:$AG$76,2,0)</f>
        <v>1</v>
      </c>
      <c r="CT36" s="30">
        <f>VLOOKUP(F36,'INPUT SHEET '!$AF$85:$AG$90,2,0)</f>
        <v>1</v>
      </c>
      <c r="CU36" s="28">
        <f>IF(CK36=0,1,VLOOKUP(H36,'INPUT SHEET '!$AF$79:$AG$83,2,FALSE))</f>
        <v>1</v>
      </c>
      <c r="CV36" s="31">
        <f t="shared" si="18"/>
        <v>60</v>
      </c>
      <c r="CW36" s="31"/>
      <c r="CX36" s="31"/>
      <c r="CY36" s="31"/>
      <c r="CZ36" s="31"/>
      <c r="DA36" s="32"/>
      <c r="DB36" s="28">
        <f t="shared" si="5"/>
        <v>0</v>
      </c>
      <c r="DC36" s="28">
        <f t="shared" si="6"/>
        <v>0</v>
      </c>
      <c r="DD36" s="28">
        <f t="shared" si="7"/>
        <v>1</v>
      </c>
      <c r="DE36" s="28">
        <f t="shared" si="8"/>
        <v>1</v>
      </c>
      <c r="DF36" s="28">
        <f t="shared" si="9"/>
        <v>1</v>
      </c>
      <c r="DG36" s="28">
        <f t="shared" si="19"/>
        <v>1</v>
      </c>
      <c r="DH36" s="28">
        <f t="shared" si="10"/>
        <v>0</v>
      </c>
      <c r="DI36" s="28">
        <f t="shared" si="11"/>
        <v>0</v>
      </c>
      <c r="DJ36" s="28">
        <f t="shared" si="12"/>
        <v>0</v>
      </c>
      <c r="DK36" s="33"/>
      <c r="DL36" s="34">
        <f t="shared" si="13"/>
        <v>0</v>
      </c>
      <c r="DM36" s="28">
        <f t="shared" si="14"/>
        <v>0</v>
      </c>
      <c r="DN36" s="28">
        <f t="shared" si="15"/>
        <v>0</v>
      </c>
      <c r="DO36" s="28">
        <f t="shared" si="16"/>
        <v>0</v>
      </c>
      <c r="DP36" s="28" t="s">
        <v>76</v>
      </c>
      <c r="DQ36" s="32"/>
      <c r="DR36" s="32"/>
    </row>
    <row r="37" spans="1:122" ht="17.100000000000001" customHeight="1">
      <c r="A37" s="240"/>
      <c r="B37" s="204"/>
      <c r="C37" s="205" t="s">
        <v>40</v>
      </c>
      <c r="D37" s="205" t="s">
        <v>153</v>
      </c>
      <c r="E37" s="205" t="s">
        <v>10</v>
      </c>
      <c r="F37" s="205" t="s">
        <v>51</v>
      </c>
      <c r="G37" s="205" t="s">
        <v>50</v>
      </c>
      <c r="H37" s="205" t="s">
        <v>50</v>
      </c>
      <c r="I37" s="205" t="s">
        <v>50</v>
      </c>
      <c r="J37" s="205" t="s">
        <v>50</v>
      </c>
      <c r="K37" s="205" t="s">
        <v>50</v>
      </c>
      <c r="L37" s="205" t="s">
        <v>50</v>
      </c>
      <c r="M37" s="205" t="s">
        <v>50</v>
      </c>
      <c r="N37" s="205" t="s">
        <v>50</v>
      </c>
      <c r="O37" s="205"/>
      <c r="P37" s="23">
        <f t="shared" si="0"/>
        <v>0</v>
      </c>
      <c r="Q37" s="24">
        <f t="shared" si="17"/>
        <v>0</v>
      </c>
      <c r="R37" s="25">
        <f t="shared" si="1"/>
        <v>0</v>
      </c>
      <c r="S37" s="241">
        <f t="shared" si="2"/>
        <v>0</v>
      </c>
      <c r="U37" s="4"/>
      <c r="AD37" s="26"/>
      <c r="AE37" s="26"/>
      <c r="AF37" s="26"/>
      <c r="AV37" s="4"/>
      <c r="AW37" s="4"/>
      <c r="AX37" s="4"/>
      <c r="AY37" s="4"/>
      <c r="AZ37" s="4"/>
      <c r="BA37" s="4"/>
      <c r="BE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8"/>
      <c r="BU37" s="38"/>
      <c r="BV37" s="38"/>
      <c r="BW37" s="38"/>
      <c r="BX37" s="38"/>
      <c r="BY37" s="38"/>
      <c r="BZ37" s="4"/>
      <c r="CA37" s="4"/>
      <c r="CB37" s="4"/>
      <c r="CC37" s="38"/>
      <c r="CD37" s="4"/>
      <c r="CE37" s="4"/>
      <c r="CF37" s="4"/>
      <c r="CG37" s="27">
        <f t="shared" si="3"/>
        <v>0</v>
      </c>
      <c r="CH37" s="28">
        <f>VLOOKUP(C37,'INPUT SHEET '!$U$84:$V$92,2,FALSE)</f>
        <v>2</v>
      </c>
      <c r="CI37" s="28">
        <f>VLOOKUP(D37,'INPUT SHEET '!$U$73:$AD$82,'INPUT SHEET '!CH37,FALSE)</f>
        <v>60</v>
      </c>
      <c r="CJ37" s="28">
        <f>VLOOKUP(G37,'INPUT SHEET '!$AK$74:$AS$92,CH37,FALSE)</f>
        <v>0</v>
      </c>
      <c r="CK37" s="29">
        <f>VLOOKUP(I37,'INPUT SHEET '!$AK$83:$AS$92,CH37,FALSE)</f>
        <v>0</v>
      </c>
      <c r="CL37" s="28">
        <f>IFERROR(VLOOKUP(J37,'INPUT SHEET '!$AU$74:$BD$126,$CH37,FALSE),0)</f>
        <v>0</v>
      </c>
      <c r="CM37" s="28">
        <f>IFERROR(VLOOKUP(K37,'INPUT SHEET '!$AU$74:$BD$126,$CH37,FALSE),0)</f>
        <v>0</v>
      </c>
      <c r="CN37" s="28">
        <f>IFERROR(VLOOKUP(L37,'INPUT SHEET '!$AU$74:$BD$126,$CH37,FALSE),0)</f>
        <v>0</v>
      </c>
      <c r="CO37" s="28">
        <f>IFERROR(VLOOKUP(M37,'INPUT SHEET '!$AU$74:$BD$126,$CH37,FALSE),0)</f>
        <v>0</v>
      </c>
      <c r="CP37" s="28">
        <f>IFERROR(VLOOKUP(N37,'INPUT SHEET '!$AU$74:$BD$126,$CH37,FALSE),0)</f>
        <v>0</v>
      </c>
      <c r="CQ37" s="28">
        <f t="shared" si="4"/>
        <v>60</v>
      </c>
      <c r="CR37" s="28"/>
      <c r="CS37" s="30">
        <f>VLOOKUP(E37,'INPUT SHEET '!$AF$73:$AG$76,2,0)</f>
        <v>1</v>
      </c>
      <c r="CT37" s="30">
        <f>VLOOKUP(F37,'INPUT SHEET '!$AF$85:$AG$90,2,0)</f>
        <v>1</v>
      </c>
      <c r="CU37" s="28">
        <f>IF(CK37=0,1,VLOOKUP(H37,'INPUT SHEET '!$AF$79:$AG$83,2,FALSE))</f>
        <v>1</v>
      </c>
      <c r="CV37" s="31">
        <f t="shared" si="18"/>
        <v>60</v>
      </c>
      <c r="CW37" s="31"/>
      <c r="CX37" s="31"/>
      <c r="CY37" s="31"/>
      <c r="CZ37" s="31"/>
      <c r="DA37" s="32"/>
      <c r="DB37" s="28">
        <f t="shared" si="5"/>
        <v>0</v>
      </c>
      <c r="DC37" s="28">
        <f t="shared" si="6"/>
        <v>0</v>
      </c>
      <c r="DD37" s="28">
        <f t="shared" si="7"/>
        <v>1</v>
      </c>
      <c r="DE37" s="28">
        <f t="shared" si="8"/>
        <v>1</v>
      </c>
      <c r="DF37" s="28">
        <f t="shared" si="9"/>
        <v>1</v>
      </c>
      <c r="DG37" s="28">
        <f t="shared" si="19"/>
        <v>1</v>
      </c>
      <c r="DH37" s="28">
        <f t="shared" si="10"/>
        <v>0</v>
      </c>
      <c r="DI37" s="28">
        <f t="shared" si="11"/>
        <v>0</v>
      </c>
      <c r="DJ37" s="28">
        <f t="shared" si="12"/>
        <v>0</v>
      </c>
      <c r="DK37" s="33"/>
      <c r="DL37" s="34">
        <f t="shared" si="13"/>
        <v>0</v>
      </c>
      <c r="DM37" s="28">
        <f t="shared" si="14"/>
        <v>0</v>
      </c>
      <c r="DN37" s="28">
        <f t="shared" si="15"/>
        <v>0</v>
      </c>
      <c r="DO37" s="28">
        <f t="shared" si="16"/>
        <v>0</v>
      </c>
      <c r="DP37" s="28" t="s">
        <v>76</v>
      </c>
      <c r="DQ37" s="32"/>
      <c r="DR37" s="32"/>
    </row>
    <row r="38" spans="1:122" ht="17.100000000000001" customHeight="1" thickBot="1">
      <c r="A38" s="373" t="s">
        <v>138</v>
      </c>
      <c r="B38" s="374"/>
      <c r="C38" s="374"/>
      <c r="D38" s="374"/>
      <c r="E38" s="374"/>
      <c r="F38" s="374"/>
      <c r="G38" s="374"/>
      <c r="H38" s="374"/>
      <c r="I38" s="374"/>
      <c r="J38" s="374"/>
      <c r="K38" s="374"/>
      <c r="L38" s="374"/>
      <c r="M38" s="374"/>
      <c r="N38" s="374"/>
      <c r="O38" s="374"/>
      <c r="P38" s="374"/>
      <c r="Q38" s="374"/>
      <c r="R38" s="375"/>
      <c r="S38" s="216"/>
      <c r="U38" s="4"/>
      <c r="AD38" s="26"/>
      <c r="AE38" s="26"/>
      <c r="AF38" s="26"/>
      <c r="AV38" s="4"/>
      <c r="AW38" s="4"/>
      <c r="AX38" s="4"/>
      <c r="AY38" s="4"/>
      <c r="AZ38" s="4"/>
      <c r="BA38" s="4"/>
      <c r="BE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8"/>
      <c r="BU38" s="38"/>
      <c r="BV38" s="38"/>
      <c r="BW38" s="38"/>
      <c r="BX38" s="38"/>
      <c r="BY38" s="38"/>
      <c r="BZ38" s="4"/>
      <c r="CA38" s="4"/>
      <c r="CB38" s="4"/>
      <c r="CC38" s="38"/>
      <c r="CD38" s="4"/>
      <c r="CE38" s="4"/>
      <c r="CF38" s="4"/>
      <c r="CG38" s="4" t="s">
        <v>176</v>
      </c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DK38" s="54"/>
      <c r="DL38" s="34"/>
      <c r="DQ38" s="32"/>
      <c r="DR38" s="32"/>
    </row>
    <row r="39" spans="1:122" ht="17.100000000000001" customHeight="1" thickBot="1">
      <c r="A39" s="240">
        <v>1</v>
      </c>
      <c r="B39" s="204" t="s">
        <v>335</v>
      </c>
      <c r="C39" s="205" t="s">
        <v>40</v>
      </c>
      <c r="D39" s="206" t="s">
        <v>37</v>
      </c>
      <c r="E39" s="205" t="s">
        <v>10</v>
      </c>
      <c r="F39" s="205" t="s">
        <v>105</v>
      </c>
      <c r="G39" s="205" t="s">
        <v>50</v>
      </c>
      <c r="H39" s="205" t="s">
        <v>114</v>
      </c>
      <c r="I39" s="205" t="s">
        <v>59</v>
      </c>
      <c r="J39" s="205" t="s">
        <v>50</v>
      </c>
      <c r="K39" s="205" t="s">
        <v>55</v>
      </c>
      <c r="L39" s="205" t="s">
        <v>50</v>
      </c>
      <c r="M39" s="77" t="s">
        <v>50</v>
      </c>
      <c r="N39" s="77" t="s">
        <v>50</v>
      </c>
      <c r="O39" s="203">
        <v>9</v>
      </c>
      <c r="P39" s="23">
        <f t="shared" ref="P39:P54" si="21">IFERROR(IF(A39&gt;0,CV39,0),0)</f>
        <v>40</v>
      </c>
      <c r="Q39" s="24">
        <f t="shared" si="17"/>
        <v>360</v>
      </c>
      <c r="R39" s="25">
        <f t="shared" ref="R39:R54" si="22">IF(O39=0,0,IF(D39="Skirmisher",INT(2*O39/3)/2+0.5,O39/2+0.5))</f>
        <v>3.5</v>
      </c>
      <c r="S39" s="241">
        <f t="shared" ref="S39:S54" si="23">(DM39/10)+(DP39/30)</f>
        <v>0.3</v>
      </c>
      <c r="U39" s="4"/>
      <c r="AV39" s="4"/>
      <c r="AW39" s="4"/>
      <c r="AX39" s="4"/>
      <c r="AY39" s="4"/>
      <c r="AZ39" s="4"/>
      <c r="BA39" s="4"/>
      <c r="BE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8"/>
      <c r="BU39" s="38"/>
      <c r="BV39" s="38"/>
      <c r="BW39" s="38"/>
      <c r="BX39" s="38"/>
      <c r="BY39" s="38"/>
      <c r="BZ39" s="4"/>
      <c r="CA39" s="4"/>
      <c r="CB39" s="4"/>
      <c r="CC39" s="38"/>
      <c r="CD39" s="4"/>
      <c r="CE39" s="4"/>
      <c r="CF39" s="4"/>
      <c r="CG39" s="27" t="str">
        <f t="shared" ref="CG39:CG54" si="24">B39</f>
        <v>Skirmishing Archers</v>
      </c>
      <c r="CH39" s="28">
        <f>VLOOKUP(C39,'INPUT SHEET '!$U$84:$V$92,2,FALSE)</f>
        <v>2</v>
      </c>
      <c r="CI39" s="28">
        <f>VLOOKUP(D39,'INPUT SHEET '!$U$73:$AD$83,'INPUT SHEET '!CH39,FALSE)</f>
        <v>30</v>
      </c>
      <c r="CJ39" s="28">
        <f>VLOOKUP(G39,'INPUT SHEET '!$AK$100:$AS$118,$CH39,FALSE)</f>
        <v>0</v>
      </c>
      <c r="CK39" s="28">
        <f>VLOOKUP(I39,'INPUT SHEET '!$AK$100:$AS$118,$CH39,FALSE)</f>
        <v>20</v>
      </c>
      <c r="CL39" s="28">
        <f>IFERROR(VLOOKUP(J39,'INPUT SHEET '!$AU$99:$BD$119,$CH39,FALSE),0)</f>
        <v>0</v>
      </c>
      <c r="CM39" s="28">
        <f>IFERROR(VLOOKUP(K39,'INPUT SHEET '!$AU$99:$BD$119,$CH39,FALSE),0)</f>
        <v>-5</v>
      </c>
      <c r="CN39" s="28">
        <f>IFERROR(VLOOKUP(L39,'INPUT SHEET '!$AU$99:$BD$119,$CH39,FALSE),0)</f>
        <v>0</v>
      </c>
      <c r="CO39" s="28">
        <f>IFERROR(VLOOKUP(M39,'INPUT SHEET '!$AU$99:$BD$119,$CH39,FALSE),0)</f>
        <v>0</v>
      </c>
      <c r="CP39" s="28">
        <f>IFERROR(VLOOKUP(N39,'INPUT SHEET '!$AU$99:$BD$119,$CH39,FALSE),0)</f>
        <v>0</v>
      </c>
      <c r="CQ39" s="28">
        <f t="shared" ref="CQ39:CQ54" si="25">SUM(CI39:CP39)-CK39</f>
        <v>25</v>
      </c>
      <c r="CR39" s="28"/>
      <c r="CS39" s="30">
        <f>VLOOKUP(E39,'INPUT SHEET '!$AF$73:$AG$76,2,0)</f>
        <v>1</v>
      </c>
      <c r="CT39" s="30">
        <f>VLOOKUP(F39,'INPUT SHEET '!$AF$85:$AH$87,3,0)</f>
        <v>0.8</v>
      </c>
      <c r="CU39" s="28">
        <f>IF(CK39=0,1,VLOOKUP(H39,'INPUT SHEET '!$AF$79:$AH$83,3,FALSE))</f>
        <v>1</v>
      </c>
      <c r="CV39" s="31">
        <f>INT(CQ39*CS39*CT39+CK39*CU39)</f>
        <v>40</v>
      </c>
      <c r="CW39" s="31"/>
      <c r="CX39" s="31"/>
      <c r="CY39" s="31"/>
      <c r="CZ39" s="31"/>
      <c r="DA39" s="32"/>
      <c r="DB39" s="28">
        <f t="shared" ref="DB39:DB54" si="26">IF(C39="CAVALRY",1,0)</f>
        <v>0</v>
      </c>
      <c r="DC39" s="28"/>
      <c r="DD39" s="33"/>
      <c r="DE39" s="33"/>
      <c r="DF39" s="33"/>
      <c r="DG39" s="33"/>
      <c r="DH39" s="28">
        <f t="shared" ref="DH39:DH54" si="27">IF(C39="light chariots",1,0)</f>
        <v>0</v>
      </c>
      <c r="DI39" s="28">
        <f t="shared" ref="DI39:DI54" si="28">IF(C39="CAMELRY",1,0)</f>
        <v>0</v>
      </c>
      <c r="DJ39" s="28">
        <f t="shared" ref="DJ39:DJ54" si="29">IF(D39="Skirmisher",1,0)</f>
        <v>1</v>
      </c>
      <c r="DK39" s="33"/>
      <c r="DL39" s="34">
        <f t="shared" ref="DL39:DL54" si="30">IF(A39&gt;0,1,0)</f>
        <v>1</v>
      </c>
      <c r="DM39" s="28">
        <f t="shared" ref="DM39:DM54" si="31">O39*DJ39*(DB39+DI39)*DL39</f>
        <v>0</v>
      </c>
      <c r="DN39" s="28" t="s">
        <v>76</v>
      </c>
      <c r="DO39" s="28" t="s">
        <v>76</v>
      </c>
      <c r="DP39" s="28">
        <f t="shared" ref="DP39:DP54" si="32">IF(C39="infantry",O39*DL39,0)</f>
        <v>9</v>
      </c>
      <c r="DQ39" s="32"/>
      <c r="DR39" s="32"/>
    </row>
    <row r="40" spans="1:122" ht="17.100000000000001" customHeight="1" thickBot="1">
      <c r="A40" s="240">
        <v>2</v>
      </c>
      <c r="B40" s="204" t="s">
        <v>335</v>
      </c>
      <c r="C40" s="205" t="s">
        <v>40</v>
      </c>
      <c r="D40" s="206" t="s">
        <v>37</v>
      </c>
      <c r="E40" s="205" t="s">
        <v>10</v>
      </c>
      <c r="F40" s="205" t="s">
        <v>105</v>
      </c>
      <c r="G40" s="205" t="s">
        <v>50</v>
      </c>
      <c r="H40" s="205" t="s">
        <v>114</v>
      </c>
      <c r="I40" s="205" t="s">
        <v>59</v>
      </c>
      <c r="J40" s="205" t="s">
        <v>50</v>
      </c>
      <c r="K40" s="205" t="s">
        <v>55</v>
      </c>
      <c r="L40" s="205" t="s">
        <v>50</v>
      </c>
      <c r="M40" s="77" t="s">
        <v>50</v>
      </c>
      <c r="N40" s="77" t="s">
        <v>50</v>
      </c>
      <c r="O40" s="203">
        <v>9</v>
      </c>
      <c r="P40" s="23">
        <f t="shared" si="21"/>
        <v>40</v>
      </c>
      <c r="Q40" s="24">
        <f t="shared" si="17"/>
        <v>360</v>
      </c>
      <c r="R40" s="25">
        <f t="shared" si="22"/>
        <v>3.5</v>
      </c>
      <c r="S40" s="241">
        <f t="shared" si="23"/>
        <v>0.3</v>
      </c>
      <c r="U40" s="4"/>
      <c r="AV40" s="4"/>
      <c r="AW40" s="4"/>
      <c r="AX40" s="4"/>
      <c r="AY40" s="4"/>
      <c r="AZ40" s="4"/>
      <c r="BA40" s="4"/>
      <c r="BE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8"/>
      <c r="BU40" s="38"/>
      <c r="BV40" s="38"/>
      <c r="BW40" s="38"/>
      <c r="BX40" s="38"/>
      <c r="BY40" s="38"/>
      <c r="BZ40" s="4"/>
      <c r="CA40" s="4"/>
      <c r="CB40" s="4"/>
      <c r="CC40" s="38"/>
      <c r="CD40" s="4"/>
      <c r="CE40" s="4"/>
      <c r="CF40" s="4"/>
      <c r="CG40" s="27" t="str">
        <f t="shared" si="24"/>
        <v>Skirmishing Archers</v>
      </c>
      <c r="CH40" s="28">
        <f>VLOOKUP(C40,'INPUT SHEET '!$U$84:$V$92,2,FALSE)</f>
        <v>2</v>
      </c>
      <c r="CI40" s="28">
        <f>VLOOKUP(D40,'INPUT SHEET '!$U$73:$AD$83,'INPUT SHEET '!CH40,FALSE)</f>
        <v>30</v>
      </c>
      <c r="CJ40" s="28">
        <f>VLOOKUP(G40,'INPUT SHEET '!$AK$100:$AS$118,$CH40,FALSE)</f>
        <v>0</v>
      </c>
      <c r="CK40" s="28">
        <f>VLOOKUP(I40,'INPUT SHEET '!$AK$100:$AS$118,$CH40,FALSE)</f>
        <v>20</v>
      </c>
      <c r="CL40" s="28">
        <f>IFERROR(VLOOKUP(J40,'INPUT SHEET '!$AU$99:$BD$119,$CH40,FALSE),0)</f>
        <v>0</v>
      </c>
      <c r="CM40" s="28">
        <f>IFERROR(VLOOKUP(K40,'INPUT SHEET '!$AU$99:$BD$119,$CH40,FALSE),0)</f>
        <v>-5</v>
      </c>
      <c r="CN40" s="28">
        <f>IFERROR(VLOOKUP(L40,'INPUT SHEET '!$AU$99:$BD$119,$CH40,FALSE),0)</f>
        <v>0</v>
      </c>
      <c r="CO40" s="28">
        <f>IFERROR(VLOOKUP(M40,'INPUT SHEET '!$AU$99:$BD$119,$CH40,FALSE),0)</f>
        <v>0</v>
      </c>
      <c r="CP40" s="28">
        <f>IFERROR(VLOOKUP(N40,'INPUT SHEET '!$AU$99:$BD$119,$CH40,FALSE),0)</f>
        <v>0</v>
      </c>
      <c r="CQ40" s="28">
        <f t="shared" si="25"/>
        <v>25</v>
      </c>
      <c r="CR40" s="28"/>
      <c r="CS40" s="30">
        <f>VLOOKUP(E40,'INPUT SHEET '!$AF$73:$AG$76,2,0)</f>
        <v>1</v>
      </c>
      <c r="CT40" s="30">
        <f>VLOOKUP(F40,'INPUT SHEET '!$AF$85:$AH$87,3,0)</f>
        <v>0.8</v>
      </c>
      <c r="CU40" s="28">
        <f>IF(CK40=0,1,VLOOKUP(H40,'INPUT SHEET '!$AF$79:$AH$83,3,FALSE))</f>
        <v>1</v>
      </c>
      <c r="CV40" s="31">
        <f t="shared" ref="CV40:CV54" si="33">INT(CQ40*CS40*CT40+CK40*CU40)</f>
        <v>40</v>
      </c>
      <c r="CW40" s="31"/>
      <c r="CX40" s="31"/>
      <c r="CY40" s="31"/>
      <c r="CZ40" s="31"/>
      <c r="DA40" s="32"/>
      <c r="DB40" s="28">
        <f t="shared" si="26"/>
        <v>0</v>
      </c>
      <c r="DC40" s="28"/>
      <c r="DD40" s="33"/>
      <c r="DE40" s="33"/>
      <c r="DF40" s="33"/>
      <c r="DG40" s="33"/>
      <c r="DH40" s="28">
        <f t="shared" si="27"/>
        <v>0</v>
      </c>
      <c r="DI40" s="28">
        <f t="shared" si="28"/>
        <v>0</v>
      </c>
      <c r="DJ40" s="28">
        <f t="shared" si="29"/>
        <v>1</v>
      </c>
      <c r="DK40" s="33"/>
      <c r="DL40" s="34">
        <f t="shared" si="30"/>
        <v>1</v>
      </c>
      <c r="DM40" s="28">
        <f t="shared" si="31"/>
        <v>0</v>
      </c>
      <c r="DN40" s="28" t="s">
        <v>76</v>
      </c>
      <c r="DO40" s="28" t="s">
        <v>76</v>
      </c>
      <c r="DP40" s="28">
        <f t="shared" si="32"/>
        <v>9</v>
      </c>
      <c r="DQ40" s="32"/>
      <c r="DR40" s="32"/>
    </row>
    <row r="41" spans="1:122" ht="17.100000000000001" customHeight="1" thickBot="1">
      <c r="A41" s="240"/>
      <c r="B41" s="204"/>
      <c r="C41" s="205" t="s">
        <v>40</v>
      </c>
      <c r="D41" s="206" t="s">
        <v>37</v>
      </c>
      <c r="E41" s="205" t="s">
        <v>10</v>
      </c>
      <c r="F41" s="205" t="s">
        <v>105</v>
      </c>
      <c r="G41" s="205" t="s">
        <v>50</v>
      </c>
      <c r="H41" s="205" t="s">
        <v>114</v>
      </c>
      <c r="I41" s="205" t="s">
        <v>59</v>
      </c>
      <c r="J41" s="205" t="s">
        <v>50</v>
      </c>
      <c r="K41" s="205" t="s">
        <v>50</v>
      </c>
      <c r="L41" s="205" t="s">
        <v>50</v>
      </c>
      <c r="M41" s="77" t="s">
        <v>50</v>
      </c>
      <c r="N41" s="77" t="s">
        <v>50</v>
      </c>
      <c r="O41" s="203"/>
      <c r="P41" s="23">
        <f t="shared" si="21"/>
        <v>0</v>
      </c>
      <c r="Q41" s="24">
        <f t="shared" si="17"/>
        <v>0</v>
      </c>
      <c r="R41" s="25">
        <f t="shared" si="22"/>
        <v>0</v>
      </c>
      <c r="S41" s="241">
        <f t="shared" si="23"/>
        <v>0</v>
      </c>
      <c r="U41" s="4"/>
      <c r="AV41" s="4"/>
      <c r="AW41" s="4"/>
      <c r="AX41" s="4"/>
      <c r="AY41" s="4"/>
      <c r="AZ41" s="4"/>
      <c r="BA41" s="4"/>
      <c r="BE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8"/>
      <c r="BU41" s="38"/>
      <c r="BV41" s="38"/>
      <c r="BW41" s="38"/>
      <c r="BX41" s="38"/>
      <c r="BY41" s="38"/>
      <c r="BZ41" s="4"/>
      <c r="CA41" s="4"/>
      <c r="CB41" s="4"/>
      <c r="CC41" s="38"/>
      <c r="CD41" s="4"/>
      <c r="CE41" s="4"/>
      <c r="CF41" s="4"/>
      <c r="CG41" s="27">
        <f t="shared" si="24"/>
        <v>0</v>
      </c>
      <c r="CH41" s="28">
        <f>VLOOKUP(C41,'INPUT SHEET '!$U$84:$V$92,2,FALSE)</f>
        <v>2</v>
      </c>
      <c r="CI41" s="28">
        <f>VLOOKUP(D41,'INPUT SHEET '!$U$73:$AD$83,'INPUT SHEET '!CH41,FALSE)</f>
        <v>30</v>
      </c>
      <c r="CJ41" s="28">
        <f>VLOOKUP(G41,'INPUT SHEET '!$AK$100:$AS$118,$CH41,FALSE)</f>
        <v>0</v>
      </c>
      <c r="CK41" s="28">
        <f>VLOOKUP(I41,'INPUT SHEET '!$AK$100:$AS$118,$CH41,FALSE)</f>
        <v>20</v>
      </c>
      <c r="CL41" s="28">
        <f>IFERROR(VLOOKUP(J41,'INPUT SHEET '!$AU$99:$BD$119,$CH41,FALSE),0)</f>
        <v>0</v>
      </c>
      <c r="CM41" s="28">
        <f>IFERROR(VLOOKUP(K41,'INPUT SHEET '!$AU$99:$BD$119,$CH41,FALSE),0)</f>
        <v>0</v>
      </c>
      <c r="CN41" s="28">
        <f>IFERROR(VLOOKUP(L41,'INPUT SHEET '!$AU$99:$BD$119,$CH41,FALSE),0)</f>
        <v>0</v>
      </c>
      <c r="CO41" s="28">
        <f>IFERROR(VLOOKUP(M41,'INPUT SHEET '!$AU$99:$BD$119,$CH41,FALSE),0)</f>
        <v>0</v>
      </c>
      <c r="CP41" s="28">
        <f>IFERROR(VLOOKUP(N41,'INPUT SHEET '!$AU$99:$BD$119,$CH41,FALSE),0)</f>
        <v>0</v>
      </c>
      <c r="CQ41" s="28">
        <f t="shared" si="25"/>
        <v>30</v>
      </c>
      <c r="CR41" s="28"/>
      <c r="CS41" s="30">
        <f>VLOOKUP(E41,'INPUT SHEET '!$AF$73:$AG$76,2,0)</f>
        <v>1</v>
      </c>
      <c r="CT41" s="30">
        <f>VLOOKUP(F41,'INPUT SHEET '!$AF$85:$AH$87,3,0)</f>
        <v>0.8</v>
      </c>
      <c r="CU41" s="28">
        <f>IF(CK41=0,1,VLOOKUP(H41,'INPUT SHEET '!$AF$79:$AH$83,3,FALSE))</f>
        <v>1</v>
      </c>
      <c r="CV41" s="31">
        <f t="shared" si="33"/>
        <v>44</v>
      </c>
      <c r="CW41" s="31"/>
      <c r="CX41" s="31"/>
      <c r="CY41" s="31"/>
      <c r="CZ41" s="31"/>
      <c r="DA41" s="32"/>
      <c r="DB41" s="28">
        <f t="shared" si="26"/>
        <v>0</v>
      </c>
      <c r="DC41" s="28"/>
      <c r="DD41" s="33"/>
      <c r="DE41" s="33"/>
      <c r="DF41" s="33"/>
      <c r="DG41" s="33"/>
      <c r="DH41" s="28">
        <f t="shared" si="27"/>
        <v>0</v>
      </c>
      <c r="DI41" s="28">
        <f t="shared" si="28"/>
        <v>0</v>
      </c>
      <c r="DJ41" s="28">
        <f t="shared" si="29"/>
        <v>1</v>
      </c>
      <c r="DK41" s="33"/>
      <c r="DL41" s="34">
        <f t="shared" si="30"/>
        <v>0</v>
      </c>
      <c r="DM41" s="28">
        <f t="shared" si="31"/>
        <v>0</v>
      </c>
      <c r="DN41" s="28" t="s">
        <v>76</v>
      </c>
      <c r="DO41" s="28" t="s">
        <v>76</v>
      </c>
      <c r="DP41" s="28">
        <f t="shared" si="32"/>
        <v>0</v>
      </c>
      <c r="DQ41" s="32"/>
      <c r="DR41" s="32"/>
    </row>
    <row r="42" spans="1:122" ht="17.100000000000001" customHeight="1" thickBot="1">
      <c r="A42" s="240"/>
      <c r="B42" s="204"/>
      <c r="C42" s="205" t="s">
        <v>40</v>
      </c>
      <c r="D42" s="206" t="s">
        <v>37</v>
      </c>
      <c r="E42" s="205" t="s">
        <v>10</v>
      </c>
      <c r="F42" s="205" t="s">
        <v>105</v>
      </c>
      <c r="G42" s="205" t="s">
        <v>50</v>
      </c>
      <c r="H42" s="205" t="s">
        <v>114</v>
      </c>
      <c r="I42" s="205" t="s">
        <v>59</v>
      </c>
      <c r="J42" s="205" t="s">
        <v>50</v>
      </c>
      <c r="K42" s="205" t="s">
        <v>50</v>
      </c>
      <c r="L42" s="205" t="s">
        <v>50</v>
      </c>
      <c r="M42" s="77" t="s">
        <v>50</v>
      </c>
      <c r="N42" s="77" t="s">
        <v>50</v>
      </c>
      <c r="O42" s="203"/>
      <c r="P42" s="23">
        <f t="shared" si="21"/>
        <v>0</v>
      </c>
      <c r="Q42" s="24">
        <f t="shared" si="17"/>
        <v>0</v>
      </c>
      <c r="R42" s="25">
        <f t="shared" si="22"/>
        <v>0</v>
      </c>
      <c r="S42" s="241">
        <f t="shared" si="23"/>
        <v>0</v>
      </c>
      <c r="U42" s="4"/>
      <c r="AV42" s="4"/>
      <c r="AW42" s="4"/>
      <c r="AX42" s="4"/>
      <c r="AY42" s="4"/>
      <c r="AZ42" s="4"/>
      <c r="BA42" s="4"/>
      <c r="BE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8"/>
      <c r="BU42" s="38"/>
      <c r="BV42" s="38"/>
      <c r="BW42" s="38"/>
      <c r="BX42" s="38"/>
      <c r="BY42" s="38"/>
      <c r="BZ42" s="4"/>
      <c r="CA42" s="4"/>
      <c r="CB42" s="4"/>
      <c r="CC42" s="38"/>
      <c r="CD42" s="4"/>
      <c r="CE42" s="4"/>
      <c r="CF42" s="4"/>
      <c r="CG42" s="27">
        <f t="shared" si="24"/>
        <v>0</v>
      </c>
      <c r="CH42" s="28">
        <f>VLOOKUP(C42,'INPUT SHEET '!$U$84:$V$92,2,FALSE)</f>
        <v>2</v>
      </c>
      <c r="CI42" s="28">
        <f>VLOOKUP(D42,'INPUT SHEET '!$U$73:$AD$83,'INPUT SHEET '!CH42,FALSE)</f>
        <v>30</v>
      </c>
      <c r="CJ42" s="28">
        <f>VLOOKUP(G42,'INPUT SHEET '!$AK$100:$AS$118,$CH42,FALSE)</f>
        <v>0</v>
      </c>
      <c r="CK42" s="28">
        <f>VLOOKUP(I42,'INPUT SHEET '!$AK$100:$AS$118,$CH42,FALSE)</f>
        <v>20</v>
      </c>
      <c r="CL42" s="28">
        <f>IFERROR(VLOOKUP(J42,'INPUT SHEET '!$AU$99:$BD$119,$CH42,FALSE),0)</f>
        <v>0</v>
      </c>
      <c r="CM42" s="28">
        <f>IFERROR(VLOOKUP(K42,'INPUT SHEET '!$AU$99:$BD$119,$CH42,FALSE),0)</f>
        <v>0</v>
      </c>
      <c r="CN42" s="28">
        <f>IFERROR(VLOOKUP(L42,'INPUT SHEET '!$AU$99:$BD$119,$CH42,FALSE),0)</f>
        <v>0</v>
      </c>
      <c r="CO42" s="28">
        <f>IFERROR(VLOOKUP(M42,'INPUT SHEET '!$AU$99:$BD$119,$CH42,FALSE),0)</f>
        <v>0</v>
      </c>
      <c r="CP42" s="28">
        <f>IFERROR(VLOOKUP(N42,'INPUT SHEET '!$AU$99:$BD$119,$CH42,FALSE),0)</f>
        <v>0</v>
      </c>
      <c r="CQ42" s="28">
        <f t="shared" ref="CQ42:CQ47" si="34">SUM(CI42:CP42)-CK42</f>
        <v>30</v>
      </c>
      <c r="CR42" s="28"/>
      <c r="CS42" s="30">
        <f>VLOOKUP(E42,'INPUT SHEET '!$AF$73:$AG$76,2,0)</f>
        <v>1</v>
      </c>
      <c r="CT42" s="30">
        <f>VLOOKUP(F42,'INPUT SHEET '!$AF$85:$AH$87,3,0)</f>
        <v>0.8</v>
      </c>
      <c r="CU42" s="28">
        <f>IF(CK42=0,1,VLOOKUP(H42,'INPUT SHEET '!$AF$79:$AH$83,3,FALSE))</f>
        <v>1</v>
      </c>
      <c r="CV42" s="31">
        <f t="shared" si="33"/>
        <v>44</v>
      </c>
      <c r="CW42" s="31"/>
      <c r="CX42" s="31"/>
      <c r="CY42" s="31"/>
      <c r="CZ42" s="31"/>
      <c r="DA42" s="32"/>
      <c r="DB42" s="28">
        <f t="shared" si="26"/>
        <v>0</v>
      </c>
      <c r="DC42" s="28"/>
      <c r="DD42" s="33"/>
      <c r="DE42" s="33"/>
      <c r="DF42" s="33"/>
      <c r="DG42" s="33"/>
      <c r="DH42" s="28">
        <f t="shared" si="27"/>
        <v>0</v>
      </c>
      <c r="DI42" s="28">
        <f t="shared" si="28"/>
        <v>0</v>
      </c>
      <c r="DJ42" s="28">
        <f t="shared" si="29"/>
        <v>1</v>
      </c>
      <c r="DK42" s="33"/>
      <c r="DL42" s="34">
        <f t="shared" si="30"/>
        <v>0</v>
      </c>
      <c r="DM42" s="28">
        <f t="shared" si="31"/>
        <v>0</v>
      </c>
      <c r="DN42" s="28" t="s">
        <v>76</v>
      </c>
      <c r="DO42" s="28" t="s">
        <v>76</v>
      </c>
      <c r="DP42" s="28">
        <f t="shared" si="32"/>
        <v>0</v>
      </c>
      <c r="DQ42" s="32"/>
      <c r="DR42" s="32"/>
    </row>
    <row r="43" spans="1:122" ht="17.100000000000001" customHeight="1" thickBot="1">
      <c r="A43" s="240"/>
      <c r="B43" s="204"/>
      <c r="C43" s="205" t="s">
        <v>40</v>
      </c>
      <c r="D43" s="206" t="s">
        <v>37</v>
      </c>
      <c r="E43" s="205" t="s">
        <v>10</v>
      </c>
      <c r="F43" s="205" t="s">
        <v>105</v>
      </c>
      <c r="G43" s="205" t="s">
        <v>50</v>
      </c>
      <c r="H43" s="205" t="s">
        <v>114</v>
      </c>
      <c r="I43" s="205" t="s">
        <v>59</v>
      </c>
      <c r="J43" s="205" t="s">
        <v>50</v>
      </c>
      <c r="K43" s="205" t="s">
        <v>50</v>
      </c>
      <c r="L43" s="205" t="s">
        <v>50</v>
      </c>
      <c r="M43" s="77" t="s">
        <v>50</v>
      </c>
      <c r="N43" s="77" t="s">
        <v>50</v>
      </c>
      <c r="O43" s="203"/>
      <c r="P43" s="23">
        <f t="shared" si="21"/>
        <v>0</v>
      </c>
      <c r="Q43" s="24">
        <f t="shared" si="17"/>
        <v>0</v>
      </c>
      <c r="R43" s="25">
        <f t="shared" si="22"/>
        <v>0</v>
      </c>
      <c r="S43" s="241">
        <f t="shared" si="23"/>
        <v>0</v>
      </c>
      <c r="U43" s="4"/>
      <c r="AV43" s="4"/>
      <c r="AW43" s="4"/>
      <c r="AX43" s="4"/>
      <c r="AY43" s="4"/>
      <c r="AZ43" s="4"/>
      <c r="BA43" s="4"/>
      <c r="BE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8"/>
      <c r="BU43" s="38"/>
      <c r="BV43" s="38"/>
      <c r="BW43" s="38"/>
      <c r="BX43" s="38"/>
      <c r="BY43" s="38"/>
      <c r="BZ43" s="4"/>
      <c r="CA43" s="4"/>
      <c r="CB43" s="4"/>
      <c r="CC43" s="38"/>
      <c r="CD43" s="4"/>
      <c r="CE43" s="4"/>
      <c r="CF43" s="4"/>
      <c r="CG43" s="27">
        <f t="shared" si="24"/>
        <v>0</v>
      </c>
      <c r="CH43" s="28">
        <f>VLOOKUP(C43,'INPUT SHEET '!$U$84:$V$92,2,FALSE)</f>
        <v>2</v>
      </c>
      <c r="CI43" s="28">
        <f>VLOOKUP(D43,'INPUT SHEET '!$U$73:$AD$83,'INPUT SHEET '!CH43,FALSE)</f>
        <v>30</v>
      </c>
      <c r="CJ43" s="28">
        <f>VLOOKUP(G43,'INPUT SHEET '!$AK$100:$AS$118,$CH43,FALSE)</f>
        <v>0</v>
      </c>
      <c r="CK43" s="28">
        <f>VLOOKUP(I43,'INPUT SHEET '!$AK$100:$AS$118,$CH43,FALSE)</f>
        <v>20</v>
      </c>
      <c r="CL43" s="28">
        <f>IFERROR(VLOOKUP(J43,'INPUT SHEET '!$AU$99:$BD$119,$CH43,FALSE),0)</f>
        <v>0</v>
      </c>
      <c r="CM43" s="28">
        <f>IFERROR(VLOOKUP(K43,'INPUT SHEET '!$AU$99:$BD$119,$CH43,FALSE),0)</f>
        <v>0</v>
      </c>
      <c r="CN43" s="28">
        <f>IFERROR(VLOOKUP(L43,'INPUT SHEET '!$AU$99:$BD$119,$CH43,FALSE),0)</f>
        <v>0</v>
      </c>
      <c r="CO43" s="28">
        <f>IFERROR(VLOOKUP(M43,'INPUT SHEET '!$AU$99:$BD$119,$CH43,FALSE),0)</f>
        <v>0</v>
      </c>
      <c r="CP43" s="28">
        <f>IFERROR(VLOOKUP(N43,'INPUT SHEET '!$AU$99:$BD$119,$CH43,FALSE),0)</f>
        <v>0</v>
      </c>
      <c r="CQ43" s="28">
        <f t="shared" si="34"/>
        <v>30</v>
      </c>
      <c r="CR43" s="28"/>
      <c r="CS43" s="30">
        <f>VLOOKUP(E43,'INPUT SHEET '!$AF$73:$AG$76,2,0)</f>
        <v>1</v>
      </c>
      <c r="CT43" s="30">
        <f>VLOOKUP(F43,'INPUT SHEET '!$AF$85:$AH$87,3,0)</f>
        <v>0.8</v>
      </c>
      <c r="CU43" s="28">
        <f>IF(CK43=0,1,VLOOKUP(H43,'INPUT SHEET '!$AF$79:$AH$83,3,FALSE))</f>
        <v>1</v>
      </c>
      <c r="CV43" s="31">
        <f t="shared" si="33"/>
        <v>44</v>
      </c>
      <c r="CW43" s="31"/>
      <c r="CX43" s="31"/>
      <c r="CY43" s="31"/>
      <c r="CZ43" s="31"/>
      <c r="DA43" s="32"/>
      <c r="DB43" s="28">
        <f t="shared" si="26"/>
        <v>0</v>
      </c>
      <c r="DC43" s="28"/>
      <c r="DD43" s="33"/>
      <c r="DE43" s="33"/>
      <c r="DF43" s="33"/>
      <c r="DG43" s="33"/>
      <c r="DH43" s="28">
        <f t="shared" si="27"/>
        <v>0</v>
      </c>
      <c r="DI43" s="28">
        <f t="shared" si="28"/>
        <v>0</v>
      </c>
      <c r="DJ43" s="28">
        <f t="shared" si="29"/>
        <v>1</v>
      </c>
      <c r="DK43" s="33"/>
      <c r="DL43" s="34">
        <f t="shared" si="30"/>
        <v>0</v>
      </c>
      <c r="DM43" s="28">
        <f t="shared" si="31"/>
        <v>0</v>
      </c>
      <c r="DN43" s="28" t="s">
        <v>76</v>
      </c>
      <c r="DO43" s="28" t="s">
        <v>76</v>
      </c>
      <c r="DP43" s="28">
        <f t="shared" si="32"/>
        <v>0</v>
      </c>
      <c r="DQ43" s="32"/>
      <c r="DR43" s="32"/>
    </row>
    <row r="44" spans="1:122" ht="17.100000000000001" customHeight="1" thickBot="1">
      <c r="A44" s="240"/>
      <c r="B44" s="204"/>
      <c r="C44" s="205" t="s">
        <v>40</v>
      </c>
      <c r="D44" s="206" t="s">
        <v>37</v>
      </c>
      <c r="E44" s="205" t="s">
        <v>10</v>
      </c>
      <c r="F44" s="205" t="s">
        <v>105</v>
      </c>
      <c r="G44" s="205" t="s">
        <v>50</v>
      </c>
      <c r="H44" s="205" t="s">
        <v>114</v>
      </c>
      <c r="I44" s="205" t="s">
        <v>59</v>
      </c>
      <c r="J44" s="205" t="s">
        <v>50</v>
      </c>
      <c r="K44" s="205" t="s">
        <v>50</v>
      </c>
      <c r="L44" s="205" t="s">
        <v>50</v>
      </c>
      <c r="M44" s="77" t="s">
        <v>50</v>
      </c>
      <c r="N44" s="77" t="s">
        <v>50</v>
      </c>
      <c r="O44" s="203"/>
      <c r="P44" s="23">
        <f t="shared" si="21"/>
        <v>0</v>
      </c>
      <c r="Q44" s="24">
        <f t="shared" si="17"/>
        <v>0</v>
      </c>
      <c r="R44" s="25">
        <f t="shared" si="22"/>
        <v>0</v>
      </c>
      <c r="S44" s="241">
        <f t="shared" si="23"/>
        <v>0</v>
      </c>
      <c r="U44" s="4"/>
      <c r="AV44" s="4"/>
      <c r="AW44" s="4"/>
      <c r="AX44" s="4"/>
      <c r="AY44" s="4"/>
      <c r="AZ44" s="4"/>
      <c r="BA44" s="4"/>
      <c r="BE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8"/>
      <c r="BU44" s="38"/>
      <c r="BV44" s="38"/>
      <c r="BW44" s="38"/>
      <c r="BX44" s="38"/>
      <c r="BY44" s="38"/>
      <c r="BZ44" s="4"/>
      <c r="CA44" s="4"/>
      <c r="CB44" s="4"/>
      <c r="CC44" s="38"/>
      <c r="CD44" s="4"/>
      <c r="CE44" s="4"/>
      <c r="CF44" s="4"/>
      <c r="CG44" s="27">
        <f t="shared" si="24"/>
        <v>0</v>
      </c>
      <c r="CH44" s="28">
        <f>VLOOKUP(C44,'INPUT SHEET '!$U$84:$V$92,2,FALSE)</f>
        <v>2</v>
      </c>
      <c r="CI44" s="28">
        <f>VLOOKUP(D44,'INPUT SHEET '!$U$73:$AD$83,'INPUT SHEET '!CH44,FALSE)</f>
        <v>30</v>
      </c>
      <c r="CJ44" s="28">
        <f>VLOOKUP(G44,'INPUT SHEET '!$AK$100:$AS$118,$CH44,FALSE)</f>
        <v>0</v>
      </c>
      <c r="CK44" s="28">
        <f>VLOOKUP(I44,'INPUT SHEET '!$AK$100:$AS$118,$CH44,FALSE)</f>
        <v>20</v>
      </c>
      <c r="CL44" s="28">
        <f>IFERROR(VLOOKUP(J44,'INPUT SHEET '!$AU$99:$BD$119,$CH44,FALSE),0)</f>
        <v>0</v>
      </c>
      <c r="CM44" s="28">
        <f>IFERROR(VLOOKUP(K44,'INPUT SHEET '!$AU$99:$BD$119,$CH44,FALSE),0)</f>
        <v>0</v>
      </c>
      <c r="CN44" s="28">
        <f>IFERROR(VLOOKUP(L44,'INPUT SHEET '!$AU$99:$BD$119,$CH44,FALSE),0)</f>
        <v>0</v>
      </c>
      <c r="CO44" s="28">
        <f>IFERROR(VLOOKUP(M44,'INPUT SHEET '!$AU$99:$BD$119,$CH44,FALSE),0)</f>
        <v>0</v>
      </c>
      <c r="CP44" s="28">
        <f>IFERROR(VLOOKUP(N44,'INPUT SHEET '!$AU$99:$BD$119,$CH44,FALSE),0)</f>
        <v>0</v>
      </c>
      <c r="CQ44" s="28">
        <f t="shared" si="34"/>
        <v>30</v>
      </c>
      <c r="CR44" s="28"/>
      <c r="CS44" s="30">
        <f>VLOOKUP(E44,'INPUT SHEET '!$AF$73:$AG$76,2,0)</f>
        <v>1</v>
      </c>
      <c r="CT44" s="30">
        <f>VLOOKUP(F44,'INPUT SHEET '!$AF$85:$AH$87,3,0)</f>
        <v>0.8</v>
      </c>
      <c r="CU44" s="28">
        <f>IF(CK44=0,1,VLOOKUP(H44,'INPUT SHEET '!$AF$79:$AH$83,3,FALSE))</f>
        <v>1</v>
      </c>
      <c r="CV44" s="31">
        <f t="shared" si="33"/>
        <v>44</v>
      </c>
      <c r="CW44" s="31"/>
      <c r="CX44" s="31"/>
      <c r="CY44" s="31"/>
      <c r="CZ44" s="31"/>
      <c r="DA44" s="32"/>
      <c r="DB44" s="28">
        <f t="shared" si="26"/>
        <v>0</v>
      </c>
      <c r="DC44" s="28"/>
      <c r="DD44" s="33"/>
      <c r="DE44" s="33"/>
      <c r="DF44" s="33"/>
      <c r="DG44" s="33"/>
      <c r="DH44" s="28">
        <f t="shared" si="27"/>
        <v>0</v>
      </c>
      <c r="DI44" s="28">
        <f t="shared" si="28"/>
        <v>0</v>
      </c>
      <c r="DJ44" s="28">
        <f t="shared" si="29"/>
        <v>1</v>
      </c>
      <c r="DK44" s="33"/>
      <c r="DL44" s="34">
        <f t="shared" si="30"/>
        <v>0</v>
      </c>
      <c r="DM44" s="28">
        <f t="shared" si="31"/>
        <v>0</v>
      </c>
      <c r="DN44" s="28" t="s">
        <v>76</v>
      </c>
      <c r="DO44" s="28" t="s">
        <v>76</v>
      </c>
      <c r="DP44" s="28">
        <f t="shared" si="32"/>
        <v>0</v>
      </c>
      <c r="DQ44" s="32"/>
      <c r="DR44" s="32"/>
    </row>
    <row r="45" spans="1:122" ht="17.100000000000001" customHeight="1" thickBot="1">
      <c r="A45" s="240"/>
      <c r="B45" s="204"/>
      <c r="C45" s="205" t="s">
        <v>40</v>
      </c>
      <c r="D45" s="206" t="s">
        <v>37</v>
      </c>
      <c r="E45" s="205" t="s">
        <v>10</v>
      </c>
      <c r="F45" s="205" t="s">
        <v>105</v>
      </c>
      <c r="G45" s="205" t="s">
        <v>50</v>
      </c>
      <c r="H45" s="205" t="s">
        <v>114</v>
      </c>
      <c r="I45" s="205" t="s">
        <v>59</v>
      </c>
      <c r="J45" s="205" t="s">
        <v>50</v>
      </c>
      <c r="K45" s="205" t="s">
        <v>50</v>
      </c>
      <c r="L45" s="205" t="s">
        <v>50</v>
      </c>
      <c r="M45" s="77" t="s">
        <v>50</v>
      </c>
      <c r="N45" s="77" t="s">
        <v>50</v>
      </c>
      <c r="O45" s="203"/>
      <c r="P45" s="23">
        <f t="shared" si="21"/>
        <v>0</v>
      </c>
      <c r="Q45" s="24">
        <f t="shared" si="17"/>
        <v>0</v>
      </c>
      <c r="R45" s="25">
        <f t="shared" si="22"/>
        <v>0</v>
      </c>
      <c r="S45" s="241">
        <f t="shared" si="23"/>
        <v>0</v>
      </c>
      <c r="U45" s="4"/>
      <c r="AV45" s="4"/>
      <c r="AW45" s="4"/>
      <c r="AX45" s="4"/>
      <c r="AY45" s="4"/>
      <c r="AZ45" s="4"/>
      <c r="BA45" s="4"/>
      <c r="BE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8"/>
      <c r="BU45" s="38"/>
      <c r="BV45" s="38"/>
      <c r="BW45" s="38"/>
      <c r="BX45" s="38"/>
      <c r="BY45" s="38"/>
      <c r="BZ45" s="4"/>
      <c r="CA45" s="4"/>
      <c r="CB45" s="4"/>
      <c r="CC45" s="38"/>
      <c r="CD45" s="4"/>
      <c r="CE45" s="4"/>
      <c r="CF45" s="4"/>
      <c r="CG45" s="27">
        <f t="shared" si="24"/>
        <v>0</v>
      </c>
      <c r="CH45" s="28">
        <f>VLOOKUP(C45,'INPUT SHEET '!$U$84:$V$92,2,FALSE)</f>
        <v>2</v>
      </c>
      <c r="CI45" s="28">
        <f>VLOOKUP(D45,'INPUT SHEET '!$U$73:$AD$83,'INPUT SHEET '!CH45,FALSE)</f>
        <v>30</v>
      </c>
      <c r="CJ45" s="28">
        <f>VLOOKUP(G45,'INPUT SHEET '!$AK$100:$AS$118,$CH45,FALSE)</f>
        <v>0</v>
      </c>
      <c r="CK45" s="28">
        <f>VLOOKUP(I45,'INPUT SHEET '!$AK$100:$AS$118,$CH45,FALSE)</f>
        <v>20</v>
      </c>
      <c r="CL45" s="28">
        <f>IFERROR(VLOOKUP(J45,'INPUT SHEET '!$AU$99:$BD$119,$CH45,FALSE),0)</f>
        <v>0</v>
      </c>
      <c r="CM45" s="28">
        <f>IFERROR(VLOOKUP(K45,'INPUT SHEET '!$AU$99:$BD$119,$CH45,FALSE),0)</f>
        <v>0</v>
      </c>
      <c r="CN45" s="28">
        <f>IFERROR(VLOOKUP(L45,'INPUT SHEET '!$AU$99:$BD$119,$CH45,FALSE),0)</f>
        <v>0</v>
      </c>
      <c r="CO45" s="28">
        <f>IFERROR(VLOOKUP(M45,'INPUT SHEET '!$AU$99:$BD$119,$CH45,FALSE),0)</f>
        <v>0</v>
      </c>
      <c r="CP45" s="28">
        <f>IFERROR(VLOOKUP(N45,'INPUT SHEET '!$AU$99:$BD$119,$CH45,FALSE),0)</f>
        <v>0</v>
      </c>
      <c r="CQ45" s="28">
        <f t="shared" si="34"/>
        <v>30</v>
      </c>
      <c r="CR45" s="28"/>
      <c r="CS45" s="30">
        <f>VLOOKUP(E45,'INPUT SHEET '!$AF$73:$AG$76,2,0)</f>
        <v>1</v>
      </c>
      <c r="CT45" s="30">
        <f>VLOOKUP(F45,'INPUT SHEET '!$AF$85:$AH$87,3,0)</f>
        <v>0.8</v>
      </c>
      <c r="CU45" s="28">
        <f>IF(CK45=0,1,VLOOKUP(H45,'INPUT SHEET '!$AF$79:$AH$83,3,FALSE))</f>
        <v>1</v>
      </c>
      <c r="CV45" s="31">
        <f t="shared" si="33"/>
        <v>44</v>
      </c>
      <c r="CW45" s="31"/>
      <c r="CX45" s="31"/>
      <c r="CY45" s="31"/>
      <c r="CZ45" s="31"/>
      <c r="DA45" s="32"/>
      <c r="DB45" s="28">
        <f t="shared" si="26"/>
        <v>0</v>
      </c>
      <c r="DC45" s="28"/>
      <c r="DD45" s="33"/>
      <c r="DE45" s="33"/>
      <c r="DF45" s="33"/>
      <c r="DG45" s="33"/>
      <c r="DH45" s="28">
        <f t="shared" si="27"/>
        <v>0</v>
      </c>
      <c r="DI45" s="28">
        <f t="shared" si="28"/>
        <v>0</v>
      </c>
      <c r="DJ45" s="28">
        <f t="shared" si="29"/>
        <v>1</v>
      </c>
      <c r="DK45" s="33"/>
      <c r="DL45" s="34">
        <f t="shared" si="30"/>
        <v>0</v>
      </c>
      <c r="DM45" s="28">
        <f t="shared" si="31"/>
        <v>0</v>
      </c>
      <c r="DN45" s="28" t="s">
        <v>76</v>
      </c>
      <c r="DO45" s="28" t="s">
        <v>76</v>
      </c>
      <c r="DP45" s="28">
        <f t="shared" si="32"/>
        <v>0</v>
      </c>
      <c r="DQ45" s="32"/>
      <c r="DR45" s="32"/>
    </row>
    <row r="46" spans="1:122" ht="17.100000000000001" customHeight="1" thickBot="1">
      <c r="A46" s="240"/>
      <c r="B46" s="204"/>
      <c r="C46" s="205" t="s">
        <v>40</v>
      </c>
      <c r="D46" s="206" t="s">
        <v>37</v>
      </c>
      <c r="E46" s="205" t="s">
        <v>10</v>
      </c>
      <c r="F46" s="205" t="s">
        <v>105</v>
      </c>
      <c r="G46" s="205" t="s">
        <v>50</v>
      </c>
      <c r="H46" s="205" t="s">
        <v>114</v>
      </c>
      <c r="I46" s="205" t="s">
        <v>59</v>
      </c>
      <c r="J46" s="205" t="s">
        <v>50</v>
      </c>
      <c r="K46" s="205" t="s">
        <v>50</v>
      </c>
      <c r="L46" s="205" t="s">
        <v>50</v>
      </c>
      <c r="M46" s="77" t="s">
        <v>50</v>
      </c>
      <c r="N46" s="77" t="s">
        <v>50</v>
      </c>
      <c r="O46" s="203"/>
      <c r="P46" s="23">
        <f t="shared" si="21"/>
        <v>0</v>
      </c>
      <c r="Q46" s="24">
        <f t="shared" si="17"/>
        <v>0</v>
      </c>
      <c r="R46" s="25">
        <f t="shared" si="22"/>
        <v>0</v>
      </c>
      <c r="S46" s="241">
        <f t="shared" si="23"/>
        <v>0</v>
      </c>
      <c r="U46" s="4"/>
      <c r="AV46" s="4"/>
      <c r="AW46" s="4"/>
      <c r="AX46" s="4"/>
      <c r="AY46" s="4"/>
      <c r="AZ46" s="4"/>
      <c r="BA46" s="4"/>
      <c r="BE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8"/>
      <c r="BU46" s="38"/>
      <c r="BV46" s="38"/>
      <c r="BW46" s="38"/>
      <c r="BX46" s="38"/>
      <c r="BY46" s="38"/>
      <c r="BZ46" s="4"/>
      <c r="CA46" s="4"/>
      <c r="CB46" s="4"/>
      <c r="CC46" s="38"/>
      <c r="CD46" s="4"/>
      <c r="CE46" s="4"/>
      <c r="CF46" s="4"/>
      <c r="CG46" s="27">
        <f t="shared" si="24"/>
        <v>0</v>
      </c>
      <c r="CH46" s="28">
        <f>VLOOKUP(C46,'INPUT SHEET '!$U$84:$V$92,2,FALSE)</f>
        <v>2</v>
      </c>
      <c r="CI46" s="28">
        <f>VLOOKUP(D46,'INPUT SHEET '!$U$73:$AD$83,'INPUT SHEET '!CH46,FALSE)</f>
        <v>30</v>
      </c>
      <c r="CJ46" s="28">
        <f>VLOOKUP(G46,'INPUT SHEET '!$AK$100:$AS$118,$CH46,FALSE)</f>
        <v>0</v>
      </c>
      <c r="CK46" s="28">
        <f>VLOOKUP(I46,'INPUT SHEET '!$AK$100:$AS$118,$CH46,FALSE)</f>
        <v>20</v>
      </c>
      <c r="CL46" s="28">
        <f>IFERROR(VLOOKUP(J46,'INPUT SHEET '!$AU$99:$BD$119,$CH46,FALSE),0)</f>
        <v>0</v>
      </c>
      <c r="CM46" s="28">
        <f>IFERROR(VLOOKUP(K46,'INPUT SHEET '!$AU$99:$BD$119,$CH46,FALSE),0)</f>
        <v>0</v>
      </c>
      <c r="CN46" s="28">
        <f>IFERROR(VLOOKUP(L46,'INPUT SHEET '!$AU$99:$BD$119,$CH46,FALSE),0)</f>
        <v>0</v>
      </c>
      <c r="CO46" s="28">
        <f>IFERROR(VLOOKUP(M46,'INPUT SHEET '!$AU$99:$BD$119,$CH46,FALSE),0)</f>
        <v>0</v>
      </c>
      <c r="CP46" s="28">
        <f>IFERROR(VLOOKUP(N46,'INPUT SHEET '!$AU$99:$BD$119,$CH46,FALSE),0)</f>
        <v>0</v>
      </c>
      <c r="CQ46" s="28">
        <f t="shared" si="34"/>
        <v>30</v>
      </c>
      <c r="CR46" s="28"/>
      <c r="CS46" s="30">
        <f>VLOOKUP(E46,'INPUT SHEET '!$AF$73:$AG$76,2,0)</f>
        <v>1</v>
      </c>
      <c r="CT46" s="30">
        <f>VLOOKUP(F46,'INPUT SHEET '!$AF$85:$AH$87,3,0)</f>
        <v>0.8</v>
      </c>
      <c r="CU46" s="28">
        <f>IF(CK46=0,1,VLOOKUP(H46,'INPUT SHEET '!$AF$79:$AH$83,3,FALSE))</f>
        <v>1</v>
      </c>
      <c r="CV46" s="31">
        <f t="shared" si="33"/>
        <v>44</v>
      </c>
      <c r="CW46" s="31"/>
      <c r="CX46" s="31"/>
      <c r="CY46" s="31"/>
      <c r="CZ46" s="31"/>
      <c r="DA46" s="32"/>
      <c r="DB46" s="28">
        <f t="shared" si="26"/>
        <v>0</v>
      </c>
      <c r="DC46" s="28"/>
      <c r="DD46" s="33"/>
      <c r="DE46" s="33"/>
      <c r="DF46" s="33"/>
      <c r="DG46" s="33"/>
      <c r="DH46" s="28">
        <f t="shared" si="27"/>
        <v>0</v>
      </c>
      <c r="DI46" s="28">
        <f t="shared" si="28"/>
        <v>0</v>
      </c>
      <c r="DJ46" s="28">
        <f t="shared" si="29"/>
        <v>1</v>
      </c>
      <c r="DK46" s="33"/>
      <c r="DL46" s="34">
        <f t="shared" si="30"/>
        <v>0</v>
      </c>
      <c r="DM46" s="28">
        <f t="shared" si="31"/>
        <v>0</v>
      </c>
      <c r="DN46" s="28" t="s">
        <v>76</v>
      </c>
      <c r="DO46" s="28" t="s">
        <v>76</v>
      </c>
      <c r="DP46" s="28">
        <f t="shared" si="32"/>
        <v>0</v>
      </c>
      <c r="DQ46" s="32"/>
      <c r="DR46" s="32"/>
    </row>
    <row r="47" spans="1:122" ht="17.100000000000001" customHeight="1" thickBot="1">
      <c r="A47" s="240"/>
      <c r="B47" s="204"/>
      <c r="C47" s="205" t="s">
        <v>40</v>
      </c>
      <c r="D47" s="206" t="s">
        <v>37</v>
      </c>
      <c r="E47" s="205" t="s">
        <v>10</v>
      </c>
      <c r="F47" s="205" t="s">
        <v>105</v>
      </c>
      <c r="G47" s="205" t="s">
        <v>50</v>
      </c>
      <c r="H47" s="205" t="s">
        <v>114</v>
      </c>
      <c r="I47" s="205" t="s">
        <v>59</v>
      </c>
      <c r="J47" s="205" t="s">
        <v>50</v>
      </c>
      <c r="K47" s="205" t="s">
        <v>50</v>
      </c>
      <c r="L47" s="205" t="s">
        <v>50</v>
      </c>
      <c r="M47" s="77" t="s">
        <v>50</v>
      </c>
      <c r="N47" s="77" t="s">
        <v>50</v>
      </c>
      <c r="O47" s="203"/>
      <c r="P47" s="23">
        <f t="shared" si="21"/>
        <v>0</v>
      </c>
      <c r="Q47" s="24">
        <f t="shared" si="17"/>
        <v>0</v>
      </c>
      <c r="R47" s="25">
        <f t="shared" si="22"/>
        <v>0</v>
      </c>
      <c r="S47" s="241">
        <f t="shared" si="23"/>
        <v>0</v>
      </c>
      <c r="U47" s="4"/>
      <c r="AV47" s="4"/>
      <c r="AW47" s="4"/>
      <c r="AX47" s="4"/>
      <c r="AY47" s="4"/>
      <c r="AZ47" s="4"/>
      <c r="BA47" s="4"/>
      <c r="BE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8"/>
      <c r="BU47" s="38"/>
      <c r="BV47" s="38"/>
      <c r="BW47" s="38"/>
      <c r="BX47" s="38"/>
      <c r="BY47" s="38"/>
      <c r="BZ47" s="4"/>
      <c r="CA47" s="4"/>
      <c r="CB47" s="4"/>
      <c r="CC47" s="38"/>
      <c r="CD47" s="4"/>
      <c r="CE47" s="4"/>
      <c r="CF47" s="4"/>
      <c r="CG47" s="27">
        <f t="shared" si="24"/>
        <v>0</v>
      </c>
      <c r="CH47" s="28">
        <f>VLOOKUP(C47,'INPUT SHEET '!$U$84:$V$92,2,FALSE)</f>
        <v>2</v>
      </c>
      <c r="CI47" s="28">
        <f>VLOOKUP(D47,'INPUT SHEET '!$U$73:$AD$83,'INPUT SHEET '!CH47,FALSE)</f>
        <v>30</v>
      </c>
      <c r="CJ47" s="28">
        <f>VLOOKUP(G47,'INPUT SHEET '!$AK$100:$AS$118,$CH47,FALSE)</f>
        <v>0</v>
      </c>
      <c r="CK47" s="28">
        <f>VLOOKUP(I47,'INPUT SHEET '!$AK$100:$AS$118,$CH47,FALSE)</f>
        <v>20</v>
      </c>
      <c r="CL47" s="28">
        <f>IFERROR(VLOOKUP(J47,'INPUT SHEET '!$AU$99:$BD$119,$CH47,FALSE),0)</f>
        <v>0</v>
      </c>
      <c r="CM47" s="28">
        <f>IFERROR(VLOOKUP(K47,'INPUT SHEET '!$AU$99:$BD$119,$CH47,FALSE),0)</f>
        <v>0</v>
      </c>
      <c r="CN47" s="28">
        <f>IFERROR(VLOOKUP(L47,'INPUT SHEET '!$AU$99:$BD$119,$CH47,FALSE),0)</f>
        <v>0</v>
      </c>
      <c r="CO47" s="28">
        <f>IFERROR(VLOOKUP(M47,'INPUT SHEET '!$AU$99:$BD$119,$CH47,FALSE),0)</f>
        <v>0</v>
      </c>
      <c r="CP47" s="28">
        <f>IFERROR(VLOOKUP(N47,'INPUT SHEET '!$AU$99:$BD$119,$CH47,FALSE),0)</f>
        <v>0</v>
      </c>
      <c r="CQ47" s="28">
        <f t="shared" si="34"/>
        <v>30</v>
      </c>
      <c r="CR47" s="28"/>
      <c r="CS47" s="30">
        <f>VLOOKUP(E47,'INPUT SHEET '!$AF$73:$AG$76,2,0)</f>
        <v>1</v>
      </c>
      <c r="CT47" s="30">
        <f>VLOOKUP(F47,'INPUT SHEET '!$AF$85:$AH$87,3,0)</f>
        <v>0.8</v>
      </c>
      <c r="CU47" s="28">
        <f>IF(CK47=0,1,VLOOKUP(H47,'INPUT SHEET '!$AF$79:$AH$83,3,FALSE))</f>
        <v>1</v>
      </c>
      <c r="CV47" s="31">
        <f t="shared" si="33"/>
        <v>44</v>
      </c>
      <c r="CW47" s="31"/>
      <c r="CX47" s="31"/>
      <c r="CY47" s="31"/>
      <c r="CZ47" s="31"/>
      <c r="DA47" s="32"/>
      <c r="DB47" s="28">
        <f t="shared" si="26"/>
        <v>0</v>
      </c>
      <c r="DC47" s="28"/>
      <c r="DD47" s="33"/>
      <c r="DE47" s="33"/>
      <c r="DF47" s="33"/>
      <c r="DG47" s="33"/>
      <c r="DH47" s="28">
        <f t="shared" si="27"/>
        <v>0</v>
      </c>
      <c r="DI47" s="28">
        <f t="shared" si="28"/>
        <v>0</v>
      </c>
      <c r="DJ47" s="28">
        <f t="shared" si="29"/>
        <v>1</v>
      </c>
      <c r="DK47" s="33"/>
      <c r="DL47" s="34">
        <f t="shared" si="30"/>
        <v>0</v>
      </c>
      <c r="DM47" s="28">
        <f t="shared" si="31"/>
        <v>0</v>
      </c>
      <c r="DN47" s="28" t="s">
        <v>76</v>
      </c>
      <c r="DO47" s="28" t="s">
        <v>76</v>
      </c>
      <c r="DP47" s="28">
        <f t="shared" si="32"/>
        <v>0</v>
      </c>
      <c r="DQ47" s="32"/>
      <c r="DR47" s="32"/>
    </row>
    <row r="48" spans="1:122" ht="17.100000000000001" customHeight="1" thickBot="1">
      <c r="A48" s="240"/>
      <c r="B48" s="204"/>
      <c r="C48" s="205" t="s">
        <v>40</v>
      </c>
      <c r="D48" s="206" t="s">
        <v>37</v>
      </c>
      <c r="E48" s="205" t="s">
        <v>10</v>
      </c>
      <c r="F48" s="205" t="s">
        <v>105</v>
      </c>
      <c r="G48" s="205" t="s">
        <v>50</v>
      </c>
      <c r="H48" s="205" t="s">
        <v>114</v>
      </c>
      <c r="I48" s="205" t="s">
        <v>59</v>
      </c>
      <c r="J48" s="205" t="s">
        <v>50</v>
      </c>
      <c r="K48" s="205" t="s">
        <v>50</v>
      </c>
      <c r="L48" s="205" t="s">
        <v>50</v>
      </c>
      <c r="M48" s="77" t="s">
        <v>50</v>
      </c>
      <c r="N48" s="77" t="s">
        <v>50</v>
      </c>
      <c r="O48" s="203"/>
      <c r="P48" s="23">
        <f t="shared" si="21"/>
        <v>0</v>
      </c>
      <c r="Q48" s="24">
        <f t="shared" si="17"/>
        <v>0</v>
      </c>
      <c r="R48" s="25">
        <f t="shared" si="22"/>
        <v>0</v>
      </c>
      <c r="S48" s="241">
        <f t="shared" si="23"/>
        <v>0</v>
      </c>
      <c r="U48" s="4"/>
      <c r="AV48" s="4"/>
      <c r="AW48" s="4"/>
      <c r="AX48" s="4"/>
      <c r="AY48" s="4"/>
      <c r="AZ48" s="4"/>
      <c r="BA48" s="4"/>
      <c r="BE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8"/>
      <c r="BU48" s="38"/>
      <c r="BV48" s="38"/>
      <c r="BW48" s="38"/>
      <c r="BX48" s="38"/>
      <c r="BY48" s="38"/>
      <c r="BZ48" s="4"/>
      <c r="CA48" s="4"/>
      <c r="CB48" s="4"/>
      <c r="CC48" s="38"/>
      <c r="CD48" s="4"/>
      <c r="CE48" s="4"/>
      <c r="CF48" s="4"/>
      <c r="CG48" s="27">
        <f t="shared" si="24"/>
        <v>0</v>
      </c>
      <c r="CH48" s="28">
        <f>VLOOKUP(C48,'INPUT SHEET '!$U$84:$V$92,2,FALSE)</f>
        <v>2</v>
      </c>
      <c r="CI48" s="28">
        <f>VLOOKUP(D48,'INPUT SHEET '!$U$73:$AD$83,'INPUT SHEET '!CH48,FALSE)</f>
        <v>30</v>
      </c>
      <c r="CJ48" s="28">
        <f>VLOOKUP(G48,'INPUT SHEET '!$AK$100:$AS$118,$CH48,FALSE)</f>
        <v>0</v>
      </c>
      <c r="CK48" s="28">
        <f>VLOOKUP(I48,'INPUT SHEET '!$AK$100:$AS$118,$CH48,FALSE)</f>
        <v>20</v>
      </c>
      <c r="CL48" s="28">
        <f>IFERROR(VLOOKUP(J48,'INPUT SHEET '!$AU$99:$BD$119,$CH48,FALSE),0)</f>
        <v>0</v>
      </c>
      <c r="CM48" s="28">
        <f>IFERROR(VLOOKUP(K48,'INPUT SHEET '!$AU$99:$BD$119,$CH48,FALSE),0)</f>
        <v>0</v>
      </c>
      <c r="CN48" s="28">
        <f>IFERROR(VLOOKUP(L48,'INPUT SHEET '!$AU$99:$BD$119,$CH48,FALSE),0)</f>
        <v>0</v>
      </c>
      <c r="CO48" s="28">
        <f>IFERROR(VLOOKUP(M48,'INPUT SHEET '!$AU$99:$BD$119,$CH48,FALSE),0)</f>
        <v>0</v>
      </c>
      <c r="CP48" s="28">
        <f>IFERROR(VLOOKUP(N48,'INPUT SHEET '!$AU$99:$BD$119,$CH48,FALSE),0)</f>
        <v>0</v>
      </c>
      <c r="CQ48" s="28">
        <f t="shared" si="25"/>
        <v>30</v>
      </c>
      <c r="CR48" s="28"/>
      <c r="CS48" s="30">
        <f>VLOOKUP(E48,'INPUT SHEET '!$AF$73:$AG$76,2,0)</f>
        <v>1</v>
      </c>
      <c r="CT48" s="30">
        <f>VLOOKUP(F48,'INPUT SHEET '!$AF$85:$AH$87,3,0)</f>
        <v>0.8</v>
      </c>
      <c r="CU48" s="28">
        <f>IF(CK48=0,1,VLOOKUP(H48,'INPUT SHEET '!$AF$79:$AH$83,3,FALSE))</f>
        <v>1</v>
      </c>
      <c r="CV48" s="31">
        <f t="shared" si="33"/>
        <v>44</v>
      </c>
      <c r="CW48" s="31"/>
      <c r="CX48" s="31"/>
      <c r="CY48" s="31"/>
      <c r="CZ48" s="31"/>
      <c r="DA48" s="32"/>
      <c r="DB48" s="28">
        <f t="shared" si="26"/>
        <v>0</v>
      </c>
      <c r="DC48" s="28"/>
      <c r="DD48" s="33"/>
      <c r="DE48" s="33"/>
      <c r="DF48" s="33"/>
      <c r="DG48" s="33"/>
      <c r="DH48" s="28">
        <f t="shared" si="27"/>
        <v>0</v>
      </c>
      <c r="DI48" s="28">
        <f t="shared" si="28"/>
        <v>0</v>
      </c>
      <c r="DJ48" s="28">
        <f t="shared" si="29"/>
        <v>1</v>
      </c>
      <c r="DK48" s="33"/>
      <c r="DL48" s="34">
        <f t="shared" si="30"/>
        <v>0</v>
      </c>
      <c r="DM48" s="28">
        <f t="shared" si="31"/>
        <v>0</v>
      </c>
      <c r="DN48" s="28" t="s">
        <v>76</v>
      </c>
      <c r="DO48" s="28" t="s">
        <v>76</v>
      </c>
      <c r="DP48" s="28">
        <f t="shared" si="32"/>
        <v>0</v>
      </c>
      <c r="DQ48" s="32"/>
      <c r="DR48" s="32"/>
    </row>
    <row r="49" spans="1:122" ht="17.100000000000001" customHeight="1" thickBot="1">
      <c r="A49" s="240"/>
      <c r="B49" s="204"/>
      <c r="C49" s="205" t="s">
        <v>40</v>
      </c>
      <c r="D49" s="206" t="s">
        <v>37</v>
      </c>
      <c r="E49" s="205" t="s">
        <v>10</v>
      </c>
      <c r="F49" s="205" t="s">
        <v>105</v>
      </c>
      <c r="G49" s="205" t="s">
        <v>50</v>
      </c>
      <c r="H49" s="205" t="s">
        <v>114</v>
      </c>
      <c r="I49" s="205" t="s">
        <v>59</v>
      </c>
      <c r="J49" s="205" t="s">
        <v>50</v>
      </c>
      <c r="K49" s="205" t="s">
        <v>50</v>
      </c>
      <c r="L49" s="205" t="s">
        <v>50</v>
      </c>
      <c r="M49" s="77" t="s">
        <v>50</v>
      </c>
      <c r="N49" s="77" t="s">
        <v>50</v>
      </c>
      <c r="O49" s="203"/>
      <c r="P49" s="23">
        <f t="shared" si="21"/>
        <v>0</v>
      </c>
      <c r="Q49" s="24">
        <f t="shared" si="17"/>
        <v>0</v>
      </c>
      <c r="R49" s="25">
        <f t="shared" si="22"/>
        <v>0</v>
      </c>
      <c r="S49" s="241">
        <f t="shared" si="23"/>
        <v>0</v>
      </c>
      <c r="U49" s="4"/>
      <c r="AV49" s="4"/>
      <c r="AW49" s="4"/>
      <c r="AX49" s="4"/>
      <c r="AY49" s="4"/>
      <c r="AZ49" s="4"/>
      <c r="BA49" s="4"/>
      <c r="BE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8"/>
      <c r="BU49" s="38"/>
      <c r="BV49" s="38"/>
      <c r="BW49" s="38"/>
      <c r="BX49" s="38"/>
      <c r="BY49" s="38"/>
      <c r="BZ49" s="4"/>
      <c r="CA49" s="4"/>
      <c r="CB49" s="4"/>
      <c r="CC49" s="38"/>
      <c r="CD49" s="4"/>
      <c r="CE49" s="4"/>
      <c r="CF49" s="4"/>
      <c r="CG49" s="27">
        <f t="shared" si="24"/>
        <v>0</v>
      </c>
      <c r="CH49" s="28">
        <f>VLOOKUP(C49,'INPUT SHEET '!$U$84:$V$92,2,FALSE)</f>
        <v>2</v>
      </c>
      <c r="CI49" s="28">
        <f>VLOOKUP(D49,'INPUT SHEET '!$U$73:$AD$83,'INPUT SHEET '!CH49,FALSE)</f>
        <v>30</v>
      </c>
      <c r="CJ49" s="28">
        <f>VLOOKUP(G49,'INPUT SHEET '!$AK$100:$AS$118,$CH49,FALSE)</f>
        <v>0</v>
      </c>
      <c r="CK49" s="28">
        <f>VLOOKUP(I49,'INPUT SHEET '!$AK$100:$AS$118,$CH49,FALSE)</f>
        <v>20</v>
      </c>
      <c r="CL49" s="28">
        <f>IFERROR(VLOOKUP(J49,'INPUT SHEET '!$AU$99:$BD$119,$CH49,FALSE),0)</f>
        <v>0</v>
      </c>
      <c r="CM49" s="28">
        <f>IFERROR(VLOOKUP(K49,'INPUT SHEET '!$AU$99:$BD$119,$CH49,FALSE),0)</f>
        <v>0</v>
      </c>
      <c r="CN49" s="28">
        <f>IFERROR(VLOOKUP(L49,'INPUT SHEET '!$AU$99:$BD$119,$CH49,FALSE),0)</f>
        <v>0</v>
      </c>
      <c r="CO49" s="28">
        <f>IFERROR(VLOOKUP(M49,'INPUT SHEET '!$AU$99:$BD$119,$CH49,FALSE),0)</f>
        <v>0</v>
      </c>
      <c r="CP49" s="28">
        <f>IFERROR(VLOOKUP(N49,'INPUT SHEET '!$AU$99:$BD$119,$CH49,FALSE),0)</f>
        <v>0</v>
      </c>
      <c r="CQ49" s="28">
        <f t="shared" si="25"/>
        <v>30</v>
      </c>
      <c r="CR49" s="28"/>
      <c r="CS49" s="30">
        <f>VLOOKUP(E49,'INPUT SHEET '!$AF$73:$AG$76,2,0)</f>
        <v>1</v>
      </c>
      <c r="CT49" s="30">
        <f>VLOOKUP(F49,'INPUT SHEET '!$AF$85:$AH$87,3,0)</f>
        <v>0.8</v>
      </c>
      <c r="CU49" s="28">
        <f>IF(CK49=0,1,VLOOKUP(H49,'INPUT SHEET '!$AF$79:$AH$83,3,FALSE))</f>
        <v>1</v>
      </c>
      <c r="CV49" s="31">
        <f t="shared" si="33"/>
        <v>44</v>
      </c>
      <c r="CW49" s="31"/>
      <c r="CX49" s="31"/>
      <c r="CY49" s="31"/>
      <c r="CZ49" s="31"/>
      <c r="DA49" s="32"/>
      <c r="DB49" s="28">
        <f t="shared" si="26"/>
        <v>0</v>
      </c>
      <c r="DC49" s="28"/>
      <c r="DD49" s="33"/>
      <c r="DE49" s="33"/>
      <c r="DF49" s="33"/>
      <c r="DG49" s="33"/>
      <c r="DH49" s="28">
        <f t="shared" si="27"/>
        <v>0</v>
      </c>
      <c r="DI49" s="28">
        <f t="shared" si="28"/>
        <v>0</v>
      </c>
      <c r="DJ49" s="28">
        <f t="shared" si="29"/>
        <v>1</v>
      </c>
      <c r="DK49" s="33"/>
      <c r="DL49" s="34">
        <f t="shared" si="30"/>
        <v>0</v>
      </c>
      <c r="DM49" s="28">
        <f t="shared" si="31"/>
        <v>0</v>
      </c>
      <c r="DN49" s="28" t="s">
        <v>76</v>
      </c>
      <c r="DO49" s="28" t="s">
        <v>76</v>
      </c>
      <c r="DP49" s="28">
        <f t="shared" si="32"/>
        <v>0</v>
      </c>
      <c r="DQ49" s="32"/>
      <c r="DR49" s="32"/>
    </row>
    <row r="50" spans="1:122" ht="17.100000000000001" customHeight="1" thickBot="1">
      <c r="A50" s="240"/>
      <c r="B50" s="204"/>
      <c r="C50" s="205" t="s">
        <v>40</v>
      </c>
      <c r="D50" s="206" t="s">
        <v>37</v>
      </c>
      <c r="E50" s="205" t="s">
        <v>10</v>
      </c>
      <c r="F50" s="205" t="s">
        <v>105</v>
      </c>
      <c r="G50" s="205" t="s">
        <v>50</v>
      </c>
      <c r="H50" s="205" t="s">
        <v>114</v>
      </c>
      <c r="I50" s="205" t="s">
        <v>59</v>
      </c>
      <c r="J50" s="205" t="s">
        <v>50</v>
      </c>
      <c r="K50" s="205" t="s">
        <v>50</v>
      </c>
      <c r="L50" s="205" t="s">
        <v>50</v>
      </c>
      <c r="M50" s="77" t="s">
        <v>50</v>
      </c>
      <c r="N50" s="77" t="s">
        <v>50</v>
      </c>
      <c r="O50" s="203"/>
      <c r="P50" s="23">
        <f t="shared" si="21"/>
        <v>0</v>
      </c>
      <c r="Q50" s="24">
        <f t="shared" si="17"/>
        <v>0</v>
      </c>
      <c r="R50" s="25">
        <f t="shared" si="22"/>
        <v>0</v>
      </c>
      <c r="S50" s="241">
        <f t="shared" si="23"/>
        <v>0</v>
      </c>
      <c r="U50" s="4"/>
      <c r="AV50" s="4"/>
      <c r="AW50" s="4"/>
      <c r="AX50" s="4"/>
      <c r="AY50" s="4"/>
      <c r="AZ50" s="4"/>
      <c r="BA50" s="4"/>
      <c r="BE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8"/>
      <c r="BU50" s="38"/>
      <c r="BV50" s="38"/>
      <c r="BW50" s="38"/>
      <c r="BX50" s="38"/>
      <c r="BY50" s="38"/>
      <c r="BZ50" s="4"/>
      <c r="CA50" s="4"/>
      <c r="CB50" s="4"/>
      <c r="CC50" s="38"/>
      <c r="CD50" s="4"/>
      <c r="CE50" s="4"/>
      <c r="CF50" s="4"/>
      <c r="CG50" s="27">
        <f t="shared" si="24"/>
        <v>0</v>
      </c>
      <c r="CH50" s="28">
        <f>VLOOKUP(C50,'INPUT SHEET '!$U$84:$V$92,2,FALSE)</f>
        <v>2</v>
      </c>
      <c r="CI50" s="28">
        <f>VLOOKUP(D50,'INPUT SHEET '!$U$73:$AD$83,'INPUT SHEET '!CH50,FALSE)</f>
        <v>30</v>
      </c>
      <c r="CJ50" s="28">
        <f>VLOOKUP(G50,'INPUT SHEET '!$AK$100:$AS$118,$CH50,FALSE)</f>
        <v>0</v>
      </c>
      <c r="CK50" s="28">
        <f>VLOOKUP(I50,'INPUT SHEET '!$AK$100:$AS$118,$CH50,FALSE)</f>
        <v>20</v>
      </c>
      <c r="CL50" s="28">
        <f>IFERROR(VLOOKUP(J50,'INPUT SHEET '!$AU$99:$BD$119,$CH50,FALSE),0)</f>
        <v>0</v>
      </c>
      <c r="CM50" s="28">
        <f>IFERROR(VLOOKUP(K50,'INPUT SHEET '!$AU$99:$BD$119,$CH50,FALSE),0)</f>
        <v>0</v>
      </c>
      <c r="CN50" s="28">
        <f>IFERROR(VLOOKUP(L50,'INPUT SHEET '!$AU$99:$BD$119,$CH50,FALSE),0)</f>
        <v>0</v>
      </c>
      <c r="CO50" s="28">
        <f>IFERROR(VLOOKUP(M50,'INPUT SHEET '!$AU$99:$BD$119,$CH50,FALSE),0)</f>
        <v>0</v>
      </c>
      <c r="CP50" s="28">
        <f>IFERROR(VLOOKUP(N50,'INPUT SHEET '!$AU$99:$BD$119,$CH50,FALSE),0)</f>
        <v>0</v>
      </c>
      <c r="CQ50" s="28">
        <f t="shared" si="25"/>
        <v>30</v>
      </c>
      <c r="CR50" s="28"/>
      <c r="CS50" s="30">
        <f>VLOOKUP(E50,'INPUT SHEET '!$AF$73:$AG$76,2,0)</f>
        <v>1</v>
      </c>
      <c r="CT50" s="30">
        <f>VLOOKUP(F50,'INPUT SHEET '!$AF$85:$AH$87,3,0)</f>
        <v>0.8</v>
      </c>
      <c r="CU50" s="28">
        <f>IF(CK50=0,1,VLOOKUP(H50,'INPUT SHEET '!$AF$79:$AH$83,3,FALSE))</f>
        <v>1</v>
      </c>
      <c r="CV50" s="31">
        <f t="shared" si="33"/>
        <v>44</v>
      </c>
      <c r="CW50" s="31"/>
      <c r="CX50" s="31"/>
      <c r="CY50" s="31"/>
      <c r="CZ50" s="31"/>
      <c r="DA50" s="32"/>
      <c r="DB50" s="28">
        <f t="shared" si="26"/>
        <v>0</v>
      </c>
      <c r="DC50" s="28"/>
      <c r="DD50" s="33"/>
      <c r="DE50" s="33"/>
      <c r="DF50" s="33"/>
      <c r="DG50" s="33"/>
      <c r="DH50" s="28">
        <f t="shared" si="27"/>
        <v>0</v>
      </c>
      <c r="DI50" s="28">
        <f t="shared" si="28"/>
        <v>0</v>
      </c>
      <c r="DJ50" s="28">
        <f t="shared" si="29"/>
        <v>1</v>
      </c>
      <c r="DK50" s="33"/>
      <c r="DL50" s="34">
        <f t="shared" si="30"/>
        <v>0</v>
      </c>
      <c r="DM50" s="28">
        <f t="shared" si="31"/>
        <v>0</v>
      </c>
      <c r="DN50" s="28" t="s">
        <v>76</v>
      </c>
      <c r="DO50" s="28" t="s">
        <v>76</v>
      </c>
      <c r="DP50" s="28">
        <f t="shared" si="32"/>
        <v>0</v>
      </c>
      <c r="DQ50" s="32"/>
      <c r="DR50" s="32"/>
    </row>
    <row r="51" spans="1:122" ht="17.100000000000001" customHeight="1" thickBot="1">
      <c r="A51" s="240"/>
      <c r="B51" s="204"/>
      <c r="C51" s="205" t="s">
        <v>40</v>
      </c>
      <c r="D51" s="206" t="s">
        <v>37</v>
      </c>
      <c r="E51" s="205" t="s">
        <v>10</v>
      </c>
      <c r="F51" s="205" t="s">
        <v>105</v>
      </c>
      <c r="G51" s="205" t="s">
        <v>50</v>
      </c>
      <c r="H51" s="205" t="s">
        <v>114</v>
      </c>
      <c r="I51" s="205" t="s">
        <v>59</v>
      </c>
      <c r="J51" s="205" t="s">
        <v>50</v>
      </c>
      <c r="K51" s="205" t="s">
        <v>50</v>
      </c>
      <c r="L51" s="205" t="s">
        <v>50</v>
      </c>
      <c r="M51" s="77" t="s">
        <v>50</v>
      </c>
      <c r="N51" s="77" t="s">
        <v>50</v>
      </c>
      <c r="O51" s="203"/>
      <c r="P51" s="23">
        <f t="shared" si="21"/>
        <v>0</v>
      </c>
      <c r="Q51" s="24">
        <f t="shared" si="17"/>
        <v>0</v>
      </c>
      <c r="R51" s="25">
        <f t="shared" si="22"/>
        <v>0</v>
      </c>
      <c r="S51" s="241">
        <f t="shared" si="23"/>
        <v>0</v>
      </c>
      <c r="U51" s="4"/>
      <c r="AV51" s="4"/>
      <c r="AW51" s="4"/>
      <c r="AX51" s="4"/>
      <c r="AY51" s="4"/>
      <c r="AZ51" s="4"/>
      <c r="BA51" s="4"/>
      <c r="BE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8"/>
      <c r="BU51" s="38"/>
      <c r="BV51" s="38"/>
      <c r="BW51" s="38"/>
      <c r="BX51" s="38"/>
      <c r="BY51" s="38"/>
      <c r="BZ51" s="4"/>
      <c r="CA51" s="4"/>
      <c r="CB51" s="4"/>
      <c r="CC51" s="38"/>
      <c r="CD51" s="4"/>
      <c r="CE51" s="4"/>
      <c r="CF51" s="4"/>
      <c r="CG51" s="27">
        <f t="shared" si="24"/>
        <v>0</v>
      </c>
      <c r="CH51" s="28">
        <f>VLOOKUP(C51,'INPUT SHEET '!$U$84:$V$92,2,FALSE)</f>
        <v>2</v>
      </c>
      <c r="CI51" s="28">
        <f>VLOOKUP(D51,'INPUT SHEET '!$U$73:$AD$83,'INPUT SHEET '!CH51,FALSE)</f>
        <v>30</v>
      </c>
      <c r="CJ51" s="28">
        <f>VLOOKUP(G51,'INPUT SHEET '!$AK$100:$AS$118,$CH51,FALSE)</f>
        <v>0</v>
      </c>
      <c r="CK51" s="28">
        <f>VLOOKUP(I51,'INPUT SHEET '!$AK$100:$AS$118,$CH51,FALSE)</f>
        <v>20</v>
      </c>
      <c r="CL51" s="28">
        <f>IFERROR(VLOOKUP(J51,'INPUT SHEET '!$AU$99:$BD$119,$CH51,FALSE),0)</f>
        <v>0</v>
      </c>
      <c r="CM51" s="28">
        <f>IFERROR(VLOOKUP(K51,'INPUT SHEET '!$AU$99:$BD$119,$CH51,FALSE),0)</f>
        <v>0</v>
      </c>
      <c r="CN51" s="28">
        <f>IFERROR(VLOOKUP(L51,'INPUT SHEET '!$AU$99:$BD$119,$CH51,FALSE),0)</f>
        <v>0</v>
      </c>
      <c r="CO51" s="28">
        <f>IFERROR(VLOOKUP(M51,'INPUT SHEET '!$AU$99:$BD$119,$CH51,FALSE),0)</f>
        <v>0</v>
      </c>
      <c r="CP51" s="28">
        <f>IFERROR(VLOOKUP(N51,'INPUT SHEET '!$AU$99:$BD$119,$CH51,FALSE),0)</f>
        <v>0</v>
      </c>
      <c r="CQ51" s="28">
        <f t="shared" si="25"/>
        <v>30</v>
      </c>
      <c r="CR51" s="28"/>
      <c r="CS51" s="30">
        <f>VLOOKUP(E51,'INPUT SHEET '!$AF$73:$AG$76,2,0)</f>
        <v>1</v>
      </c>
      <c r="CT51" s="30">
        <f>VLOOKUP(F51,'INPUT SHEET '!$AF$85:$AH$87,3,0)</f>
        <v>0.8</v>
      </c>
      <c r="CU51" s="28">
        <f>IF(CK51=0,1,VLOOKUP(H51,'INPUT SHEET '!$AF$79:$AH$83,3,FALSE))</f>
        <v>1</v>
      </c>
      <c r="CV51" s="31">
        <f t="shared" si="33"/>
        <v>44</v>
      </c>
      <c r="CW51" s="31"/>
      <c r="CX51" s="31"/>
      <c r="CY51" s="31"/>
      <c r="CZ51" s="31"/>
      <c r="DA51" s="32"/>
      <c r="DB51" s="28">
        <f t="shared" si="26"/>
        <v>0</v>
      </c>
      <c r="DC51" s="28"/>
      <c r="DD51" s="33"/>
      <c r="DE51" s="33"/>
      <c r="DF51" s="33"/>
      <c r="DG51" s="33"/>
      <c r="DH51" s="28">
        <f t="shared" si="27"/>
        <v>0</v>
      </c>
      <c r="DI51" s="28">
        <f t="shared" si="28"/>
        <v>0</v>
      </c>
      <c r="DJ51" s="28">
        <f t="shared" si="29"/>
        <v>1</v>
      </c>
      <c r="DK51" s="33"/>
      <c r="DL51" s="34">
        <f t="shared" si="30"/>
        <v>0</v>
      </c>
      <c r="DM51" s="28">
        <f t="shared" si="31"/>
        <v>0</v>
      </c>
      <c r="DN51" s="28" t="s">
        <v>76</v>
      </c>
      <c r="DO51" s="28" t="s">
        <v>76</v>
      </c>
      <c r="DP51" s="28">
        <f t="shared" si="32"/>
        <v>0</v>
      </c>
      <c r="DQ51" s="32"/>
      <c r="DR51" s="32"/>
    </row>
    <row r="52" spans="1:122" ht="17.100000000000001" customHeight="1" thickBot="1">
      <c r="A52" s="240"/>
      <c r="B52" s="204"/>
      <c r="C52" s="205" t="s">
        <v>40</v>
      </c>
      <c r="D52" s="206" t="s">
        <v>37</v>
      </c>
      <c r="E52" s="205" t="s">
        <v>10</v>
      </c>
      <c r="F52" s="205" t="s">
        <v>105</v>
      </c>
      <c r="G52" s="205" t="s">
        <v>50</v>
      </c>
      <c r="H52" s="205" t="s">
        <v>114</v>
      </c>
      <c r="I52" s="205" t="s">
        <v>59</v>
      </c>
      <c r="J52" s="205" t="s">
        <v>50</v>
      </c>
      <c r="K52" s="205" t="s">
        <v>50</v>
      </c>
      <c r="L52" s="205" t="s">
        <v>50</v>
      </c>
      <c r="M52" s="77" t="s">
        <v>50</v>
      </c>
      <c r="N52" s="77" t="s">
        <v>50</v>
      </c>
      <c r="O52" s="203"/>
      <c r="P52" s="23">
        <f t="shared" si="21"/>
        <v>0</v>
      </c>
      <c r="Q52" s="24">
        <f t="shared" si="17"/>
        <v>0</v>
      </c>
      <c r="R52" s="25">
        <f t="shared" si="22"/>
        <v>0</v>
      </c>
      <c r="S52" s="241">
        <f t="shared" si="23"/>
        <v>0</v>
      </c>
      <c r="U52" s="4"/>
      <c r="AV52" s="4"/>
      <c r="AW52" s="4"/>
      <c r="AX52" s="4"/>
      <c r="AY52" s="4"/>
      <c r="AZ52" s="4"/>
      <c r="BA52" s="4"/>
      <c r="BE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8"/>
      <c r="BU52" s="38"/>
      <c r="BV52" s="38"/>
      <c r="BW52" s="38"/>
      <c r="BX52" s="38"/>
      <c r="BY52" s="38"/>
      <c r="BZ52" s="4"/>
      <c r="CA52" s="4"/>
      <c r="CB52" s="4"/>
      <c r="CC52" s="38"/>
      <c r="CD52" s="4"/>
      <c r="CE52" s="4"/>
      <c r="CF52" s="4"/>
      <c r="CG52" s="27">
        <f t="shared" si="24"/>
        <v>0</v>
      </c>
      <c r="CH52" s="28">
        <f>VLOOKUP(C52,'INPUT SHEET '!$U$84:$V$92,2,FALSE)</f>
        <v>2</v>
      </c>
      <c r="CI52" s="28">
        <f>VLOOKUP(D52,'INPUT SHEET '!$U$73:$AD$83,'INPUT SHEET '!CH52,FALSE)</f>
        <v>30</v>
      </c>
      <c r="CJ52" s="28">
        <f>VLOOKUP(G52,'INPUT SHEET '!$AK$100:$AS$118,$CH52,FALSE)</f>
        <v>0</v>
      </c>
      <c r="CK52" s="28">
        <f>VLOOKUP(I52,'INPUT SHEET '!$AK$100:$AS$118,$CH52,FALSE)</f>
        <v>20</v>
      </c>
      <c r="CL52" s="28">
        <f>IFERROR(VLOOKUP(J52,'INPUT SHEET '!$AU$99:$BD$119,$CH52,FALSE),0)</f>
        <v>0</v>
      </c>
      <c r="CM52" s="28">
        <f>IFERROR(VLOOKUP(K52,'INPUT SHEET '!$AU$99:$BD$119,$CH52,FALSE),0)</f>
        <v>0</v>
      </c>
      <c r="CN52" s="28">
        <f>IFERROR(VLOOKUP(L52,'INPUT SHEET '!$AU$99:$BD$119,$CH52,FALSE),0)</f>
        <v>0</v>
      </c>
      <c r="CO52" s="28">
        <f>IFERROR(VLOOKUP(M52,'INPUT SHEET '!$AU$99:$BD$119,$CH52,FALSE),0)</f>
        <v>0</v>
      </c>
      <c r="CP52" s="28">
        <f>IFERROR(VLOOKUP(N52,'INPUT SHEET '!$AU$99:$BD$119,$CH52,FALSE),0)</f>
        <v>0</v>
      </c>
      <c r="CQ52" s="28">
        <f t="shared" si="25"/>
        <v>30</v>
      </c>
      <c r="CR52" s="28"/>
      <c r="CS52" s="30">
        <f>VLOOKUP(E52,'INPUT SHEET '!$AF$73:$AG$76,2,0)</f>
        <v>1</v>
      </c>
      <c r="CT52" s="30">
        <f>VLOOKUP(F52,'INPUT SHEET '!$AF$85:$AH$87,3,0)</f>
        <v>0.8</v>
      </c>
      <c r="CU52" s="28">
        <f>IF(CK52=0,1,VLOOKUP(H52,'INPUT SHEET '!$AF$79:$AH$83,3,FALSE))</f>
        <v>1</v>
      </c>
      <c r="CV52" s="31">
        <f t="shared" si="33"/>
        <v>44</v>
      </c>
      <c r="CW52" s="31"/>
      <c r="CX52" s="31"/>
      <c r="CY52" s="31"/>
      <c r="CZ52" s="31"/>
      <c r="DA52" s="32"/>
      <c r="DB52" s="28">
        <f t="shared" si="26"/>
        <v>0</v>
      </c>
      <c r="DC52" s="28"/>
      <c r="DD52" s="33"/>
      <c r="DE52" s="33"/>
      <c r="DF52" s="33"/>
      <c r="DG52" s="33"/>
      <c r="DH52" s="28">
        <f t="shared" si="27"/>
        <v>0</v>
      </c>
      <c r="DI52" s="28">
        <f t="shared" si="28"/>
        <v>0</v>
      </c>
      <c r="DJ52" s="28">
        <f t="shared" si="29"/>
        <v>1</v>
      </c>
      <c r="DK52" s="33"/>
      <c r="DL52" s="34">
        <f t="shared" si="30"/>
        <v>0</v>
      </c>
      <c r="DM52" s="28">
        <f t="shared" si="31"/>
        <v>0</v>
      </c>
      <c r="DN52" s="28" t="s">
        <v>76</v>
      </c>
      <c r="DO52" s="28" t="s">
        <v>76</v>
      </c>
      <c r="DP52" s="28">
        <f t="shared" si="32"/>
        <v>0</v>
      </c>
      <c r="DQ52" s="32"/>
      <c r="DR52" s="32"/>
    </row>
    <row r="53" spans="1:122" ht="17.100000000000001" customHeight="1" thickBot="1">
      <c r="A53" s="240"/>
      <c r="B53" s="204"/>
      <c r="C53" s="205" t="s">
        <v>40</v>
      </c>
      <c r="D53" s="206" t="s">
        <v>37</v>
      </c>
      <c r="E53" s="205" t="s">
        <v>10</v>
      </c>
      <c r="F53" s="205" t="s">
        <v>105</v>
      </c>
      <c r="G53" s="205" t="s">
        <v>50</v>
      </c>
      <c r="H53" s="205" t="s">
        <v>114</v>
      </c>
      <c r="I53" s="205" t="s">
        <v>59</v>
      </c>
      <c r="J53" s="205" t="s">
        <v>50</v>
      </c>
      <c r="K53" s="205" t="s">
        <v>50</v>
      </c>
      <c r="L53" s="205" t="s">
        <v>50</v>
      </c>
      <c r="M53" s="77" t="s">
        <v>50</v>
      </c>
      <c r="N53" s="77" t="s">
        <v>50</v>
      </c>
      <c r="O53" s="203"/>
      <c r="P53" s="23">
        <f t="shared" si="21"/>
        <v>0</v>
      </c>
      <c r="Q53" s="24">
        <f t="shared" si="17"/>
        <v>0</v>
      </c>
      <c r="R53" s="25">
        <f t="shared" si="22"/>
        <v>0</v>
      </c>
      <c r="S53" s="241">
        <f t="shared" si="23"/>
        <v>0</v>
      </c>
      <c r="U53" s="4"/>
      <c r="AV53" s="4"/>
      <c r="AW53" s="4"/>
      <c r="AX53" s="4"/>
      <c r="AY53" s="4"/>
      <c r="AZ53" s="4"/>
      <c r="BA53" s="4"/>
      <c r="BE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8"/>
      <c r="BU53" s="38"/>
      <c r="BV53" s="38"/>
      <c r="BW53" s="38"/>
      <c r="BX53" s="38"/>
      <c r="BY53" s="38"/>
      <c r="BZ53" s="4"/>
      <c r="CA53" s="4"/>
      <c r="CB53" s="4"/>
      <c r="CC53" s="38"/>
      <c r="CD53" s="4"/>
      <c r="CE53" s="4"/>
      <c r="CF53" s="4"/>
      <c r="CG53" s="27">
        <f t="shared" si="24"/>
        <v>0</v>
      </c>
      <c r="CH53" s="28">
        <f>VLOOKUP(C53,'INPUT SHEET '!$U$84:$V$92,2,FALSE)</f>
        <v>2</v>
      </c>
      <c r="CI53" s="28">
        <f>VLOOKUP(D53,'INPUT SHEET '!$U$73:$AD$83,'INPUT SHEET '!CH53,FALSE)</f>
        <v>30</v>
      </c>
      <c r="CJ53" s="28">
        <f>VLOOKUP(G53,'INPUT SHEET '!$AK$100:$AS$118,$CH53,FALSE)</f>
        <v>0</v>
      </c>
      <c r="CK53" s="28">
        <f>VLOOKUP(I53,'INPUT SHEET '!$AK$100:$AS$118,$CH53,FALSE)</f>
        <v>20</v>
      </c>
      <c r="CL53" s="28">
        <f>IFERROR(VLOOKUP(J53,'INPUT SHEET '!$AU$99:$BD$119,$CH53,FALSE),0)</f>
        <v>0</v>
      </c>
      <c r="CM53" s="28">
        <f>IFERROR(VLOOKUP(K53,'INPUT SHEET '!$AU$99:$BD$119,$CH53,FALSE),0)</f>
        <v>0</v>
      </c>
      <c r="CN53" s="28">
        <f>IFERROR(VLOOKUP(L53,'INPUT SHEET '!$AU$99:$BD$119,$CH53,FALSE),0)</f>
        <v>0</v>
      </c>
      <c r="CO53" s="28">
        <f>IFERROR(VLOOKUP(M53,'INPUT SHEET '!$AU$99:$BD$119,$CH53,FALSE),0)</f>
        <v>0</v>
      </c>
      <c r="CP53" s="28">
        <f>IFERROR(VLOOKUP(N53,'INPUT SHEET '!$AU$99:$BD$119,$CH53,FALSE),0)</f>
        <v>0</v>
      </c>
      <c r="CQ53" s="28">
        <f t="shared" si="25"/>
        <v>30</v>
      </c>
      <c r="CR53" s="28"/>
      <c r="CS53" s="30">
        <f>VLOOKUP(E53,'INPUT SHEET '!$AF$73:$AG$76,2,0)</f>
        <v>1</v>
      </c>
      <c r="CT53" s="30">
        <f>VLOOKUP(F53,'INPUT SHEET '!$AF$85:$AH$87,3,0)</f>
        <v>0.8</v>
      </c>
      <c r="CU53" s="28">
        <f>IF(CK53=0,1,VLOOKUP(H53,'INPUT SHEET '!$AF$79:$AH$83,3,FALSE))</f>
        <v>1</v>
      </c>
      <c r="CV53" s="31">
        <f t="shared" si="33"/>
        <v>44</v>
      </c>
      <c r="CW53" s="31"/>
      <c r="CX53" s="31"/>
      <c r="CY53" s="31"/>
      <c r="CZ53" s="31"/>
      <c r="DA53" s="32"/>
      <c r="DB53" s="28">
        <f t="shared" si="26"/>
        <v>0</v>
      </c>
      <c r="DC53" s="28"/>
      <c r="DD53" s="33"/>
      <c r="DE53" s="33"/>
      <c r="DF53" s="33"/>
      <c r="DG53" s="33"/>
      <c r="DH53" s="28">
        <f t="shared" si="27"/>
        <v>0</v>
      </c>
      <c r="DI53" s="28">
        <f t="shared" si="28"/>
        <v>0</v>
      </c>
      <c r="DJ53" s="28">
        <f t="shared" si="29"/>
        <v>1</v>
      </c>
      <c r="DK53" s="33"/>
      <c r="DL53" s="34">
        <f t="shared" si="30"/>
        <v>0</v>
      </c>
      <c r="DM53" s="28">
        <f t="shared" si="31"/>
        <v>0</v>
      </c>
      <c r="DN53" s="28" t="s">
        <v>76</v>
      </c>
      <c r="DO53" s="28" t="s">
        <v>76</v>
      </c>
      <c r="DP53" s="28">
        <f t="shared" si="32"/>
        <v>0</v>
      </c>
      <c r="DQ53" s="32"/>
      <c r="DR53" s="32"/>
    </row>
    <row r="54" spans="1:122" ht="17.100000000000001" customHeight="1">
      <c r="A54" s="242"/>
      <c r="B54" s="219"/>
      <c r="C54" s="220" t="s">
        <v>40</v>
      </c>
      <c r="D54" s="221" t="s">
        <v>37</v>
      </c>
      <c r="E54" s="220" t="s">
        <v>10</v>
      </c>
      <c r="F54" s="220" t="s">
        <v>105</v>
      </c>
      <c r="G54" s="220" t="s">
        <v>50</v>
      </c>
      <c r="H54" s="220" t="s">
        <v>114</v>
      </c>
      <c r="I54" s="220" t="s">
        <v>59</v>
      </c>
      <c r="J54" s="220" t="s">
        <v>50</v>
      </c>
      <c r="K54" s="220" t="s">
        <v>50</v>
      </c>
      <c r="L54" s="220" t="s">
        <v>50</v>
      </c>
      <c r="M54" s="222" t="s">
        <v>50</v>
      </c>
      <c r="N54" s="222" t="s">
        <v>50</v>
      </c>
      <c r="O54" s="223"/>
      <c r="P54" s="224">
        <f t="shared" si="21"/>
        <v>0</v>
      </c>
      <c r="Q54" s="225">
        <f t="shared" si="17"/>
        <v>0</v>
      </c>
      <c r="R54" s="226">
        <f t="shared" si="22"/>
        <v>0</v>
      </c>
      <c r="S54" s="243">
        <f t="shared" si="23"/>
        <v>0</v>
      </c>
      <c r="U54" s="4"/>
      <c r="AV54" s="4"/>
      <c r="AW54" s="4"/>
      <c r="AX54" s="4"/>
      <c r="AY54" s="4"/>
      <c r="AZ54" s="4"/>
      <c r="BA54" s="4"/>
      <c r="BE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8"/>
      <c r="BU54" s="38"/>
      <c r="BV54" s="38"/>
      <c r="BW54" s="38"/>
      <c r="BX54" s="38"/>
      <c r="BY54" s="38"/>
      <c r="BZ54" s="4"/>
      <c r="CA54" s="4"/>
      <c r="CB54" s="4"/>
      <c r="CC54" s="38"/>
      <c r="CD54" s="4"/>
      <c r="CE54" s="4"/>
      <c r="CF54" s="4"/>
      <c r="CG54" s="27">
        <f t="shared" si="24"/>
        <v>0</v>
      </c>
      <c r="CH54" s="28">
        <f>VLOOKUP(C54,'INPUT SHEET '!$U$84:$V$92,2,FALSE)</f>
        <v>2</v>
      </c>
      <c r="CI54" s="28">
        <f>VLOOKUP(D54,'INPUT SHEET '!$U$73:$AD$83,'INPUT SHEET '!CH54,FALSE)</f>
        <v>30</v>
      </c>
      <c r="CJ54" s="28">
        <f>VLOOKUP(G54,'INPUT SHEET '!$AK$100:$AS$118,$CH54,FALSE)</f>
        <v>0</v>
      </c>
      <c r="CK54" s="28">
        <f>VLOOKUP(I54,'INPUT SHEET '!$AK$100:$AS$118,$CH54,FALSE)</f>
        <v>20</v>
      </c>
      <c r="CL54" s="28">
        <f>IFERROR(VLOOKUP(J54,'INPUT SHEET '!$AU$99:$BD$119,$CH54,FALSE),0)</f>
        <v>0</v>
      </c>
      <c r="CM54" s="28">
        <f>IFERROR(VLOOKUP(K54,'INPUT SHEET '!$AU$99:$BD$119,$CH54,FALSE),0)</f>
        <v>0</v>
      </c>
      <c r="CN54" s="28">
        <f>IFERROR(VLOOKUP(L54,'INPUT SHEET '!$AU$99:$BD$119,$CH54,FALSE),0)</f>
        <v>0</v>
      </c>
      <c r="CO54" s="28">
        <f>IFERROR(VLOOKUP(M54,'INPUT SHEET '!$AU$99:$BD$119,$CH54,FALSE),0)</f>
        <v>0</v>
      </c>
      <c r="CP54" s="28">
        <f>IFERROR(VLOOKUP(N54,'INPUT SHEET '!$AU$99:$BD$119,$CH54,FALSE),0)</f>
        <v>0</v>
      </c>
      <c r="CQ54" s="28">
        <f t="shared" si="25"/>
        <v>30</v>
      </c>
      <c r="CR54" s="28"/>
      <c r="CS54" s="30">
        <f>VLOOKUP(E54,'INPUT SHEET '!$AF$73:$AG$76,2,0)</f>
        <v>1</v>
      </c>
      <c r="CT54" s="30">
        <f>VLOOKUP(F54,'INPUT SHEET '!$AF$85:$AH$87,3,0)</f>
        <v>0.8</v>
      </c>
      <c r="CU54" s="28">
        <f>IF(CK54=0,1,VLOOKUP(H54,'INPUT SHEET '!$AF$79:$AH$83,3,FALSE))</f>
        <v>1</v>
      </c>
      <c r="CV54" s="31">
        <f t="shared" si="33"/>
        <v>44</v>
      </c>
      <c r="CW54" s="31"/>
      <c r="CX54" s="31"/>
      <c r="CY54" s="31"/>
      <c r="CZ54" s="31"/>
      <c r="DA54" s="32"/>
      <c r="DB54" s="28">
        <f t="shared" si="26"/>
        <v>0</v>
      </c>
      <c r="DC54" s="28"/>
      <c r="DD54" s="33"/>
      <c r="DE54" s="33"/>
      <c r="DF54" s="33"/>
      <c r="DG54" s="33"/>
      <c r="DH54" s="28">
        <f t="shared" si="27"/>
        <v>0</v>
      </c>
      <c r="DI54" s="28">
        <f t="shared" si="28"/>
        <v>0</v>
      </c>
      <c r="DJ54" s="28">
        <f t="shared" si="29"/>
        <v>1</v>
      </c>
      <c r="DK54" s="33"/>
      <c r="DL54" s="34">
        <f t="shared" si="30"/>
        <v>0</v>
      </c>
      <c r="DM54" s="28">
        <f t="shared" si="31"/>
        <v>0</v>
      </c>
      <c r="DN54" s="28" t="s">
        <v>76</v>
      </c>
      <c r="DO54" s="28" t="s">
        <v>76</v>
      </c>
      <c r="DP54" s="28">
        <f t="shared" si="32"/>
        <v>0</v>
      </c>
      <c r="DQ54" s="32"/>
      <c r="DR54" s="32"/>
    </row>
    <row r="55" spans="1:122" ht="17.100000000000001" customHeight="1" thickBot="1">
      <c r="A55" s="373" t="s">
        <v>191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  <c r="N55" s="374"/>
      <c r="O55" s="374"/>
      <c r="P55" s="374"/>
      <c r="Q55" s="374"/>
      <c r="R55" s="375"/>
      <c r="S55" s="216"/>
      <c r="U55" s="4"/>
      <c r="AD55" s="26"/>
      <c r="AE55" s="26"/>
      <c r="AF55" s="26"/>
      <c r="AV55" s="4"/>
      <c r="AW55" s="4"/>
      <c r="AX55" s="4"/>
      <c r="AY55" s="4"/>
      <c r="AZ55" s="4"/>
      <c r="BA55" s="4"/>
      <c r="BE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8"/>
      <c r="BU55" s="38"/>
      <c r="BV55" s="38"/>
      <c r="BW55" s="38"/>
      <c r="BX55" s="38"/>
      <c r="BY55" s="38"/>
      <c r="BZ55" s="4"/>
      <c r="CA55" s="4"/>
      <c r="CB55" s="4"/>
      <c r="CC55" s="38"/>
      <c r="CD55" s="4"/>
      <c r="CE55" s="4"/>
      <c r="CF55" s="4"/>
      <c r="CG55" s="4" t="s">
        <v>191</v>
      </c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DK55" s="54"/>
      <c r="DL55" s="34"/>
      <c r="DQ55" s="32"/>
      <c r="DR55" s="32"/>
    </row>
    <row r="56" spans="1:122" ht="17.100000000000001" customHeight="1" thickBot="1">
      <c r="A56" s="240"/>
      <c r="B56" s="204"/>
      <c r="C56" s="205"/>
      <c r="D56" s="205"/>
      <c r="E56" s="205" t="s">
        <v>10</v>
      </c>
      <c r="F56" s="205" t="s">
        <v>51</v>
      </c>
      <c r="G56" s="205" t="s">
        <v>50</v>
      </c>
      <c r="H56" s="206" t="s">
        <v>50</v>
      </c>
      <c r="I56" s="206" t="s">
        <v>50</v>
      </c>
      <c r="J56" s="205" t="s">
        <v>163</v>
      </c>
      <c r="K56" s="205" t="s">
        <v>50</v>
      </c>
      <c r="L56" s="205" t="s">
        <v>50</v>
      </c>
      <c r="M56" s="205" t="s">
        <v>50</v>
      </c>
      <c r="N56" s="205" t="s">
        <v>50</v>
      </c>
      <c r="O56" s="203"/>
      <c r="P56" s="23">
        <f>IFERROR(IF(A56&gt;0,CV56,0),0)</f>
        <v>0</v>
      </c>
      <c r="Q56" s="24">
        <f>IFERROR(IF(76&gt;0,O56*P56,0),0)</f>
        <v>0</v>
      </c>
      <c r="R56" s="25">
        <f>IF(O56=0,0,O56/IF(D56="Skirmisher",3,2)+0.5)</f>
        <v>0</v>
      </c>
      <c r="S56" s="239"/>
      <c r="U56" s="4"/>
      <c r="AD56" s="26"/>
      <c r="AE56" s="26"/>
      <c r="AF56" s="26"/>
      <c r="AV56" s="4"/>
      <c r="AW56" s="4"/>
      <c r="AX56" s="4"/>
      <c r="AY56" s="4"/>
      <c r="AZ56" s="4"/>
      <c r="BA56" s="4"/>
      <c r="BE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8"/>
      <c r="BU56" s="38"/>
      <c r="BV56" s="38"/>
      <c r="BW56" s="38"/>
      <c r="BX56" s="38"/>
      <c r="BY56" s="38"/>
      <c r="BZ56" s="4"/>
      <c r="CA56" s="4"/>
      <c r="CB56" s="4"/>
      <c r="CC56" s="38"/>
      <c r="CD56" s="4"/>
      <c r="CE56" s="4"/>
      <c r="CF56" s="4"/>
      <c r="CG56" s="27">
        <f>B56</f>
        <v>0</v>
      </c>
      <c r="CH56" s="28" t="e">
        <f>VLOOKUP(C56,'INPUT SHEET '!$U$84:$V$92,2,FALSE)</f>
        <v>#N/A</v>
      </c>
      <c r="CI56" s="28" t="e">
        <f>VLOOKUP(D56,'INPUT SHEET '!$U$73:$AD$82,'INPUT SHEET '!CH56,FALSE)</f>
        <v>#N/A</v>
      </c>
      <c r="CJ56" s="28" t="e">
        <f>VLOOKUP(G56,'INPUT SHEET '!$AK$74:$AS$92,CH56,FALSE)</f>
        <v>#REF!</v>
      </c>
      <c r="CK56" s="29" t="e">
        <f>VLOOKUP(I56,'INPUT SHEET '!$AK$83:$AS$92,CH56,FALSE)</f>
        <v>#REF!</v>
      </c>
      <c r="CL56" s="28">
        <f>IFERROR(VLOOKUP(J56,'INPUT SHEET '!$AU$74:$BD$126,$CH56,FALSE),0)</f>
        <v>0</v>
      </c>
      <c r="CM56" s="28">
        <f>IFERROR(VLOOKUP(K56,'INPUT SHEET '!$AU$74:$BD$126,$CH56,FALSE),0)</f>
        <v>0</v>
      </c>
      <c r="CN56" s="28">
        <f>IFERROR(VLOOKUP(L56,'INPUT SHEET '!$AU$74:$BD$126,$CH56,FALSE),0)</f>
        <v>0</v>
      </c>
      <c r="CO56" s="28">
        <f>IFERROR(VLOOKUP(M56,'INPUT SHEET '!$AU$74:$BD$126,$CH56,FALSE),0)</f>
        <v>0</v>
      </c>
      <c r="CP56" s="28">
        <f>IFERROR(VLOOKUP(N56,'INPUT SHEET '!$AU$74:$BD$126,$CH56,FALSE),0)</f>
        <v>0</v>
      </c>
      <c r="CQ56" s="28" t="e">
        <f>SUM(CI56:CP56)-CK56</f>
        <v>#N/A</v>
      </c>
      <c r="CR56" s="28"/>
      <c r="CS56" s="30">
        <f>VLOOKUP(E56,'INPUT SHEET '!$AF$73:$AG$76,2,0)</f>
        <v>1</v>
      </c>
      <c r="CT56" s="30">
        <f>VLOOKUP(F56,'INPUT SHEET '!$AF$85:$AG$87,2,0)</f>
        <v>1</v>
      </c>
      <c r="CU56" s="28" t="e">
        <f>IF(CK56=0,1,VLOOKUP(H56,'INPUT SHEET '!$AF$79:$AG$83,2,FALSE))</f>
        <v>#REF!</v>
      </c>
      <c r="CV56" s="31" t="e">
        <f>INT(CQ56*CS56*CT56+CK56*CU56)</f>
        <v>#N/A</v>
      </c>
      <c r="CW56" s="31"/>
      <c r="CX56" s="31"/>
      <c r="CY56" s="31"/>
      <c r="CZ56" s="31"/>
      <c r="DA56" s="32"/>
      <c r="DB56" s="28">
        <f>IF(C56="CAVALRY",1,0)</f>
        <v>0</v>
      </c>
      <c r="DC56" s="28"/>
      <c r="DD56" s="28">
        <f>IF(F56="FULLY ARMOURED",0,1)</f>
        <v>1</v>
      </c>
      <c r="DE56" s="28"/>
      <c r="DF56" s="28"/>
      <c r="DG56" s="28"/>
      <c r="DH56" s="28">
        <f>IF(C56="light chariots",1,0)</f>
        <v>0</v>
      </c>
      <c r="DI56" s="28">
        <f>IF(C56="CAMELRY",1,0)</f>
        <v>0</v>
      </c>
      <c r="DJ56" s="28">
        <f>IF(D56="Skirmisher",1,0)</f>
        <v>0</v>
      </c>
      <c r="DK56" s="33"/>
      <c r="DL56" s="34">
        <v>0</v>
      </c>
      <c r="DM56" s="28">
        <v>0</v>
      </c>
      <c r="DN56" s="28">
        <v>0</v>
      </c>
      <c r="DO56" s="28">
        <v>0</v>
      </c>
      <c r="DP56" s="28">
        <v>0</v>
      </c>
      <c r="DQ56" s="32"/>
      <c r="DR56" s="32"/>
    </row>
    <row r="57" spans="1:122" ht="21" customHeight="1" thickBot="1">
      <c r="A57" s="227"/>
      <c r="B57" s="228"/>
      <c r="C57" s="229"/>
      <c r="D57" s="229"/>
      <c r="E57" s="229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30"/>
      <c r="Q57" s="230"/>
      <c r="R57" s="229"/>
      <c r="S57" s="231"/>
      <c r="U57" s="4"/>
      <c r="CC57" s="56"/>
      <c r="CD57" s="32"/>
      <c r="CE57" s="32"/>
      <c r="CF57" s="32"/>
      <c r="CG57" s="32"/>
      <c r="CH57" s="32"/>
      <c r="CI57" s="32"/>
      <c r="CJ57" s="32"/>
      <c r="CK57" s="32"/>
      <c r="CL57" s="32"/>
      <c r="CM57" s="56"/>
      <c r="CN57" s="56"/>
      <c r="CO57" s="56"/>
      <c r="CP57" s="56"/>
      <c r="CQ57" s="56"/>
      <c r="CR57" s="56"/>
      <c r="CS57" s="56"/>
      <c r="CT57" s="56"/>
    </row>
    <row r="58" spans="1:122" s="18" customFormat="1" ht="21" customHeight="1" thickBot="1">
      <c r="A58" s="232"/>
      <c r="B58" s="57"/>
      <c r="C58" s="58" t="s">
        <v>132</v>
      </c>
      <c r="D58" s="59">
        <f>SUM($H$5:$H$8)</f>
        <v>2100</v>
      </c>
      <c r="E58" s="60"/>
      <c r="F58" s="60"/>
      <c r="G58" s="251"/>
      <c r="H58" s="61">
        <f>SUM(Q14:Q37)+Q56</f>
        <v>7280</v>
      </c>
      <c r="I58" s="57"/>
      <c r="J58" s="62" t="s">
        <v>138</v>
      </c>
      <c r="K58" s="63">
        <f>SUM(Q39:Q54)</f>
        <v>720</v>
      </c>
      <c r="L58" s="64"/>
      <c r="M58" s="64"/>
      <c r="N58" s="57"/>
      <c r="O58" s="65" t="s">
        <v>8</v>
      </c>
      <c r="P58" s="66">
        <f>Q12</f>
        <v>288</v>
      </c>
      <c r="Q58" s="233"/>
      <c r="R58" s="234"/>
      <c r="S58" s="235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38"/>
      <c r="AW58" s="38"/>
      <c r="AX58" s="38"/>
      <c r="AY58" s="38"/>
      <c r="AZ58" s="38"/>
      <c r="BA58" s="38"/>
      <c r="BB58" s="4"/>
      <c r="BC58" s="4"/>
      <c r="BD58" s="4"/>
      <c r="BE58" s="38"/>
      <c r="BF58" s="4"/>
      <c r="BG58" s="4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40"/>
      <c r="BV58" s="40"/>
      <c r="BW58" s="5"/>
      <c r="BX58" s="5"/>
      <c r="BY58" s="5"/>
      <c r="BZ58" s="5"/>
      <c r="CA58" s="5"/>
      <c r="CB58" s="5"/>
      <c r="CC58" s="67"/>
      <c r="CD58" s="56"/>
      <c r="CE58" s="56"/>
      <c r="CF58" s="56"/>
      <c r="CG58" s="56"/>
      <c r="CH58" s="56"/>
      <c r="CI58" s="56"/>
      <c r="CJ58" s="56"/>
      <c r="CK58" s="56"/>
      <c r="CL58" s="56"/>
      <c r="CM58" s="68"/>
      <c r="CN58" s="68"/>
      <c r="CO58" s="68">
        <f>SUM(DM12:DM54)</f>
        <v>0</v>
      </c>
      <c r="CP58" s="68">
        <f>SUM(DN12:DN54)</f>
        <v>0</v>
      </c>
      <c r="CQ58" s="68">
        <f>SUM(DO12:DO54)</f>
        <v>0</v>
      </c>
      <c r="CR58" s="68">
        <f>SUM(DP12:DP54)</f>
        <v>18</v>
      </c>
      <c r="CS58" s="67"/>
      <c r="CT58" s="67"/>
    </row>
    <row r="59" spans="1:122" ht="21" customHeight="1">
      <c r="A59" s="236"/>
      <c r="B59" s="234"/>
      <c r="C59" s="237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8" t="s">
        <v>165</v>
      </c>
      <c r="P59" s="233"/>
      <c r="Q59" s="233"/>
      <c r="R59" s="237"/>
      <c r="S59" s="235"/>
      <c r="U59" s="4"/>
      <c r="AN59" s="12"/>
      <c r="AO59" s="12"/>
      <c r="AP59" s="12"/>
      <c r="AQ59" s="12"/>
      <c r="CD59" s="67"/>
      <c r="CE59" s="67"/>
      <c r="CF59" s="67"/>
      <c r="CG59" s="67"/>
      <c r="CH59" s="67"/>
      <c r="CI59" s="67"/>
      <c r="CJ59" s="67"/>
      <c r="CK59" s="67"/>
      <c r="CL59" s="67"/>
      <c r="CM59" s="11" t="s">
        <v>96</v>
      </c>
      <c r="CN59" s="11"/>
      <c r="CO59" s="69">
        <v>10</v>
      </c>
      <c r="CP59" s="69">
        <v>20</v>
      </c>
      <c r="CQ59" s="69">
        <v>20</v>
      </c>
      <c r="CR59" s="69">
        <v>30</v>
      </c>
      <c r="CT59" s="5" t="s">
        <v>194</v>
      </c>
    </row>
    <row r="60" spans="1:122" ht="29.1" customHeight="1" thickBot="1">
      <c r="A60" s="395" t="s">
        <v>158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396"/>
      <c r="P60" s="396"/>
      <c r="Q60" s="396"/>
      <c r="R60" s="396"/>
      <c r="S60" s="397"/>
      <c r="U60" s="4"/>
      <c r="V60" s="12"/>
      <c r="AN60" s="12"/>
      <c r="AO60" s="12"/>
      <c r="AP60" s="12"/>
      <c r="AQ60" s="12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10"/>
      <c r="BV60" s="10"/>
      <c r="BW60" s="9"/>
      <c r="BX60" s="9"/>
      <c r="BY60" s="9"/>
      <c r="BZ60" s="9"/>
      <c r="CA60" s="9"/>
      <c r="CB60" s="9"/>
      <c r="CM60" s="11"/>
      <c r="CN60" s="11"/>
      <c r="CO60" s="11">
        <f>CO58/CO59</f>
        <v>0</v>
      </c>
      <c r="CP60" s="11">
        <f>CP58/CP59</f>
        <v>0</v>
      </c>
      <c r="CQ60" s="11">
        <f t="shared" ref="CQ60:CR60" si="35">CQ58/CQ59</f>
        <v>0</v>
      </c>
      <c r="CR60" s="11">
        <f t="shared" si="35"/>
        <v>0.6</v>
      </c>
    </row>
    <row r="61" spans="1:122" s="6" customFormat="1" ht="26.1" customHeight="1" thickBot="1">
      <c r="A61" s="386" t="s">
        <v>125</v>
      </c>
      <c r="B61" s="387"/>
      <c r="C61" s="387"/>
      <c r="D61" s="388"/>
      <c r="E61" s="407" t="s">
        <v>151</v>
      </c>
      <c r="F61" s="408"/>
      <c r="G61" s="408"/>
      <c r="H61" s="408"/>
      <c r="I61" s="408"/>
      <c r="J61" s="408"/>
      <c r="K61" s="398" t="s">
        <v>156</v>
      </c>
      <c r="L61" s="399"/>
      <c r="M61" s="399"/>
      <c r="N61" s="399"/>
      <c r="O61" s="399"/>
      <c r="P61" s="399"/>
      <c r="Q61" s="399"/>
      <c r="R61" s="399"/>
      <c r="S61" s="400"/>
      <c r="T61" s="12"/>
      <c r="U61" s="21"/>
      <c r="V61" s="12"/>
      <c r="W61" s="12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38"/>
      <c r="AW61" s="38"/>
      <c r="AX61" s="38"/>
      <c r="AY61" s="39"/>
      <c r="AZ61" s="39"/>
      <c r="BA61" s="39"/>
      <c r="BD61" s="4"/>
      <c r="BE61" s="39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8"/>
      <c r="BV61" s="8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</row>
    <row r="62" spans="1:122" s="12" customFormat="1" ht="20.100000000000001" customHeight="1">
      <c r="A62" s="389" t="s">
        <v>127</v>
      </c>
      <c r="B62" s="390"/>
      <c r="C62" s="390"/>
      <c r="D62" s="391"/>
      <c r="E62" s="409" t="s">
        <v>130</v>
      </c>
      <c r="F62" s="410"/>
      <c r="G62" s="410"/>
      <c r="H62" s="413" t="s">
        <v>128</v>
      </c>
      <c r="I62" s="414"/>
      <c r="J62" s="252" t="s">
        <v>126</v>
      </c>
      <c r="K62" s="401" t="s">
        <v>133</v>
      </c>
      <c r="L62" s="402"/>
      <c r="M62" s="402"/>
      <c r="N62" s="402"/>
      <c r="O62" s="402"/>
      <c r="P62" s="402"/>
      <c r="Q62" s="402"/>
      <c r="R62" s="402"/>
      <c r="S62" s="403"/>
      <c r="T62" s="4"/>
      <c r="U62" s="21"/>
      <c r="V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V62" s="36"/>
      <c r="AW62" s="36"/>
      <c r="AX62" s="36"/>
      <c r="AY62" s="36"/>
      <c r="AZ62" s="36"/>
      <c r="BA62" s="36"/>
      <c r="BE62" s="36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4"/>
      <c r="BV62" s="14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22" t="s">
        <v>178</v>
      </c>
      <c r="CP62" s="22" t="s">
        <v>178</v>
      </c>
      <c r="CQ62" s="35">
        <f>SUM(CO60:CR60)</f>
        <v>0.6</v>
      </c>
      <c r="CR62" s="13"/>
      <c r="CS62" s="13"/>
      <c r="CT62" s="13"/>
    </row>
    <row r="63" spans="1:122" s="12" customFormat="1" ht="20.100000000000001" customHeight="1" thickBot="1">
      <c r="A63" s="392" t="s">
        <v>150</v>
      </c>
      <c r="B63" s="393"/>
      <c r="C63" s="393"/>
      <c r="D63" s="394"/>
      <c r="E63" s="411" t="s">
        <v>131</v>
      </c>
      <c r="F63" s="412"/>
      <c r="G63" s="412"/>
      <c r="H63" s="415" t="s">
        <v>129</v>
      </c>
      <c r="I63" s="416"/>
      <c r="J63" s="253">
        <v>10</v>
      </c>
      <c r="K63" s="404" t="s">
        <v>157</v>
      </c>
      <c r="L63" s="405"/>
      <c r="M63" s="405"/>
      <c r="N63" s="405"/>
      <c r="O63" s="405"/>
      <c r="P63" s="405"/>
      <c r="Q63" s="405"/>
      <c r="R63" s="405"/>
      <c r="S63" s="406"/>
      <c r="T63" s="4"/>
      <c r="U63" s="21"/>
      <c r="V63" s="4"/>
      <c r="W63" s="4"/>
      <c r="AD63" s="4"/>
      <c r="AE63" s="4"/>
      <c r="AF63" s="4"/>
      <c r="AG63" s="4"/>
      <c r="AN63" s="4"/>
      <c r="AO63" s="4"/>
      <c r="AP63" s="4"/>
      <c r="AQ63" s="4"/>
      <c r="AV63" s="36"/>
      <c r="AW63" s="36"/>
      <c r="AX63" s="36"/>
      <c r="AY63" s="36"/>
      <c r="AZ63" s="36"/>
      <c r="BA63" s="36"/>
      <c r="BE63" s="36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4"/>
      <c r="BV63" s="14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</row>
    <row r="64" spans="1:122" ht="21">
      <c r="C64" s="4"/>
      <c r="X64" s="12"/>
      <c r="Y64" s="12"/>
      <c r="Z64" s="12"/>
      <c r="AA64" s="12"/>
      <c r="AB64" s="12"/>
      <c r="AC64" s="12"/>
      <c r="AH64" s="12"/>
      <c r="AI64" s="12"/>
      <c r="AJ64" s="12"/>
      <c r="AK64" s="12"/>
      <c r="AL64" s="12"/>
      <c r="AM64" s="12"/>
    </row>
    <row r="65" spans="3:98">
      <c r="C65" s="4"/>
      <c r="CO65" s="383" t="s">
        <v>85</v>
      </c>
      <c r="CP65" s="384"/>
      <c r="CQ65" s="385"/>
    </row>
    <row r="66" spans="3:98">
      <c r="C66" s="4"/>
      <c r="CO66" s="198" t="s">
        <v>5</v>
      </c>
      <c r="CP66" s="198" t="s">
        <v>5</v>
      </c>
      <c r="CQ66" s="71">
        <f>VLOOKUP(C5,'INPUT SHEET '!$BF$74:$BJ$82,4,FALSE)</f>
        <v>4</v>
      </c>
    </row>
    <row r="67" spans="3:98" ht="21">
      <c r="C67" s="4"/>
      <c r="AG67" s="12"/>
      <c r="CO67" s="198" t="s">
        <v>4</v>
      </c>
      <c r="CP67" s="198" t="s">
        <v>4</v>
      </c>
      <c r="CQ67" s="199">
        <f>VLOOKUP(C6,'INPUT SHEET '!$BF$74:$BJ$82,5,FALSE)</f>
        <v>0</v>
      </c>
      <c r="CR67" s="4"/>
      <c r="CS67" s="4"/>
      <c r="CT67" s="4"/>
    </row>
    <row r="68" spans="3:98" ht="21">
      <c r="C68" s="4"/>
      <c r="AF68" s="12"/>
      <c r="AG68" s="12"/>
      <c r="CO68" s="198" t="s">
        <v>4</v>
      </c>
      <c r="CP68" s="198" t="s">
        <v>4</v>
      </c>
      <c r="CQ68" s="199">
        <f>IFERROR(VLOOKUP(C7,'INPUT SHEET '!$BF$74:$BJ$82,5,FALSE),0)</f>
        <v>0</v>
      </c>
      <c r="CR68" s="4"/>
      <c r="CS68" s="4"/>
      <c r="CT68" s="4"/>
    </row>
    <row r="69" spans="3:98" ht="21">
      <c r="C69" s="4"/>
      <c r="AD69" s="12"/>
      <c r="AE69" s="12"/>
      <c r="AF69" s="12"/>
      <c r="CO69" s="198" t="s">
        <v>4</v>
      </c>
      <c r="CP69" s="198" t="s">
        <v>4</v>
      </c>
      <c r="CQ69" s="199">
        <f>IFERROR(VLOOKUP(C8,'INPUT SHEET '!$BF$74:$BJ$82,5,FALSE),0)</f>
        <v>0</v>
      </c>
      <c r="CR69" s="4"/>
      <c r="CS69" s="4"/>
      <c r="CT69" s="4"/>
    </row>
    <row r="70" spans="3:98" ht="21">
      <c r="C70" s="4"/>
      <c r="AD70" s="12"/>
      <c r="AE70" s="12"/>
      <c r="CO70" s="200" t="s">
        <v>97</v>
      </c>
      <c r="CP70" s="200" t="s">
        <v>97</v>
      </c>
      <c r="CQ70" s="201">
        <f>SUM(CQ66:CQ69)</f>
        <v>4</v>
      </c>
      <c r="CR70" s="4"/>
      <c r="CS70" s="4"/>
      <c r="CT70" s="4"/>
    </row>
    <row r="71" spans="3:98">
      <c r="CR71" s="4"/>
      <c r="CS71" s="4"/>
      <c r="CT71" s="4"/>
    </row>
    <row r="72" spans="3:98" s="107" customFormat="1" ht="30.95" customHeight="1" outlineLevel="1">
      <c r="T72" s="107" t="s">
        <v>279</v>
      </c>
      <c r="U72" s="108" t="s">
        <v>75</v>
      </c>
      <c r="V72" s="109" t="s">
        <v>40</v>
      </c>
      <c r="W72" s="109" t="s">
        <v>43</v>
      </c>
      <c r="X72" s="44" t="s">
        <v>44</v>
      </c>
      <c r="Y72" s="44" t="s">
        <v>168</v>
      </c>
      <c r="Z72" s="44" t="s">
        <v>169</v>
      </c>
      <c r="AA72" s="110" t="s">
        <v>42</v>
      </c>
      <c r="AB72" s="110" t="s">
        <v>41</v>
      </c>
      <c r="AC72" s="110" t="s">
        <v>45</v>
      </c>
      <c r="AD72" s="110" t="s">
        <v>8</v>
      </c>
      <c r="AF72" s="108" t="s">
        <v>47</v>
      </c>
      <c r="AG72" s="108"/>
      <c r="AH72" s="111"/>
      <c r="AI72" s="112"/>
      <c r="AJ72" s="112"/>
      <c r="AK72" s="108" t="s">
        <v>16</v>
      </c>
      <c r="AL72" s="113" t="s">
        <v>141</v>
      </c>
      <c r="AM72" s="111" t="s">
        <v>93</v>
      </c>
      <c r="AN72" s="111" t="s">
        <v>94</v>
      </c>
      <c r="AO72" s="111" t="s">
        <v>171</v>
      </c>
      <c r="AP72" s="111" t="s">
        <v>170</v>
      </c>
      <c r="AQ72" s="111" t="s">
        <v>143</v>
      </c>
      <c r="AR72" s="111" t="s">
        <v>142</v>
      </c>
      <c r="AS72" s="111" t="s">
        <v>144</v>
      </c>
      <c r="AT72" s="108"/>
      <c r="AU72" s="108" t="s">
        <v>17</v>
      </c>
      <c r="AV72" s="111" t="s">
        <v>140</v>
      </c>
      <c r="AW72" s="111" t="s">
        <v>93</v>
      </c>
      <c r="AX72" s="111" t="s">
        <v>94</v>
      </c>
      <c r="AY72" s="111" t="s">
        <v>171</v>
      </c>
      <c r="AZ72" s="111" t="s">
        <v>170</v>
      </c>
      <c r="BA72" s="111" t="s">
        <v>143</v>
      </c>
      <c r="BB72" s="111" t="s">
        <v>142</v>
      </c>
      <c r="BC72" s="111" t="s">
        <v>144</v>
      </c>
      <c r="BD72" s="111" t="s">
        <v>145</v>
      </c>
      <c r="BE72" s="108"/>
      <c r="BF72" s="108" t="s">
        <v>21</v>
      </c>
      <c r="BG72" s="108"/>
      <c r="BH72" s="108"/>
      <c r="BI72" s="108" t="s">
        <v>182</v>
      </c>
      <c r="BJ72" s="108" t="s">
        <v>29</v>
      </c>
      <c r="BK72" s="41"/>
      <c r="BL72" s="41"/>
      <c r="BM72" s="41"/>
      <c r="BN72" s="114" t="s">
        <v>248</v>
      </c>
      <c r="BO72" s="115" t="s">
        <v>208</v>
      </c>
      <c r="BP72" s="44" t="s">
        <v>209</v>
      </c>
      <c r="BQ72" s="44" t="s">
        <v>210</v>
      </c>
      <c r="BR72" s="44" t="s">
        <v>211</v>
      </c>
      <c r="BS72" s="44" t="s">
        <v>212</v>
      </c>
      <c r="BT72" s="44" t="s">
        <v>183</v>
      </c>
      <c r="BU72" s="44" t="s">
        <v>247</v>
      </c>
    </row>
    <row r="73" spans="3:98" ht="15" outlineLevel="1">
      <c r="C73" s="4"/>
      <c r="P73" s="4"/>
      <c r="Q73" s="4"/>
      <c r="R73" s="4"/>
      <c r="T73" s="116">
        <v>80</v>
      </c>
      <c r="U73" s="117" t="s">
        <v>115</v>
      </c>
      <c r="V73" s="118">
        <v>70</v>
      </c>
      <c r="W73" s="119">
        <v>85</v>
      </c>
      <c r="X73" s="45">
        <v>95</v>
      </c>
      <c r="Y73" s="45">
        <v>80</v>
      </c>
      <c r="Z73" s="118">
        <v>90</v>
      </c>
      <c r="AA73" s="45" t="s">
        <v>76</v>
      </c>
      <c r="AB73" s="45" t="s">
        <v>76</v>
      </c>
      <c r="AC73" s="45" t="s">
        <v>76</v>
      </c>
      <c r="AD73" s="45" t="s">
        <v>76</v>
      </c>
      <c r="AF73" s="120" t="s">
        <v>39</v>
      </c>
      <c r="AG73" s="38">
        <v>1.7</v>
      </c>
      <c r="AH73" s="38"/>
      <c r="AI73" s="121"/>
      <c r="AJ73" s="121"/>
      <c r="AK73" s="208" t="s">
        <v>167</v>
      </c>
      <c r="AL73" s="208"/>
      <c r="AM73" s="208"/>
      <c r="AN73" s="208"/>
      <c r="AO73" s="208"/>
      <c r="AP73" s="208"/>
      <c r="AQ73" s="208"/>
      <c r="AR73" s="208"/>
      <c r="AS73" s="208"/>
      <c r="AT73" s="122"/>
      <c r="AU73" s="208" t="s">
        <v>167</v>
      </c>
      <c r="AV73" s="208"/>
      <c r="AW73" s="208"/>
      <c r="AX73" s="208"/>
      <c r="AY73" s="208"/>
      <c r="AZ73" s="208"/>
      <c r="BA73" s="208"/>
      <c r="BB73" s="208"/>
      <c r="BC73" s="208"/>
      <c r="BD73" s="208"/>
      <c r="BE73" s="4"/>
      <c r="BG73" s="38" t="s">
        <v>5</v>
      </c>
      <c r="BH73" s="38" t="s">
        <v>23</v>
      </c>
      <c r="BI73" s="38" t="s">
        <v>5</v>
      </c>
      <c r="BJ73" s="38" t="s">
        <v>30</v>
      </c>
      <c r="BN73" s="40" t="s">
        <v>215</v>
      </c>
      <c r="BO73" s="47">
        <v>1</v>
      </c>
      <c r="BP73" s="48">
        <v>2</v>
      </c>
      <c r="BQ73" s="48">
        <v>2</v>
      </c>
      <c r="BR73" s="48">
        <v>3</v>
      </c>
      <c r="BS73" s="48">
        <v>2</v>
      </c>
      <c r="BT73" s="48" t="s">
        <v>214</v>
      </c>
      <c r="BU73" s="49">
        <v>50</v>
      </c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</row>
    <row r="74" spans="3:98" outlineLevel="1">
      <c r="C74" s="4"/>
      <c r="P74" s="4"/>
      <c r="Q74" s="4"/>
      <c r="R74" s="4"/>
      <c r="T74" s="116">
        <v>75</v>
      </c>
      <c r="U74" s="117" t="s">
        <v>152</v>
      </c>
      <c r="V74" s="118">
        <v>65</v>
      </c>
      <c r="W74" s="45">
        <v>90</v>
      </c>
      <c r="X74" s="45">
        <v>95</v>
      </c>
      <c r="Y74" s="45">
        <v>80</v>
      </c>
      <c r="Z74" s="118">
        <v>90</v>
      </c>
      <c r="AA74" s="45" t="s">
        <v>76</v>
      </c>
      <c r="AB74" s="45" t="s">
        <v>76</v>
      </c>
      <c r="AC74" s="45" t="s">
        <v>76</v>
      </c>
      <c r="AD74" s="45" t="s">
        <v>76</v>
      </c>
      <c r="AF74" s="120" t="s">
        <v>38</v>
      </c>
      <c r="AG74" s="38">
        <v>1.4</v>
      </c>
      <c r="AH74" s="38"/>
      <c r="AI74" s="121"/>
      <c r="AJ74" s="121"/>
      <c r="AK74" s="123" t="s">
        <v>67</v>
      </c>
      <c r="AL74" s="124" t="s">
        <v>106</v>
      </c>
      <c r="AM74" s="45">
        <v>25</v>
      </c>
      <c r="AN74" s="45">
        <v>25</v>
      </c>
      <c r="AO74" s="45" t="s">
        <v>106</v>
      </c>
      <c r="AP74" s="45" t="s">
        <v>106</v>
      </c>
      <c r="AQ74" s="45" t="s">
        <v>106</v>
      </c>
      <c r="AR74" s="45" t="s">
        <v>106</v>
      </c>
      <c r="AS74" s="45" t="s">
        <v>106</v>
      </c>
      <c r="AU74" s="123" t="s">
        <v>58</v>
      </c>
      <c r="AV74" s="45" t="s">
        <v>106</v>
      </c>
      <c r="AW74" s="45">
        <v>10</v>
      </c>
      <c r="AX74" s="45">
        <v>10</v>
      </c>
      <c r="AY74" s="45">
        <v>10</v>
      </c>
      <c r="AZ74" s="45">
        <v>10</v>
      </c>
      <c r="BA74" s="45" t="s">
        <v>106</v>
      </c>
      <c r="BB74" s="45" t="s">
        <v>106</v>
      </c>
      <c r="BC74" s="45" t="s">
        <v>106</v>
      </c>
      <c r="BD74" s="45" t="s">
        <v>106</v>
      </c>
      <c r="BE74" s="4"/>
      <c r="BF74" s="120" t="s">
        <v>22</v>
      </c>
      <c r="BG74" s="50">
        <v>1600</v>
      </c>
      <c r="BH74" s="45">
        <v>1000</v>
      </c>
      <c r="BI74" s="38">
        <v>5</v>
      </c>
      <c r="BJ74" s="38">
        <v>1</v>
      </c>
      <c r="BN74" s="40" t="s">
        <v>213</v>
      </c>
      <c r="BO74" s="47">
        <v>2</v>
      </c>
      <c r="BP74" s="48">
        <v>1</v>
      </c>
      <c r="BQ74" s="51" t="s">
        <v>226</v>
      </c>
      <c r="BR74" s="48">
        <v>2</v>
      </c>
      <c r="BS74" s="48">
        <v>2</v>
      </c>
      <c r="BT74" s="48" t="s">
        <v>214</v>
      </c>
      <c r="BU74" s="49">
        <v>50</v>
      </c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</row>
    <row r="75" spans="3:98" outlineLevel="1">
      <c r="C75" s="4"/>
      <c r="P75" s="4"/>
      <c r="Q75" s="4"/>
      <c r="R75" s="4"/>
      <c r="T75" s="116">
        <v>85</v>
      </c>
      <c r="U75" s="117" t="s">
        <v>34</v>
      </c>
      <c r="V75" s="118">
        <v>75</v>
      </c>
      <c r="W75" s="45">
        <v>100</v>
      </c>
      <c r="X75" s="45">
        <v>105</v>
      </c>
      <c r="Y75" s="45" t="s">
        <v>76</v>
      </c>
      <c r="Z75" s="118" t="s">
        <v>76</v>
      </c>
      <c r="AA75" s="45" t="s">
        <v>76</v>
      </c>
      <c r="AB75" s="45" t="s">
        <v>76</v>
      </c>
      <c r="AC75" s="45" t="s">
        <v>76</v>
      </c>
      <c r="AD75" s="45" t="s">
        <v>76</v>
      </c>
      <c r="AF75" s="120" t="s">
        <v>10</v>
      </c>
      <c r="AG75" s="38">
        <v>1</v>
      </c>
      <c r="AH75" s="38"/>
      <c r="AI75" s="121"/>
      <c r="AJ75" s="121"/>
      <c r="AK75" s="123" t="s">
        <v>172</v>
      </c>
      <c r="AL75" s="124" t="s">
        <v>106</v>
      </c>
      <c r="AM75" s="45">
        <v>28</v>
      </c>
      <c r="AN75" s="45">
        <v>28</v>
      </c>
      <c r="AO75" s="45">
        <v>28</v>
      </c>
      <c r="AP75" s="45">
        <v>28</v>
      </c>
      <c r="AQ75" s="45" t="s">
        <v>106</v>
      </c>
      <c r="AR75" s="45" t="s">
        <v>106</v>
      </c>
      <c r="AS75" s="45" t="s">
        <v>106</v>
      </c>
      <c r="AU75" s="123" t="s">
        <v>55</v>
      </c>
      <c r="AV75" s="45">
        <v>-22</v>
      </c>
      <c r="AW75" s="45">
        <v>-28</v>
      </c>
      <c r="AX75" s="45">
        <v>-28</v>
      </c>
      <c r="AY75" s="45">
        <v>-28</v>
      </c>
      <c r="AZ75" s="45">
        <v>-28</v>
      </c>
      <c r="BA75" s="45" t="s">
        <v>106</v>
      </c>
      <c r="BB75" s="45" t="s">
        <v>106</v>
      </c>
      <c r="BC75" s="45">
        <v>-44</v>
      </c>
      <c r="BD75" s="45" t="s">
        <v>106</v>
      </c>
      <c r="BE75" s="4"/>
      <c r="BF75" s="120" t="s">
        <v>25</v>
      </c>
      <c r="BG75" s="50">
        <v>1100</v>
      </c>
      <c r="BH75" s="45">
        <v>800</v>
      </c>
      <c r="BI75" s="38">
        <v>4</v>
      </c>
      <c r="BJ75" s="38">
        <v>1</v>
      </c>
      <c r="BN75" s="40" t="s">
        <v>216</v>
      </c>
      <c r="BO75" s="47">
        <v>1</v>
      </c>
      <c r="BP75" s="48">
        <v>1</v>
      </c>
      <c r="BQ75" s="48">
        <v>0</v>
      </c>
      <c r="BR75" s="48">
        <v>2</v>
      </c>
      <c r="BS75" s="48">
        <v>1</v>
      </c>
      <c r="BT75" s="48" t="s">
        <v>217</v>
      </c>
      <c r="BU75" s="49">
        <v>35</v>
      </c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</row>
    <row r="76" spans="3:98" outlineLevel="1">
      <c r="C76" s="4"/>
      <c r="P76" s="4"/>
      <c r="Q76" s="4"/>
      <c r="R76" s="4"/>
      <c r="T76" s="116">
        <v>70</v>
      </c>
      <c r="U76" s="117" t="s">
        <v>116</v>
      </c>
      <c r="V76" s="118">
        <v>65</v>
      </c>
      <c r="W76" s="119">
        <v>75</v>
      </c>
      <c r="X76" s="45">
        <v>85</v>
      </c>
      <c r="Y76" s="45">
        <v>70</v>
      </c>
      <c r="Z76" s="118">
        <v>80</v>
      </c>
      <c r="AA76" s="45" t="s">
        <v>76</v>
      </c>
      <c r="AB76" s="45" t="s">
        <v>76</v>
      </c>
      <c r="AC76" s="45" t="s">
        <v>76</v>
      </c>
      <c r="AD76" s="45" t="s">
        <v>76</v>
      </c>
      <c r="AF76" s="120" t="s">
        <v>11</v>
      </c>
      <c r="AG76" s="119">
        <v>0.6</v>
      </c>
      <c r="AI76" s="125"/>
      <c r="AJ76" s="121"/>
      <c r="AK76" s="123" t="s">
        <v>53</v>
      </c>
      <c r="AL76" s="124">
        <v>23</v>
      </c>
      <c r="AM76" s="45">
        <v>35</v>
      </c>
      <c r="AN76" s="45">
        <v>35</v>
      </c>
      <c r="AO76" s="45">
        <v>35</v>
      </c>
      <c r="AP76" s="45">
        <v>35</v>
      </c>
      <c r="AQ76" s="45" t="s">
        <v>106</v>
      </c>
      <c r="AR76" s="45" t="s">
        <v>106</v>
      </c>
      <c r="AS76" s="45" t="s">
        <v>106</v>
      </c>
      <c r="AU76" s="123" t="s">
        <v>310</v>
      </c>
      <c r="AV76" s="45">
        <v>13</v>
      </c>
      <c r="AW76" s="45">
        <v>13</v>
      </c>
      <c r="AX76" s="45">
        <v>13</v>
      </c>
      <c r="AY76" s="45">
        <v>13</v>
      </c>
      <c r="AZ76" s="45">
        <v>13</v>
      </c>
      <c r="BA76" s="45" t="s">
        <v>106</v>
      </c>
      <c r="BB76" s="45" t="s">
        <v>106</v>
      </c>
      <c r="BC76" s="45" t="s">
        <v>106</v>
      </c>
      <c r="BD76" s="45" t="s">
        <v>106</v>
      </c>
      <c r="BE76" s="4"/>
      <c r="BF76" s="120" t="s">
        <v>24</v>
      </c>
      <c r="BG76" s="50">
        <v>700</v>
      </c>
      <c r="BH76" s="50">
        <v>600</v>
      </c>
      <c r="BI76" s="38">
        <v>3</v>
      </c>
      <c r="BJ76" s="38">
        <v>1</v>
      </c>
      <c r="BN76" s="40" t="s">
        <v>218</v>
      </c>
      <c r="BO76" s="47">
        <v>2</v>
      </c>
      <c r="BP76" s="48">
        <v>1</v>
      </c>
      <c r="BQ76" s="48">
        <v>2</v>
      </c>
      <c r="BR76" s="48">
        <v>1</v>
      </c>
      <c r="BS76" s="48">
        <v>1</v>
      </c>
      <c r="BT76" s="48" t="s">
        <v>217</v>
      </c>
      <c r="BU76" s="49">
        <v>45</v>
      </c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</row>
    <row r="77" spans="3:98" outlineLevel="1">
      <c r="C77" s="4"/>
      <c r="P77" s="4"/>
      <c r="Q77" s="4"/>
      <c r="R77" s="4"/>
      <c r="T77" s="116">
        <v>65</v>
      </c>
      <c r="U77" s="117" t="s">
        <v>153</v>
      </c>
      <c r="V77" s="118">
        <v>60</v>
      </c>
      <c r="W77" s="45">
        <v>80</v>
      </c>
      <c r="X77" s="45">
        <v>85</v>
      </c>
      <c r="Y77" s="45">
        <v>70</v>
      </c>
      <c r="Z77" s="118">
        <v>80</v>
      </c>
      <c r="AA77" s="45">
        <v>270</v>
      </c>
      <c r="AB77" s="45" t="s">
        <v>106</v>
      </c>
      <c r="AC77" s="45">
        <v>130</v>
      </c>
      <c r="AD77" s="45">
        <v>70</v>
      </c>
      <c r="AF77" s="38"/>
      <c r="AG77" s="38"/>
      <c r="AI77" s="125"/>
      <c r="AJ77" s="121"/>
      <c r="AK77" s="123" t="s">
        <v>54</v>
      </c>
      <c r="AL77" s="124">
        <v>7</v>
      </c>
      <c r="AM77" s="45">
        <v>10</v>
      </c>
      <c r="AN77" s="45">
        <v>10</v>
      </c>
      <c r="AO77" s="45">
        <v>10</v>
      </c>
      <c r="AP77" s="45">
        <v>10</v>
      </c>
      <c r="AQ77" s="45" t="s">
        <v>106</v>
      </c>
      <c r="AR77" s="45" t="s">
        <v>106</v>
      </c>
      <c r="AS77" s="45" t="s">
        <v>106</v>
      </c>
      <c r="AU77" s="123" t="s">
        <v>163</v>
      </c>
      <c r="AV77" s="45">
        <v>20</v>
      </c>
      <c r="AW77" s="45">
        <v>30</v>
      </c>
      <c r="AX77" s="45">
        <v>30</v>
      </c>
      <c r="AY77" s="45">
        <v>30</v>
      </c>
      <c r="AZ77" s="45">
        <v>30</v>
      </c>
      <c r="BA77" s="45" t="s">
        <v>106</v>
      </c>
      <c r="BB77" s="45" t="s">
        <v>106</v>
      </c>
      <c r="BC77" s="45" t="s">
        <v>106</v>
      </c>
      <c r="BD77" s="45" t="s">
        <v>106</v>
      </c>
      <c r="BE77" s="4"/>
      <c r="BF77" s="120" t="s">
        <v>32</v>
      </c>
      <c r="BG77" s="50">
        <v>400</v>
      </c>
      <c r="BH77" s="50">
        <v>400</v>
      </c>
      <c r="BI77" s="38">
        <v>2</v>
      </c>
      <c r="BJ77" s="38">
        <v>1</v>
      </c>
      <c r="BN77" s="40" t="s">
        <v>219</v>
      </c>
      <c r="BO77" s="47" t="s">
        <v>225</v>
      </c>
      <c r="BP77" s="48">
        <v>1</v>
      </c>
      <c r="BQ77" s="48" t="s">
        <v>220</v>
      </c>
      <c r="BR77" s="48">
        <v>1</v>
      </c>
      <c r="BS77" s="51" t="s">
        <v>227</v>
      </c>
      <c r="BT77" s="48" t="s">
        <v>217</v>
      </c>
      <c r="BU77" s="49">
        <v>50</v>
      </c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</row>
    <row r="78" spans="3:98" ht="14.1" customHeight="1" outlineLevel="1">
      <c r="C78" s="4"/>
      <c r="P78" s="4"/>
      <c r="Q78" s="4"/>
      <c r="R78" s="4"/>
      <c r="T78" s="116">
        <v>75</v>
      </c>
      <c r="U78" s="117" t="s">
        <v>35</v>
      </c>
      <c r="V78" s="118">
        <v>70</v>
      </c>
      <c r="W78" s="45">
        <v>90</v>
      </c>
      <c r="X78" s="45">
        <v>95</v>
      </c>
      <c r="Y78" s="45" t="s">
        <v>76</v>
      </c>
      <c r="Z78" s="118" t="s">
        <v>76</v>
      </c>
      <c r="AA78" s="45" t="s">
        <v>76</v>
      </c>
      <c r="AB78" s="45" t="s">
        <v>76</v>
      </c>
      <c r="AC78" s="45" t="s">
        <v>76</v>
      </c>
      <c r="AD78" s="45" t="s">
        <v>76</v>
      </c>
      <c r="AF78" s="123" t="s">
        <v>9</v>
      </c>
      <c r="AG78" s="126" t="s">
        <v>180</v>
      </c>
      <c r="AH78" s="38" t="s">
        <v>181</v>
      </c>
      <c r="AI78" s="125"/>
      <c r="AJ78" s="127"/>
      <c r="AK78" s="123" t="s">
        <v>68</v>
      </c>
      <c r="AL78" s="124">
        <v>15</v>
      </c>
      <c r="AM78" s="45" t="s">
        <v>106</v>
      </c>
      <c r="AN78" s="45" t="s">
        <v>106</v>
      </c>
      <c r="AO78" s="45" t="s">
        <v>106</v>
      </c>
      <c r="AP78" s="45" t="s">
        <v>106</v>
      </c>
      <c r="AQ78" s="45" t="s">
        <v>106</v>
      </c>
      <c r="AR78" s="45" t="s">
        <v>106</v>
      </c>
      <c r="AS78" s="45" t="s">
        <v>106</v>
      </c>
      <c r="AU78" s="123" t="s">
        <v>56</v>
      </c>
      <c r="AV78" s="45">
        <v>40</v>
      </c>
      <c r="AW78" s="45">
        <v>60</v>
      </c>
      <c r="AX78" s="45">
        <v>60</v>
      </c>
      <c r="AY78" s="45">
        <v>60</v>
      </c>
      <c r="AZ78" s="45">
        <v>60</v>
      </c>
      <c r="BA78" s="45" t="s">
        <v>106</v>
      </c>
      <c r="BB78" s="45" t="s">
        <v>106</v>
      </c>
      <c r="BC78" s="45" t="s">
        <v>106</v>
      </c>
      <c r="BD78" s="45" t="s">
        <v>106</v>
      </c>
      <c r="BE78" s="4"/>
      <c r="BF78" s="120" t="s">
        <v>26</v>
      </c>
      <c r="BG78" s="50">
        <v>1400</v>
      </c>
      <c r="BH78" s="45">
        <v>800</v>
      </c>
      <c r="BI78" s="38">
        <v>5</v>
      </c>
      <c r="BJ78" s="38">
        <v>0</v>
      </c>
      <c r="BN78" s="40" t="s">
        <v>13</v>
      </c>
      <c r="BO78" s="47">
        <v>2</v>
      </c>
      <c r="BP78" s="48">
        <v>2</v>
      </c>
      <c r="BQ78" s="48">
        <v>3</v>
      </c>
      <c r="BR78" s="48">
        <v>3</v>
      </c>
      <c r="BS78" s="51" t="s">
        <v>228</v>
      </c>
      <c r="BT78" s="48" t="s">
        <v>221</v>
      </c>
      <c r="BU78" s="49">
        <v>5</v>
      </c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</row>
    <row r="79" spans="3:98" outlineLevel="1">
      <c r="C79" s="4"/>
      <c r="P79" s="4"/>
      <c r="Q79" s="4"/>
      <c r="R79" s="4"/>
      <c r="T79" s="116">
        <v>60</v>
      </c>
      <c r="U79" s="117" t="s">
        <v>117</v>
      </c>
      <c r="V79" s="118">
        <v>55</v>
      </c>
      <c r="W79" s="119">
        <v>65</v>
      </c>
      <c r="X79" s="45">
        <v>75</v>
      </c>
      <c r="Y79" s="45">
        <v>60</v>
      </c>
      <c r="Z79" s="118">
        <v>70</v>
      </c>
      <c r="AA79" s="45" t="s">
        <v>76</v>
      </c>
      <c r="AB79" s="45" t="s">
        <v>76</v>
      </c>
      <c r="AC79" s="45" t="s">
        <v>106</v>
      </c>
      <c r="AD79" s="45" t="s">
        <v>76</v>
      </c>
      <c r="AF79" s="120" t="s">
        <v>112</v>
      </c>
      <c r="AG79" s="128">
        <v>2</v>
      </c>
      <c r="AH79" s="118">
        <v>2.5</v>
      </c>
      <c r="AI79" s="125"/>
      <c r="AJ79" s="129"/>
      <c r="AK79" s="123" t="s">
        <v>13</v>
      </c>
      <c r="AL79" s="124">
        <v>25</v>
      </c>
      <c r="AM79" s="45" t="s">
        <v>106</v>
      </c>
      <c r="AN79" s="45" t="s">
        <v>106</v>
      </c>
      <c r="AO79" s="45" t="s">
        <v>106</v>
      </c>
      <c r="AP79" s="45" t="s">
        <v>106</v>
      </c>
      <c r="AQ79" s="45" t="s">
        <v>106</v>
      </c>
      <c r="AR79" s="45" t="s">
        <v>106</v>
      </c>
      <c r="AS79" s="45" t="s">
        <v>106</v>
      </c>
      <c r="AU79" s="130" t="s">
        <v>207</v>
      </c>
      <c r="AV79" s="45">
        <v>10</v>
      </c>
      <c r="AW79" s="45">
        <v>15</v>
      </c>
      <c r="AX79" s="45">
        <v>15</v>
      </c>
      <c r="AY79" s="45">
        <v>15</v>
      </c>
      <c r="AZ79" s="45" t="s">
        <v>106</v>
      </c>
      <c r="BA79" s="45" t="s">
        <v>106</v>
      </c>
      <c r="BB79" s="45" t="s">
        <v>106</v>
      </c>
      <c r="BC79" s="45" t="s">
        <v>106</v>
      </c>
      <c r="BD79" s="45" t="s">
        <v>106</v>
      </c>
      <c r="BE79" s="4"/>
      <c r="BF79" s="120" t="s">
        <v>27</v>
      </c>
      <c r="BG79" s="50">
        <v>900</v>
      </c>
      <c r="BH79" s="45">
        <v>600</v>
      </c>
      <c r="BI79" s="38">
        <v>4</v>
      </c>
      <c r="BJ79" s="38">
        <v>0</v>
      </c>
      <c r="BN79" s="40" t="s">
        <v>222</v>
      </c>
      <c r="BO79" s="47">
        <v>3</v>
      </c>
      <c r="BP79" s="48">
        <v>2</v>
      </c>
      <c r="BQ79" s="51" t="s">
        <v>227</v>
      </c>
      <c r="BR79" s="48">
        <v>0</v>
      </c>
      <c r="BS79" s="51" t="s">
        <v>227</v>
      </c>
      <c r="BT79" s="48" t="s">
        <v>217</v>
      </c>
      <c r="BU79" s="49">
        <v>35</v>
      </c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</row>
    <row r="80" spans="3:98" outlineLevel="1">
      <c r="C80" s="4"/>
      <c r="P80" s="4"/>
      <c r="Q80" s="4"/>
      <c r="R80" s="4"/>
      <c r="T80" s="116">
        <v>55</v>
      </c>
      <c r="U80" s="117" t="s">
        <v>154</v>
      </c>
      <c r="V80" s="118">
        <v>50</v>
      </c>
      <c r="W80" s="45">
        <v>70</v>
      </c>
      <c r="X80" s="45">
        <v>75</v>
      </c>
      <c r="Y80" s="45">
        <v>60</v>
      </c>
      <c r="Z80" s="118">
        <v>70</v>
      </c>
      <c r="AA80" s="45">
        <v>220</v>
      </c>
      <c r="AB80" s="45" t="s">
        <v>76</v>
      </c>
      <c r="AC80" s="45">
        <v>100</v>
      </c>
      <c r="AD80" s="45" t="s">
        <v>76</v>
      </c>
      <c r="AF80" s="120" t="s">
        <v>114</v>
      </c>
      <c r="AG80" s="131">
        <v>1</v>
      </c>
      <c r="AH80" s="38">
        <v>1</v>
      </c>
      <c r="AI80" s="125"/>
      <c r="AJ80" s="129"/>
      <c r="AK80" s="123" t="s">
        <v>99</v>
      </c>
      <c r="AL80" s="124">
        <v>22</v>
      </c>
      <c r="AM80" s="45" t="s">
        <v>106</v>
      </c>
      <c r="AN80" s="45" t="s">
        <v>106</v>
      </c>
      <c r="AO80" s="45" t="s">
        <v>106</v>
      </c>
      <c r="AP80" s="45" t="s">
        <v>106</v>
      </c>
      <c r="AQ80" s="45" t="s">
        <v>106</v>
      </c>
      <c r="AR80" s="45" t="s">
        <v>106</v>
      </c>
      <c r="AS80" s="45">
        <v>30</v>
      </c>
      <c r="AU80" s="123" t="s">
        <v>119</v>
      </c>
      <c r="AV80" s="45">
        <v>6</v>
      </c>
      <c r="AW80" s="45" t="s">
        <v>106</v>
      </c>
      <c r="AX80" s="45" t="s">
        <v>106</v>
      </c>
      <c r="AY80" s="45" t="s">
        <v>106</v>
      </c>
      <c r="AZ80" s="45" t="s">
        <v>106</v>
      </c>
      <c r="BA80" s="45">
        <v>6</v>
      </c>
      <c r="BB80" s="45" t="s">
        <v>106</v>
      </c>
      <c r="BC80" s="45">
        <v>12</v>
      </c>
      <c r="BD80" s="45" t="s">
        <v>106</v>
      </c>
      <c r="BE80" s="4"/>
      <c r="BF80" s="120" t="s">
        <v>28</v>
      </c>
      <c r="BG80" s="50">
        <v>600</v>
      </c>
      <c r="BH80" s="45">
        <v>400</v>
      </c>
      <c r="BI80" s="38">
        <v>3</v>
      </c>
      <c r="BJ80" s="38">
        <v>0</v>
      </c>
      <c r="BN80" s="40" t="s">
        <v>223</v>
      </c>
      <c r="BO80" s="47">
        <v>1</v>
      </c>
      <c r="BP80" s="48">
        <v>1</v>
      </c>
      <c r="BQ80" s="48">
        <v>1</v>
      </c>
      <c r="BR80" s="48">
        <v>1</v>
      </c>
      <c r="BS80" s="48">
        <v>1</v>
      </c>
      <c r="BT80" s="48" t="s">
        <v>217</v>
      </c>
      <c r="BU80" s="49">
        <v>35</v>
      </c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</row>
    <row r="81" spans="3:98" outlineLevel="1">
      <c r="C81" s="4"/>
      <c r="P81" s="4"/>
      <c r="Q81" s="4"/>
      <c r="R81" s="4"/>
      <c r="T81" s="116">
        <v>65</v>
      </c>
      <c r="U81" s="117" t="s">
        <v>36</v>
      </c>
      <c r="V81" s="118">
        <v>60</v>
      </c>
      <c r="W81" s="45">
        <v>75</v>
      </c>
      <c r="X81" s="45">
        <v>80</v>
      </c>
      <c r="Y81" s="45" t="s">
        <v>76</v>
      </c>
      <c r="Z81" s="118" t="s">
        <v>76</v>
      </c>
      <c r="AA81" s="45" t="s">
        <v>76</v>
      </c>
      <c r="AB81" s="45" t="s">
        <v>76</v>
      </c>
      <c r="AC81" s="45" t="s">
        <v>76</v>
      </c>
      <c r="AD81" s="45" t="s">
        <v>76</v>
      </c>
      <c r="AF81" s="120" t="s">
        <v>113</v>
      </c>
      <c r="AG81" s="131">
        <v>0.4</v>
      </c>
      <c r="AH81" s="38">
        <v>0.4</v>
      </c>
      <c r="AI81" s="125"/>
      <c r="AJ81" s="129"/>
      <c r="AK81" s="123" t="s">
        <v>66</v>
      </c>
      <c r="AL81" s="124">
        <v>32</v>
      </c>
      <c r="AM81" s="45" t="s">
        <v>106</v>
      </c>
      <c r="AN81" s="45" t="s">
        <v>106</v>
      </c>
      <c r="AO81" s="45" t="s">
        <v>106</v>
      </c>
      <c r="AP81" s="45" t="s">
        <v>106</v>
      </c>
      <c r="AQ81" s="45" t="s">
        <v>106</v>
      </c>
      <c r="AR81" s="45" t="s">
        <v>106</v>
      </c>
      <c r="AS81" s="45">
        <v>50</v>
      </c>
      <c r="AU81" s="123" t="s">
        <v>269</v>
      </c>
      <c r="AV81" s="118">
        <v>15</v>
      </c>
      <c r="AW81" s="45" t="s">
        <v>106</v>
      </c>
      <c r="AX81" s="45" t="s">
        <v>106</v>
      </c>
      <c r="AY81" s="45" t="s">
        <v>106</v>
      </c>
      <c r="AZ81" s="45" t="s">
        <v>106</v>
      </c>
      <c r="BA81" s="45" t="s">
        <v>106</v>
      </c>
      <c r="BB81" s="45" t="s">
        <v>106</v>
      </c>
      <c r="BC81" s="45" t="s">
        <v>106</v>
      </c>
      <c r="BD81" s="45" t="s">
        <v>106</v>
      </c>
      <c r="BE81" s="4"/>
      <c r="BF81" s="120" t="s">
        <v>33</v>
      </c>
      <c r="BG81" s="50">
        <v>300</v>
      </c>
      <c r="BH81" s="45">
        <v>200</v>
      </c>
      <c r="BI81" s="38">
        <v>2</v>
      </c>
      <c r="BJ81" s="38">
        <v>0</v>
      </c>
      <c r="BN81" s="40" t="s">
        <v>53</v>
      </c>
      <c r="BO81" s="47">
        <v>1</v>
      </c>
      <c r="BP81" s="48">
        <v>1</v>
      </c>
      <c r="BQ81" s="48">
        <v>2</v>
      </c>
      <c r="BR81" s="48">
        <v>2</v>
      </c>
      <c r="BS81" s="48">
        <v>2</v>
      </c>
      <c r="BT81" s="48" t="s">
        <v>221</v>
      </c>
      <c r="BU81" s="49">
        <v>25</v>
      </c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</row>
    <row r="82" spans="3:98" outlineLevel="1">
      <c r="C82" s="4"/>
      <c r="P82" s="4"/>
      <c r="Q82" s="4"/>
      <c r="R82" s="4"/>
      <c r="T82" s="116">
        <v>30</v>
      </c>
      <c r="U82" s="117" t="s">
        <v>37</v>
      </c>
      <c r="V82" s="118">
        <v>30</v>
      </c>
      <c r="W82" s="132">
        <v>40</v>
      </c>
      <c r="X82" s="132">
        <v>45</v>
      </c>
      <c r="Y82" s="45" t="s">
        <v>76</v>
      </c>
      <c r="Z82" s="118" t="s">
        <v>76</v>
      </c>
      <c r="AA82" s="45" t="s">
        <v>76</v>
      </c>
      <c r="AB82" s="45">
        <v>70</v>
      </c>
      <c r="AC82" s="45" t="s">
        <v>76</v>
      </c>
      <c r="AD82" s="45" t="s">
        <v>76</v>
      </c>
      <c r="AF82" s="133" t="s">
        <v>249</v>
      </c>
      <c r="AG82" s="134">
        <v>0.67</v>
      </c>
      <c r="AH82" s="135">
        <v>0.5</v>
      </c>
      <c r="AI82" s="125"/>
      <c r="AJ82" s="129"/>
      <c r="AK82" s="136" t="s">
        <v>50</v>
      </c>
      <c r="AL82" s="124">
        <v>0</v>
      </c>
      <c r="AM82" s="45">
        <v>0</v>
      </c>
      <c r="AN82" s="45">
        <v>0</v>
      </c>
      <c r="AO82" s="45">
        <v>0</v>
      </c>
      <c r="AP82" s="45">
        <v>0</v>
      </c>
      <c r="AQ82" s="45">
        <v>0</v>
      </c>
      <c r="AR82" s="45">
        <v>0</v>
      </c>
      <c r="AS82" s="45">
        <v>0</v>
      </c>
      <c r="AU82" s="123" t="s">
        <v>52</v>
      </c>
      <c r="AV82" s="45">
        <v>16</v>
      </c>
      <c r="AW82" s="45">
        <v>20</v>
      </c>
      <c r="AX82" s="45">
        <v>20</v>
      </c>
      <c r="AY82" s="45">
        <v>20</v>
      </c>
      <c r="AZ82" s="45">
        <v>20</v>
      </c>
      <c r="BA82" s="45" t="s">
        <v>106</v>
      </c>
      <c r="BB82" s="45" t="s">
        <v>106</v>
      </c>
      <c r="BC82" s="45">
        <v>32</v>
      </c>
      <c r="BD82" s="45" t="s">
        <v>106</v>
      </c>
      <c r="BE82" s="4"/>
      <c r="BF82" s="120" t="s">
        <v>15</v>
      </c>
      <c r="BG82" s="38">
        <v>0</v>
      </c>
      <c r="BH82" s="38">
        <v>0</v>
      </c>
      <c r="BI82" s="38">
        <v>0</v>
      </c>
      <c r="BJ82" s="38">
        <v>0</v>
      </c>
      <c r="BN82" s="40" t="s">
        <v>99</v>
      </c>
      <c r="BO82" s="47">
        <v>1</v>
      </c>
      <c r="BP82" s="48">
        <v>1</v>
      </c>
      <c r="BQ82" s="48">
        <v>1</v>
      </c>
      <c r="BR82" s="48">
        <v>1</v>
      </c>
      <c r="BS82" s="51" t="s">
        <v>229</v>
      </c>
      <c r="BT82" s="48" t="s">
        <v>217</v>
      </c>
      <c r="BU82" s="49">
        <v>25</v>
      </c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</row>
    <row r="83" spans="3:98" outlineLevel="1">
      <c r="C83" s="4"/>
      <c r="P83" s="4"/>
      <c r="Q83" s="4"/>
      <c r="R83" s="4"/>
      <c r="U83" s="4"/>
      <c r="V83" s="126" t="s">
        <v>196</v>
      </c>
      <c r="W83" s="38"/>
      <c r="X83" s="38"/>
      <c r="Y83" s="38"/>
      <c r="Z83" s="38"/>
      <c r="AA83" s="38"/>
      <c r="AB83" s="45"/>
      <c r="AC83" s="38"/>
      <c r="AD83" s="38"/>
      <c r="AF83" s="137" t="s">
        <v>50</v>
      </c>
      <c r="AG83" s="131">
        <v>1</v>
      </c>
      <c r="AH83" s="38">
        <v>1</v>
      </c>
      <c r="AI83" s="125"/>
      <c r="AJ83" s="121"/>
      <c r="AK83" s="123" t="s">
        <v>62</v>
      </c>
      <c r="AL83" s="124">
        <v>8</v>
      </c>
      <c r="AM83" s="45">
        <v>20</v>
      </c>
      <c r="AN83" s="45">
        <v>20</v>
      </c>
      <c r="AO83" s="45">
        <v>20</v>
      </c>
      <c r="AP83" s="45">
        <v>20</v>
      </c>
      <c r="AQ83" s="45">
        <v>20</v>
      </c>
      <c r="AR83" s="45" t="s">
        <v>106</v>
      </c>
      <c r="AS83" s="45" t="s">
        <v>106</v>
      </c>
      <c r="AU83" s="138" t="s">
        <v>65</v>
      </c>
      <c r="AV83" s="45">
        <v>2</v>
      </c>
      <c r="AW83" s="45" t="s">
        <v>106</v>
      </c>
      <c r="AX83" s="45" t="s">
        <v>106</v>
      </c>
      <c r="AY83" s="45" t="s">
        <v>106</v>
      </c>
      <c r="AZ83" s="45" t="s">
        <v>106</v>
      </c>
      <c r="BA83" s="45" t="s">
        <v>106</v>
      </c>
      <c r="BB83" s="45" t="s">
        <v>106</v>
      </c>
      <c r="BC83" s="45" t="s">
        <v>106</v>
      </c>
      <c r="BD83" s="45" t="s">
        <v>106</v>
      </c>
      <c r="BE83" s="4"/>
      <c r="BJ83" s="4"/>
      <c r="BN83" s="40" t="s">
        <v>68</v>
      </c>
      <c r="BO83" s="47">
        <v>2</v>
      </c>
      <c r="BP83" s="48">
        <v>0</v>
      </c>
      <c r="BQ83" s="48">
        <v>2</v>
      </c>
      <c r="BR83" s="48">
        <v>0</v>
      </c>
      <c r="BS83" s="48">
        <v>1</v>
      </c>
      <c r="BT83" s="48" t="s">
        <v>217</v>
      </c>
      <c r="BU83" s="49">
        <v>20</v>
      </c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</row>
    <row r="84" spans="3:98" ht="14.1" customHeight="1" outlineLevel="1">
      <c r="C84" s="4"/>
      <c r="P84" s="4"/>
      <c r="Q84" s="4"/>
      <c r="R84" s="4"/>
      <c r="U84" s="120" t="s">
        <v>40</v>
      </c>
      <c r="V84" s="38">
        <v>2</v>
      </c>
      <c r="W84" s="38"/>
      <c r="X84" s="126" t="s">
        <v>183</v>
      </c>
      <c r="Y84" s="38"/>
      <c r="Z84" s="126" t="s">
        <v>293</v>
      </c>
      <c r="AA84" s="38"/>
      <c r="AB84" s="38" t="s">
        <v>316</v>
      </c>
      <c r="AC84" s="38"/>
      <c r="AD84" s="38"/>
      <c r="AF84" s="123" t="s">
        <v>48</v>
      </c>
      <c r="AG84" s="126" t="s">
        <v>180</v>
      </c>
      <c r="AH84" s="38" t="s">
        <v>181</v>
      </c>
      <c r="AI84" s="125"/>
      <c r="AJ84" s="127"/>
      <c r="AK84" s="123" t="s">
        <v>59</v>
      </c>
      <c r="AL84" s="124">
        <v>20</v>
      </c>
      <c r="AM84" s="45">
        <v>40</v>
      </c>
      <c r="AN84" s="45">
        <v>40</v>
      </c>
      <c r="AO84" s="45">
        <v>40</v>
      </c>
      <c r="AP84" s="45">
        <v>40</v>
      </c>
      <c r="AQ84" s="45">
        <v>40</v>
      </c>
      <c r="AR84" s="45" t="s">
        <v>106</v>
      </c>
      <c r="AS84" s="45">
        <v>60</v>
      </c>
      <c r="AU84" s="123" t="s">
        <v>64</v>
      </c>
      <c r="AV84" s="118">
        <v>12</v>
      </c>
      <c r="AW84" s="45" t="s">
        <v>106</v>
      </c>
      <c r="AX84" s="45" t="s">
        <v>106</v>
      </c>
      <c r="AY84" s="45" t="s">
        <v>106</v>
      </c>
      <c r="AZ84" s="45" t="s">
        <v>106</v>
      </c>
      <c r="BA84" s="45" t="s">
        <v>106</v>
      </c>
      <c r="BB84" s="45" t="s">
        <v>106</v>
      </c>
      <c r="BC84" s="45" t="s">
        <v>106</v>
      </c>
      <c r="BD84" s="45" t="s">
        <v>106</v>
      </c>
      <c r="BE84" s="4"/>
      <c r="BJ84" s="4"/>
      <c r="BN84" s="40" t="s">
        <v>224</v>
      </c>
      <c r="BO84" s="47" t="s">
        <v>225</v>
      </c>
      <c r="BP84" s="48">
        <v>0</v>
      </c>
      <c r="BQ84" s="48" t="s">
        <v>220</v>
      </c>
      <c r="BR84" s="48">
        <v>0</v>
      </c>
      <c r="BS84" s="48">
        <v>2</v>
      </c>
      <c r="BT84" s="48" t="s">
        <v>217</v>
      </c>
      <c r="BU84" s="49">
        <v>25</v>
      </c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</row>
    <row r="85" spans="3:98" outlineLevel="1">
      <c r="C85" s="4"/>
      <c r="P85" s="4"/>
      <c r="Q85" s="4"/>
      <c r="R85" s="4"/>
      <c r="U85" s="120" t="s">
        <v>43</v>
      </c>
      <c r="V85" s="38">
        <v>3</v>
      </c>
      <c r="W85" s="38"/>
      <c r="X85" s="38" t="s">
        <v>184</v>
      </c>
      <c r="Y85" s="38"/>
      <c r="Z85" s="120" t="s">
        <v>40</v>
      </c>
      <c r="AA85" s="38"/>
      <c r="AB85" s="120" t="s">
        <v>40</v>
      </c>
      <c r="AC85" s="38"/>
      <c r="AD85" s="38"/>
      <c r="AF85" s="137" t="s">
        <v>105</v>
      </c>
      <c r="AG85" s="119">
        <v>0.65</v>
      </c>
      <c r="AH85" s="45">
        <v>0.8</v>
      </c>
      <c r="AI85" s="125"/>
      <c r="AJ85" s="121"/>
      <c r="AK85" s="123" t="s">
        <v>69</v>
      </c>
      <c r="AL85" s="139">
        <v>40</v>
      </c>
      <c r="AM85" s="118">
        <v>80</v>
      </c>
      <c r="AN85" s="45" t="s">
        <v>106</v>
      </c>
      <c r="AO85" s="45" t="s">
        <v>106</v>
      </c>
      <c r="AP85" s="45" t="s">
        <v>106</v>
      </c>
      <c r="AQ85" s="45" t="s">
        <v>106</v>
      </c>
      <c r="AR85" s="45" t="s">
        <v>106</v>
      </c>
      <c r="AS85" s="45">
        <v>100</v>
      </c>
      <c r="AU85" s="123" t="s">
        <v>139</v>
      </c>
      <c r="AV85" s="118">
        <v>5</v>
      </c>
      <c r="AW85" s="45" t="s">
        <v>106</v>
      </c>
      <c r="AX85" s="45" t="s">
        <v>106</v>
      </c>
      <c r="AY85" s="45" t="s">
        <v>106</v>
      </c>
      <c r="AZ85" s="45" t="s">
        <v>106</v>
      </c>
      <c r="BA85" s="45" t="s">
        <v>106</v>
      </c>
      <c r="BB85" s="45" t="s">
        <v>106</v>
      </c>
      <c r="BC85" s="45" t="s">
        <v>106</v>
      </c>
      <c r="BD85" s="45" t="s">
        <v>106</v>
      </c>
      <c r="BE85" s="4"/>
      <c r="BF85" s="120" t="s">
        <v>101</v>
      </c>
      <c r="BG85" s="4" t="s">
        <v>87</v>
      </c>
      <c r="BI85" s="4" t="s">
        <v>174</v>
      </c>
      <c r="BJ85" s="4"/>
      <c r="BN85" s="40" t="s">
        <v>52</v>
      </c>
      <c r="BO85" s="47">
        <v>0</v>
      </c>
      <c r="BP85" s="48">
        <v>1</v>
      </c>
      <c r="BQ85" s="48">
        <v>0</v>
      </c>
      <c r="BR85" s="48">
        <v>1</v>
      </c>
      <c r="BS85" s="48">
        <v>1</v>
      </c>
      <c r="BT85" s="48" t="s">
        <v>217</v>
      </c>
      <c r="BU85" s="49">
        <v>25</v>
      </c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</row>
    <row r="86" spans="3:98" outlineLevel="1">
      <c r="C86" s="4"/>
      <c r="P86" s="4"/>
      <c r="Q86" s="4"/>
      <c r="R86" s="4"/>
      <c r="U86" s="120" t="s">
        <v>44</v>
      </c>
      <c r="V86" s="38">
        <v>4</v>
      </c>
      <c r="W86" s="38"/>
      <c r="X86" s="38" t="s">
        <v>185</v>
      </c>
      <c r="Y86" s="38"/>
      <c r="Z86" s="120" t="s">
        <v>43</v>
      </c>
      <c r="AA86" s="38"/>
      <c r="AB86" s="120" t="s">
        <v>43</v>
      </c>
      <c r="AC86" s="38"/>
      <c r="AD86" s="38"/>
      <c r="AF86" s="120" t="s">
        <v>51</v>
      </c>
      <c r="AG86" s="38">
        <v>1</v>
      </c>
      <c r="AH86" s="38">
        <v>1</v>
      </c>
      <c r="AI86" s="125"/>
      <c r="AJ86" s="121"/>
      <c r="AK86" s="123" t="s">
        <v>60</v>
      </c>
      <c r="AL86" s="124">
        <v>27</v>
      </c>
      <c r="AM86" s="45">
        <v>43</v>
      </c>
      <c r="AN86" s="45">
        <v>43</v>
      </c>
      <c r="AO86" s="45">
        <v>43</v>
      </c>
      <c r="AP86" s="45">
        <v>43</v>
      </c>
      <c r="AQ86" s="45">
        <v>43</v>
      </c>
      <c r="AR86" s="45" t="s">
        <v>106</v>
      </c>
      <c r="AS86" s="45">
        <v>80</v>
      </c>
      <c r="AU86" s="123" t="s">
        <v>100</v>
      </c>
      <c r="AV86" s="45">
        <v>5</v>
      </c>
      <c r="AW86" s="45" t="s">
        <v>106</v>
      </c>
      <c r="AX86" s="45" t="s">
        <v>106</v>
      </c>
      <c r="AY86" s="45" t="s">
        <v>106</v>
      </c>
      <c r="AZ86" s="45" t="s">
        <v>106</v>
      </c>
      <c r="BA86" s="45" t="s">
        <v>106</v>
      </c>
      <c r="BB86" s="45" t="s">
        <v>106</v>
      </c>
      <c r="BC86" s="45" t="s">
        <v>106</v>
      </c>
      <c r="BD86" s="45" t="s">
        <v>106</v>
      </c>
      <c r="BE86" s="4"/>
      <c r="BG86" s="4" t="s">
        <v>88</v>
      </c>
      <c r="BI86" s="38">
        <v>200</v>
      </c>
      <c r="BJ86" s="4"/>
      <c r="BN86" s="40" t="s">
        <v>54</v>
      </c>
      <c r="BO86" s="47">
        <v>1</v>
      </c>
      <c r="BP86" s="48">
        <v>0</v>
      </c>
      <c r="BQ86" s="48">
        <v>1</v>
      </c>
      <c r="BR86" s="48">
        <v>0</v>
      </c>
      <c r="BS86" s="48">
        <v>1</v>
      </c>
      <c r="BT86" s="48" t="s">
        <v>217</v>
      </c>
      <c r="BU86" s="49">
        <v>10</v>
      </c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</row>
    <row r="87" spans="3:98" outlineLevel="1">
      <c r="C87" s="4"/>
      <c r="P87" s="4"/>
      <c r="Q87" s="4"/>
      <c r="R87" s="4"/>
      <c r="U87" s="120" t="s">
        <v>168</v>
      </c>
      <c r="V87" s="38">
        <v>5</v>
      </c>
      <c r="W87" s="38"/>
      <c r="X87" s="38" t="s">
        <v>186</v>
      </c>
      <c r="Y87" s="38"/>
      <c r="Z87" s="120" t="s">
        <v>44</v>
      </c>
      <c r="AA87" s="38"/>
      <c r="AB87" s="120" t="s">
        <v>44</v>
      </c>
      <c r="AC87" s="38"/>
      <c r="AD87" s="38"/>
      <c r="AF87" s="140" t="s">
        <v>253</v>
      </c>
      <c r="AG87" s="45">
        <v>1.4</v>
      </c>
      <c r="AH87" s="45" t="s">
        <v>106</v>
      </c>
      <c r="AI87" s="121"/>
      <c r="AJ87" s="121"/>
      <c r="AK87" s="123" t="s">
        <v>61</v>
      </c>
      <c r="AL87" s="124">
        <v>15</v>
      </c>
      <c r="AM87" s="45" t="s">
        <v>106</v>
      </c>
      <c r="AN87" s="45" t="s">
        <v>106</v>
      </c>
      <c r="AO87" s="45" t="s">
        <v>106</v>
      </c>
      <c r="AP87" s="45" t="s">
        <v>106</v>
      </c>
      <c r="AQ87" s="45" t="s">
        <v>106</v>
      </c>
      <c r="AR87" s="45" t="s">
        <v>106</v>
      </c>
      <c r="AS87" s="45" t="s">
        <v>106</v>
      </c>
      <c r="AU87" s="123" t="s">
        <v>118</v>
      </c>
      <c r="AV87" s="45">
        <v>6</v>
      </c>
      <c r="AW87" s="45">
        <v>10</v>
      </c>
      <c r="AX87" s="45">
        <v>10</v>
      </c>
      <c r="AY87" s="45">
        <v>10</v>
      </c>
      <c r="AZ87" s="45">
        <v>10</v>
      </c>
      <c r="BA87" s="45" t="s">
        <v>106</v>
      </c>
      <c r="BB87" s="45" t="s">
        <v>106</v>
      </c>
      <c r="BC87" s="45" t="s">
        <v>106</v>
      </c>
      <c r="BD87" s="45" t="s">
        <v>106</v>
      </c>
      <c r="BE87" s="4"/>
      <c r="BJ87" s="4"/>
      <c r="BN87" s="40"/>
      <c r="BO87" s="52"/>
      <c r="BP87" s="45"/>
      <c r="BQ87" s="45"/>
      <c r="BR87" s="45"/>
      <c r="BS87" s="45"/>
      <c r="BT87" s="45"/>
      <c r="BU87" s="5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</row>
    <row r="88" spans="3:98" outlineLevel="1">
      <c r="C88" s="4"/>
      <c r="P88" s="4"/>
      <c r="Q88" s="4"/>
      <c r="R88" s="4"/>
      <c r="U88" s="120" t="s">
        <v>169</v>
      </c>
      <c r="V88" s="38">
        <v>6</v>
      </c>
      <c r="W88" s="38"/>
      <c r="X88" s="38" t="s">
        <v>187</v>
      </c>
      <c r="Y88" s="38"/>
      <c r="Z88" s="120" t="s">
        <v>41</v>
      </c>
      <c r="AA88" s="38"/>
      <c r="AB88" s="120" t="s">
        <v>168</v>
      </c>
      <c r="AC88" s="38"/>
      <c r="AD88" s="38"/>
      <c r="AF88" s="141" t="s">
        <v>255</v>
      </c>
      <c r="AG88" s="142">
        <v>1.1499999999999999</v>
      </c>
      <c r="AH88" s="143" t="s">
        <v>106</v>
      </c>
      <c r="AI88" s="121"/>
      <c r="AJ88" s="121"/>
      <c r="AK88" s="123" t="s">
        <v>70</v>
      </c>
      <c r="AL88" s="124">
        <v>10</v>
      </c>
      <c r="AM88" s="45">
        <v>15</v>
      </c>
      <c r="AN88" s="45">
        <v>15</v>
      </c>
      <c r="AO88" s="45">
        <v>15</v>
      </c>
      <c r="AP88" s="45">
        <v>15</v>
      </c>
      <c r="AQ88" s="45">
        <v>15</v>
      </c>
      <c r="AR88" s="45" t="s">
        <v>106</v>
      </c>
      <c r="AS88" s="45">
        <v>40</v>
      </c>
      <c r="AU88" s="123" t="s">
        <v>31</v>
      </c>
      <c r="AV88" s="45">
        <v>8</v>
      </c>
      <c r="AW88" s="45">
        <v>10</v>
      </c>
      <c r="AX88" s="45">
        <v>10</v>
      </c>
      <c r="AY88" s="45" t="s">
        <v>106</v>
      </c>
      <c r="AZ88" s="45" t="s">
        <v>106</v>
      </c>
      <c r="BA88" s="45">
        <v>20</v>
      </c>
      <c r="BB88" s="45" t="s">
        <v>106</v>
      </c>
      <c r="BC88" s="45" t="s">
        <v>106</v>
      </c>
      <c r="BD88" s="45" t="s">
        <v>106</v>
      </c>
      <c r="BE88" s="4"/>
      <c r="BF88" s="120"/>
      <c r="BH88" s="144"/>
      <c r="BJ88" s="4"/>
      <c r="BN88" s="53" t="s">
        <v>230</v>
      </c>
      <c r="BO88" s="52" t="s">
        <v>236</v>
      </c>
      <c r="BP88" s="45" t="s">
        <v>237</v>
      </c>
      <c r="BQ88" s="45" t="s">
        <v>238</v>
      </c>
      <c r="BR88" s="45" t="s">
        <v>239</v>
      </c>
      <c r="BS88" s="45"/>
      <c r="BT88" s="45"/>
      <c r="BU88" s="5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</row>
    <row r="89" spans="3:98" outlineLevel="1">
      <c r="C89" s="4"/>
      <c r="P89" s="4"/>
      <c r="Q89" s="4"/>
      <c r="R89" s="4"/>
      <c r="U89" s="120" t="s">
        <v>42</v>
      </c>
      <c r="V89" s="38">
        <v>7</v>
      </c>
      <c r="W89" s="38"/>
      <c r="X89" s="38" t="s">
        <v>188</v>
      </c>
      <c r="Y89" s="38"/>
      <c r="Z89" s="38"/>
      <c r="AA89" s="38"/>
      <c r="AB89" s="120" t="s">
        <v>169</v>
      </c>
      <c r="AC89" s="38"/>
      <c r="AD89" s="38"/>
      <c r="AF89" s="145" t="s">
        <v>254</v>
      </c>
      <c r="AG89" s="143">
        <v>1.25</v>
      </c>
      <c r="AH89" s="143" t="s">
        <v>106</v>
      </c>
      <c r="AI89" s="121"/>
      <c r="AJ89" s="121"/>
      <c r="AK89" s="123" t="s">
        <v>166</v>
      </c>
      <c r="AL89" s="124">
        <v>12</v>
      </c>
      <c r="AM89" s="45" t="s">
        <v>106</v>
      </c>
      <c r="AN89" s="45" t="s">
        <v>106</v>
      </c>
      <c r="AO89" s="45" t="s">
        <v>106</v>
      </c>
      <c r="AP89" s="45" t="s">
        <v>106</v>
      </c>
      <c r="AQ89" s="45" t="s">
        <v>106</v>
      </c>
      <c r="AR89" s="45" t="s">
        <v>106</v>
      </c>
      <c r="AS89" s="45" t="s">
        <v>106</v>
      </c>
      <c r="AU89" s="138" t="s">
        <v>197</v>
      </c>
      <c r="AV89" s="45">
        <v>40</v>
      </c>
      <c r="AW89" s="45" t="s">
        <v>106</v>
      </c>
      <c r="AX89" s="45" t="s">
        <v>106</v>
      </c>
      <c r="AY89" s="45" t="s">
        <v>106</v>
      </c>
      <c r="AZ89" s="45" t="s">
        <v>106</v>
      </c>
      <c r="BA89" s="45" t="s">
        <v>106</v>
      </c>
      <c r="BB89" s="45" t="s">
        <v>106</v>
      </c>
      <c r="BC89" s="45" t="s">
        <v>106</v>
      </c>
      <c r="BD89" s="45" t="s">
        <v>106</v>
      </c>
      <c r="BE89" s="4"/>
      <c r="BF89" s="146" t="s">
        <v>283</v>
      </c>
      <c r="BH89" s="147" t="s">
        <v>284</v>
      </c>
      <c r="BJ89" s="4"/>
      <c r="BN89" s="40" t="s">
        <v>231</v>
      </c>
      <c r="BO89" s="41" t="s">
        <v>245</v>
      </c>
      <c r="BP89" s="42" t="s">
        <v>225</v>
      </c>
      <c r="BQ89" s="41" t="s">
        <v>225</v>
      </c>
      <c r="BR89" s="42">
        <v>1</v>
      </c>
      <c r="BS89" s="5">
        <v>1</v>
      </c>
      <c r="BT89" s="48" t="s">
        <v>242</v>
      </c>
      <c r="BU89" s="5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</row>
    <row r="90" spans="3:98" ht="15" customHeight="1" outlineLevel="1">
      <c r="C90" s="4"/>
      <c r="P90" s="4"/>
      <c r="Q90" s="4"/>
      <c r="R90" s="4"/>
      <c r="U90" s="120" t="s">
        <v>41</v>
      </c>
      <c r="V90" s="38">
        <v>8</v>
      </c>
      <c r="X90" s="38" t="s">
        <v>189</v>
      </c>
      <c r="Y90" s="38"/>
      <c r="Z90" s="38"/>
      <c r="AA90" s="38"/>
      <c r="AB90" s="120" t="s">
        <v>42</v>
      </c>
      <c r="AC90" s="38"/>
      <c r="AD90" s="38"/>
      <c r="AF90" s="141" t="s">
        <v>256</v>
      </c>
      <c r="AG90" s="143">
        <v>1.4</v>
      </c>
      <c r="AH90" s="143" t="s">
        <v>106</v>
      </c>
      <c r="AI90" s="121"/>
      <c r="AJ90" s="121"/>
      <c r="AK90" s="123" t="s">
        <v>120</v>
      </c>
      <c r="AL90" s="148">
        <v>60</v>
      </c>
      <c r="AM90" s="45" t="s">
        <v>106</v>
      </c>
      <c r="AN90" s="45" t="s">
        <v>106</v>
      </c>
      <c r="AO90" s="45" t="s">
        <v>106</v>
      </c>
      <c r="AP90" s="45" t="s">
        <v>106</v>
      </c>
      <c r="AQ90" s="45">
        <v>70</v>
      </c>
      <c r="AR90" s="45" t="s">
        <v>106</v>
      </c>
      <c r="AS90" s="45">
        <v>90</v>
      </c>
      <c r="AU90" s="138" t="s">
        <v>198</v>
      </c>
      <c r="AV90" s="45">
        <v>40</v>
      </c>
      <c r="AW90" s="45" t="s">
        <v>106</v>
      </c>
      <c r="AX90" s="45" t="s">
        <v>106</v>
      </c>
      <c r="AY90" s="45" t="s">
        <v>106</v>
      </c>
      <c r="AZ90" s="45" t="s">
        <v>106</v>
      </c>
      <c r="BA90" s="45" t="s">
        <v>106</v>
      </c>
      <c r="BB90" s="45" t="s">
        <v>106</v>
      </c>
      <c r="BC90" s="45" t="s">
        <v>106</v>
      </c>
      <c r="BD90" s="45" t="s">
        <v>106</v>
      </c>
      <c r="BE90" s="4"/>
      <c r="BF90" s="120" t="s">
        <v>24</v>
      </c>
      <c r="BH90" s="144" t="s">
        <v>25</v>
      </c>
      <c r="BJ90" s="4"/>
      <c r="BN90" s="40" t="s">
        <v>232</v>
      </c>
      <c r="BO90" s="41">
        <v>0</v>
      </c>
      <c r="BP90" s="42">
        <v>1</v>
      </c>
      <c r="BQ90" s="41">
        <v>1</v>
      </c>
      <c r="BR90" s="42" t="s">
        <v>243</v>
      </c>
      <c r="BS90" s="43" t="s">
        <v>244</v>
      </c>
      <c r="BT90" s="45"/>
      <c r="BU90" s="5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</row>
    <row r="91" spans="3:98" ht="15.95" customHeight="1" outlineLevel="1">
      <c r="C91" s="4"/>
      <c r="P91" s="4"/>
      <c r="Q91" s="4"/>
      <c r="R91" s="4"/>
      <c r="U91" s="120" t="s">
        <v>45</v>
      </c>
      <c r="V91" s="38">
        <v>9</v>
      </c>
      <c r="X91" s="38" t="s">
        <v>190</v>
      </c>
      <c r="Y91" s="38"/>
      <c r="Z91" s="38"/>
      <c r="AA91" s="38"/>
      <c r="AB91" s="38"/>
      <c r="AC91" s="38"/>
      <c r="AD91" s="38"/>
      <c r="AF91" s="38"/>
      <c r="AG91" s="38"/>
      <c r="AH91" s="38"/>
      <c r="AI91" s="121"/>
      <c r="AJ91" s="121"/>
      <c r="AK91" s="123" t="s">
        <v>121</v>
      </c>
      <c r="AL91" s="148">
        <v>100</v>
      </c>
      <c r="AM91" s="45" t="s">
        <v>106</v>
      </c>
      <c r="AN91" s="45" t="s">
        <v>106</v>
      </c>
      <c r="AO91" s="45" t="s">
        <v>106</v>
      </c>
      <c r="AP91" s="45" t="s">
        <v>106</v>
      </c>
      <c r="AQ91" s="45" t="s">
        <v>106</v>
      </c>
      <c r="AR91" s="45" t="s">
        <v>106</v>
      </c>
      <c r="AS91" s="45" t="s">
        <v>106</v>
      </c>
      <c r="AU91" s="138" t="s">
        <v>109</v>
      </c>
      <c r="AV91" s="45">
        <v>80</v>
      </c>
      <c r="AW91" s="45" t="s">
        <v>106</v>
      </c>
      <c r="AX91" s="45" t="s">
        <v>106</v>
      </c>
      <c r="AY91" s="45" t="s">
        <v>106</v>
      </c>
      <c r="AZ91" s="45" t="s">
        <v>106</v>
      </c>
      <c r="BA91" s="45" t="s">
        <v>106</v>
      </c>
      <c r="BB91" s="45" t="s">
        <v>106</v>
      </c>
      <c r="BC91" s="45" t="s">
        <v>106</v>
      </c>
      <c r="BD91" s="45" t="s">
        <v>106</v>
      </c>
      <c r="BE91" s="4"/>
      <c r="BF91" s="120" t="s">
        <v>32</v>
      </c>
      <c r="BH91" s="144" t="s">
        <v>24</v>
      </c>
      <c r="BJ91" s="4"/>
      <c r="BN91" s="40" t="s">
        <v>233</v>
      </c>
      <c r="BO91" s="41" t="s">
        <v>245</v>
      </c>
      <c r="BP91" s="41" t="s">
        <v>245</v>
      </c>
      <c r="BQ91" s="43" t="s">
        <v>246</v>
      </c>
      <c r="BR91" s="41">
        <v>2</v>
      </c>
      <c r="BS91" s="5">
        <v>1</v>
      </c>
      <c r="BT91" s="45" t="s">
        <v>242</v>
      </c>
      <c r="BU91" s="5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</row>
    <row r="92" spans="3:98" outlineLevel="1">
      <c r="C92" s="4"/>
      <c r="P92" s="4"/>
      <c r="Q92" s="4"/>
      <c r="R92" s="4"/>
      <c r="U92" s="120" t="s">
        <v>8</v>
      </c>
      <c r="V92" s="38">
        <v>10</v>
      </c>
      <c r="X92" s="149" t="s">
        <v>50</v>
      </c>
      <c r="Y92" s="38"/>
      <c r="Z92" s="38"/>
      <c r="AA92" s="38"/>
      <c r="AB92" s="38"/>
      <c r="AC92" s="38"/>
      <c r="AD92" s="38"/>
      <c r="AI92" s="125"/>
      <c r="AJ92" s="125"/>
      <c r="AK92" s="136" t="s">
        <v>50</v>
      </c>
      <c r="AL92" s="124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U92" s="138" t="s">
        <v>199</v>
      </c>
      <c r="AV92" s="45">
        <v>40</v>
      </c>
      <c r="AW92" s="45" t="s">
        <v>106</v>
      </c>
      <c r="AX92" s="45" t="s">
        <v>106</v>
      </c>
      <c r="AY92" s="45" t="s">
        <v>106</v>
      </c>
      <c r="AZ92" s="45" t="s">
        <v>106</v>
      </c>
      <c r="BA92" s="45" t="s">
        <v>106</v>
      </c>
      <c r="BB92" s="45" t="s">
        <v>106</v>
      </c>
      <c r="BC92" s="45" t="s">
        <v>106</v>
      </c>
      <c r="BD92" s="45" t="s">
        <v>106</v>
      </c>
      <c r="BE92" s="4"/>
      <c r="BF92" s="120" t="s">
        <v>28</v>
      </c>
      <c r="BH92" s="144" t="s">
        <v>32</v>
      </c>
      <c r="BJ92" s="4"/>
      <c r="BK92" s="4"/>
      <c r="BL92" s="4"/>
      <c r="BM92" s="4"/>
      <c r="BN92" s="40" t="s">
        <v>234</v>
      </c>
      <c r="BO92" s="41">
        <v>0</v>
      </c>
      <c r="BP92" s="41">
        <v>1</v>
      </c>
      <c r="BQ92" s="41">
        <v>1</v>
      </c>
      <c r="BR92" s="41">
        <v>1</v>
      </c>
      <c r="BS92" s="5">
        <v>1</v>
      </c>
      <c r="BT92" s="45"/>
      <c r="BU92" s="5"/>
      <c r="BV92" s="5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</row>
    <row r="93" spans="3:98" outlineLevel="1">
      <c r="C93" s="4"/>
      <c r="P93" s="4"/>
      <c r="Q93" s="4"/>
      <c r="R93" s="4"/>
      <c r="U93" s="4"/>
      <c r="Y93" s="38"/>
      <c r="Z93" s="38"/>
      <c r="AA93" s="38"/>
      <c r="AB93" s="38"/>
      <c r="AC93" s="38"/>
      <c r="AD93" s="38"/>
      <c r="AI93" s="125"/>
      <c r="AJ93" s="125"/>
      <c r="AL93" s="150"/>
      <c r="AU93" s="138" t="s">
        <v>63</v>
      </c>
      <c r="AV93" s="45">
        <v>10</v>
      </c>
      <c r="AW93" s="45">
        <v>5</v>
      </c>
      <c r="AX93" s="45">
        <v>5</v>
      </c>
      <c r="AY93" s="45">
        <v>5</v>
      </c>
      <c r="AZ93" s="45">
        <v>5</v>
      </c>
      <c r="BA93" s="45" t="s">
        <v>106</v>
      </c>
      <c r="BB93" s="45" t="s">
        <v>106</v>
      </c>
      <c r="BC93" s="45" t="s">
        <v>106</v>
      </c>
      <c r="BD93" s="45" t="s">
        <v>106</v>
      </c>
      <c r="BE93" s="4"/>
      <c r="BF93" s="120" t="s">
        <v>33</v>
      </c>
      <c r="BH93" s="144" t="s">
        <v>27</v>
      </c>
      <c r="BJ93" s="4"/>
      <c r="BK93" s="4"/>
      <c r="BL93" s="4"/>
      <c r="BM93" s="4"/>
      <c r="BN93" s="40" t="s">
        <v>67</v>
      </c>
      <c r="BO93" s="41" t="s">
        <v>245</v>
      </c>
      <c r="BP93" s="42" t="s">
        <v>225</v>
      </c>
      <c r="BQ93" s="41" t="s">
        <v>225</v>
      </c>
      <c r="BR93" s="41">
        <v>0</v>
      </c>
      <c r="BS93" s="5">
        <v>1</v>
      </c>
      <c r="BT93" s="45"/>
      <c r="BU93" s="5"/>
      <c r="BV93" s="5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</row>
    <row r="94" spans="3:98" ht="45" outlineLevel="1">
      <c r="C94" s="4"/>
      <c r="P94" s="4"/>
      <c r="Q94" s="4"/>
      <c r="R94" s="4"/>
      <c r="U94" s="4"/>
      <c r="Y94" s="38"/>
      <c r="Z94" s="38"/>
      <c r="AA94" s="38"/>
      <c r="AB94" s="38"/>
      <c r="AC94" s="38"/>
      <c r="AD94" s="38"/>
      <c r="AI94" s="125"/>
      <c r="AJ94" s="125"/>
      <c r="AL94" s="150"/>
      <c r="AU94" s="136" t="s">
        <v>50</v>
      </c>
      <c r="AV94" s="45">
        <v>0</v>
      </c>
      <c r="AW94" s="45">
        <v>0</v>
      </c>
      <c r="AX94" s="45">
        <v>0</v>
      </c>
      <c r="AY94" s="45">
        <v>0</v>
      </c>
      <c r="AZ94" s="45">
        <v>0</v>
      </c>
      <c r="BA94" s="45">
        <v>0</v>
      </c>
      <c r="BB94" s="45">
        <v>0</v>
      </c>
      <c r="BC94" s="45">
        <v>0</v>
      </c>
      <c r="BD94" s="45">
        <v>0</v>
      </c>
      <c r="BE94" s="4"/>
      <c r="BF94" s="120" t="s">
        <v>15</v>
      </c>
      <c r="BH94" s="144" t="s">
        <v>28</v>
      </c>
      <c r="BJ94" s="4"/>
      <c r="BK94" s="4"/>
      <c r="BL94" s="4"/>
      <c r="BM94" s="4"/>
      <c r="BN94" s="40" t="s">
        <v>53</v>
      </c>
      <c r="BO94" s="41">
        <v>0</v>
      </c>
      <c r="BP94" s="42">
        <v>1</v>
      </c>
      <c r="BQ94" s="41">
        <v>1</v>
      </c>
      <c r="BR94" s="42" t="s">
        <v>243</v>
      </c>
      <c r="BS94" s="5">
        <v>1</v>
      </c>
      <c r="BT94" s="45"/>
      <c r="BU94" s="5"/>
      <c r="BV94" s="5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</row>
    <row r="95" spans="3:98" ht="24.95" customHeight="1" outlineLevel="1">
      <c r="C95" s="4"/>
      <c r="P95" s="4"/>
      <c r="Q95" s="4"/>
      <c r="R95" s="4"/>
      <c r="U95" s="138" t="s">
        <v>175</v>
      </c>
      <c r="Y95" s="38"/>
      <c r="Z95" s="38"/>
      <c r="AA95" s="38"/>
      <c r="AB95" s="38"/>
      <c r="AC95" s="38"/>
      <c r="AD95" s="38"/>
      <c r="AF95" s="151">
        <v>2018</v>
      </c>
      <c r="AG95" s="151"/>
      <c r="AH95" s="151"/>
      <c r="AI95" s="125"/>
      <c r="AJ95" s="125"/>
      <c r="AL95" s="150"/>
      <c r="AV95" s="4"/>
      <c r="AW95" s="4"/>
      <c r="AX95" s="4"/>
      <c r="AY95" s="4"/>
      <c r="AZ95" s="4"/>
      <c r="BA95" s="4"/>
      <c r="BE95" s="4"/>
      <c r="BF95" s="120"/>
      <c r="BH95" s="144" t="s">
        <v>33</v>
      </c>
      <c r="BJ95" s="4"/>
      <c r="BK95" s="4"/>
      <c r="BL95" s="4"/>
      <c r="BM95" s="4"/>
      <c r="BN95" s="40" t="s">
        <v>235</v>
      </c>
      <c r="BO95" s="41" t="s">
        <v>245</v>
      </c>
      <c r="BP95" s="41" t="s">
        <v>245</v>
      </c>
      <c r="BQ95" s="43" t="s">
        <v>246</v>
      </c>
      <c r="BR95" s="41">
        <v>1</v>
      </c>
      <c r="BT95" s="45"/>
      <c r="BU95" s="5"/>
      <c r="BV95" s="5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</row>
    <row r="96" spans="3:98" outlineLevel="1">
      <c r="C96" s="4"/>
      <c r="P96" s="4"/>
      <c r="Q96" s="4"/>
      <c r="R96" s="4"/>
      <c r="U96" s="4" t="s">
        <v>280</v>
      </c>
      <c r="Y96" s="38" t="s">
        <v>288</v>
      </c>
      <c r="Z96" s="38"/>
      <c r="AA96" s="38" t="s">
        <v>278</v>
      </c>
      <c r="AB96" s="38"/>
      <c r="AC96" s="38" t="s">
        <v>277</v>
      </c>
      <c r="AD96" s="38"/>
      <c r="AF96" s="152" t="s">
        <v>47</v>
      </c>
      <c r="AG96" s="152"/>
      <c r="AH96" s="153"/>
      <c r="AI96" s="125"/>
      <c r="AJ96" s="125"/>
      <c r="AL96" s="150"/>
      <c r="AV96" s="4"/>
      <c r="AW96" s="4"/>
      <c r="AX96" s="4"/>
      <c r="AY96" s="4"/>
      <c r="AZ96" s="4"/>
      <c r="BA96" s="4"/>
      <c r="BE96" s="4"/>
      <c r="BF96" s="120"/>
      <c r="BH96" s="120" t="s">
        <v>15</v>
      </c>
      <c r="BJ96" s="4"/>
      <c r="BK96" s="4"/>
      <c r="BL96" s="4"/>
      <c r="BM96" s="4"/>
      <c r="BN96" s="40" t="s">
        <v>52</v>
      </c>
      <c r="BO96" s="41">
        <v>0</v>
      </c>
      <c r="BP96" s="41">
        <v>0</v>
      </c>
      <c r="BQ96" s="41">
        <v>0</v>
      </c>
      <c r="BR96" s="41">
        <v>1</v>
      </c>
      <c r="BS96" s="5">
        <v>1</v>
      </c>
      <c r="BT96" s="45" t="s">
        <v>241</v>
      </c>
      <c r="BU96" s="5"/>
      <c r="BV96" s="5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</row>
    <row r="97" spans="3:98" outlineLevel="1">
      <c r="C97" s="4"/>
      <c r="P97" s="4"/>
      <c r="Q97" s="4"/>
      <c r="R97" s="4"/>
      <c r="U97" s="4" t="s">
        <v>281</v>
      </c>
      <c r="Y97" s="123" t="s">
        <v>67</v>
      </c>
      <c r="Z97" s="38"/>
      <c r="AA97" s="38"/>
      <c r="AB97" s="38"/>
      <c r="AC97" s="38"/>
      <c r="AD97" s="38"/>
      <c r="AF97" s="154" t="s">
        <v>39</v>
      </c>
      <c r="AG97" s="155">
        <v>1.7</v>
      </c>
      <c r="AH97" s="155"/>
      <c r="AI97" s="125"/>
      <c r="AJ97" s="125"/>
      <c r="AL97" s="150"/>
      <c r="AU97" s="209" t="s">
        <v>176</v>
      </c>
      <c r="AV97" s="209"/>
      <c r="AW97" s="209"/>
      <c r="AX97" s="209"/>
      <c r="AY97" s="209"/>
      <c r="AZ97" s="209"/>
      <c r="BA97" s="209"/>
      <c r="BB97" s="209"/>
      <c r="BC97" s="209"/>
      <c r="BD97" s="209"/>
      <c r="BE97" s="4"/>
      <c r="BF97" s="146" t="s">
        <v>285</v>
      </c>
      <c r="BJ97" s="4"/>
      <c r="BK97" s="4"/>
      <c r="BL97" s="4"/>
      <c r="BM97" s="4"/>
      <c r="BN97" s="40" t="s">
        <v>54</v>
      </c>
      <c r="BO97" s="41">
        <v>0</v>
      </c>
      <c r="BP97" s="41">
        <v>1</v>
      </c>
      <c r="BQ97" s="41">
        <v>1</v>
      </c>
      <c r="BR97" s="41">
        <v>0</v>
      </c>
      <c r="BS97" s="5">
        <v>1</v>
      </c>
      <c r="BT97" s="45" t="s">
        <v>242</v>
      </c>
      <c r="BU97" s="5"/>
      <c r="BV97" s="5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</row>
    <row r="98" spans="3:98" ht="15" outlineLevel="1">
      <c r="C98" s="4"/>
      <c r="P98" s="4"/>
      <c r="Q98" s="4"/>
      <c r="R98" s="4"/>
      <c r="U98" s="4" t="s">
        <v>282</v>
      </c>
      <c r="Y98" s="123" t="s">
        <v>172</v>
      </c>
      <c r="Z98" s="38"/>
      <c r="AA98" s="123" t="s">
        <v>58</v>
      </c>
      <c r="AB98" s="38"/>
      <c r="AC98" s="123"/>
      <c r="AD98" s="38"/>
      <c r="AF98" s="154" t="s">
        <v>38</v>
      </c>
      <c r="AG98" s="155">
        <v>1.4</v>
      </c>
      <c r="AH98" s="155"/>
      <c r="AI98" s="125"/>
      <c r="AJ98" s="125"/>
      <c r="AK98" s="208" t="s">
        <v>176</v>
      </c>
      <c r="AL98" s="208"/>
      <c r="AM98" s="208"/>
      <c r="AN98" s="208"/>
      <c r="AO98" s="208"/>
      <c r="AP98" s="208"/>
      <c r="AQ98" s="208"/>
      <c r="AR98" s="208"/>
      <c r="AS98" s="208"/>
      <c r="AU98" s="123" t="s">
        <v>17</v>
      </c>
      <c r="AV98" s="126" t="s">
        <v>140</v>
      </c>
      <c r="AW98" s="126" t="s">
        <v>93</v>
      </c>
      <c r="AX98" s="126" t="s">
        <v>94</v>
      </c>
      <c r="AY98" s="126" t="s">
        <v>171</v>
      </c>
      <c r="AZ98" s="126" t="s">
        <v>170</v>
      </c>
      <c r="BA98" s="126" t="s">
        <v>143</v>
      </c>
      <c r="BB98" s="126" t="s">
        <v>142</v>
      </c>
      <c r="BC98" s="126" t="s">
        <v>144</v>
      </c>
      <c r="BD98" s="126" t="s">
        <v>145</v>
      </c>
      <c r="BE98" s="4"/>
      <c r="BF98" s="120"/>
      <c r="BJ98" s="4"/>
      <c r="BK98" s="4"/>
      <c r="BL98" s="4"/>
      <c r="BM98" s="4"/>
      <c r="BN98" s="40" t="s">
        <v>240</v>
      </c>
      <c r="BO98" s="41">
        <v>0</v>
      </c>
      <c r="BP98" s="41">
        <v>1</v>
      </c>
      <c r="BQ98" s="41">
        <v>1</v>
      </c>
      <c r="BR98" s="41">
        <v>0</v>
      </c>
      <c r="BS98" s="5">
        <v>2</v>
      </c>
      <c r="BT98" s="45" t="s">
        <v>241</v>
      </c>
      <c r="BU98" s="5"/>
      <c r="BV98" s="5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</row>
    <row r="99" spans="3:98" outlineLevel="1">
      <c r="C99" s="4"/>
      <c r="P99" s="4"/>
      <c r="Q99" s="4"/>
      <c r="R99" s="4"/>
      <c r="U99" s="4"/>
      <c r="Y99" s="123" t="s">
        <v>53</v>
      </c>
      <c r="Z99" s="38"/>
      <c r="AA99" s="123" t="s">
        <v>55</v>
      </c>
      <c r="AB99" s="38"/>
      <c r="AC99" s="123" t="s">
        <v>57</v>
      </c>
      <c r="AD99" s="38"/>
      <c r="AF99" s="154" t="s">
        <v>10</v>
      </c>
      <c r="AG99" s="155">
        <v>1</v>
      </c>
      <c r="AH99" s="155"/>
      <c r="AI99" s="125"/>
      <c r="AJ99" s="125"/>
      <c r="AK99" s="123" t="s">
        <v>16</v>
      </c>
      <c r="AL99" s="156" t="s">
        <v>141</v>
      </c>
      <c r="AM99" s="157" t="s">
        <v>93</v>
      </c>
      <c r="AN99" s="157" t="s">
        <v>94</v>
      </c>
      <c r="AO99" s="126" t="s">
        <v>171</v>
      </c>
      <c r="AP99" s="126" t="s">
        <v>170</v>
      </c>
      <c r="AQ99" s="126" t="s">
        <v>143</v>
      </c>
      <c r="AR99" s="126" t="s">
        <v>142</v>
      </c>
      <c r="AS99" s="126" t="s">
        <v>144</v>
      </c>
      <c r="AU99" s="123" t="s">
        <v>58</v>
      </c>
      <c r="AV99" s="45" t="s">
        <v>106</v>
      </c>
      <c r="AW99" s="45" t="s">
        <v>106</v>
      </c>
      <c r="AX99" s="45" t="s">
        <v>106</v>
      </c>
      <c r="AY99" s="45" t="s">
        <v>106</v>
      </c>
      <c r="AZ99" s="45" t="s">
        <v>106</v>
      </c>
      <c r="BA99" s="45" t="s">
        <v>106</v>
      </c>
      <c r="BB99" s="45" t="s">
        <v>106</v>
      </c>
      <c r="BC99" s="45" t="s">
        <v>106</v>
      </c>
      <c r="BD99" s="45" t="s">
        <v>106</v>
      </c>
      <c r="BE99" s="4"/>
      <c r="BF99" s="120" t="s">
        <v>25</v>
      </c>
      <c r="BJ99" s="4"/>
      <c r="BK99" s="4"/>
      <c r="BL99" s="4"/>
      <c r="BM99" s="4"/>
      <c r="BT99" s="45"/>
      <c r="BU99" s="5"/>
      <c r="BV99" s="5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</row>
    <row r="100" spans="3:98" outlineLevel="1">
      <c r="C100" s="4"/>
      <c r="P100" s="4"/>
      <c r="Q100" s="4"/>
      <c r="R100" s="4"/>
      <c r="U100" s="4"/>
      <c r="Y100" s="123" t="s">
        <v>54</v>
      </c>
      <c r="Z100" s="38"/>
      <c r="AA100" s="123" t="s">
        <v>79</v>
      </c>
      <c r="AB100" s="38"/>
      <c r="AC100" s="123" t="s">
        <v>55</v>
      </c>
      <c r="AD100" s="38"/>
      <c r="AF100" s="154" t="s">
        <v>11</v>
      </c>
      <c r="AG100" s="155">
        <v>0.65</v>
      </c>
      <c r="AH100" s="151"/>
      <c r="AI100" s="125"/>
      <c r="AJ100" s="125"/>
      <c r="AK100" s="123" t="s">
        <v>67</v>
      </c>
      <c r="AL100" s="148" t="s">
        <v>106</v>
      </c>
      <c r="AM100" s="132">
        <v>15</v>
      </c>
      <c r="AN100" s="132">
        <v>15</v>
      </c>
      <c r="AO100" s="45" t="s">
        <v>106</v>
      </c>
      <c r="AP100" s="45" t="s">
        <v>106</v>
      </c>
      <c r="AQ100" s="45" t="s">
        <v>106</v>
      </c>
      <c r="AR100" s="45" t="s">
        <v>106</v>
      </c>
      <c r="AS100" s="45" t="s">
        <v>106</v>
      </c>
      <c r="AU100" s="123" t="s">
        <v>57</v>
      </c>
      <c r="AV100" s="45" t="s">
        <v>106</v>
      </c>
      <c r="AW100" s="45">
        <v>20</v>
      </c>
      <c r="AX100" s="45">
        <v>20</v>
      </c>
      <c r="AY100" s="45" t="s">
        <v>106</v>
      </c>
      <c r="AZ100" s="45" t="s">
        <v>106</v>
      </c>
      <c r="BA100" s="45" t="s">
        <v>106</v>
      </c>
      <c r="BB100" s="45" t="s">
        <v>106</v>
      </c>
      <c r="BC100" s="45" t="s">
        <v>106</v>
      </c>
      <c r="BD100" s="45" t="s">
        <v>106</v>
      </c>
      <c r="BE100" s="4"/>
      <c r="BF100" s="120" t="s">
        <v>24</v>
      </c>
      <c r="BJ100" s="4"/>
      <c r="BK100" s="4"/>
      <c r="BL100" s="4"/>
      <c r="BM100" s="4"/>
      <c r="BT100" s="45"/>
      <c r="BU100" s="5"/>
      <c r="BV100" s="5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</row>
    <row r="101" spans="3:98" outlineLevel="1">
      <c r="C101" s="4"/>
      <c r="P101" s="4"/>
      <c r="Q101" s="4"/>
      <c r="R101" s="4"/>
      <c r="U101" s="4"/>
      <c r="W101" s="38"/>
      <c r="Y101" s="136" t="s">
        <v>50</v>
      </c>
      <c r="Z101" s="38"/>
      <c r="AA101" s="123" t="s">
        <v>56</v>
      </c>
      <c r="AB101" s="38"/>
      <c r="AC101" s="123" t="s">
        <v>179</v>
      </c>
      <c r="AD101" s="38"/>
      <c r="AF101" s="155"/>
      <c r="AG101" s="155"/>
      <c r="AH101" s="151"/>
      <c r="AI101" s="125"/>
      <c r="AJ101" s="125"/>
      <c r="AK101" s="123" t="s">
        <v>172</v>
      </c>
      <c r="AL101" s="148" t="s">
        <v>106</v>
      </c>
      <c r="AM101" s="132">
        <v>18</v>
      </c>
      <c r="AN101" s="132">
        <v>18</v>
      </c>
      <c r="AO101" s="45" t="s">
        <v>106</v>
      </c>
      <c r="AP101" s="45" t="s">
        <v>106</v>
      </c>
      <c r="AQ101" s="45" t="s">
        <v>106</v>
      </c>
      <c r="AR101" s="45" t="s">
        <v>106</v>
      </c>
      <c r="AS101" s="45" t="s">
        <v>106</v>
      </c>
      <c r="AU101" s="123" t="s">
        <v>55</v>
      </c>
      <c r="AV101" s="45">
        <v>-5</v>
      </c>
      <c r="AW101" s="45">
        <v>-10</v>
      </c>
      <c r="AX101" s="45">
        <v>-10</v>
      </c>
      <c r="AY101" s="45" t="s">
        <v>106</v>
      </c>
      <c r="AZ101" s="45" t="s">
        <v>106</v>
      </c>
      <c r="BA101" s="45" t="s">
        <v>106</v>
      </c>
      <c r="BB101" s="45">
        <v>-10</v>
      </c>
      <c r="BC101" s="45" t="s">
        <v>106</v>
      </c>
      <c r="BD101" s="45" t="s">
        <v>106</v>
      </c>
      <c r="BE101" s="4"/>
      <c r="BF101" s="120" t="s">
        <v>32</v>
      </c>
      <c r="BJ101" s="4"/>
      <c r="BK101" s="4"/>
      <c r="BL101" s="4"/>
      <c r="BM101" s="4"/>
      <c r="BN101" s="4"/>
      <c r="BO101" s="4"/>
      <c r="BP101" s="4"/>
      <c r="BT101" s="45"/>
      <c r="BU101" s="5"/>
      <c r="BV101" s="5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</row>
    <row r="102" spans="3:98" outlineLevel="1">
      <c r="C102" s="4"/>
      <c r="P102" s="4"/>
      <c r="Q102" s="4"/>
      <c r="R102" s="4"/>
      <c r="U102" s="4"/>
      <c r="W102" s="38"/>
      <c r="Y102" s="123"/>
      <c r="Z102" s="38"/>
      <c r="AA102" s="130" t="s">
        <v>207</v>
      </c>
      <c r="AB102" s="38"/>
      <c r="AC102" s="123" t="s">
        <v>52</v>
      </c>
      <c r="AD102" s="38"/>
      <c r="AF102" s="158" t="s">
        <v>9</v>
      </c>
      <c r="AG102" s="159" t="s">
        <v>180</v>
      </c>
      <c r="AH102" s="155" t="s">
        <v>181</v>
      </c>
      <c r="AI102" s="125"/>
      <c r="AJ102" s="125"/>
      <c r="AK102" s="123" t="s">
        <v>53</v>
      </c>
      <c r="AL102" s="148">
        <v>15</v>
      </c>
      <c r="AM102" s="132">
        <v>20</v>
      </c>
      <c r="AN102" s="132">
        <v>20</v>
      </c>
      <c r="AO102" s="45" t="s">
        <v>106</v>
      </c>
      <c r="AP102" s="45" t="s">
        <v>106</v>
      </c>
      <c r="AQ102" s="45" t="s">
        <v>106</v>
      </c>
      <c r="AR102" s="45" t="s">
        <v>106</v>
      </c>
      <c r="AS102" s="45" t="s">
        <v>106</v>
      </c>
      <c r="AU102" s="123" t="s">
        <v>310</v>
      </c>
      <c r="AV102" s="45" t="s">
        <v>106</v>
      </c>
      <c r="AW102" s="45">
        <v>10</v>
      </c>
      <c r="AX102" s="45">
        <v>10</v>
      </c>
      <c r="AY102" s="45" t="s">
        <v>106</v>
      </c>
      <c r="AZ102" s="45" t="s">
        <v>106</v>
      </c>
      <c r="BA102" s="45" t="s">
        <v>106</v>
      </c>
      <c r="BB102" s="45" t="s">
        <v>106</v>
      </c>
      <c r="BC102" s="45" t="s">
        <v>106</v>
      </c>
      <c r="BD102" s="45" t="s">
        <v>106</v>
      </c>
      <c r="BE102" s="4"/>
      <c r="BF102" s="120" t="s">
        <v>26</v>
      </c>
      <c r="BJ102" s="4"/>
      <c r="BK102" s="4"/>
      <c r="BL102" s="4"/>
      <c r="BM102" s="4"/>
      <c r="BT102" s="45"/>
      <c r="BU102" s="5"/>
      <c r="BV102" s="5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</row>
    <row r="103" spans="3:98" outlineLevel="1">
      <c r="C103" s="4"/>
      <c r="P103" s="4"/>
      <c r="Q103" s="4"/>
      <c r="R103" s="4"/>
      <c r="U103" s="4"/>
      <c r="W103" s="38"/>
      <c r="Y103" s="123"/>
      <c r="Z103" s="38"/>
      <c r="AA103" s="123" t="s">
        <v>119</v>
      </c>
      <c r="AB103" s="38"/>
      <c r="AC103" s="123" t="s">
        <v>118</v>
      </c>
      <c r="AD103" s="38"/>
      <c r="AF103" s="154" t="s">
        <v>112</v>
      </c>
      <c r="AG103" s="160">
        <v>1.8</v>
      </c>
      <c r="AH103" s="155">
        <v>2.2999999999999998</v>
      </c>
      <c r="AI103" s="125"/>
      <c r="AJ103" s="125"/>
      <c r="AK103" s="123" t="s">
        <v>54</v>
      </c>
      <c r="AL103" s="161">
        <v>4</v>
      </c>
      <c r="AM103" s="132">
        <v>6</v>
      </c>
      <c r="AN103" s="132">
        <v>6</v>
      </c>
      <c r="AO103" s="45" t="s">
        <v>106</v>
      </c>
      <c r="AP103" s="45" t="s">
        <v>106</v>
      </c>
      <c r="AQ103" s="45" t="s">
        <v>106</v>
      </c>
      <c r="AR103" s="45" t="s">
        <v>106</v>
      </c>
      <c r="AS103" s="45" t="s">
        <v>106</v>
      </c>
      <c r="AU103" s="123" t="s">
        <v>163</v>
      </c>
      <c r="AV103" s="45" t="s">
        <v>106</v>
      </c>
      <c r="AW103" s="45" t="s">
        <v>106</v>
      </c>
      <c r="AX103" s="45" t="s">
        <v>106</v>
      </c>
      <c r="AY103" s="45" t="s">
        <v>106</v>
      </c>
      <c r="AZ103" s="45" t="s">
        <v>106</v>
      </c>
      <c r="BA103" s="45" t="s">
        <v>106</v>
      </c>
      <c r="BB103" s="45" t="s">
        <v>106</v>
      </c>
      <c r="BC103" s="45" t="s">
        <v>106</v>
      </c>
      <c r="BD103" s="45" t="s">
        <v>106</v>
      </c>
      <c r="BE103" s="4"/>
      <c r="BF103" s="120" t="s">
        <v>27</v>
      </c>
      <c r="BJ103" s="4"/>
      <c r="BK103" s="4"/>
      <c r="BL103" s="4"/>
      <c r="BM103" s="4"/>
      <c r="BT103" s="45"/>
      <c r="BU103" s="5"/>
      <c r="BV103" s="5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</row>
    <row r="104" spans="3:98" outlineLevel="1">
      <c r="C104" s="4"/>
      <c r="P104" s="4"/>
      <c r="Q104" s="4"/>
      <c r="R104" s="4"/>
      <c r="U104" s="4"/>
      <c r="W104" s="38"/>
      <c r="Y104" s="123"/>
      <c r="Z104" s="38"/>
      <c r="AA104" s="123" t="s">
        <v>269</v>
      </c>
      <c r="AB104" s="38"/>
      <c r="AC104" s="123" t="s">
        <v>179</v>
      </c>
      <c r="AD104" s="38"/>
      <c r="AF104" s="154" t="s">
        <v>114</v>
      </c>
      <c r="AG104" s="160">
        <v>1</v>
      </c>
      <c r="AH104" s="155">
        <v>1</v>
      </c>
      <c r="AI104" s="125"/>
      <c r="AJ104" s="125"/>
      <c r="AK104" s="123" t="s">
        <v>68</v>
      </c>
      <c r="AL104" s="148" t="s">
        <v>106</v>
      </c>
      <c r="AM104" s="132" t="s">
        <v>106</v>
      </c>
      <c r="AN104" s="132" t="s">
        <v>106</v>
      </c>
      <c r="AO104" s="45" t="s">
        <v>106</v>
      </c>
      <c r="AP104" s="45" t="s">
        <v>106</v>
      </c>
      <c r="AQ104" s="45" t="s">
        <v>106</v>
      </c>
      <c r="AR104" s="45" t="s">
        <v>106</v>
      </c>
      <c r="AS104" s="45" t="s">
        <v>106</v>
      </c>
      <c r="AU104" s="123" t="s">
        <v>56</v>
      </c>
      <c r="AV104" s="45">
        <v>25</v>
      </c>
      <c r="AW104" s="45">
        <v>40</v>
      </c>
      <c r="AX104" s="45">
        <v>40</v>
      </c>
      <c r="AY104" s="45" t="s">
        <v>106</v>
      </c>
      <c r="AZ104" s="45" t="s">
        <v>106</v>
      </c>
      <c r="BA104" s="45" t="s">
        <v>106</v>
      </c>
      <c r="BB104" s="45" t="s">
        <v>106</v>
      </c>
      <c r="BC104" s="45" t="s">
        <v>106</v>
      </c>
      <c r="BD104" s="45" t="s">
        <v>106</v>
      </c>
      <c r="BE104" s="4"/>
      <c r="BF104" s="120" t="s">
        <v>28</v>
      </c>
      <c r="BJ104" s="4"/>
      <c r="BK104" s="4"/>
      <c r="BL104" s="4"/>
      <c r="BM104" s="4"/>
      <c r="BT104" s="45"/>
      <c r="BU104" s="5"/>
      <c r="BV104" s="5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</row>
    <row r="105" spans="3:98" outlineLevel="1">
      <c r="C105" s="4"/>
      <c r="P105" s="4"/>
      <c r="Q105" s="4"/>
      <c r="R105" s="4"/>
      <c r="U105" s="162"/>
      <c r="W105" s="38"/>
      <c r="Y105" s="136"/>
      <c r="Z105" s="38"/>
      <c r="AA105" s="123" t="s">
        <v>52</v>
      </c>
      <c r="AB105" s="38"/>
      <c r="AC105" s="138" t="s">
        <v>109</v>
      </c>
      <c r="AD105" s="38"/>
      <c r="AF105" s="154" t="s">
        <v>113</v>
      </c>
      <c r="AG105" s="160">
        <v>0.6</v>
      </c>
      <c r="AH105" s="155">
        <v>0.6</v>
      </c>
      <c r="AI105" s="125"/>
      <c r="AJ105" s="125"/>
      <c r="AK105" s="123" t="s">
        <v>13</v>
      </c>
      <c r="AL105" s="148" t="s">
        <v>106</v>
      </c>
      <c r="AM105" s="132" t="s">
        <v>106</v>
      </c>
      <c r="AN105" s="132" t="s">
        <v>106</v>
      </c>
      <c r="AO105" s="45" t="s">
        <v>106</v>
      </c>
      <c r="AP105" s="45" t="s">
        <v>106</v>
      </c>
      <c r="AQ105" s="45" t="s">
        <v>106</v>
      </c>
      <c r="AR105" s="45" t="s">
        <v>106</v>
      </c>
      <c r="AS105" s="45" t="s">
        <v>106</v>
      </c>
      <c r="AU105" s="123" t="s">
        <v>179</v>
      </c>
      <c r="AV105" s="45">
        <v>40</v>
      </c>
      <c r="AW105" s="45">
        <v>60</v>
      </c>
      <c r="AX105" s="45">
        <v>60</v>
      </c>
      <c r="AY105" s="45" t="s">
        <v>106</v>
      </c>
      <c r="AZ105" s="45" t="s">
        <v>106</v>
      </c>
      <c r="BA105" s="45" t="s">
        <v>106</v>
      </c>
      <c r="BB105" s="45" t="s">
        <v>106</v>
      </c>
      <c r="BC105" s="45" t="s">
        <v>106</v>
      </c>
      <c r="BD105" s="45" t="s">
        <v>106</v>
      </c>
      <c r="BE105" s="4"/>
      <c r="BF105" s="120" t="s">
        <v>33</v>
      </c>
      <c r="BJ105" s="4"/>
      <c r="BK105" s="4"/>
      <c r="BL105" s="4"/>
      <c r="BM105" s="4"/>
      <c r="BT105" s="45"/>
      <c r="BU105" s="5"/>
      <c r="BV105" s="5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</row>
    <row r="106" spans="3:98" outlineLevel="1">
      <c r="C106" s="4"/>
      <c r="P106" s="4"/>
      <c r="Q106" s="4"/>
      <c r="R106" s="4"/>
      <c r="U106" s="138"/>
      <c r="W106" s="38"/>
      <c r="Y106" s="38"/>
      <c r="Z106" s="38"/>
      <c r="AA106" s="138" t="s">
        <v>65</v>
      </c>
      <c r="AB106" s="38"/>
      <c r="AC106" s="138" t="s">
        <v>199</v>
      </c>
      <c r="AD106" s="38"/>
      <c r="AF106" s="163" t="s">
        <v>50</v>
      </c>
      <c r="AG106" s="160">
        <v>1</v>
      </c>
      <c r="AH106" s="155">
        <v>1</v>
      </c>
      <c r="AI106" s="125"/>
      <c r="AJ106" s="125"/>
      <c r="AK106" s="123" t="s">
        <v>99</v>
      </c>
      <c r="AL106" s="148" t="s">
        <v>106</v>
      </c>
      <c r="AM106" s="132" t="s">
        <v>106</v>
      </c>
      <c r="AN106" s="132" t="s">
        <v>106</v>
      </c>
      <c r="AO106" s="45" t="s">
        <v>106</v>
      </c>
      <c r="AP106" s="45" t="s">
        <v>106</v>
      </c>
      <c r="AQ106" s="45" t="s">
        <v>106</v>
      </c>
      <c r="AR106" s="45" t="s">
        <v>106</v>
      </c>
      <c r="AS106" s="45" t="s">
        <v>106</v>
      </c>
      <c r="AU106" s="123" t="s">
        <v>119</v>
      </c>
      <c r="AV106" s="45" t="s">
        <v>106</v>
      </c>
      <c r="AW106" s="45" t="s">
        <v>106</v>
      </c>
      <c r="AX106" s="45" t="s">
        <v>106</v>
      </c>
      <c r="AY106" s="45" t="s">
        <v>106</v>
      </c>
      <c r="AZ106" s="45" t="s">
        <v>106</v>
      </c>
      <c r="BA106" s="45" t="s">
        <v>106</v>
      </c>
      <c r="BB106" s="45" t="s">
        <v>106</v>
      </c>
      <c r="BC106" s="45" t="s">
        <v>106</v>
      </c>
      <c r="BD106" s="45" t="s">
        <v>106</v>
      </c>
      <c r="BE106" s="4"/>
      <c r="BF106" s="120" t="s">
        <v>15</v>
      </c>
      <c r="BJ106" s="4"/>
      <c r="BK106" s="4"/>
      <c r="BL106" s="4"/>
      <c r="BM106" s="4"/>
      <c r="BT106" s="45"/>
      <c r="BU106" s="5"/>
      <c r="BV106" s="5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</row>
    <row r="107" spans="3:98" outlineLevel="1">
      <c r="C107" s="4"/>
      <c r="P107" s="4"/>
      <c r="Q107" s="4"/>
      <c r="R107" s="4"/>
      <c r="U107" s="138"/>
      <c r="W107" s="38"/>
      <c r="Y107" s="38"/>
      <c r="Z107" s="38"/>
      <c r="AA107" s="123" t="s">
        <v>64</v>
      </c>
      <c r="AB107" s="38"/>
      <c r="AC107" s="138" t="s">
        <v>63</v>
      </c>
      <c r="AD107" s="38"/>
      <c r="AF107" s="155"/>
      <c r="AG107" s="155"/>
      <c r="AH107" s="151"/>
      <c r="AI107" s="125"/>
      <c r="AJ107" s="125"/>
      <c r="AK107" s="123" t="s">
        <v>66</v>
      </c>
      <c r="AL107" s="148" t="s">
        <v>106</v>
      </c>
      <c r="AM107" s="132" t="s">
        <v>106</v>
      </c>
      <c r="AN107" s="132" t="s">
        <v>106</v>
      </c>
      <c r="AO107" s="45" t="s">
        <v>106</v>
      </c>
      <c r="AP107" s="45" t="s">
        <v>106</v>
      </c>
      <c r="AQ107" s="45" t="s">
        <v>106</v>
      </c>
      <c r="AR107" s="45" t="s">
        <v>106</v>
      </c>
      <c r="AS107" s="45" t="s">
        <v>106</v>
      </c>
      <c r="AU107" s="123" t="s">
        <v>52</v>
      </c>
      <c r="AV107" s="45">
        <v>10</v>
      </c>
      <c r="AW107" s="45">
        <v>10</v>
      </c>
      <c r="AX107" s="45">
        <v>10</v>
      </c>
      <c r="AY107" s="45" t="s">
        <v>106</v>
      </c>
      <c r="AZ107" s="45" t="s">
        <v>106</v>
      </c>
      <c r="BA107" s="45" t="s">
        <v>106</v>
      </c>
      <c r="BB107" s="45" t="s">
        <v>106</v>
      </c>
      <c r="BC107" s="45" t="s">
        <v>106</v>
      </c>
      <c r="BD107" s="45" t="s">
        <v>106</v>
      </c>
      <c r="BE107" s="4"/>
      <c r="BJ107" s="4"/>
      <c r="BK107" s="4"/>
      <c r="BL107" s="4"/>
      <c r="BM107" s="4"/>
      <c r="BT107" s="45"/>
      <c r="BU107" s="5"/>
      <c r="BV107" s="5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</row>
    <row r="108" spans="3:98" outlineLevel="1">
      <c r="C108" s="4"/>
      <c r="P108" s="4"/>
      <c r="Q108" s="4"/>
      <c r="R108" s="4"/>
      <c r="U108" s="138"/>
      <c r="W108" s="38"/>
      <c r="Y108" s="38"/>
      <c r="Z108" s="38"/>
      <c r="AA108" s="123" t="s">
        <v>139</v>
      </c>
      <c r="AB108" s="38"/>
      <c r="AC108" s="136" t="s">
        <v>50</v>
      </c>
      <c r="AD108" s="38"/>
      <c r="AF108" s="158" t="s">
        <v>48</v>
      </c>
      <c r="AG108" s="159" t="s">
        <v>180</v>
      </c>
      <c r="AH108" s="155" t="s">
        <v>181</v>
      </c>
      <c r="AI108" s="125"/>
      <c r="AJ108" s="125"/>
      <c r="AK108" s="136" t="s">
        <v>50</v>
      </c>
      <c r="AL108" s="148">
        <v>0</v>
      </c>
      <c r="AM108" s="132">
        <v>0</v>
      </c>
      <c r="AN108" s="132">
        <v>0</v>
      </c>
      <c r="AO108" s="45" t="s">
        <v>106</v>
      </c>
      <c r="AP108" s="45" t="s">
        <v>106</v>
      </c>
      <c r="AQ108" s="45" t="s">
        <v>106</v>
      </c>
      <c r="AR108" s="45">
        <v>0</v>
      </c>
      <c r="AS108" s="45" t="s">
        <v>106</v>
      </c>
      <c r="AU108" s="138" t="s">
        <v>65</v>
      </c>
      <c r="AV108" s="45" t="s">
        <v>106</v>
      </c>
      <c r="AW108" s="45" t="s">
        <v>106</v>
      </c>
      <c r="AX108" s="45" t="s">
        <v>106</v>
      </c>
      <c r="AY108" s="45" t="s">
        <v>106</v>
      </c>
      <c r="AZ108" s="45" t="s">
        <v>106</v>
      </c>
      <c r="BA108" s="45" t="s">
        <v>106</v>
      </c>
      <c r="BB108" s="45" t="s">
        <v>106</v>
      </c>
      <c r="BC108" s="45" t="s">
        <v>106</v>
      </c>
      <c r="BD108" s="45" t="s">
        <v>106</v>
      </c>
      <c r="BE108" s="4"/>
      <c r="BJ108" s="4"/>
      <c r="BK108" s="4"/>
      <c r="BL108" s="4"/>
      <c r="BM108" s="4"/>
      <c r="BN108" s="4"/>
      <c r="BO108" s="38"/>
      <c r="BP108" s="164"/>
      <c r="BQ108" s="38"/>
      <c r="BR108" s="38"/>
      <c r="BS108" s="38"/>
      <c r="BT108" s="38"/>
      <c r="BU108" s="4"/>
      <c r="BV108" s="5"/>
      <c r="CO108" s="4"/>
      <c r="CP108" s="4"/>
      <c r="CQ108" s="4"/>
      <c r="CR108" s="4"/>
      <c r="CS108" s="4"/>
      <c r="CT108" s="4"/>
    </row>
    <row r="109" spans="3:98" outlineLevel="1">
      <c r="C109" s="4"/>
      <c r="P109" s="4"/>
      <c r="Q109" s="4"/>
      <c r="R109" s="4"/>
      <c r="U109" s="138"/>
      <c r="W109" s="38"/>
      <c r="Y109" s="38"/>
      <c r="Z109" s="38"/>
      <c r="AA109" s="123" t="s">
        <v>100</v>
      </c>
      <c r="AB109" s="38"/>
      <c r="AC109" s="123"/>
      <c r="AD109" s="38"/>
      <c r="AF109" s="163" t="s">
        <v>105</v>
      </c>
      <c r="AG109" s="155">
        <v>0.7</v>
      </c>
      <c r="AH109" s="155">
        <v>0.8</v>
      </c>
      <c r="AI109" s="125"/>
      <c r="AJ109" s="125"/>
      <c r="AK109" s="123" t="s">
        <v>62</v>
      </c>
      <c r="AL109" s="165">
        <v>8</v>
      </c>
      <c r="AM109" s="116">
        <v>15</v>
      </c>
      <c r="AN109" s="116">
        <v>15</v>
      </c>
      <c r="AO109" s="45" t="s">
        <v>106</v>
      </c>
      <c r="AP109" s="45" t="s">
        <v>106</v>
      </c>
      <c r="AQ109" s="45" t="s">
        <v>106</v>
      </c>
      <c r="AR109" s="45" t="s">
        <v>106</v>
      </c>
      <c r="AS109" s="45" t="s">
        <v>106</v>
      </c>
      <c r="AU109" s="123" t="s">
        <v>64</v>
      </c>
      <c r="AV109" s="45" t="s">
        <v>106</v>
      </c>
      <c r="AW109" s="45" t="s">
        <v>106</v>
      </c>
      <c r="AX109" s="45" t="s">
        <v>106</v>
      </c>
      <c r="AY109" s="45" t="s">
        <v>106</v>
      </c>
      <c r="AZ109" s="45" t="s">
        <v>106</v>
      </c>
      <c r="BA109" s="45" t="s">
        <v>106</v>
      </c>
      <c r="BB109" s="45" t="s">
        <v>106</v>
      </c>
      <c r="BC109" s="45" t="s">
        <v>106</v>
      </c>
      <c r="BD109" s="45" t="s">
        <v>106</v>
      </c>
      <c r="BE109" s="4"/>
      <c r="BF109" s="146" t="s">
        <v>286</v>
      </c>
      <c r="BG109" s="166" t="s">
        <v>287</v>
      </c>
      <c r="BH109" s="123"/>
      <c r="BJ109" s="4"/>
      <c r="BK109" s="4"/>
      <c r="BL109" s="4"/>
      <c r="BM109" s="4"/>
      <c r="BN109" s="4"/>
      <c r="BO109" s="38"/>
      <c r="BP109" s="164"/>
      <c r="BQ109" s="38"/>
      <c r="BR109" s="38"/>
      <c r="BS109" s="38"/>
      <c r="BT109" s="38"/>
      <c r="BU109" s="4"/>
      <c r="BV109" s="5"/>
      <c r="CO109" s="4"/>
      <c r="CP109" s="4"/>
      <c r="CQ109" s="4"/>
      <c r="CR109" s="4"/>
      <c r="CS109" s="4"/>
      <c r="CT109" s="4"/>
    </row>
    <row r="110" spans="3:98" outlineLevel="1">
      <c r="C110" s="4"/>
      <c r="P110" s="4"/>
      <c r="Q110" s="4"/>
      <c r="R110" s="4"/>
      <c r="U110" s="138"/>
      <c r="W110" s="38"/>
      <c r="Y110" s="38"/>
      <c r="Z110" s="38"/>
      <c r="AA110" s="123" t="s">
        <v>118</v>
      </c>
      <c r="AB110" s="38"/>
      <c r="AC110" s="123"/>
      <c r="AD110" s="38"/>
      <c r="AF110" s="154" t="s">
        <v>51</v>
      </c>
      <c r="AG110" s="155">
        <v>1</v>
      </c>
      <c r="AH110" s="155">
        <v>1</v>
      </c>
      <c r="AI110" s="125"/>
      <c r="AJ110" s="125"/>
      <c r="AK110" s="123" t="s">
        <v>59</v>
      </c>
      <c r="AL110" s="124">
        <v>20</v>
      </c>
      <c r="AM110" s="116">
        <v>25</v>
      </c>
      <c r="AN110" s="116">
        <v>25</v>
      </c>
      <c r="AO110" s="45" t="s">
        <v>106</v>
      </c>
      <c r="AP110" s="45" t="s">
        <v>106</v>
      </c>
      <c r="AQ110" s="45" t="s">
        <v>106</v>
      </c>
      <c r="AR110" s="45" t="s">
        <v>106</v>
      </c>
      <c r="AS110" s="45">
        <v>60</v>
      </c>
      <c r="AU110" s="123" t="s">
        <v>139</v>
      </c>
      <c r="AV110" s="45" t="s">
        <v>106</v>
      </c>
      <c r="AW110" s="45" t="s">
        <v>106</v>
      </c>
      <c r="AX110" s="45" t="s">
        <v>106</v>
      </c>
      <c r="AY110" s="45" t="s">
        <v>106</v>
      </c>
      <c r="AZ110" s="45" t="s">
        <v>106</v>
      </c>
      <c r="BA110" s="45" t="s">
        <v>106</v>
      </c>
      <c r="BB110" s="45" t="s">
        <v>106</v>
      </c>
      <c r="BC110" s="45" t="s">
        <v>106</v>
      </c>
      <c r="BD110" s="45" t="s">
        <v>106</v>
      </c>
      <c r="BE110" s="4"/>
      <c r="BJ110" s="4"/>
      <c r="BK110" s="4"/>
      <c r="BL110" s="4"/>
      <c r="BM110" s="4"/>
      <c r="BN110" s="4"/>
      <c r="BO110" s="38"/>
      <c r="BP110" s="164"/>
      <c r="BQ110" s="38"/>
      <c r="BR110" s="38"/>
      <c r="BS110" s="38"/>
      <c r="BT110" s="38"/>
      <c r="BU110" s="4"/>
      <c r="BV110" s="5"/>
      <c r="CO110" s="4"/>
      <c r="CP110" s="4"/>
      <c r="CQ110" s="4"/>
      <c r="CR110" s="4"/>
      <c r="CS110" s="4"/>
      <c r="CT110" s="4"/>
    </row>
    <row r="111" spans="3:98" outlineLevel="1">
      <c r="C111" s="4"/>
      <c r="P111" s="4"/>
      <c r="Q111" s="4"/>
      <c r="R111" s="4"/>
      <c r="U111" s="138"/>
      <c r="W111" s="38"/>
      <c r="Y111" s="38"/>
      <c r="Z111" s="38"/>
      <c r="AA111" s="123" t="s">
        <v>31</v>
      </c>
      <c r="AB111" s="38"/>
      <c r="AC111" s="123"/>
      <c r="AD111" s="38"/>
      <c r="AF111" s="154" t="s">
        <v>253</v>
      </c>
      <c r="AG111" s="155">
        <v>1.4</v>
      </c>
      <c r="AH111" s="155" t="s">
        <v>106</v>
      </c>
      <c r="AI111" s="125"/>
      <c r="AJ111" s="125"/>
      <c r="AK111" s="123" t="s">
        <v>69</v>
      </c>
      <c r="AL111" s="139">
        <v>40</v>
      </c>
      <c r="AM111" s="45" t="s">
        <v>106</v>
      </c>
      <c r="AN111" s="45" t="s">
        <v>106</v>
      </c>
      <c r="AO111" s="45" t="s">
        <v>106</v>
      </c>
      <c r="AP111" s="45" t="s">
        <v>106</v>
      </c>
      <c r="AQ111" s="45" t="s">
        <v>106</v>
      </c>
      <c r="AR111" s="45" t="s">
        <v>106</v>
      </c>
      <c r="AS111" s="45">
        <v>100</v>
      </c>
      <c r="AU111" s="123" t="s">
        <v>100</v>
      </c>
      <c r="AV111" s="45" t="s">
        <v>106</v>
      </c>
      <c r="AW111" s="45" t="s">
        <v>106</v>
      </c>
      <c r="AX111" s="45" t="s">
        <v>106</v>
      </c>
      <c r="AY111" s="45" t="s">
        <v>106</v>
      </c>
      <c r="AZ111" s="45" t="s">
        <v>106</v>
      </c>
      <c r="BA111" s="45" t="s">
        <v>106</v>
      </c>
      <c r="BB111" s="45" t="s">
        <v>106</v>
      </c>
      <c r="BC111" s="45" t="s">
        <v>106</v>
      </c>
      <c r="BD111" s="45" t="s">
        <v>106</v>
      </c>
      <c r="BE111" s="4"/>
      <c r="BJ111" s="4"/>
      <c r="BK111" s="4"/>
      <c r="BL111" s="4"/>
      <c r="BM111" s="4"/>
      <c r="BN111" s="4"/>
      <c r="BO111" s="38"/>
      <c r="BP111" s="164"/>
      <c r="BQ111" s="38"/>
      <c r="BR111" s="38"/>
      <c r="BS111" s="38"/>
      <c r="BT111" s="38"/>
      <c r="BU111" s="4"/>
      <c r="BV111" s="5"/>
      <c r="CO111" s="4"/>
      <c r="CP111" s="4"/>
      <c r="CQ111" s="4"/>
      <c r="CR111" s="4"/>
      <c r="CS111" s="4"/>
      <c r="CT111" s="4"/>
    </row>
    <row r="112" spans="3:98" outlineLevel="1">
      <c r="C112" s="4"/>
      <c r="P112" s="4"/>
      <c r="Q112" s="4"/>
      <c r="R112" s="4"/>
      <c r="U112" s="4"/>
      <c r="W112" s="38"/>
      <c r="Y112" s="38"/>
      <c r="Z112" s="38"/>
      <c r="AA112" s="138" t="s">
        <v>197</v>
      </c>
      <c r="AB112" s="38"/>
      <c r="AC112" s="123"/>
      <c r="AD112" s="38"/>
      <c r="AF112" s="154" t="s">
        <v>252</v>
      </c>
      <c r="AG112" s="155">
        <v>1.1000000000000001</v>
      </c>
      <c r="AH112" s="155" t="s">
        <v>106</v>
      </c>
      <c r="AI112" s="125"/>
      <c r="AJ112" s="125"/>
      <c r="AK112" s="123" t="s">
        <v>60</v>
      </c>
      <c r="AL112" s="124">
        <v>27</v>
      </c>
      <c r="AM112" s="45">
        <v>30</v>
      </c>
      <c r="AN112" s="45">
        <v>30</v>
      </c>
      <c r="AO112" s="45" t="s">
        <v>106</v>
      </c>
      <c r="AP112" s="45" t="s">
        <v>106</v>
      </c>
      <c r="AQ112" s="45" t="s">
        <v>106</v>
      </c>
      <c r="AR112" s="45" t="s">
        <v>106</v>
      </c>
      <c r="AS112" s="45">
        <v>80</v>
      </c>
      <c r="AU112" s="123" t="s">
        <v>118</v>
      </c>
      <c r="AV112" s="118">
        <v>7</v>
      </c>
      <c r="AW112" s="118">
        <v>7</v>
      </c>
      <c r="AX112" s="118">
        <v>7</v>
      </c>
      <c r="AY112" s="45" t="s">
        <v>106</v>
      </c>
      <c r="AZ112" s="45" t="s">
        <v>106</v>
      </c>
      <c r="BA112" s="45" t="s">
        <v>106</v>
      </c>
      <c r="BB112" s="45" t="s">
        <v>106</v>
      </c>
      <c r="BC112" s="45" t="s">
        <v>106</v>
      </c>
      <c r="BD112" s="45" t="s">
        <v>106</v>
      </c>
      <c r="BE112" s="4"/>
      <c r="BJ112" s="4"/>
      <c r="BK112" s="4"/>
      <c r="BL112" s="4"/>
      <c r="BM112" s="4"/>
      <c r="BN112" s="4"/>
      <c r="BO112" s="38"/>
      <c r="BP112" s="164"/>
      <c r="BQ112" s="38"/>
      <c r="BR112" s="38"/>
      <c r="BS112" s="38"/>
      <c r="BT112" s="38"/>
      <c r="BU112" s="4"/>
      <c r="BV112" s="5"/>
      <c r="CO112" s="4"/>
      <c r="CP112" s="4"/>
      <c r="CQ112" s="4"/>
      <c r="CR112" s="4"/>
      <c r="CS112" s="4"/>
      <c r="CT112" s="4"/>
    </row>
    <row r="113" spans="3:98" outlineLevel="1">
      <c r="C113" s="4"/>
      <c r="P113" s="4"/>
      <c r="Q113" s="4"/>
      <c r="R113" s="4"/>
      <c r="U113" s="4"/>
      <c r="W113" s="38"/>
      <c r="Y113" s="38"/>
      <c r="Z113" s="38"/>
      <c r="AA113" s="138" t="s">
        <v>198</v>
      </c>
      <c r="AB113" s="38"/>
      <c r="AC113" s="138"/>
      <c r="AD113" s="38"/>
      <c r="AF113" s="163" t="s">
        <v>250</v>
      </c>
      <c r="AG113" s="155">
        <v>1.25</v>
      </c>
      <c r="AH113" s="155" t="s">
        <v>106</v>
      </c>
      <c r="AI113" s="125"/>
      <c r="AJ113" s="125"/>
      <c r="AK113" s="123" t="s">
        <v>61</v>
      </c>
      <c r="AL113" s="124">
        <v>15</v>
      </c>
      <c r="AM113" s="45" t="s">
        <v>106</v>
      </c>
      <c r="AN113" s="45" t="s">
        <v>106</v>
      </c>
      <c r="AO113" s="45" t="s">
        <v>106</v>
      </c>
      <c r="AP113" s="45" t="s">
        <v>106</v>
      </c>
      <c r="AQ113" s="45" t="s">
        <v>106</v>
      </c>
      <c r="AR113" s="45" t="s">
        <v>106</v>
      </c>
      <c r="AS113" s="45" t="s">
        <v>106</v>
      </c>
      <c r="AU113" s="123" t="s">
        <v>31</v>
      </c>
      <c r="AV113" s="45" t="s">
        <v>106</v>
      </c>
      <c r="AW113" s="45" t="s">
        <v>106</v>
      </c>
      <c r="AX113" s="45" t="s">
        <v>106</v>
      </c>
      <c r="AY113" s="45" t="s">
        <v>106</v>
      </c>
      <c r="AZ113" s="45" t="s">
        <v>106</v>
      </c>
      <c r="BA113" s="45" t="s">
        <v>106</v>
      </c>
      <c r="BB113" s="45" t="s">
        <v>106</v>
      </c>
      <c r="BC113" s="45" t="s">
        <v>106</v>
      </c>
      <c r="BD113" s="45" t="s">
        <v>106</v>
      </c>
      <c r="BE113" s="4"/>
      <c r="BJ113" s="4"/>
      <c r="BK113" s="4"/>
      <c r="BL113" s="4"/>
      <c r="BM113" s="4"/>
      <c r="BN113" s="4"/>
      <c r="BO113" s="38"/>
      <c r="BP113" s="164"/>
      <c r="BQ113" s="38"/>
      <c r="BR113" s="38"/>
      <c r="BS113" s="38"/>
      <c r="BT113" s="38"/>
      <c r="BU113" s="4"/>
      <c r="BV113" s="5"/>
      <c r="CO113" s="4"/>
      <c r="CP113" s="4"/>
      <c r="CQ113" s="4"/>
      <c r="CR113" s="4"/>
      <c r="CS113" s="4"/>
      <c r="CT113" s="4"/>
    </row>
    <row r="114" spans="3:98" outlineLevel="1">
      <c r="C114" s="4"/>
      <c r="P114" s="4"/>
      <c r="Q114" s="4"/>
      <c r="R114" s="4"/>
      <c r="U114" s="4"/>
      <c r="W114" s="38"/>
      <c r="Y114" s="38"/>
      <c r="Z114" s="38"/>
      <c r="AA114" s="138" t="s">
        <v>109</v>
      </c>
      <c r="AB114" s="38"/>
      <c r="AC114" s="138"/>
      <c r="AD114" s="38"/>
      <c r="AF114" s="154" t="s">
        <v>251</v>
      </c>
      <c r="AG114" s="155">
        <v>1.4</v>
      </c>
      <c r="AH114" s="155" t="s">
        <v>106</v>
      </c>
      <c r="AI114" s="125"/>
      <c r="AJ114" s="125"/>
      <c r="AK114" s="123" t="s">
        <v>70</v>
      </c>
      <c r="AL114" s="124">
        <v>10</v>
      </c>
      <c r="AM114" s="45">
        <v>15</v>
      </c>
      <c r="AN114" s="45">
        <v>15</v>
      </c>
      <c r="AO114" s="45" t="s">
        <v>106</v>
      </c>
      <c r="AP114" s="45" t="s">
        <v>106</v>
      </c>
      <c r="AQ114" s="45" t="s">
        <v>106</v>
      </c>
      <c r="AR114" s="45" t="s">
        <v>106</v>
      </c>
      <c r="AS114" s="45">
        <v>40</v>
      </c>
      <c r="AU114" s="138" t="s">
        <v>197</v>
      </c>
      <c r="AV114" s="45" t="s">
        <v>106</v>
      </c>
      <c r="AW114" s="45" t="s">
        <v>106</v>
      </c>
      <c r="AX114" s="45" t="s">
        <v>106</v>
      </c>
      <c r="AY114" s="45" t="s">
        <v>106</v>
      </c>
      <c r="AZ114" s="45" t="s">
        <v>106</v>
      </c>
      <c r="BA114" s="45" t="s">
        <v>106</v>
      </c>
      <c r="BB114" s="45" t="s">
        <v>106</v>
      </c>
      <c r="BC114" s="45" t="s">
        <v>106</v>
      </c>
      <c r="BD114" s="45" t="s">
        <v>106</v>
      </c>
      <c r="BE114" s="4"/>
      <c r="BJ114" s="4"/>
      <c r="BK114" s="4"/>
      <c r="BL114" s="4"/>
      <c r="BM114" s="4"/>
      <c r="BN114" s="4"/>
      <c r="BO114" s="38"/>
      <c r="BP114" s="164"/>
      <c r="BQ114" s="38"/>
      <c r="BR114" s="38"/>
      <c r="BS114" s="38"/>
      <c r="BT114" s="38"/>
      <c r="BU114" s="4"/>
      <c r="BV114" s="5"/>
      <c r="CO114" s="4"/>
      <c r="CP114" s="4"/>
      <c r="CQ114" s="4"/>
      <c r="CR114" s="4"/>
      <c r="CS114" s="4"/>
      <c r="CT114" s="4"/>
    </row>
    <row r="115" spans="3:98" outlineLevel="1">
      <c r="C115" s="4"/>
      <c r="P115" s="4"/>
      <c r="Q115" s="4"/>
      <c r="R115" s="4"/>
      <c r="U115" s="4"/>
      <c r="W115" s="38"/>
      <c r="Y115" s="38"/>
      <c r="Z115" s="38"/>
      <c r="AA115" s="138" t="s">
        <v>199</v>
      </c>
      <c r="AB115" s="38"/>
      <c r="AC115" s="138"/>
      <c r="AD115" s="38"/>
      <c r="AI115" s="125"/>
      <c r="AJ115" s="125"/>
      <c r="AK115" s="123" t="s">
        <v>166</v>
      </c>
      <c r="AL115" s="124">
        <v>10</v>
      </c>
      <c r="AM115" s="45" t="s">
        <v>106</v>
      </c>
      <c r="AN115" s="45" t="s">
        <v>106</v>
      </c>
      <c r="AO115" s="45" t="s">
        <v>106</v>
      </c>
      <c r="AP115" s="45" t="s">
        <v>106</v>
      </c>
      <c r="AQ115" s="45" t="s">
        <v>106</v>
      </c>
      <c r="AR115" s="45" t="s">
        <v>106</v>
      </c>
      <c r="AS115" s="45" t="s">
        <v>106</v>
      </c>
      <c r="AU115" s="138" t="s">
        <v>198</v>
      </c>
      <c r="AV115" s="45" t="s">
        <v>106</v>
      </c>
      <c r="AW115" s="45" t="s">
        <v>106</v>
      </c>
      <c r="AX115" s="45" t="s">
        <v>106</v>
      </c>
      <c r="AY115" s="45" t="s">
        <v>106</v>
      </c>
      <c r="AZ115" s="45" t="s">
        <v>106</v>
      </c>
      <c r="BA115" s="45" t="s">
        <v>106</v>
      </c>
      <c r="BB115" s="45" t="s">
        <v>106</v>
      </c>
      <c r="BC115" s="45" t="s">
        <v>106</v>
      </c>
      <c r="BD115" s="45" t="s">
        <v>106</v>
      </c>
      <c r="BE115" s="4"/>
      <c r="BJ115" s="4"/>
      <c r="BK115" s="4"/>
      <c r="BL115" s="4"/>
      <c r="BM115" s="4"/>
      <c r="BN115" s="4"/>
      <c r="BO115" s="38"/>
      <c r="BP115" s="164"/>
      <c r="BQ115" s="38"/>
      <c r="BR115" s="38"/>
      <c r="BS115" s="38"/>
      <c r="BT115" s="38"/>
      <c r="BU115" s="4"/>
      <c r="BV115" s="5"/>
      <c r="CO115" s="4"/>
      <c r="CP115" s="4"/>
      <c r="CQ115" s="4"/>
      <c r="CR115" s="4"/>
      <c r="CS115" s="4"/>
      <c r="CT115" s="4"/>
    </row>
    <row r="116" spans="3:98" outlineLevel="1">
      <c r="C116" s="4"/>
      <c r="P116" s="4"/>
      <c r="Q116" s="4"/>
      <c r="R116" s="4"/>
      <c r="U116" s="4"/>
      <c r="W116" s="38"/>
      <c r="Y116" s="38"/>
      <c r="Z116" s="38"/>
      <c r="AA116" s="138" t="s">
        <v>63</v>
      </c>
      <c r="AB116" s="38"/>
      <c r="AC116" s="138"/>
      <c r="AD116" s="38"/>
      <c r="AI116" s="125"/>
      <c r="AJ116" s="125"/>
      <c r="AK116" s="123" t="s">
        <v>120</v>
      </c>
      <c r="AL116" s="148">
        <v>60</v>
      </c>
      <c r="AM116" s="132" t="s">
        <v>106</v>
      </c>
      <c r="AN116" s="132" t="s">
        <v>106</v>
      </c>
      <c r="AO116" s="45" t="s">
        <v>106</v>
      </c>
      <c r="AP116" s="45" t="s">
        <v>106</v>
      </c>
      <c r="AQ116" s="45" t="s">
        <v>106</v>
      </c>
      <c r="AR116" s="45">
        <v>60</v>
      </c>
      <c r="AS116" s="45" t="s">
        <v>106</v>
      </c>
      <c r="AU116" s="138" t="s">
        <v>109</v>
      </c>
      <c r="AV116" s="45">
        <v>60</v>
      </c>
      <c r="AW116" s="45" t="s">
        <v>106</v>
      </c>
      <c r="AX116" s="45" t="s">
        <v>106</v>
      </c>
      <c r="AY116" s="45" t="s">
        <v>106</v>
      </c>
      <c r="AZ116" s="45" t="s">
        <v>106</v>
      </c>
      <c r="BA116" s="45" t="s">
        <v>106</v>
      </c>
      <c r="BB116" s="45">
        <v>20</v>
      </c>
      <c r="BC116" s="45" t="s">
        <v>106</v>
      </c>
      <c r="BD116" s="45" t="s">
        <v>106</v>
      </c>
      <c r="BE116" s="4"/>
      <c r="BJ116" s="4"/>
      <c r="BK116" s="4"/>
      <c r="BL116" s="4"/>
      <c r="BM116" s="4"/>
      <c r="BN116" s="4"/>
      <c r="BO116" s="38"/>
      <c r="BP116" s="164"/>
      <c r="BQ116" s="38"/>
      <c r="BR116" s="38"/>
      <c r="BS116" s="38"/>
      <c r="BT116" s="38"/>
      <c r="BU116" s="4"/>
      <c r="BV116" s="5"/>
      <c r="CO116" s="4"/>
      <c r="CP116" s="4"/>
      <c r="CQ116" s="4"/>
      <c r="CR116" s="4"/>
      <c r="CS116" s="4"/>
      <c r="CT116" s="4"/>
    </row>
    <row r="117" spans="3:98" outlineLevel="1">
      <c r="C117" s="4"/>
      <c r="P117" s="4"/>
      <c r="Q117" s="4"/>
      <c r="R117" s="4"/>
      <c r="U117" s="4"/>
      <c r="AA117" s="136" t="s">
        <v>50</v>
      </c>
      <c r="AC117" s="138"/>
      <c r="AD117" s="38"/>
      <c r="AI117" s="125"/>
      <c r="AJ117" s="125"/>
      <c r="AK117" s="123" t="s">
        <v>121</v>
      </c>
      <c r="AL117" s="148">
        <v>100</v>
      </c>
      <c r="AM117" s="132" t="s">
        <v>106</v>
      </c>
      <c r="AN117" s="132" t="s">
        <v>106</v>
      </c>
      <c r="AO117" s="45" t="s">
        <v>106</v>
      </c>
      <c r="AP117" s="45" t="s">
        <v>106</v>
      </c>
      <c r="AQ117" s="45" t="s">
        <v>106</v>
      </c>
      <c r="AR117" s="45">
        <v>120</v>
      </c>
      <c r="AS117" s="45" t="s">
        <v>106</v>
      </c>
      <c r="AU117" s="138" t="s">
        <v>199</v>
      </c>
      <c r="AV117" s="45">
        <v>30</v>
      </c>
      <c r="AW117" s="45" t="s">
        <v>106</v>
      </c>
      <c r="AX117" s="45" t="s">
        <v>106</v>
      </c>
      <c r="AY117" s="45" t="s">
        <v>106</v>
      </c>
      <c r="AZ117" s="45" t="s">
        <v>106</v>
      </c>
      <c r="BA117" s="45" t="s">
        <v>106</v>
      </c>
      <c r="BB117" s="45">
        <v>40</v>
      </c>
      <c r="BC117" s="45" t="s">
        <v>106</v>
      </c>
      <c r="BD117" s="45" t="s">
        <v>106</v>
      </c>
      <c r="BE117" s="4"/>
      <c r="BJ117" s="4"/>
      <c r="BK117" s="4"/>
      <c r="BL117" s="4"/>
      <c r="BM117" s="4"/>
      <c r="BN117" s="4"/>
      <c r="BO117" s="38"/>
      <c r="BP117" s="38"/>
      <c r="BQ117" s="38"/>
      <c r="BR117" s="38"/>
      <c r="BS117" s="38"/>
      <c r="BT117" s="38"/>
      <c r="BU117" s="4"/>
      <c r="BV117" s="5"/>
      <c r="CO117" s="4"/>
      <c r="CP117" s="4"/>
      <c r="CQ117" s="4"/>
      <c r="CR117" s="4"/>
      <c r="CS117" s="4"/>
      <c r="CT117" s="4"/>
    </row>
    <row r="118" spans="3:98" outlineLevel="1">
      <c r="C118" s="4"/>
      <c r="P118" s="4"/>
      <c r="Q118" s="4"/>
      <c r="R118" s="4"/>
      <c r="U118" s="4"/>
      <c r="AA118" s="136"/>
      <c r="AC118" s="136"/>
      <c r="AD118" s="38"/>
      <c r="AI118" s="125"/>
      <c r="AJ118" s="125"/>
      <c r="AK118" s="136" t="s">
        <v>50</v>
      </c>
      <c r="AL118" s="148">
        <v>0</v>
      </c>
      <c r="AM118" s="132">
        <v>0</v>
      </c>
      <c r="AN118" s="132">
        <v>0</v>
      </c>
      <c r="AO118" s="45">
        <v>0</v>
      </c>
      <c r="AP118" s="45">
        <v>0</v>
      </c>
      <c r="AQ118" s="45">
        <v>0</v>
      </c>
      <c r="AR118" s="45">
        <v>0</v>
      </c>
      <c r="AS118" s="45">
        <v>0</v>
      </c>
      <c r="AU118" s="138" t="s">
        <v>63</v>
      </c>
      <c r="AV118" s="45">
        <v>5</v>
      </c>
      <c r="AW118" s="45">
        <v>5</v>
      </c>
      <c r="AX118" s="45">
        <v>5</v>
      </c>
      <c r="AY118" s="45" t="s">
        <v>106</v>
      </c>
      <c r="AZ118" s="45" t="s">
        <v>106</v>
      </c>
      <c r="BA118" s="45" t="s">
        <v>106</v>
      </c>
      <c r="BB118" s="45" t="s">
        <v>106</v>
      </c>
      <c r="BC118" s="45" t="s">
        <v>106</v>
      </c>
      <c r="BD118" s="45" t="s">
        <v>106</v>
      </c>
      <c r="BE118" s="4"/>
      <c r="BJ118" s="4"/>
      <c r="BK118" s="4"/>
      <c r="BL118" s="4"/>
      <c r="BM118" s="4"/>
      <c r="BN118" s="4"/>
      <c r="BO118" s="38"/>
      <c r="BP118" s="38"/>
      <c r="BQ118" s="38"/>
      <c r="BR118" s="38"/>
      <c r="BS118" s="38"/>
      <c r="BT118" s="38"/>
      <c r="BU118" s="4"/>
      <c r="BV118" s="5"/>
      <c r="CO118" s="4"/>
      <c r="CP118" s="4"/>
      <c r="CQ118" s="4"/>
      <c r="CR118" s="4"/>
      <c r="CS118" s="4"/>
      <c r="CT118" s="4"/>
    </row>
    <row r="119" spans="3:98" outlineLevel="1">
      <c r="C119" s="4"/>
      <c r="P119" s="4"/>
      <c r="Q119" s="4"/>
      <c r="R119" s="4"/>
      <c r="U119" s="4"/>
      <c r="AI119" s="125"/>
      <c r="AJ119" s="125"/>
      <c r="AL119" s="150"/>
      <c r="AU119" s="136" t="s">
        <v>50</v>
      </c>
      <c r="AV119" s="45">
        <v>0</v>
      </c>
      <c r="AW119" s="45">
        <v>0</v>
      </c>
      <c r="AX119" s="45">
        <v>0</v>
      </c>
      <c r="AY119" s="45">
        <v>0</v>
      </c>
      <c r="AZ119" s="45">
        <v>0</v>
      </c>
      <c r="BA119" s="45">
        <v>0</v>
      </c>
      <c r="BB119" s="45">
        <v>0</v>
      </c>
      <c r="BC119" s="45">
        <v>0</v>
      </c>
      <c r="BD119" s="45">
        <v>0</v>
      </c>
      <c r="BE119" s="4"/>
      <c r="BJ119" s="4"/>
      <c r="BK119" s="4"/>
      <c r="BL119" s="4"/>
      <c r="BM119" s="4"/>
      <c r="BN119" s="4"/>
      <c r="BO119" s="38"/>
      <c r="BP119" s="38"/>
      <c r="BQ119" s="38"/>
      <c r="BR119" s="38"/>
      <c r="BS119" s="38"/>
      <c r="BT119" s="38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</row>
    <row r="120" spans="3:98" outlineLevel="1">
      <c r="C120" s="4"/>
      <c r="P120" s="4"/>
      <c r="Q120" s="4"/>
      <c r="R120" s="4"/>
      <c r="U120" s="4"/>
      <c r="AI120" s="125"/>
      <c r="AJ120" s="125"/>
      <c r="AL120" s="150"/>
      <c r="AV120" s="4"/>
      <c r="AW120" s="4"/>
      <c r="AX120" s="4"/>
      <c r="AY120" s="4"/>
      <c r="AZ120" s="4"/>
      <c r="BA120" s="4"/>
      <c r="BE120" s="4"/>
      <c r="BJ120" s="4"/>
      <c r="BK120" s="4"/>
      <c r="BL120" s="4"/>
      <c r="BM120" s="4"/>
      <c r="BN120" s="4"/>
      <c r="BO120" s="38"/>
      <c r="BP120" s="38"/>
      <c r="BQ120" s="38"/>
      <c r="BR120" s="38"/>
      <c r="BS120" s="38"/>
      <c r="BT120" s="38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</row>
    <row r="121" spans="3:98" outlineLevel="1">
      <c r="C121" s="4"/>
      <c r="P121" s="4"/>
      <c r="Q121" s="4"/>
      <c r="R121" s="4"/>
      <c r="U121" s="4"/>
      <c r="AI121" s="125"/>
      <c r="AJ121" s="125"/>
      <c r="AL121" s="150"/>
      <c r="AU121" s="209" t="s">
        <v>173</v>
      </c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4"/>
      <c r="BJ121" s="4"/>
      <c r="BK121" s="4"/>
      <c r="BL121" s="4"/>
      <c r="BM121" s="4"/>
      <c r="BN121" s="4"/>
      <c r="BO121" s="38"/>
      <c r="BP121" s="38"/>
      <c r="BQ121" s="38"/>
      <c r="BR121" s="38"/>
      <c r="BS121" s="38"/>
      <c r="BT121" s="38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</row>
    <row r="122" spans="3:98" outlineLevel="1">
      <c r="C122" s="4"/>
      <c r="P122" s="4"/>
      <c r="Q122" s="4"/>
      <c r="R122" s="4"/>
      <c r="U122" s="4"/>
      <c r="AI122" s="125"/>
      <c r="AJ122" s="125"/>
      <c r="AL122" s="150"/>
      <c r="AU122" s="167" t="s">
        <v>148</v>
      </c>
      <c r="AV122" s="45" t="s">
        <v>106</v>
      </c>
      <c r="AW122" s="45" t="s">
        <v>106</v>
      </c>
      <c r="AX122" s="45" t="s">
        <v>106</v>
      </c>
      <c r="AY122" s="45" t="s">
        <v>106</v>
      </c>
      <c r="AZ122" s="45" t="s">
        <v>106</v>
      </c>
      <c r="BA122" s="45" t="s">
        <v>106</v>
      </c>
      <c r="BB122" s="45" t="s">
        <v>106</v>
      </c>
      <c r="BC122" s="45" t="s">
        <v>106</v>
      </c>
      <c r="BD122" s="45">
        <v>90</v>
      </c>
      <c r="BE122" s="4"/>
      <c r="BJ122" s="4"/>
      <c r="BK122" s="4"/>
      <c r="BL122" s="4"/>
      <c r="BM122" s="4"/>
      <c r="BN122" s="4"/>
      <c r="BO122" s="38"/>
      <c r="BP122" s="38"/>
      <c r="BQ122" s="38"/>
      <c r="BR122" s="38"/>
      <c r="BS122" s="38"/>
      <c r="BT122" s="38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</row>
    <row r="123" spans="3:98" outlineLevel="1">
      <c r="C123" s="4"/>
      <c r="P123" s="4"/>
      <c r="Q123" s="4"/>
      <c r="R123" s="4"/>
      <c r="U123" s="4"/>
      <c r="AI123" s="125"/>
      <c r="AJ123" s="125"/>
      <c r="AL123" s="150"/>
      <c r="AU123" s="167" t="s">
        <v>147</v>
      </c>
      <c r="AV123" s="45" t="s">
        <v>106</v>
      </c>
      <c r="AW123" s="45" t="s">
        <v>106</v>
      </c>
      <c r="AX123" s="45" t="s">
        <v>106</v>
      </c>
      <c r="AY123" s="45" t="s">
        <v>106</v>
      </c>
      <c r="AZ123" s="45" t="s">
        <v>106</v>
      </c>
      <c r="BA123" s="45" t="s">
        <v>106</v>
      </c>
      <c r="BB123" s="45" t="s">
        <v>106</v>
      </c>
      <c r="BC123" s="45" t="s">
        <v>106</v>
      </c>
      <c r="BD123" s="45">
        <v>40</v>
      </c>
      <c r="BE123" s="4"/>
      <c r="BJ123" s="4"/>
      <c r="BK123" s="4"/>
      <c r="BL123" s="4"/>
      <c r="BM123" s="4"/>
      <c r="BN123" s="4"/>
      <c r="BO123" s="38"/>
      <c r="BP123" s="38"/>
      <c r="BQ123" s="38"/>
      <c r="BR123" s="38"/>
      <c r="BS123" s="38"/>
      <c r="BT123" s="38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</row>
    <row r="124" spans="3:98" outlineLevel="1">
      <c r="C124" s="4"/>
      <c r="P124" s="4"/>
      <c r="Q124" s="4"/>
      <c r="R124" s="4"/>
      <c r="U124" s="4"/>
      <c r="AI124" s="125"/>
      <c r="AJ124" s="125"/>
      <c r="AL124" s="150"/>
      <c r="AU124" s="167" t="s">
        <v>146</v>
      </c>
      <c r="AV124" s="45" t="s">
        <v>106</v>
      </c>
      <c r="AW124" s="45" t="s">
        <v>106</v>
      </c>
      <c r="AX124" s="45" t="s">
        <v>106</v>
      </c>
      <c r="AY124" s="45" t="s">
        <v>106</v>
      </c>
      <c r="AZ124" s="45" t="s">
        <v>106</v>
      </c>
      <c r="BA124" s="45" t="s">
        <v>106</v>
      </c>
      <c r="BB124" s="45" t="s">
        <v>106</v>
      </c>
      <c r="BC124" s="45" t="s">
        <v>106</v>
      </c>
      <c r="BD124" s="45">
        <v>70</v>
      </c>
      <c r="BE124" s="4"/>
      <c r="BJ124" s="4"/>
      <c r="BK124" s="4"/>
      <c r="BL124" s="4"/>
      <c r="BM124" s="4"/>
      <c r="BN124" s="4"/>
      <c r="BO124" s="38"/>
      <c r="BP124" s="38"/>
      <c r="BQ124" s="38"/>
      <c r="BR124" s="38"/>
      <c r="BS124" s="38"/>
      <c r="BT124" s="38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</row>
    <row r="125" spans="3:98" outlineLevel="1">
      <c r="C125" s="4"/>
      <c r="P125" s="4"/>
      <c r="Q125" s="4"/>
      <c r="R125" s="4"/>
      <c r="U125" s="4"/>
      <c r="AI125" s="125"/>
      <c r="AJ125" s="125"/>
      <c r="AL125" s="150"/>
      <c r="AU125" s="167" t="s">
        <v>149</v>
      </c>
      <c r="AV125" s="45" t="s">
        <v>106</v>
      </c>
      <c r="AW125" s="45" t="s">
        <v>106</v>
      </c>
      <c r="AX125" s="45" t="s">
        <v>106</v>
      </c>
      <c r="AY125" s="45" t="s">
        <v>106</v>
      </c>
      <c r="AZ125" s="45" t="s">
        <v>106</v>
      </c>
      <c r="BA125" s="45" t="s">
        <v>106</v>
      </c>
      <c r="BB125" s="45" t="s">
        <v>106</v>
      </c>
      <c r="BC125" s="45" t="s">
        <v>106</v>
      </c>
      <c r="BD125" s="45">
        <v>130</v>
      </c>
      <c r="BE125" s="4"/>
      <c r="BJ125" s="4"/>
      <c r="BK125" s="4"/>
      <c r="BL125" s="4"/>
      <c r="BM125" s="4"/>
      <c r="BN125" s="4"/>
      <c r="BO125" s="38"/>
      <c r="BP125" s="38"/>
      <c r="BQ125" s="38"/>
      <c r="BR125" s="38"/>
      <c r="BS125" s="38"/>
      <c r="BT125" s="38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</row>
    <row r="126" spans="3:98" outlineLevel="1">
      <c r="C126" s="4"/>
      <c r="P126" s="4"/>
      <c r="Q126" s="4"/>
      <c r="R126" s="4"/>
      <c r="U126" s="4"/>
      <c r="AI126" s="125"/>
      <c r="AJ126" s="125"/>
      <c r="AL126" s="150"/>
      <c r="AU126" s="136" t="s">
        <v>50</v>
      </c>
      <c r="AV126" s="45">
        <v>0</v>
      </c>
      <c r="AW126" s="45">
        <v>0</v>
      </c>
      <c r="AX126" s="45">
        <v>0</v>
      </c>
      <c r="AY126" s="45">
        <v>0</v>
      </c>
      <c r="AZ126" s="45">
        <v>0</v>
      </c>
      <c r="BA126" s="45">
        <v>0</v>
      </c>
      <c r="BB126" s="45">
        <v>0</v>
      </c>
      <c r="BC126" s="45">
        <v>0</v>
      </c>
      <c r="BD126" s="45">
        <v>0</v>
      </c>
      <c r="BE126" s="4"/>
      <c r="BJ126" s="4"/>
      <c r="BK126" s="4"/>
      <c r="BL126" s="4"/>
      <c r="BM126" s="4"/>
      <c r="BN126" s="4"/>
      <c r="BO126" s="38"/>
      <c r="BP126" s="38"/>
      <c r="BQ126" s="38"/>
      <c r="BR126" s="38"/>
      <c r="BS126" s="38"/>
      <c r="BT126" s="38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</row>
    <row r="127" spans="3:98" outlineLevel="1">
      <c r="C127" s="4"/>
      <c r="R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</row>
    <row r="128" spans="3:98" outlineLevel="1">
      <c r="C128" s="4"/>
      <c r="R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</row>
    <row r="129" spans="3:98" outlineLevel="1">
      <c r="C129" s="4"/>
      <c r="R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</row>
    <row r="130" spans="3:98" outlineLevel="1">
      <c r="C130" s="4"/>
      <c r="R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</row>
    <row r="131" spans="3:98" outlineLevel="1">
      <c r="C131" s="4"/>
      <c r="R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</row>
    <row r="132" spans="3:98" ht="23.25" outlineLevel="1">
      <c r="C132" s="4"/>
      <c r="R132" s="4"/>
      <c r="T132" s="12"/>
      <c r="V132" s="12"/>
      <c r="AQ132" s="18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</row>
    <row r="133" spans="3:98" ht="23.25" outlineLevel="1">
      <c r="C133" s="4"/>
      <c r="R133" s="4"/>
      <c r="T133" s="18"/>
      <c r="V133" s="18"/>
      <c r="W133" s="12"/>
      <c r="AQ133" s="12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</row>
  </sheetData>
  <sheetProtection password="CD66" sheet="1" objects="1" scenarios="1"/>
  <sortState ref="AU100:BD113">
    <sortCondition ref="AU99"/>
  </sortState>
  <dataConsolidate/>
  <mergeCells count="77">
    <mergeCell ref="DI11:DI12"/>
    <mergeCell ref="DH11:DH12"/>
    <mergeCell ref="DD11:DD12"/>
    <mergeCell ref="DC11:DC12"/>
    <mergeCell ref="DB11:DB12"/>
    <mergeCell ref="DE11:DE12"/>
    <mergeCell ref="DF11:DF12"/>
    <mergeCell ref="DG11:DG12"/>
    <mergeCell ref="DP11:DP12"/>
    <mergeCell ref="DO11:DO12"/>
    <mergeCell ref="DM11:DM12"/>
    <mergeCell ref="DL11:DL12"/>
    <mergeCell ref="DJ11:DJ12"/>
    <mergeCell ref="DN11:DN12"/>
    <mergeCell ref="CO65:CQ65"/>
    <mergeCell ref="A61:D61"/>
    <mergeCell ref="A62:D62"/>
    <mergeCell ref="A63:D63"/>
    <mergeCell ref="A60:S60"/>
    <mergeCell ref="K61:S61"/>
    <mergeCell ref="K62:S62"/>
    <mergeCell ref="K63:S63"/>
    <mergeCell ref="E61:J61"/>
    <mergeCell ref="E62:G62"/>
    <mergeCell ref="E63:G63"/>
    <mergeCell ref="H62:I62"/>
    <mergeCell ref="H63:I63"/>
    <mergeCell ref="R10:R11"/>
    <mergeCell ref="A13:O13"/>
    <mergeCell ref="P13:R13"/>
    <mergeCell ref="A55:R55"/>
    <mergeCell ref="E10:E11"/>
    <mergeCell ref="F10:F11"/>
    <mergeCell ref="G10:G11"/>
    <mergeCell ref="A38:R38"/>
    <mergeCell ref="O10:O11"/>
    <mergeCell ref="A10:A11"/>
    <mergeCell ref="B10:B11"/>
    <mergeCell ref="C10:C11"/>
    <mergeCell ref="D10:D11"/>
    <mergeCell ref="Q10:Q11"/>
    <mergeCell ref="A1:C1"/>
    <mergeCell ref="A2:C2"/>
    <mergeCell ref="G1:I1"/>
    <mergeCell ref="C7:F7"/>
    <mergeCell ref="C5:F5"/>
    <mergeCell ref="A3:I3"/>
    <mergeCell ref="C6:F6"/>
    <mergeCell ref="E2:F2"/>
    <mergeCell ref="E1:F1"/>
    <mergeCell ref="J1:N1"/>
    <mergeCell ref="J2:N2"/>
    <mergeCell ref="DD10:DG10"/>
    <mergeCell ref="J10:N10"/>
    <mergeCell ref="A9:I9"/>
    <mergeCell ref="H10:I10"/>
    <mergeCell ref="CH9:CV9"/>
    <mergeCell ref="C8:F8"/>
    <mergeCell ref="CG9:CG11"/>
    <mergeCell ref="S10:S11"/>
    <mergeCell ref="R4:S4"/>
    <mergeCell ref="R5:S5"/>
    <mergeCell ref="P6:S7"/>
    <mergeCell ref="P10:P11"/>
    <mergeCell ref="O2:S2"/>
    <mergeCell ref="O1:S1"/>
    <mergeCell ref="J3:S3"/>
    <mergeCell ref="K4:L9"/>
    <mergeCell ref="M6:M9"/>
    <mergeCell ref="N4:O4"/>
    <mergeCell ref="N5:O5"/>
    <mergeCell ref="P8:S9"/>
    <mergeCell ref="N6:O7"/>
    <mergeCell ref="N8:O9"/>
    <mergeCell ref="P4:Q4"/>
    <mergeCell ref="P5:Q5"/>
    <mergeCell ref="M4:M5"/>
  </mergeCells>
  <phoneticPr fontId="20" type="noConversion"/>
  <dataValidations count="23">
    <dataValidation type="list" allowBlank="1" showInputMessage="1" showErrorMessage="1" sqref="G6:G8">
      <formula1>$BG$85:$BG$86</formula1>
    </dataValidation>
    <dataValidation type="list" allowBlank="1" showInputMessage="1" showErrorMessage="1" sqref="E12">
      <formula1>$AF$74:$AF$76</formula1>
    </dataValidation>
    <dataValidation type="list" allowBlank="1" showInputMessage="1" showErrorMessage="1" sqref="E14:E37 E39:E56">
      <formula1>$AF$73:$AF$76</formula1>
    </dataValidation>
    <dataValidation type="list" allowBlank="1" showInputMessage="1" showErrorMessage="1" sqref="J12">
      <formula1>$AU$122:$AU$126</formula1>
    </dataValidation>
    <dataValidation type="list" allowBlank="1" showInputMessage="1" showErrorMessage="1" sqref="C5:F5">
      <formula1>$BF$74:$BF$81</formula1>
    </dataValidation>
    <dataValidation type="list" allowBlank="1" showInputMessage="1" showErrorMessage="1" sqref="C14:C37">
      <formula1>$U$84:$U$91</formula1>
    </dataValidation>
    <dataValidation type="list" allowBlank="1" showInputMessage="1" showErrorMessage="1" sqref="D56 D14:D37">
      <formula1>$U$73:$U$81</formula1>
    </dataValidation>
    <dataValidation type="list" allowBlank="1" showInputMessage="1" showErrorMessage="1" sqref="G14:G37">
      <formula1>$AK$74:$AK$82</formula1>
    </dataValidation>
    <dataValidation type="list" allowBlank="1" showInputMessage="1" showErrorMessage="1" sqref="I14:I37 I39:I56">
      <formula1>$AK$83:$AK$92</formula1>
    </dataValidation>
    <dataValidation type="list" allowBlank="1" showInputMessage="1" showErrorMessage="1" sqref="G2:I2">
      <formula1>$X$85:$X$92</formula1>
    </dataValidation>
    <dataValidation type="list" allowBlank="1" showInputMessage="1" showErrorMessage="1" sqref="C8:F8">
      <formula1>$BF$90:$BF$94</formula1>
    </dataValidation>
    <dataValidation type="list" allowBlank="1" showInputMessage="1" showErrorMessage="1" sqref="D39:D56">
      <formula1>$U$82:$U$82</formula1>
    </dataValidation>
    <dataValidation type="list" allowBlank="1" showInputMessage="1" showErrorMessage="1" sqref="H14:H37 H39:H56">
      <formula1>$AF$79:$AF$83</formula1>
    </dataValidation>
    <dataValidation type="list" allowBlank="1" showInputMessage="1" showErrorMessage="1" sqref="F56 F14:F37">
      <formula1>$AF$85:$AF$90</formula1>
    </dataValidation>
    <dataValidation type="list" allowBlank="1" showInputMessage="1" showErrorMessage="1" sqref="F39:F56">
      <formula1>$AF$85:$AF$86</formula1>
    </dataValidation>
    <dataValidation type="list" allowBlank="1" showInputMessage="1" showErrorMessage="1" sqref="C7:F7">
      <formula1>$BH$90:$BH$96</formula1>
    </dataValidation>
    <dataValidation type="list" allowBlank="1" showInputMessage="1" showErrorMessage="1" sqref="C6:F6">
      <formula1>$BF$99:$BF$106</formula1>
    </dataValidation>
    <dataValidation type="list" allowBlank="1" showInputMessage="1" showErrorMessage="1" sqref="G39:G56">
      <formula1>$Y$97:$Y$101</formula1>
    </dataValidation>
    <dataValidation type="list" allowBlank="1" showInputMessage="1" showErrorMessage="1" sqref="C39:C56">
      <formula1>$Z$85:$Z$88</formula1>
    </dataValidation>
    <dataValidation type="list" allowBlank="1" showInputMessage="1" showErrorMessage="1" sqref="J56:N56">
      <formula1>$AU$74:$AU$94</formula1>
    </dataValidation>
    <dataValidation type="list" allowBlank="1" showInputMessage="1" showErrorMessage="1" sqref="J14:N37">
      <formula1>$AA$98:$AA$117</formula1>
    </dataValidation>
    <dataValidation type="list" allowBlank="1" showInputMessage="1" showErrorMessage="1" sqref="J39:N56">
      <formula1>$AC$99:$AC$108</formula1>
    </dataValidation>
    <dataValidation type="list" allowBlank="1" showInputMessage="1" showErrorMessage="1" sqref="C56">
      <formula1>$AB$85:$AB$90</formula1>
    </dataValidation>
  </dataValidations>
  <pageMargins left="0.70000000000000007" right="0.70000000000000007" top="0.75000000000000011" bottom="0.75000000000000011" header="0.30000000000000004" footer="0.30000000000000004"/>
  <pageSetup paperSize="9" scale="51" orientation="landscape"/>
  <ignoredErrors>
    <ignoredError sqref="P6 O38:R38 H7:I8 P26:P29 P48:P54 DL52:DL54 K38 DL37 DL38:DL41 P14:P18 R26:R37 R14:R18 P39:P41 R48:R54 R39:R41 P32:P37 A38:F38 G38 H38:I38 J38 N38" emptyCellReference="1"/>
    <ignoredError sqref="K58" evalError="1"/>
    <ignoredError sqref="CH14:CK17 CQ39:CU39 CP38:DB38 CH37:CK37 CR37:CS37 DH37:DJ37 CW37:DB37 CW14:DB17 DH14:DJ17 CQ14:CS14 CW39:DB41 CR40:CU41 CH39:CK41 CH52:CK54 CR52:CU54 DH52:DJ54 CW52:DB54 CH38:CM38 CR15:CS17 CU37 CU14:CU17 DH38:DJ41 DD52:DD54 DD38:DD41" evalError="1" emptyCellReference="1"/>
  </ignoredErrors>
  <drawing r:id="rId1"/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02"/>
  <sheetViews>
    <sheetView topLeftCell="A8" zoomScale="80" zoomScaleNormal="80" workbookViewId="0">
      <selection activeCell="H19" sqref="H19"/>
    </sheetView>
  </sheetViews>
  <sheetFormatPr defaultColWidth="8.85546875" defaultRowHeight="15"/>
  <cols>
    <col min="1" max="1" width="1.28515625" style="4" customWidth="1"/>
    <col min="2" max="2" width="5.140625" style="285" customWidth="1"/>
    <col min="3" max="3" width="27.140625" style="123" customWidth="1"/>
    <col min="4" max="4" width="15.42578125" style="4" customWidth="1"/>
    <col min="5" max="5" width="4.28515625" style="4" customWidth="1"/>
    <col min="6" max="7" width="13.85546875" style="4" customWidth="1"/>
    <col min="8" max="8" width="12.7109375" style="4" customWidth="1"/>
    <col min="9" max="9" width="13" style="4" customWidth="1"/>
    <col min="10" max="10" width="16.28515625" style="4" customWidth="1"/>
    <col min="11" max="11" width="13.42578125" style="4" customWidth="1"/>
    <col min="12" max="12" width="15.140625" style="4" customWidth="1"/>
    <col min="13" max="13" width="8.85546875" style="4"/>
    <col min="14" max="14" width="1.28515625" style="4" customWidth="1"/>
    <col min="15" max="15" width="2.140625" style="5" customWidth="1"/>
    <col min="16" max="16" width="10.7109375" style="4" customWidth="1"/>
    <col min="17" max="16384" width="8.85546875" style="4"/>
  </cols>
  <sheetData>
    <row r="1" spans="1:24" ht="9" customHeight="1">
      <c r="A1" s="55"/>
      <c r="B1" s="278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279"/>
      <c r="O1" s="280"/>
    </row>
    <row r="2" spans="1:24" ht="18" customHeight="1">
      <c r="A2" s="55"/>
      <c r="B2" s="471" t="str">
        <f>'INPUT SHEET '!A2</f>
        <v>Viking</v>
      </c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279"/>
      <c r="O2" s="280"/>
    </row>
    <row r="3" spans="1:24" ht="18" customHeight="1">
      <c r="A3" s="55"/>
      <c r="B3" s="471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279"/>
      <c r="O3" s="280"/>
    </row>
    <row r="4" spans="1:24" ht="9" customHeight="1" thickBot="1">
      <c r="A4" s="55"/>
      <c r="B4" s="278"/>
      <c r="C4" s="442"/>
      <c r="D4" s="442"/>
      <c r="E4" s="442"/>
      <c r="F4" s="442"/>
      <c r="G4" s="442"/>
      <c r="H4" s="442"/>
      <c r="I4" s="442"/>
      <c r="J4" s="442"/>
      <c r="K4" s="442"/>
      <c r="L4" s="442"/>
      <c r="M4" s="442"/>
      <c r="N4" s="279"/>
      <c r="O4" s="280"/>
    </row>
    <row r="5" spans="1:24" ht="18.75">
      <c r="A5" s="55"/>
      <c r="B5" s="278"/>
      <c r="C5" s="267"/>
      <c r="D5" s="476" t="s">
        <v>322</v>
      </c>
      <c r="E5" s="477"/>
      <c r="F5" s="474" t="str">
        <f>'INPUT SHEET '!J2</f>
        <v>SR</v>
      </c>
      <c r="G5" s="475"/>
      <c r="H5" s="267"/>
      <c r="I5" s="267"/>
      <c r="J5" s="262" t="s">
        <v>134</v>
      </c>
      <c r="K5" s="478" t="str">
        <f>IF('INPUT SHEET '!O2=""," ",'INPUT SHEET '!O2)</f>
        <v xml:space="preserve"> </v>
      </c>
      <c r="L5" s="479"/>
      <c r="M5" s="480"/>
      <c r="N5" s="279"/>
      <c r="O5" s="280"/>
    </row>
    <row r="6" spans="1:24" ht="19.5" thickBot="1">
      <c r="A6" s="55"/>
      <c r="B6" s="278"/>
      <c r="C6" s="267"/>
      <c r="D6" s="258"/>
      <c r="E6" s="258"/>
      <c r="F6" s="258"/>
      <c r="G6" s="258"/>
      <c r="H6" s="267"/>
      <c r="I6" s="267"/>
      <c r="J6" s="258"/>
      <c r="K6" s="258"/>
      <c r="L6" s="258"/>
      <c r="M6" s="258"/>
      <c r="N6" s="279"/>
      <c r="O6" s="280"/>
    </row>
    <row r="7" spans="1:24" ht="15" customHeight="1">
      <c r="A7" s="55"/>
      <c r="B7" s="278"/>
      <c r="C7" s="281"/>
      <c r="D7" s="259" t="s">
        <v>296</v>
      </c>
      <c r="E7" s="268" t="s">
        <v>300</v>
      </c>
      <c r="F7" s="447" t="str">
        <f>'INPUT SHEET '!C5</f>
        <v>Talented Instinctive</v>
      </c>
      <c r="G7" s="448"/>
      <c r="H7" s="282"/>
      <c r="I7" s="282"/>
      <c r="J7" s="262" t="s">
        <v>303</v>
      </c>
      <c r="K7" s="438">
        <f>IF('INPUT SHEET '!D2=""," ",'INPUT SHEET '!D2)</f>
        <v>900</v>
      </c>
      <c r="L7" s="438"/>
      <c r="M7" s="439"/>
      <c r="N7" s="279"/>
      <c r="O7" s="280"/>
    </row>
    <row r="8" spans="1:24" ht="37.5">
      <c r="A8" s="55"/>
      <c r="B8" s="278"/>
      <c r="C8" s="281"/>
      <c r="D8" s="260" t="s">
        <v>297</v>
      </c>
      <c r="E8" s="269" t="str">
        <f>IF('INPUT SHEET '!G6="yes","Ally","Sub")</f>
        <v>Sub</v>
      </c>
      <c r="F8" s="449" t="str">
        <f>'INPUT SHEET '!C6</f>
        <v>Competent Instinctive</v>
      </c>
      <c r="G8" s="450"/>
      <c r="H8" s="431">
        <v>2019.1</v>
      </c>
      <c r="I8" s="432"/>
      <c r="J8" s="263" t="s">
        <v>183</v>
      </c>
      <c r="K8" s="440" t="str">
        <f>CONCATENATE('INPUT SHEET '!G2,"; ",'INPUT SHEET '!H2,"; ",'INPUT SHEET '!I2)</f>
        <v>Std; Cst; -</v>
      </c>
      <c r="L8" s="440"/>
      <c r="M8" s="441"/>
      <c r="N8" s="279"/>
      <c r="O8" s="280"/>
    </row>
    <row r="9" spans="1:24" ht="37.5">
      <c r="A9" s="55"/>
      <c r="B9" s="278"/>
      <c r="C9" s="281"/>
      <c r="D9" s="260" t="s">
        <v>298</v>
      </c>
      <c r="E9" s="269" t="str">
        <f>IF('INPUT SHEET '!G7="yes","Ally","Sub")</f>
        <v>Sub</v>
      </c>
      <c r="F9" s="449" t="str">
        <f>'INPUT SHEET '!C7</f>
        <v>Competent Instinctive</v>
      </c>
      <c r="G9" s="450"/>
      <c r="H9" s="431"/>
      <c r="I9" s="432"/>
      <c r="J9" s="263" t="s">
        <v>145</v>
      </c>
      <c r="K9" s="440" t="str">
        <f xml:space="preserve"> CONCATENATE('INPUT SHEET '!E12," ",IF('INPUT SHEET '!J12="-","Unfortified",'INPUT SHEET '!J12))</f>
        <v>Poor Fortified Camp</v>
      </c>
      <c r="L9" s="440"/>
      <c r="M9" s="441"/>
      <c r="N9" s="279"/>
      <c r="O9" s="280"/>
    </row>
    <row r="10" spans="1:24" ht="38.25" thickBot="1">
      <c r="A10" s="55"/>
      <c r="B10" s="278"/>
      <c r="C10" s="281"/>
      <c r="D10" s="261" t="s">
        <v>299</v>
      </c>
      <c r="E10" s="270" t="str">
        <f>IF('INPUT SHEET '!G8="yes","Ally","Sub")</f>
        <v>Sub</v>
      </c>
      <c r="F10" s="451" t="str">
        <f>'INPUT SHEET '!C8</f>
        <v>Competent Instinctive</v>
      </c>
      <c r="G10" s="452"/>
      <c r="H10" s="282"/>
      <c r="I10" s="282"/>
      <c r="J10" s="264" t="s">
        <v>321</v>
      </c>
      <c r="K10" s="435" t="str">
        <f>IF('INPUT SHEET '!E2=""," ",'INPUT SHEET '!E2)</f>
        <v xml:space="preserve"> </v>
      </c>
      <c r="L10" s="435"/>
      <c r="M10" s="436"/>
      <c r="N10" s="279"/>
      <c r="O10" s="280"/>
    </row>
    <row r="11" spans="1:24" ht="15.75" thickBot="1">
      <c r="A11" s="55"/>
      <c r="B11" s="278"/>
      <c r="C11" s="442"/>
      <c r="D11" s="442"/>
      <c r="E11" s="442"/>
      <c r="F11" s="442"/>
      <c r="G11" s="442"/>
      <c r="H11" s="442"/>
      <c r="I11" s="442"/>
      <c r="J11" s="442"/>
      <c r="K11" s="442"/>
      <c r="L11" s="442"/>
      <c r="M11" s="442"/>
      <c r="N11" s="279"/>
      <c r="O11" s="280"/>
    </row>
    <row r="12" spans="1:24" ht="17.25" customHeight="1">
      <c r="A12" s="55"/>
      <c r="B12" s="278"/>
      <c r="C12" s="283"/>
      <c r="D12" s="453" t="s">
        <v>318</v>
      </c>
      <c r="E12" s="454"/>
      <c r="F12" s="445">
        <f>'INPUT SHEET '!$P$8</f>
        <v>10388</v>
      </c>
      <c r="G12" s="446"/>
      <c r="H12" s="431"/>
      <c r="I12" s="432"/>
      <c r="J12" s="262" t="s">
        <v>29</v>
      </c>
      <c r="K12" s="265">
        <f>'INPUT SHEET '!P4</f>
        <v>5</v>
      </c>
      <c r="L12" s="457" t="s">
        <v>323</v>
      </c>
      <c r="M12" s="458"/>
      <c r="N12" s="279"/>
      <c r="O12" s="280"/>
    </row>
    <row r="13" spans="1:24" ht="18.75">
      <c r="A13" s="55"/>
      <c r="B13" s="278"/>
      <c r="C13" s="283"/>
      <c r="D13" s="455" t="s">
        <v>155</v>
      </c>
      <c r="E13" s="456"/>
      <c r="F13" s="443">
        <f>'INPUT SHEET '!P6</f>
        <v>5</v>
      </c>
      <c r="G13" s="444"/>
      <c r="H13" s="431"/>
      <c r="I13" s="432"/>
      <c r="J13" s="271" t="s">
        <v>306</v>
      </c>
      <c r="K13" s="272">
        <f>'INPUT SHEET '!P5</f>
        <v>1</v>
      </c>
      <c r="L13" s="433" t="s">
        <v>323</v>
      </c>
      <c r="M13" s="434"/>
      <c r="N13" s="279"/>
      <c r="O13" s="280"/>
      <c r="P13" s="472" t="s">
        <v>325</v>
      </c>
      <c r="Q13" s="472"/>
      <c r="R13" s="472"/>
      <c r="S13" s="472"/>
      <c r="T13" s="472"/>
      <c r="U13" s="472"/>
      <c r="V13" s="472"/>
      <c r="W13" s="472"/>
      <c r="X13" s="472"/>
    </row>
    <row r="14" spans="1:24" ht="9" customHeight="1">
      <c r="A14" s="55"/>
      <c r="B14" s="278"/>
      <c r="C14" s="442"/>
      <c r="D14" s="442"/>
      <c r="E14" s="442"/>
      <c r="F14" s="442"/>
      <c r="G14" s="442"/>
      <c r="H14" s="442"/>
      <c r="I14" s="442"/>
      <c r="J14" s="442"/>
      <c r="K14" s="442"/>
      <c r="L14" s="442"/>
      <c r="M14" s="442"/>
      <c r="N14" s="279"/>
      <c r="O14" s="280"/>
      <c r="P14" s="472"/>
      <c r="Q14" s="472"/>
      <c r="R14" s="472"/>
      <c r="S14" s="472"/>
      <c r="T14" s="472"/>
      <c r="U14" s="472"/>
      <c r="V14" s="472"/>
      <c r="W14" s="472"/>
      <c r="X14" s="472"/>
    </row>
    <row r="15" spans="1:24" ht="18.95" customHeight="1">
      <c r="A15" s="55"/>
      <c r="B15" s="469" t="s">
        <v>136</v>
      </c>
      <c r="C15" s="459" t="s">
        <v>6</v>
      </c>
      <c r="D15" s="437" t="s">
        <v>2</v>
      </c>
      <c r="E15" s="437"/>
      <c r="F15" s="273" t="s">
        <v>47</v>
      </c>
      <c r="G15" s="459" t="s">
        <v>301</v>
      </c>
      <c r="H15" s="275" t="s">
        <v>327</v>
      </c>
      <c r="I15" s="461" t="s">
        <v>302</v>
      </c>
      <c r="J15" s="462"/>
      <c r="K15" s="463"/>
      <c r="L15" s="274" t="s">
        <v>329</v>
      </c>
      <c r="M15" s="467" t="s">
        <v>304</v>
      </c>
      <c r="N15" s="279"/>
      <c r="O15" s="280"/>
      <c r="P15" s="472"/>
      <c r="Q15" s="472"/>
      <c r="R15" s="472"/>
      <c r="S15" s="472"/>
      <c r="T15" s="472"/>
      <c r="U15" s="472"/>
      <c r="V15" s="472"/>
      <c r="W15" s="472"/>
      <c r="X15" s="472"/>
    </row>
    <row r="16" spans="1:24" ht="18.95" customHeight="1">
      <c r="A16" s="55"/>
      <c r="B16" s="470"/>
      <c r="C16" s="460"/>
      <c r="D16" s="437" t="s">
        <v>328</v>
      </c>
      <c r="E16" s="437"/>
      <c r="F16" s="273" t="s">
        <v>48</v>
      </c>
      <c r="G16" s="460"/>
      <c r="H16" s="275" t="s">
        <v>326</v>
      </c>
      <c r="I16" s="464"/>
      <c r="J16" s="465"/>
      <c r="K16" s="466"/>
      <c r="L16" s="274" t="s">
        <v>330</v>
      </c>
      <c r="M16" s="468"/>
      <c r="N16" s="279"/>
      <c r="O16" s="280"/>
      <c r="P16" s="473"/>
      <c r="Q16" s="473"/>
      <c r="R16" s="473"/>
      <c r="S16" s="473"/>
      <c r="T16" s="473"/>
      <c r="U16" s="473"/>
      <c r="V16" s="473"/>
      <c r="W16" s="473"/>
      <c r="X16" s="473"/>
    </row>
    <row r="17" spans="1:16" ht="21.95" customHeight="1">
      <c r="A17" s="423" t="s">
        <v>295</v>
      </c>
      <c r="B17" s="423"/>
      <c r="C17" s="423"/>
      <c r="D17" s="423"/>
      <c r="E17" s="423"/>
      <c r="F17" s="423"/>
      <c r="G17" s="423"/>
      <c r="H17" s="423"/>
      <c r="I17" s="423"/>
      <c r="J17" s="423"/>
      <c r="K17" s="423"/>
      <c r="L17" s="423"/>
      <c r="M17" s="423"/>
      <c r="N17" s="423"/>
      <c r="O17" s="244"/>
      <c r="P17" s="284" t="s">
        <v>305</v>
      </c>
    </row>
    <row r="18" spans="1:16" ht="16.5" customHeight="1">
      <c r="A18" s="421"/>
      <c r="B18" s="420">
        <f>'INPUT SHEET '!A14</f>
        <v>1</v>
      </c>
      <c r="C18" s="425" t="str">
        <f>IF('INPUT SHEET '!B14=""," ",'INPUT SHEET '!B14)</f>
        <v>Huscarls</v>
      </c>
      <c r="D18" s="426" t="str">
        <f>'INPUT SHEET '!C14</f>
        <v>INFANTRY</v>
      </c>
      <c r="E18" s="426"/>
      <c r="F18" s="245" t="str">
        <f>'INPUT SHEET '!E14</f>
        <v>Superior</v>
      </c>
      <c r="G18" s="427" t="str">
        <f>'INPUT SHEET '!G14</f>
        <v>2-H Cut-Crush</v>
      </c>
      <c r="H18" s="245" t="str">
        <f>'INPUT SHEET '!H14</f>
        <v>-</v>
      </c>
      <c r="I18" s="427" t="str">
        <f>CONCATENATE('INPUT SHEET '!J14,"; ",'INPUT SHEET '!K14,"; ",'INPUT SHEET '!L14,"; ",'INPUT SHEET '!M14,"; ",'INPUT SHEET '!N14)</f>
        <v>Dismountable; Integral Shooters; -; -; -</v>
      </c>
      <c r="J18" s="427"/>
      <c r="K18" s="427"/>
      <c r="L18" s="246">
        <f>'INPUT SHEET '!O14</f>
        <v>6</v>
      </c>
      <c r="M18" s="429">
        <f>'INPUT SHEET '!Q14</f>
        <v>990</v>
      </c>
      <c r="N18" s="256"/>
      <c r="P18" s="257" t="b">
        <f>'INPUT SHEET '!A14&lt;&gt;0</f>
        <v>1</v>
      </c>
    </row>
    <row r="19" spans="1:16" ht="16.5" customHeight="1">
      <c r="A19" s="421"/>
      <c r="B19" s="420"/>
      <c r="C19" s="425"/>
      <c r="D19" s="428" t="str">
        <f>'INPUT SHEET '!D14</f>
        <v>Formed Flexible</v>
      </c>
      <c r="E19" s="428"/>
      <c r="F19" s="266" t="str">
        <f>'INPUT SHEET '!F14</f>
        <v>Protected</v>
      </c>
      <c r="G19" s="427"/>
      <c r="H19" s="247" t="str">
        <f>'INPUT SHEET '!I14</f>
        <v>-</v>
      </c>
      <c r="I19" s="427"/>
      <c r="J19" s="427"/>
      <c r="K19" s="427"/>
      <c r="L19" s="248">
        <f>'INPUT SHEET '!P14</f>
        <v>165</v>
      </c>
      <c r="M19" s="430"/>
      <c r="N19" s="256"/>
      <c r="P19" s="257" t="b">
        <f>P18</f>
        <v>1</v>
      </c>
    </row>
    <row r="20" spans="1:16" ht="16.5" customHeight="1">
      <c r="A20" s="421"/>
      <c r="B20" s="420">
        <f>'INPUT SHEET '!A15</f>
        <v>2</v>
      </c>
      <c r="C20" s="425" t="str">
        <f>IF('INPUT SHEET '!B15=""," ",'INPUT SHEET '!B15)</f>
        <v>Huscarls</v>
      </c>
      <c r="D20" s="426" t="str">
        <f>'INPUT SHEET '!C15</f>
        <v>INFANTRY</v>
      </c>
      <c r="E20" s="426"/>
      <c r="F20" s="245" t="str">
        <f>'INPUT SHEET '!E15</f>
        <v>Superior</v>
      </c>
      <c r="G20" s="427" t="str">
        <f>'INPUT SHEET '!G15</f>
        <v>2-H Cut-Crush</v>
      </c>
      <c r="H20" s="245" t="str">
        <f>'INPUT SHEET '!H15</f>
        <v>-</v>
      </c>
      <c r="I20" s="427" t="str">
        <f>CONCATENATE('INPUT SHEET '!J15,"; ",'INPUT SHEET '!K15,"; ",'INPUT SHEET '!L15,"; ",'INPUT SHEET '!M15,"; ",'INPUT SHEET '!N15)</f>
        <v>Dismountable; Integral Shooters; -; -; -</v>
      </c>
      <c r="J20" s="427"/>
      <c r="K20" s="427"/>
      <c r="L20" s="246">
        <f>'INPUT SHEET '!O15</f>
        <v>6</v>
      </c>
      <c r="M20" s="429">
        <f>'INPUT SHEET '!Q15</f>
        <v>990</v>
      </c>
      <c r="N20" s="256"/>
      <c r="P20" s="257" t="b">
        <f>'INPUT SHEET '!A15&lt;&gt;0</f>
        <v>1</v>
      </c>
    </row>
    <row r="21" spans="1:16" ht="16.5" customHeight="1">
      <c r="A21" s="421"/>
      <c r="B21" s="420"/>
      <c r="C21" s="425"/>
      <c r="D21" s="428" t="str">
        <f>'INPUT SHEET '!D15</f>
        <v>Formed Flexible</v>
      </c>
      <c r="E21" s="428"/>
      <c r="F21" s="266" t="str">
        <f>'INPUT SHEET '!F15</f>
        <v>Protected</v>
      </c>
      <c r="G21" s="427"/>
      <c r="H21" s="247" t="str">
        <f>'INPUT SHEET '!I15</f>
        <v>-</v>
      </c>
      <c r="I21" s="427"/>
      <c r="J21" s="427"/>
      <c r="K21" s="427"/>
      <c r="L21" s="248">
        <f>'INPUT SHEET '!P15</f>
        <v>165</v>
      </c>
      <c r="M21" s="430"/>
      <c r="N21" s="256"/>
      <c r="P21" s="257" t="b">
        <f>P20</f>
        <v>1</v>
      </c>
    </row>
    <row r="22" spans="1:16" ht="16.5" customHeight="1">
      <c r="A22" s="421"/>
      <c r="B22" s="420">
        <f>'INPUT SHEET '!A16</f>
        <v>3</v>
      </c>
      <c r="C22" s="425" t="str">
        <f>IF('INPUT SHEET '!B16=""," ",'INPUT SHEET '!B16)</f>
        <v>Huscarls</v>
      </c>
      <c r="D22" s="426" t="str">
        <f>'INPUT SHEET '!C16</f>
        <v>INFANTRY</v>
      </c>
      <c r="E22" s="426"/>
      <c r="F22" s="245" t="str">
        <f>'INPUT SHEET '!E16</f>
        <v>Superior</v>
      </c>
      <c r="G22" s="427" t="str">
        <f>'INPUT SHEET '!G16</f>
        <v>2-H Cut-Crush</v>
      </c>
      <c r="H22" s="245" t="str">
        <f>'INPUT SHEET '!H16</f>
        <v>-</v>
      </c>
      <c r="I22" s="427" t="str">
        <f>CONCATENATE('INPUT SHEET '!J16,"; ",'INPUT SHEET '!K16,"; ",'INPUT SHEET '!L16,"; ",'INPUT SHEET '!M16,"; ",'INPUT SHEET '!N16)</f>
        <v>Dismountable; Integral Shooters; -; -; -</v>
      </c>
      <c r="J22" s="427"/>
      <c r="K22" s="427"/>
      <c r="L22" s="246">
        <f>'INPUT SHEET '!O16</f>
        <v>6</v>
      </c>
      <c r="M22" s="429">
        <f>'INPUT SHEET '!Q16</f>
        <v>990</v>
      </c>
      <c r="N22" s="256"/>
      <c r="P22" s="257" t="b">
        <f>'INPUT SHEET '!A16&lt;&gt;0</f>
        <v>1</v>
      </c>
    </row>
    <row r="23" spans="1:16" ht="16.5" customHeight="1">
      <c r="A23" s="421"/>
      <c r="B23" s="420"/>
      <c r="C23" s="425"/>
      <c r="D23" s="428" t="str">
        <f>'INPUT SHEET '!D16</f>
        <v>Formed Flexible</v>
      </c>
      <c r="E23" s="428"/>
      <c r="F23" s="266" t="str">
        <f>'INPUT SHEET '!F16</f>
        <v>Protected</v>
      </c>
      <c r="G23" s="427"/>
      <c r="H23" s="247" t="str">
        <f>'INPUT SHEET '!I16</f>
        <v>-</v>
      </c>
      <c r="I23" s="427"/>
      <c r="J23" s="427"/>
      <c r="K23" s="427"/>
      <c r="L23" s="248">
        <f>'INPUT SHEET '!P16</f>
        <v>165</v>
      </c>
      <c r="M23" s="430"/>
      <c r="N23" s="256"/>
      <c r="P23" s="257" t="b">
        <f>P22</f>
        <v>1</v>
      </c>
    </row>
    <row r="24" spans="1:16" ht="16.5" customHeight="1">
      <c r="A24" s="421"/>
      <c r="B24" s="420">
        <f>'INPUT SHEET '!A17</f>
        <v>4</v>
      </c>
      <c r="C24" s="425" t="str">
        <f>IF('INPUT SHEET '!B17=""," ",'INPUT SHEET '!B17)</f>
        <v>Huscarls</v>
      </c>
      <c r="D24" s="426" t="str">
        <f>'INPUT SHEET '!C17</f>
        <v>INFANTRY</v>
      </c>
      <c r="E24" s="426"/>
      <c r="F24" s="245" t="str">
        <f>'INPUT SHEET '!E17</f>
        <v>Superior</v>
      </c>
      <c r="G24" s="427" t="str">
        <f>'INPUT SHEET '!G17</f>
        <v>2-H Cut-Crush</v>
      </c>
      <c r="H24" s="245" t="str">
        <f>'INPUT SHEET '!H17</f>
        <v>-</v>
      </c>
      <c r="I24" s="427" t="str">
        <f>CONCATENATE('INPUT SHEET '!J17,"; ",'INPUT SHEET '!K17,"; ",'INPUT SHEET '!L17,"; ",'INPUT SHEET '!M17,"; ",'INPUT SHEET '!N17)</f>
        <v>Dismountable; Integral Shooters; -; -; -</v>
      </c>
      <c r="J24" s="427"/>
      <c r="K24" s="427"/>
      <c r="L24" s="246">
        <f>'INPUT SHEET '!O17</f>
        <v>6</v>
      </c>
      <c r="M24" s="429">
        <f>'INPUT SHEET '!Q17</f>
        <v>990</v>
      </c>
      <c r="N24" s="256"/>
      <c r="P24" s="257" t="b">
        <f>'INPUT SHEET '!A17&lt;&gt;0</f>
        <v>1</v>
      </c>
    </row>
    <row r="25" spans="1:16" ht="16.5" customHeight="1">
      <c r="A25" s="421"/>
      <c r="B25" s="420"/>
      <c r="C25" s="425"/>
      <c r="D25" s="428" t="str">
        <f>'INPUT SHEET '!D17</f>
        <v>Formed Flexible</v>
      </c>
      <c r="E25" s="428"/>
      <c r="F25" s="266" t="str">
        <f>'INPUT SHEET '!F17</f>
        <v>Protected</v>
      </c>
      <c r="G25" s="427"/>
      <c r="H25" s="247" t="str">
        <f>'INPUT SHEET '!I17</f>
        <v>-</v>
      </c>
      <c r="I25" s="427"/>
      <c r="J25" s="427"/>
      <c r="K25" s="427"/>
      <c r="L25" s="248">
        <f>'INPUT SHEET '!P17</f>
        <v>165</v>
      </c>
      <c r="M25" s="430"/>
      <c r="N25" s="256"/>
      <c r="P25" s="257" t="b">
        <f>P24</f>
        <v>1</v>
      </c>
    </row>
    <row r="26" spans="1:16" ht="16.5" customHeight="1">
      <c r="A26" s="421"/>
      <c r="B26" s="420">
        <f>'INPUT SHEET '!A18</f>
        <v>5</v>
      </c>
      <c r="C26" s="425" t="str">
        <f>IF('INPUT SHEET '!B18=""," ",'INPUT SHEET '!B18)</f>
        <v>Hird</v>
      </c>
      <c r="D26" s="426" t="str">
        <f>'INPUT SHEET '!C18</f>
        <v>INFANTRY</v>
      </c>
      <c r="E26" s="426"/>
      <c r="F26" s="245" t="str">
        <f>'INPUT SHEET '!E18</f>
        <v>Average</v>
      </c>
      <c r="G26" s="427" t="str">
        <f>'INPUT SHEET '!G18</f>
        <v>Short Spear</v>
      </c>
      <c r="H26" s="245" t="str">
        <f>'INPUT SHEET '!H18</f>
        <v>-</v>
      </c>
      <c r="I26" s="427" t="str">
        <f>CONCATENATE('INPUT SHEET '!J18,"; ",'INPUT SHEET '!K18,"; ",'INPUT SHEET '!L18,"; ",'INPUT SHEET '!M18,"; ",'INPUT SHEET '!N18)</f>
        <v>Shieldwall; Integral Shooters; -; -; -</v>
      </c>
      <c r="J26" s="427"/>
      <c r="K26" s="427"/>
      <c r="L26" s="246">
        <f>'INPUT SHEET '!O18</f>
        <v>8</v>
      </c>
      <c r="M26" s="429">
        <f>'INPUT SHEET '!Q18</f>
        <v>664</v>
      </c>
      <c r="N26" s="256"/>
      <c r="P26" s="257" t="b">
        <f>'INPUT SHEET '!A18&lt;&gt;0</f>
        <v>1</v>
      </c>
    </row>
    <row r="27" spans="1:16" ht="16.5" customHeight="1">
      <c r="A27" s="421"/>
      <c r="B27" s="420"/>
      <c r="C27" s="425"/>
      <c r="D27" s="428" t="str">
        <f>'INPUT SHEET '!D18</f>
        <v>Formed Close</v>
      </c>
      <c r="E27" s="428"/>
      <c r="F27" s="266" t="str">
        <f>'INPUT SHEET '!F18</f>
        <v>Protected</v>
      </c>
      <c r="G27" s="427"/>
      <c r="H27" s="247" t="str">
        <f>'INPUT SHEET '!I18</f>
        <v>-</v>
      </c>
      <c r="I27" s="427"/>
      <c r="J27" s="427"/>
      <c r="K27" s="427"/>
      <c r="L27" s="248">
        <f>'INPUT SHEET '!P18</f>
        <v>83</v>
      </c>
      <c r="M27" s="430"/>
      <c r="N27" s="256"/>
      <c r="P27" s="257" t="b">
        <f>P26</f>
        <v>1</v>
      </c>
    </row>
    <row r="28" spans="1:16" ht="16.5" customHeight="1">
      <c r="A28" s="421"/>
      <c r="B28" s="420">
        <f>'INPUT SHEET '!A19</f>
        <v>6</v>
      </c>
      <c r="C28" s="425" t="str">
        <f>IF('INPUT SHEET '!B19=""," ",'INPUT SHEET '!B19)</f>
        <v>Hird</v>
      </c>
      <c r="D28" s="426" t="str">
        <f>'INPUT SHEET '!C19</f>
        <v>INFANTRY</v>
      </c>
      <c r="E28" s="426"/>
      <c r="F28" s="245" t="str">
        <f>'INPUT SHEET '!E19</f>
        <v>Average</v>
      </c>
      <c r="G28" s="427" t="str">
        <f>'INPUT SHEET '!G19</f>
        <v>Short Spear</v>
      </c>
      <c r="H28" s="245" t="str">
        <f>'INPUT SHEET '!H19</f>
        <v>-</v>
      </c>
      <c r="I28" s="427" t="str">
        <f>CONCATENATE('INPUT SHEET '!J19,"; ",'INPUT SHEET '!K19,"; ",'INPUT SHEET '!L19,"; ",'INPUT SHEET '!M19,"; ",'INPUT SHEET '!N19)</f>
        <v>Shieldwall; Integral Shooters; -; -; -</v>
      </c>
      <c r="J28" s="427"/>
      <c r="K28" s="427"/>
      <c r="L28" s="246">
        <f>'INPUT SHEET '!O19</f>
        <v>8</v>
      </c>
      <c r="M28" s="429">
        <f>'INPUT SHEET '!Q19</f>
        <v>664</v>
      </c>
      <c r="N28" s="256"/>
      <c r="P28" s="257" t="b">
        <f>'INPUT SHEET '!A19&lt;&gt;0</f>
        <v>1</v>
      </c>
    </row>
    <row r="29" spans="1:16" ht="16.5" customHeight="1">
      <c r="A29" s="421"/>
      <c r="B29" s="420"/>
      <c r="C29" s="425"/>
      <c r="D29" s="428" t="str">
        <f>'INPUT SHEET '!D19</f>
        <v>Formed Close</v>
      </c>
      <c r="E29" s="428"/>
      <c r="F29" s="266" t="str">
        <f>'INPUT SHEET '!F19</f>
        <v>Protected</v>
      </c>
      <c r="G29" s="427"/>
      <c r="H29" s="247" t="str">
        <f>'INPUT SHEET '!I19</f>
        <v>-</v>
      </c>
      <c r="I29" s="427"/>
      <c r="J29" s="427"/>
      <c r="K29" s="427"/>
      <c r="L29" s="248">
        <f>'INPUT SHEET '!P19</f>
        <v>83</v>
      </c>
      <c r="M29" s="430"/>
      <c r="N29" s="256"/>
      <c r="P29" s="257" t="b">
        <f>P28</f>
        <v>1</v>
      </c>
    </row>
    <row r="30" spans="1:16" ht="16.5" customHeight="1">
      <c r="A30" s="421"/>
      <c r="B30" s="420">
        <f>'INPUT SHEET '!A20</f>
        <v>7</v>
      </c>
      <c r="C30" s="425" t="str">
        <f>IF('INPUT SHEET '!B20=""," ",'INPUT SHEET '!B20)</f>
        <v>Hird</v>
      </c>
      <c r="D30" s="426" t="str">
        <f>'INPUT SHEET '!C20</f>
        <v>INFANTRY</v>
      </c>
      <c r="E30" s="426"/>
      <c r="F30" s="245" t="str">
        <f>'INPUT SHEET '!E20</f>
        <v>Average</v>
      </c>
      <c r="G30" s="427" t="str">
        <f>'INPUT SHEET '!G20</f>
        <v>Short Spear</v>
      </c>
      <c r="H30" s="245" t="str">
        <f>'INPUT SHEET '!H20</f>
        <v>-</v>
      </c>
      <c r="I30" s="427" t="str">
        <f>CONCATENATE('INPUT SHEET '!J20,"; ",'INPUT SHEET '!K20,"; ",'INPUT SHEET '!L20,"; ",'INPUT SHEET '!M20,"; ",'INPUT SHEET '!N20)</f>
        <v>Shieldwall; Integral Shooters; -; -; -</v>
      </c>
      <c r="J30" s="427"/>
      <c r="K30" s="427"/>
      <c r="L30" s="246">
        <f>'INPUT SHEET '!O20</f>
        <v>8</v>
      </c>
      <c r="M30" s="429">
        <f>'INPUT SHEET '!Q20</f>
        <v>664</v>
      </c>
      <c r="N30" s="256"/>
      <c r="P30" s="257" t="b">
        <f>'INPUT SHEET '!A20&lt;&gt;0</f>
        <v>1</v>
      </c>
    </row>
    <row r="31" spans="1:16" ht="16.5" customHeight="1">
      <c r="A31" s="421"/>
      <c r="B31" s="420"/>
      <c r="C31" s="425"/>
      <c r="D31" s="428" t="str">
        <f>'INPUT SHEET '!D20</f>
        <v>Formed Close</v>
      </c>
      <c r="E31" s="428"/>
      <c r="F31" s="266" t="str">
        <f>'INPUT SHEET '!F20</f>
        <v>Protected</v>
      </c>
      <c r="G31" s="427"/>
      <c r="H31" s="247" t="str">
        <f>'INPUT SHEET '!I20</f>
        <v>-</v>
      </c>
      <c r="I31" s="427"/>
      <c r="J31" s="427"/>
      <c r="K31" s="427"/>
      <c r="L31" s="248">
        <f>'INPUT SHEET '!P20</f>
        <v>83</v>
      </c>
      <c r="M31" s="430"/>
      <c r="N31" s="256"/>
      <c r="P31" s="257" t="b">
        <f>P30</f>
        <v>1</v>
      </c>
    </row>
    <row r="32" spans="1:16" ht="16.5" customHeight="1">
      <c r="A32" s="421"/>
      <c r="B32" s="420">
        <f>'INPUT SHEET '!A21</f>
        <v>8</v>
      </c>
      <c r="C32" s="425" t="str">
        <f>IF('INPUT SHEET '!B21=""," ",'INPUT SHEET '!B21)</f>
        <v>Hird</v>
      </c>
      <c r="D32" s="426" t="str">
        <f>'INPUT SHEET '!C21</f>
        <v>INFANTRY</v>
      </c>
      <c r="E32" s="426"/>
      <c r="F32" s="245" t="str">
        <f>'INPUT SHEET '!E21</f>
        <v>Average</v>
      </c>
      <c r="G32" s="427" t="str">
        <f>'INPUT SHEET '!G21</f>
        <v>Short Spear</v>
      </c>
      <c r="H32" s="245" t="str">
        <f>'INPUT SHEET '!H21</f>
        <v>-</v>
      </c>
      <c r="I32" s="427" t="str">
        <f>CONCATENATE('INPUT SHEET '!J21,"; ",'INPUT SHEET '!K21,"; ",'INPUT SHEET '!L21,"; ",'INPUT SHEET '!M21,"; ",'INPUT SHEET '!N21)</f>
        <v>Shieldwall; Integral Shooters; -; -; -</v>
      </c>
      <c r="J32" s="427"/>
      <c r="K32" s="427"/>
      <c r="L32" s="246">
        <f>'INPUT SHEET '!O21</f>
        <v>8</v>
      </c>
      <c r="M32" s="429">
        <f>'INPUT SHEET '!Q21</f>
        <v>664</v>
      </c>
      <c r="N32" s="256"/>
      <c r="P32" s="257" t="b">
        <f>'INPUT SHEET '!A21&lt;&gt;0</f>
        <v>1</v>
      </c>
    </row>
    <row r="33" spans="1:16" ht="16.5" customHeight="1">
      <c r="A33" s="421"/>
      <c r="B33" s="420"/>
      <c r="C33" s="425"/>
      <c r="D33" s="428" t="str">
        <f>'INPUT SHEET '!D21</f>
        <v>Formed Close</v>
      </c>
      <c r="E33" s="428"/>
      <c r="F33" s="266" t="str">
        <f>'INPUT SHEET '!F21</f>
        <v>Protected</v>
      </c>
      <c r="G33" s="427"/>
      <c r="H33" s="247" t="str">
        <f>'INPUT SHEET '!I21</f>
        <v>-</v>
      </c>
      <c r="I33" s="427"/>
      <c r="J33" s="427"/>
      <c r="K33" s="427"/>
      <c r="L33" s="248">
        <f>'INPUT SHEET '!P21</f>
        <v>83</v>
      </c>
      <c r="M33" s="430"/>
      <c r="N33" s="256"/>
      <c r="P33" s="257" t="b">
        <f>P32</f>
        <v>1</v>
      </c>
    </row>
    <row r="34" spans="1:16" ht="16.5" customHeight="1">
      <c r="A34" s="421"/>
      <c r="B34" s="420">
        <f>'INPUT SHEET '!A22</f>
        <v>9</v>
      </c>
      <c r="C34" s="425" t="str">
        <f>IF('INPUT SHEET '!B22=""," ",'INPUT SHEET '!B22)</f>
        <v>Hird</v>
      </c>
      <c r="D34" s="426" t="str">
        <f>'INPUT SHEET '!C22</f>
        <v>INFANTRY</v>
      </c>
      <c r="E34" s="426"/>
      <c r="F34" s="245" t="str">
        <f>'INPUT SHEET '!E22</f>
        <v>Average</v>
      </c>
      <c r="G34" s="427" t="str">
        <f>'INPUT SHEET '!G22</f>
        <v>Short Spear</v>
      </c>
      <c r="H34" s="245" t="str">
        <f>'INPUT SHEET '!H22</f>
        <v>-</v>
      </c>
      <c r="I34" s="427" t="str">
        <f>CONCATENATE('INPUT SHEET '!J22,"; ",'INPUT SHEET '!K22,"; ",'INPUT SHEET '!L22,"; ",'INPUT SHEET '!M22,"; ",'INPUT SHEET '!N22)</f>
        <v>Shieldwall; Integral Shooters; -; -; -</v>
      </c>
      <c r="J34" s="427"/>
      <c r="K34" s="427"/>
      <c r="L34" s="246">
        <f>'INPUT SHEET '!O22</f>
        <v>8</v>
      </c>
      <c r="M34" s="429">
        <f>'INPUT SHEET '!Q22</f>
        <v>664</v>
      </c>
      <c r="N34" s="256"/>
      <c r="P34" s="257" t="b">
        <f>'INPUT SHEET '!A22&lt;&gt;0</f>
        <v>1</v>
      </c>
    </row>
    <row r="35" spans="1:16" ht="16.5" customHeight="1">
      <c r="A35" s="421"/>
      <c r="B35" s="420"/>
      <c r="C35" s="425"/>
      <c r="D35" s="428" t="str">
        <f>'INPUT SHEET '!D22</f>
        <v>Formed Close</v>
      </c>
      <c r="E35" s="428"/>
      <c r="F35" s="266" t="str">
        <f>'INPUT SHEET '!F22</f>
        <v>Protected</v>
      </c>
      <c r="G35" s="427"/>
      <c r="H35" s="247" t="str">
        <f>'INPUT SHEET '!I22</f>
        <v>-</v>
      </c>
      <c r="I35" s="427"/>
      <c r="J35" s="427"/>
      <c r="K35" s="427"/>
      <c r="L35" s="248">
        <f>'INPUT SHEET '!P22</f>
        <v>83</v>
      </c>
      <c r="M35" s="430"/>
      <c r="N35" s="256"/>
      <c r="P35" s="257" t="b">
        <f>P34</f>
        <v>1</v>
      </c>
    </row>
    <row r="36" spans="1:16" ht="16.5" customHeight="1">
      <c r="A36" s="421"/>
      <c r="B36" s="420">
        <f>'INPUT SHEET '!A23</f>
        <v>0</v>
      </c>
      <c r="C36" s="425" t="str">
        <f>IF('INPUT SHEET '!B23=""," ",'INPUT SHEET '!B23)</f>
        <v xml:space="preserve"> </v>
      </c>
      <c r="D36" s="426" t="str">
        <f>'INPUT SHEET '!C23</f>
        <v>INFANTRY</v>
      </c>
      <c r="E36" s="426"/>
      <c r="F36" s="245" t="str">
        <f>'INPUT SHEET '!E23</f>
        <v>Average</v>
      </c>
      <c r="G36" s="427" t="str">
        <f>'INPUT SHEET '!G23</f>
        <v>-</v>
      </c>
      <c r="H36" s="245" t="str">
        <f>'INPUT SHEET '!H23</f>
        <v>-</v>
      </c>
      <c r="I36" s="427" t="str">
        <f>CONCATENATE('INPUT SHEET '!J23,"; ",'INPUT SHEET '!K23,"; ",'INPUT SHEET '!L23,"; ",'INPUT SHEET '!M23,"; ",'INPUT SHEET '!N23)</f>
        <v>-; -; -; -; -</v>
      </c>
      <c r="J36" s="427"/>
      <c r="K36" s="427"/>
      <c r="L36" s="246">
        <f>'INPUT SHEET '!O23</f>
        <v>0</v>
      </c>
      <c r="M36" s="429">
        <f>'INPUT SHEET '!Q23</f>
        <v>0</v>
      </c>
      <c r="N36" s="256"/>
      <c r="P36" s="257" t="b">
        <f>'INPUT SHEET '!A23&lt;&gt;0</f>
        <v>0</v>
      </c>
    </row>
    <row r="37" spans="1:16" ht="16.5" customHeight="1">
      <c r="A37" s="421"/>
      <c r="B37" s="420"/>
      <c r="C37" s="425"/>
      <c r="D37" s="428" t="str">
        <f>'INPUT SHEET '!D23</f>
        <v>Formed Loose</v>
      </c>
      <c r="E37" s="428"/>
      <c r="F37" s="266" t="str">
        <f>'INPUT SHEET '!F23</f>
        <v>Protected</v>
      </c>
      <c r="G37" s="427"/>
      <c r="H37" s="247" t="str">
        <f>'INPUT SHEET '!I23</f>
        <v>-</v>
      </c>
      <c r="I37" s="427"/>
      <c r="J37" s="427"/>
      <c r="K37" s="427"/>
      <c r="L37" s="248">
        <f>'INPUT SHEET '!P23</f>
        <v>0</v>
      </c>
      <c r="M37" s="430"/>
      <c r="N37" s="256"/>
      <c r="P37" s="257" t="b">
        <f>P36</f>
        <v>0</v>
      </c>
    </row>
    <row r="38" spans="1:16" ht="16.5" customHeight="1">
      <c r="A38" s="421"/>
      <c r="B38" s="420">
        <f>'INPUT SHEET '!A24</f>
        <v>0</v>
      </c>
      <c r="C38" s="425" t="str">
        <f>IF('INPUT SHEET '!B24=""," ",'INPUT SHEET '!B24)</f>
        <v xml:space="preserve"> </v>
      </c>
      <c r="D38" s="426" t="str">
        <f>'INPUT SHEET '!C24</f>
        <v>INFANTRY</v>
      </c>
      <c r="E38" s="426"/>
      <c r="F38" s="245" t="str">
        <f>'INPUT SHEET '!E24</f>
        <v>Average</v>
      </c>
      <c r="G38" s="427" t="str">
        <f>'INPUT SHEET '!G24</f>
        <v>-</v>
      </c>
      <c r="H38" s="245" t="str">
        <f>'INPUT SHEET '!H24</f>
        <v>-</v>
      </c>
      <c r="I38" s="427" t="str">
        <f>CONCATENATE('INPUT SHEET '!J24,"; ",'INPUT SHEET '!K24,"; ",'INPUT SHEET '!L24,"; ",'INPUT SHEET '!M24,"; ",'INPUT SHEET '!N24)</f>
        <v>-; -; -; -; -</v>
      </c>
      <c r="J38" s="427"/>
      <c r="K38" s="427"/>
      <c r="L38" s="246">
        <f>'INPUT SHEET '!O24</f>
        <v>0</v>
      </c>
      <c r="M38" s="429">
        <f>'INPUT SHEET '!Q24</f>
        <v>0</v>
      </c>
      <c r="N38" s="256"/>
      <c r="P38" s="257" t="b">
        <f>'INPUT SHEET '!A24&lt;&gt;0</f>
        <v>0</v>
      </c>
    </row>
    <row r="39" spans="1:16" ht="16.5" customHeight="1">
      <c r="A39" s="421"/>
      <c r="B39" s="420"/>
      <c r="C39" s="425"/>
      <c r="D39" s="428" t="str">
        <f>'INPUT SHEET '!D24</f>
        <v>Formed Loose</v>
      </c>
      <c r="E39" s="428"/>
      <c r="F39" s="266" t="str">
        <f>'INPUT SHEET '!F24</f>
        <v>Protected</v>
      </c>
      <c r="G39" s="427"/>
      <c r="H39" s="247" t="str">
        <f>'INPUT SHEET '!I24</f>
        <v>-</v>
      </c>
      <c r="I39" s="427"/>
      <c r="J39" s="427"/>
      <c r="K39" s="427"/>
      <c r="L39" s="248">
        <f>'INPUT SHEET '!P24</f>
        <v>0</v>
      </c>
      <c r="M39" s="430"/>
      <c r="N39" s="256"/>
      <c r="P39" s="257" t="b">
        <f>P38</f>
        <v>0</v>
      </c>
    </row>
    <row r="40" spans="1:16" ht="16.5" customHeight="1">
      <c r="A40" s="421"/>
      <c r="B40" s="420">
        <f>'INPUT SHEET '!A25</f>
        <v>0</v>
      </c>
      <c r="C40" s="425" t="str">
        <f>IF('INPUT SHEET '!B25=""," ",'INPUT SHEET '!B25)</f>
        <v xml:space="preserve"> </v>
      </c>
      <c r="D40" s="426" t="str">
        <f>'INPUT SHEET '!C25</f>
        <v>INFANTRY</v>
      </c>
      <c r="E40" s="426"/>
      <c r="F40" s="245" t="str">
        <f>'INPUT SHEET '!E25</f>
        <v>Average</v>
      </c>
      <c r="G40" s="427" t="str">
        <f>'INPUT SHEET '!G25</f>
        <v>-</v>
      </c>
      <c r="H40" s="245" t="str">
        <f>'INPUT SHEET '!H25</f>
        <v>-</v>
      </c>
      <c r="I40" s="427" t="str">
        <f>CONCATENATE('INPUT SHEET '!J25,"; ",'INPUT SHEET '!K25,"; ",'INPUT SHEET '!L25,"; ",'INPUT SHEET '!M25,"; ",'INPUT SHEET '!N25)</f>
        <v>-; -; -; -; -</v>
      </c>
      <c r="J40" s="427"/>
      <c r="K40" s="427"/>
      <c r="L40" s="246">
        <f>'INPUT SHEET '!O25</f>
        <v>0</v>
      </c>
      <c r="M40" s="429">
        <f>'INPUT SHEET '!Q25</f>
        <v>0</v>
      </c>
      <c r="N40" s="256"/>
      <c r="P40" s="257" t="b">
        <f>'INPUT SHEET '!A25&lt;&gt;0</f>
        <v>0</v>
      </c>
    </row>
    <row r="41" spans="1:16" ht="16.5" customHeight="1">
      <c r="A41" s="421"/>
      <c r="B41" s="420"/>
      <c r="C41" s="425"/>
      <c r="D41" s="428" t="str">
        <f>'INPUT SHEET '!D25</f>
        <v>Formed Loose</v>
      </c>
      <c r="E41" s="428"/>
      <c r="F41" s="266" t="str">
        <f>'INPUT SHEET '!F25</f>
        <v>Protected</v>
      </c>
      <c r="G41" s="427"/>
      <c r="H41" s="247" t="str">
        <f>'INPUT SHEET '!I25</f>
        <v>-</v>
      </c>
      <c r="I41" s="427"/>
      <c r="J41" s="427"/>
      <c r="K41" s="427"/>
      <c r="L41" s="248">
        <f>'INPUT SHEET '!P25</f>
        <v>0</v>
      </c>
      <c r="M41" s="430"/>
      <c r="N41" s="256"/>
      <c r="P41" s="257" t="b">
        <f>P40</f>
        <v>0</v>
      </c>
    </row>
    <row r="42" spans="1:16" ht="16.5" customHeight="1">
      <c r="A42" s="421"/>
      <c r="B42" s="420">
        <f>'INPUT SHEET '!A26</f>
        <v>0</v>
      </c>
      <c r="C42" s="425" t="str">
        <f>IF('INPUT SHEET '!B26=""," ",'INPUT SHEET '!B26)</f>
        <v xml:space="preserve"> </v>
      </c>
      <c r="D42" s="426" t="str">
        <f>'INPUT SHEET '!C26</f>
        <v>INFANTRY</v>
      </c>
      <c r="E42" s="426"/>
      <c r="F42" s="245" t="str">
        <f>'INPUT SHEET '!E26</f>
        <v>Average</v>
      </c>
      <c r="G42" s="427" t="str">
        <f>'INPUT SHEET '!G26</f>
        <v>-</v>
      </c>
      <c r="H42" s="245" t="str">
        <f>'INPUT SHEET '!H26</f>
        <v>-</v>
      </c>
      <c r="I42" s="427" t="str">
        <f>CONCATENATE('INPUT SHEET '!J26,"; ",'INPUT SHEET '!K26,"; ",'INPUT SHEET '!L26,"; ",'INPUT SHEET '!M26,"; ",'INPUT SHEET '!N26)</f>
        <v>-; -; -; -; -</v>
      </c>
      <c r="J42" s="427"/>
      <c r="K42" s="427"/>
      <c r="L42" s="246">
        <f>'INPUT SHEET '!O26</f>
        <v>0</v>
      </c>
      <c r="M42" s="429">
        <f>'INPUT SHEET '!Q26</f>
        <v>0</v>
      </c>
      <c r="N42" s="256"/>
      <c r="P42" s="257" t="b">
        <f>'INPUT SHEET '!A26&lt;&gt;0</f>
        <v>0</v>
      </c>
    </row>
    <row r="43" spans="1:16" ht="16.5" customHeight="1">
      <c r="A43" s="421"/>
      <c r="B43" s="420"/>
      <c r="C43" s="425"/>
      <c r="D43" s="428" t="str">
        <f>'INPUT SHEET '!D26</f>
        <v>Formed Loose</v>
      </c>
      <c r="E43" s="428"/>
      <c r="F43" s="266" t="str">
        <f>'INPUT SHEET '!F26</f>
        <v>Protected</v>
      </c>
      <c r="G43" s="427"/>
      <c r="H43" s="247" t="str">
        <f>'INPUT SHEET '!I26</f>
        <v>-</v>
      </c>
      <c r="I43" s="427"/>
      <c r="J43" s="427"/>
      <c r="K43" s="427"/>
      <c r="L43" s="248">
        <f>'INPUT SHEET '!P26</f>
        <v>0</v>
      </c>
      <c r="M43" s="430"/>
      <c r="N43" s="256"/>
      <c r="P43" s="257" t="b">
        <f>P42</f>
        <v>0</v>
      </c>
    </row>
    <row r="44" spans="1:16" ht="16.5" customHeight="1">
      <c r="A44" s="421"/>
      <c r="B44" s="420">
        <f>'INPUT SHEET '!A27</f>
        <v>0</v>
      </c>
      <c r="C44" s="425" t="str">
        <f>IF('INPUT SHEET '!B27=""," ",'INPUT SHEET '!B27)</f>
        <v xml:space="preserve"> </v>
      </c>
      <c r="D44" s="426" t="str">
        <f>'INPUT SHEET '!C27</f>
        <v>INFANTRY</v>
      </c>
      <c r="E44" s="426"/>
      <c r="F44" s="245" t="str">
        <f>'INPUT SHEET '!E27</f>
        <v>Average</v>
      </c>
      <c r="G44" s="427" t="str">
        <f>'INPUT SHEET '!G27</f>
        <v>-</v>
      </c>
      <c r="H44" s="245" t="str">
        <f>'INPUT SHEET '!H27</f>
        <v>-</v>
      </c>
      <c r="I44" s="427" t="str">
        <f>CONCATENATE('INPUT SHEET '!J27,"; ",'INPUT SHEET '!K27,"; ",'INPUT SHEET '!L27,"; ",'INPUT SHEET '!M27,"; ",'INPUT SHEET '!N27)</f>
        <v>-; -; -; -; -</v>
      </c>
      <c r="J44" s="427"/>
      <c r="K44" s="427"/>
      <c r="L44" s="246">
        <f>'INPUT SHEET '!O27</f>
        <v>0</v>
      </c>
      <c r="M44" s="429">
        <f>'INPUT SHEET '!Q27</f>
        <v>0</v>
      </c>
      <c r="N44" s="256"/>
      <c r="P44" s="257" t="b">
        <f>'INPUT SHEET '!A27&lt;&gt;0</f>
        <v>0</v>
      </c>
    </row>
    <row r="45" spans="1:16" ht="16.5" customHeight="1">
      <c r="A45" s="421"/>
      <c r="B45" s="420"/>
      <c r="C45" s="425"/>
      <c r="D45" s="428" t="str">
        <f>'INPUT SHEET '!D27</f>
        <v>Formed Loose</v>
      </c>
      <c r="E45" s="428"/>
      <c r="F45" s="266" t="str">
        <f>'INPUT SHEET '!F27</f>
        <v>Protected</v>
      </c>
      <c r="G45" s="427"/>
      <c r="H45" s="247" t="str">
        <f>'INPUT SHEET '!I27</f>
        <v>-</v>
      </c>
      <c r="I45" s="427"/>
      <c r="J45" s="427"/>
      <c r="K45" s="427"/>
      <c r="L45" s="248">
        <f>'INPUT SHEET '!P27</f>
        <v>0</v>
      </c>
      <c r="M45" s="430"/>
      <c r="N45" s="256"/>
      <c r="P45" s="257" t="b">
        <f>P44</f>
        <v>0</v>
      </c>
    </row>
    <row r="46" spans="1:16" ht="16.5" customHeight="1">
      <c r="A46" s="421"/>
      <c r="B46" s="420">
        <f>'INPUT SHEET '!A28</f>
        <v>0</v>
      </c>
      <c r="C46" s="425" t="str">
        <f>IF('INPUT SHEET '!B28=""," ",'INPUT SHEET '!B28)</f>
        <v xml:space="preserve"> </v>
      </c>
      <c r="D46" s="426" t="str">
        <f>'INPUT SHEET '!C28</f>
        <v>INFANTRY</v>
      </c>
      <c r="E46" s="426"/>
      <c r="F46" s="245" t="str">
        <f>'INPUT SHEET '!E28</f>
        <v>Average</v>
      </c>
      <c r="G46" s="427" t="str">
        <f>'INPUT SHEET '!G28</f>
        <v>-</v>
      </c>
      <c r="H46" s="245" t="str">
        <f>'INPUT SHEET '!H28</f>
        <v>-</v>
      </c>
      <c r="I46" s="427" t="str">
        <f>CONCATENATE('INPUT SHEET '!J28,"; ",'INPUT SHEET '!K28,"; ",'INPUT SHEET '!L28,"; ",'INPUT SHEET '!M28,"; ",'INPUT SHEET '!N28)</f>
        <v>-; -; -; -; -</v>
      </c>
      <c r="J46" s="427"/>
      <c r="K46" s="427"/>
      <c r="L46" s="246">
        <f>'INPUT SHEET '!O28</f>
        <v>0</v>
      </c>
      <c r="M46" s="429">
        <f>'INPUT SHEET '!Q28</f>
        <v>0</v>
      </c>
      <c r="N46" s="256"/>
      <c r="P46" s="257" t="b">
        <f>'INPUT SHEET '!A28&lt;&gt;0</f>
        <v>0</v>
      </c>
    </row>
    <row r="47" spans="1:16" ht="16.5" customHeight="1">
      <c r="A47" s="421"/>
      <c r="B47" s="420"/>
      <c r="C47" s="425"/>
      <c r="D47" s="428" t="str">
        <f>'INPUT SHEET '!D28</f>
        <v>Formed Loose</v>
      </c>
      <c r="E47" s="428"/>
      <c r="F47" s="266" t="str">
        <f>'INPUT SHEET '!F28</f>
        <v>Protected</v>
      </c>
      <c r="G47" s="427"/>
      <c r="H47" s="247" t="str">
        <f>'INPUT SHEET '!I28</f>
        <v>-</v>
      </c>
      <c r="I47" s="427"/>
      <c r="J47" s="427"/>
      <c r="K47" s="427"/>
      <c r="L47" s="248">
        <f>'INPUT SHEET '!P28</f>
        <v>0</v>
      </c>
      <c r="M47" s="430"/>
      <c r="N47" s="256"/>
      <c r="P47" s="257" t="b">
        <f>P46</f>
        <v>0</v>
      </c>
    </row>
    <row r="48" spans="1:16" ht="16.5" customHeight="1">
      <c r="A48" s="421"/>
      <c r="B48" s="420">
        <f>'INPUT SHEET '!A29</f>
        <v>0</v>
      </c>
      <c r="C48" s="425" t="str">
        <f>IF('INPUT SHEET '!B29=""," ",'INPUT SHEET '!B29)</f>
        <v xml:space="preserve"> </v>
      </c>
      <c r="D48" s="426" t="str">
        <f>'INPUT SHEET '!C29</f>
        <v>INFANTRY</v>
      </c>
      <c r="E48" s="426"/>
      <c r="F48" s="245" t="str">
        <f>'INPUT SHEET '!E29</f>
        <v>Average</v>
      </c>
      <c r="G48" s="427" t="str">
        <f>'INPUT SHEET '!G29</f>
        <v>-</v>
      </c>
      <c r="H48" s="245" t="str">
        <f>'INPUT SHEET '!H29</f>
        <v>-</v>
      </c>
      <c r="I48" s="427" t="str">
        <f>CONCATENATE('INPUT SHEET '!J29,"; ",'INPUT SHEET '!K29,"; ",'INPUT SHEET '!L29,"; ",'INPUT SHEET '!M29,"; ",'INPUT SHEET '!N29)</f>
        <v>-; -; -; -; -</v>
      </c>
      <c r="J48" s="427"/>
      <c r="K48" s="427"/>
      <c r="L48" s="246">
        <f>'INPUT SHEET '!O29</f>
        <v>0</v>
      </c>
      <c r="M48" s="429">
        <f>'INPUT SHEET '!Q29</f>
        <v>0</v>
      </c>
      <c r="N48" s="256"/>
      <c r="P48" s="257" t="b">
        <f>'INPUT SHEET '!A29&lt;&gt;0</f>
        <v>0</v>
      </c>
    </row>
    <row r="49" spans="1:16" ht="16.5" customHeight="1">
      <c r="A49" s="421"/>
      <c r="B49" s="420"/>
      <c r="C49" s="425"/>
      <c r="D49" s="428" t="str">
        <f>'INPUT SHEET '!D29</f>
        <v>Formed Loose</v>
      </c>
      <c r="E49" s="428"/>
      <c r="F49" s="266" t="str">
        <f>'INPUT SHEET '!F29</f>
        <v>Protected</v>
      </c>
      <c r="G49" s="427"/>
      <c r="H49" s="247" t="str">
        <f>'INPUT SHEET '!I29</f>
        <v>-</v>
      </c>
      <c r="I49" s="427"/>
      <c r="J49" s="427"/>
      <c r="K49" s="427"/>
      <c r="L49" s="248">
        <f>'INPUT SHEET '!P29</f>
        <v>0</v>
      </c>
      <c r="M49" s="430"/>
      <c r="N49" s="256"/>
      <c r="P49" s="257" t="b">
        <f>P48</f>
        <v>0</v>
      </c>
    </row>
    <row r="50" spans="1:16" ht="16.5" customHeight="1">
      <c r="A50" s="421"/>
      <c r="B50" s="420">
        <f>'INPUT SHEET '!A30</f>
        <v>0</v>
      </c>
      <c r="C50" s="425" t="str">
        <f>IF('INPUT SHEET '!B30=""," ",'INPUT SHEET '!B30)</f>
        <v xml:space="preserve"> </v>
      </c>
      <c r="D50" s="426" t="str">
        <f>'INPUT SHEET '!C30</f>
        <v>INFANTRY</v>
      </c>
      <c r="E50" s="426"/>
      <c r="F50" s="245" t="str">
        <f>'INPUT SHEET '!E30</f>
        <v>Average</v>
      </c>
      <c r="G50" s="427" t="str">
        <f>'INPUT SHEET '!G30</f>
        <v>-</v>
      </c>
      <c r="H50" s="245" t="str">
        <f>'INPUT SHEET '!H30</f>
        <v>-</v>
      </c>
      <c r="I50" s="427" t="str">
        <f>CONCATENATE('INPUT SHEET '!J30,"; ",'INPUT SHEET '!K30,"; ",'INPUT SHEET '!L30,"; ",'INPUT SHEET '!M30,"; ",'INPUT SHEET '!N30)</f>
        <v>-; -; -; -; -</v>
      </c>
      <c r="J50" s="427"/>
      <c r="K50" s="427"/>
      <c r="L50" s="246">
        <f>'INPUT SHEET '!O30</f>
        <v>0</v>
      </c>
      <c r="M50" s="429">
        <f>'INPUT SHEET '!Q30</f>
        <v>0</v>
      </c>
      <c r="N50" s="256"/>
      <c r="P50" s="257" t="b">
        <f>'INPUT SHEET '!A30&lt;&gt;0</f>
        <v>0</v>
      </c>
    </row>
    <row r="51" spans="1:16" ht="16.5" customHeight="1">
      <c r="A51" s="421"/>
      <c r="B51" s="420"/>
      <c r="C51" s="425"/>
      <c r="D51" s="428" t="str">
        <f>'INPUT SHEET '!D30</f>
        <v>Formed Loose</v>
      </c>
      <c r="E51" s="428"/>
      <c r="F51" s="266" t="str">
        <f>'INPUT SHEET '!F30</f>
        <v>Protected</v>
      </c>
      <c r="G51" s="427"/>
      <c r="H51" s="247" t="str">
        <f>'INPUT SHEET '!I30</f>
        <v>-</v>
      </c>
      <c r="I51" s="427"/>
      <c r="J51" s="427"/>
      <c r="K51" s="427"/>
      <c r="L51" s="248">
        <f>'INPUT SHEET '!P30</f>
        <v>0</v>
      </c>
      <c r="M51" s="430"/>
      <c r="N51" s="256"/>
      <c r="P51" s="257" t="b">
        <f>P50</f>
        <v>0</v>
      </c>
    </row>
    <row r="52" spans="1:16" ht="16.5" customHeight="1">
      <c r="A52" s="421"/>
      <c r="B52" s="420">
        <f>'INPUT SHEET '!A31</f>
        <v>0</v>
      </c>
      <c r="C52" s="425" t="str">
        <f>IF('INPUT SHEET '!B31=""," ",'INPUT SHEET '!B31)</f>
        <v xml:space="preserve"> </v>
      </c>
      <c r="D52" s="426" t="str">
        <f>'INPUT SHEET '!C31</f>
        <v>INFANTRY</v>
      </c>
      <c r="E52" s="426"/>
      <c r="F52" s="245" t="str">
        <f>'INPUT SHEET '!E31</f>
        <v>Average</v>
      </c>
      <c r="G52" s="427" t="str">
        <f>'INPUT SHEET '!G31</f>
        <v>-</v>
      </c>
      <c r="H52" s="245" t="str">
        <f>'INPUT SHEET '!H31</f>
        <v>-</v>
      </c>
      <c r="I52" s="427" t="str">
        <f>CONCATENATE('INPUT SHEET '!J31,"; ",'INPUT SHEET '!K31,"; ",'INPUT SHEET '!L31,"; ",'INPUT SHEET '!M31,"; ",'INPUT SHEET '!N31)</f>
        <v>-; -; -; -; -</v>
      </c>
      <c r="J52" s="427"/>
      <c r="K52" s="427"/>
      <c r="L52" s="246">
        <f>'INPUT SHEET '!O31</f>
        <v>0</v>
      </c>
      <c r="M52" s="429">
        <f>'INPUT SHEET '!Q31</f>
        <v>0</v>
      </c>
      <c r="N52" s="256"/>
      <c r="P52" s="257" t="b">
        <f>'INPUT SHEET '!A31&lt;&gt;0</f>
        <v>0</v>
      </c>
    </row>
    <row r="53" spans="1:16" ht="16.5" customHeight="1">
      <c r="A53" s="421"/>
      <c r="B53" s="420"/>
      <c r="C53" s="425"/>
      <c r="D53" s="428" t="str">
        <f>'INPUT SHEET '!D31</f>
        <v>Formed Loose</v>
      </c>
      <c r="E53" s="428"/>
      <c r="F53" s="266" t="str">
        <f>'INPUT SHEET '!F31</f>
        <v>Protected</v>
      </c>
      <c r="G53" s="427"/>
      <c r="H53" s="247" t="str">
        <f>'INPUT SHEET '!I31</f>
        <v>-</v>
      </c>
      <c r="I53" s="427"/>
      <c r="J53" s="427"/>
      <c r="K53" s="427"/>
      <c r="L53" s="248">
        <f>'INPUT SHEET '!P31</f>
        <v>0</v>
      </c>
      <c r="M53" s="430"/>
      <c r="N53" s="256"/>
      <c r="P53" s="257" t="b">
        <f>P52</f>
        <v>0</v>
      </c>
    </row>
    <row r="54" spans="1:16" ht="16.5" customHeight="1">
      <c r="A54" s="421"/>
      <c r="B54" s="420">
        <f>'INPUT SHEET '!A32</f>
        <v>0</v>
      </c>
      <c r="C54" s="425" t="str">
        <f>IF('INPUT SHEET '!B32=""," ",'INPUT SHEET '!B32)</f>
        <v xml:space="preserve"> </v>
      </c>
      <c r="D54" s="426" t="str">
        <f>'INPUT SHEET '!C32</f>
        <v>INFANTRY</v>
      </c>
      <c r="E54" s="426"/>
      <c r="F54" s="245" t="str">
        <f>'INPUT SHEET '!E32</f>
        <v>Average</v>
      </c>
      <c r="G54" s="427" t="str">
        <f>'INPUT SHEET '!G32</f>
        <v>-</v>
      </c>
      <c r="H54" s="245" t="str">
        <f>'INPUT SHEET '!H32</f>
        <v>-</v>
      </c>
      <c r="I54" s="427" t="str">
        <f>CONCATENATE('INPUT SHEET '!J32,"; ",'INPUT SHEET '!K32,"; ",'INPUT SHEET '!L32,"; ",'INPUT SHEET '!M32,"; ",'INPUT SHEET '!N32)</f>
        <v>-; -; -; -; -</v>
      </c>
      <c r="J54" s="427"/>
      <c r="K54" s="427"/>
      <c r="L54" s="246">
        <f>'INPUT SHEET '!O32</f>
        <v>0</v>
      </c>
      <c r="M54" s="429">
        <f>'INPUT SHEET '!Q32</f>
        <v>0</v>
      </c>
      <c r="N54" s="256"/>
      <c r="P54" s="257" t="b">
        <f>'INPUT SHEET '!A32&lt;&gt;0</f>
        <v>0</v>
      </c>
    </row>
    <row r="55" spans="1:16" ht="16.5" customHeight="1">
      <c r="A55" s="421"/>
      <c r="B55" s="420"/>
      <c r="C55" s="425"/>
      <c r="D55" s="428" t="str">
        <f>'INPUT SHEET '!D32</f>
        <v>Formed Loose</v>
      </c>
      <c r="E55" s="428"/>
      <c r="F55" s="266" t="str">
        <f>'INPUT SHEET '!F32</f>
        <v>Protected</v>
      </c>
      <c r="G55" s="427"/>
      <c r="H55" s="247" t="str">
        <f>'INPUT SHEET '!I32</f>
        <v>-</v>
      </c>
      <c r="I55" s="427"/>
      <c r="J55" s="427"/>
      <c r="K55" s="427"/>
      <c r="L55" s="248">
        <f>'INPUT SHEET '!P32</f>
        <v>0</v>
      </c>
      <c r="M55" s="430"/>
      <c r="N55" s="256"/>
      <c r="P55" s="257" t="b">
        <f>P54</f>
        <v>0</v>
      </c>
    </row>
    <row r="56" spans="1:16" ht="16.5" customHeight="1">
      <c r="A56" s="421"/>
      <c r="B56" s="420">
        <f>'INPUT SHEET '!A33</f>
        <v>0</v>
      </c>
      <c r="C56" s="425" t="str">
        <f>IF('INPUT SHEET '!B33=""," ",'INPUT SHEET '!B33)</f>
        <v xml:space="preserve"> </v>
      </c>
      <c r="D56" s="426" t="str">
        <f>'INPUT SHEET '!C33</f>
        <v>INFANTRY</v>
      </c>
      <c r="E56" s="426"/>
      <c r="F56" s="245" t="str">
        <f>'INPUT SHEET '!E33</f>
        <v>Average</v>
      </c>
      <c r="G56" s="427" t="str">
        <f>'INPUT SHEET '!G33</f>
        <v>-</v>
      </c>
      <c r="H56" s="245" t="str">
        <f>'INPUT SHEET '!H33</f>
        <v>-</v>
      </c>
      <c r="I56" s="427" t="str">
        <f>CONCATENATE('INPUT SHEET '!J33,"; ",'INPUT SHEET '!K33,"; ",'INPUT SHEET '!L33,"; ",'INPUT SHEET '!M33,"; ",'INPUT SHEET '!N33)</f>
        <v>-; -; -; -; -</v>
      </c>
      <c r="J56" s="427"/>
      <c r="K56" s="427"/>
      <c r="L56" s="246">
        <f>'INPUT SHEET '!O33</f>
        <v>0</v>
      </c>
      <c r="M56" s="429">
        <f>'INPUT SHEET '!Q33</f>
        <v>0</v>
      </c>
      <c r="N56" s="256"/>
      <c r="P56" s="257" t="b">
        <f>'INPUT SHEET '!A33&lt;&gt;0</f>
        <v>0</v>
      </c>
    </row>
    <row r="57" spans="1:16" ht="16.5" customHeight="1">
      <c r="A57" s="421"/>
      <c r="B57" s="420"/>
      <c r="C57" s="425"/>
      <c r="D57" s="428" t="str">
        <f>'INPUT SHEET '!D33</f>
        <v>Formed Loose</v>
      </c>
      <c r="E57" s="428"/>
      <c r="F57" s="266" t="str">
        <f>'INPUT SHEET '!F33</f>
        <v>Protected</v>
      </c>
      <c r="G57" s="427"/>
      <c r="H57" s="247" t="str">
        <f>'INPUT SHEET '!I33</f>
        <v>-</v>
      </c>
      <c r="I57" s="427"/>
      <c r="J57" s="427"/>
      <c r="K57" s="427"/>
      <c r="L57" s="248">
        <f>'INPUT SHEET '!P33</f>
        <v>0</v>
      </c>
      <c r="M57" s="430"/>
      <c r="N57" s="256"/>
      <c r="P57" s="257" t="b">
        <f>P56</f>
        <v>0</v>
      </c>
    </row>
    <row r="58" spans="1:16" ht="16.5" customHeight="1">
      <c r="A58" s="421"/>
      <c r="B58" s="420">
        <f>'INPUT SHEET '!A34</f>
        <v>0</v>
      </c>
      <c r="C58" s="425" t="str">
        <f>IF('INPUT SHEET '!B34=""," ",'INPUT SHEET '!B34)</f>
        <v xml:space="preserve"> </v>
      </c>
      <c r="D58" s="426" t="str">
        <f>'INPUT SHEET '!C34</f>
        <v>INFANTRY</v>
      </c>
      <c r="E58" s="426"/>
      <c r="F58" s="245" t="str">
        <f>'INPUT SHEET '!E34</f>
        <v>Average</v>
      </c>
      <c r="G58" s="427" t="str">
        <f>'INPUT SHEET '!G34</f>
        <v>-</v>
      </c>
      <c r="H58" s="245" t="str">
        <f>'INPUT SHEET '!H34</f>
        <v>-</v>
      </c>
      <c r="I58" s="427" t="str">
        <f>CONCATENATE('INPUT SHEET '!J34,"; ",'INPUT SHEET '!K34,"; ",'INPUT SHEET '!L34,"; ",'INPUT SHEET '!M34,"; ",'INPUT SHEET '!N34)</f>
        <v>-; -; -; -; -</v>
      </c>
      <c r="J58" s="427"/>
      <c r="K58" s="427"/>
      <c r="L58" s="246">
        <f>'INPUT SHEET '!O34</f>
        <v>0</v>
      </c>
      <c r="M58" s="429">
        <f>'INPUT SHEET '!Q34</f>
        <v>0</v>
      </c>
      <c r="N58" s="256"/>
      <c r="P58" s="257" t="b">
        <f>'INPUT SHEET '!A34&lt;&gt;0</f>
        <v>0</v>
      </c>
    </row>
    <row r="59" spans="1:16" ht="16.5" customHeight="1">
      <c r="A59" s="421"/>
      <c r="B59" s="420"/>
      <c r="C59" s="425"/>
      <c r="D59" s="428" t="str">
        <f>'INPUT SHEET '!D34</f>
        <v>Formed Loose</v>
      </c>
      <c r="E59" s="428"/>
      <c r="F59" s="266" t="str">
        <f>'INPUT SHEET '!F34</f>
        <v>Protected</v>
      </c>
      <c r="G59" s="427"/>
      <c r="H59" s="247" t="str">
        <f>'INPUT SHEET '!I34</f>
        <v>-</v>
      </c>
      <c r="I59" s="427"/>
      <c r="J59" s="427"/>
      <c r="K59" s="427"/>
      <c r="L59" s="248">
        <f>'INPUT SHEET '!P34</f>
        <v>0</v>
      </c>
      <c r="M59" s="430"/>
      <c r="N59" s="256"/>
      <c r="P59" s="257" t="b">
        <f>P58</f>
        <v>0</v>
      </c>
    </row>
    <row r="60" spans="1:16" ht="16.5" customHeight="1">
      <c r="A60" s="421"/>
      <c r="B60" s="420">
        <f>'INPUT SHEET '!A35</f>
        <v>0</v>
      </c>
      <c r="C60" s="425" t="str">
        <f>IF('INPUT SHEET '!B35=""," ",'INPUT SHEET '!B35)</f>
        <v xml:space="preserve"> </v>
      </c>
      <c r="D60" s="426" t="str">
        <f>'INPUT SHEET '!C35</f>
        <v>INFANTRY</v>
      </c>
      <c r="E60" s="426"/>
      <c r="F60" s="245" t="str">
        <f>'INPUT SHEET '!E35</f>
        <v>Average</v>
      </c>
      <c r="G60" s="427" t="str">
        <f>'INPUT SHEET '!G35</f>
        <v>-</v>
      </c>
      <c r="H60" s="245" t="str">
        <f>'INPUT SHEET '!H35</f>
        <v>-</v>
      </c>
      <c r="I60" s="427" t="str">
        <f>CONCATENATE('INPUT SHEET '!J35,"; ",'INPUT SHEET '!K35,"; ",'INPUT SHEET '!L35,"; ",'INPUT SHEET '!M35,"; ",'INPUT SHEET '!N35)</f>
        <v>-; -; -; -; -</v>
      </c>
      <c r="J60" s="427"/>
      <c r="K60" s="427"/>
      <c r="L60" s="246">
        <f>'INPUT SHEET '!O35</f>
        <v>0</v>
      </c>
      <c r="M60" s="429">
        <f>'INPUT SHEET '!Q35</f>
        <v>0</v>
      </c>
      <c r="N60" s="256"/>
      <c r="P60" s="257" t="b">
        <f>'INPUT SHEET '!A35&lt;&gt;0</f>
        <v>0</v>
      </c>
    </row>
    <row r="61" spans="1:16" ht="16.5" customHeight="1">
      <c r="A61" s="421"/>
      <c r="B61" s="420"/>
      <c r="C61" s="425"/>
      <c r="D61" s="428" t="str">
        <f>'INPUT SHEET '!D35</f>
        <v>Formed Loose</v>
      </c>
      <c r="E61" s="428"/>
      <c r="F61" s="266" t="str">
        <f>'INPUT SHEET '!F35</f>
        <v>Protected</v>
      </c>
      <c r="G61" s="427"/>
      <c r="H61" s="247" t="str">
        <f>'INPUT SHEET '!I35</f>
        <v>-</v>
      </c>
      <c r="I61" s="427"/>
      <c r="J61" s="427"/>
      <c r="K61" s="427"/>
      <c r="L61" s="248">
        <f>'INPUT SHEET '!P35</f>
        <v>0</v>
      </c>
      <c r="M61" s="430"/>
      <c r="N61" s="256"/>
      <c r="P61" s="257" t="b">
        <f>P60</f>
        <v>0</v>
      </c>
    </row>
    <row r="62" spans="1:16" ht="16.5" customHeight="1">
      <c r="A62" s="421"/>
      <c r="B62" s="420">
        <f>'INPUT SHEET '!A36</f>
        <v>0</v>
      </c>
      <c r="C62" s="425" t="str">
        <f>IF('INPUT SHEET '!B36=""," ",'INPUT SHEET '!B36)</f>
        <v xml:space="preserve"> </v>
      </c>
      <c r="D62" s="426" t="str">
        <f>'INPUT SHEET '!C36</f>
        <v>INFANTRY</v>
      </c>
      <c r="E62" s="426"/>
      <c r="F62" s="245" t="str">
        <f>'INPUT SHEET '!E36</f>
        <v>Average</v>
      </c>
      <c r="G62" s="427" t="str">
        <f>'INPUT SHEET '!G36</f>
        <v>-</v>
      </c>
      <c r="H62" s="245" t="str">
        <f>'INPUT SHEET '!H36</f>
        <v>-</v>
      </c>
      <c r="I62" s="427" t="str">
        <f>CONCATENATE('INPUT SHEET '!J36,"; ",'INPUT SHEET '!K36,"; ",'INPUT SHEET '!L36,"; ",'INPUT SHEET '!M36,"; ",'INPUT SHEET '!N36)</f>
        <v>-; -; -; -; -</v>
      </c>
      <c r="J62" s="427"/>
      <c r="K62" s="427"/>
      <c r="L62" s="246">
        <f>'INPUT SHEET '!O36</f>
        <v>0</v>
      </c>
      <c r="M62" s="429">
        <f>'INPUT SHEET '!Q36</f>
        <v>0</v>
      </c>
      <c r="N62" s="256"/>
      <c r="P62" s="257" t="b">
        <f>'INPUT SHEET '!A36&lt;&gt;0</f>
        <v>0</v>
      </c>
    </row>
    <row r="63" spans="1:16" ht="16.5" customHeight="1">
      <c r="A63" s="421"/>
      <c r="B63" s="420"/>
      <c r="C63" s="425"/>
      <c r="D63" s="428" t="str">
        <f>'INPUT SHEET '!D36</f>
        <v>Formed Loose</v>
      </c>
      <c r="E63" s="428"/>
      <c r="F63" s="266" t="str">
        <f>'INPUT SHEET '!F36</f>
        <v>Protected</v>
      </c>
      <c r="G63" s="427"/>
      <c r="H63" s="247" t="str">
        <f>'INPUT SHEET '!I36</f>
        <v>-</v>
      </c>
      <c r="I63" s="427"/>
      <c r="J63" s="427"/>
      <c r="K63" s="427"/>
      <c r="L63" s="248">
        <f>'INPUT SHEET '!P36</f>
        <v>0</v>
      </c>
      <c r="M63" s="430"/>
      <c r="N63" s="256"/>
      <c r="P63" s="257" t="b">
        <f>P62</f>
        <v>0</v>
      </c>
    </row>
    <row r="64" spans="1:16" ht="16.5" customHeight="1">
      <c r="A64" s="421"/>
      <c r="B64" s="420">
        <f>'INPUT SHEET '!A37</f>
        <v>0</v>
      </c>
      <c r="C64" s="425" t="str">
        <f>IF('INPUT SHEET '!B37=""," ",'INPUT SHEET '!B37)</f>
        <v xml:space="preserve"> </v>
      </c>
      <c r="D64" s="426" t="str">
        <f>'INPUT SHEET '!C37</f>
        <v>INFANTRY</v>
      </c>
      <c r="E64" s="426"/>
      <c r="F64" s="245" t="str">
        <f>'INPUT SHEET '!E37</f>
        <v>Average</v>
      </c>
      <c r="G64" s="427" t="str">
        <f>'INPUT SHEET '!G37</f>
        <v>-</v>
      </c>
      <c r="H64" s="245" t="str">
        <f>'INPUT SHEET '!H37</f>
        <v>-</v>
      </c>
      <c r="I64" s="427" t="str">
        <f>CONCATENATE('INPUT SHEET '!J37,"; ",'INPUT SHEET '!K37,"; ",'INPUT SHEET '!L37,"; ",'INPUT SHEET '!M37,"; ",'INPUT SHEET '!N37)</f>
        <v>-; -; -; -; -</v>
      </c>
      <c r="J64" s="427"/>
      <c r="K64" s="427"/>
      <c r="L64" s="246">
        <f>'INPUT SHEET '!O37</f>
        <v>0</v>
      </c>
      <c r="M64" s="429">
        <f>'INPUT SHEET '!Q37</f>
        <v>0</v>
      </c>
      <c r="N64" s="256"/>
      <c r="P64" s="257" t="b">
        <f>'INPUT SHEET '!A37&lt;&gt;0</f>
        <v>0</v>
      </c>
    </row>
    <row r="65" spans="1:16" ht="16.5" customHeight="1">
      <c r="A65" s="421"/>
      <c r="B65" s="424"/>
      <c r="C65" s="425"/>
      <c r="D65" s="428" t="str">
        <f>'INPUT SHEET '!D37</f>
        <v>Formed Loose</v>
      </c>
      <c r="E65" s="428"/>
      <c r="F65" s="266" t="str">
        <f>'INPUT SHEET '!F37</f>
        <v>Protected</v>
      </c>
      <c r="G65" s="427"/>
      <c r="H65" s="247" t="str">
        <f>'INPUT SHEET '!I37</f>
        <v>-</v>
      </c>
      <c r="I65" s="427"/>
      <c r="J65" s="427"/>
      <c r="K65" s="427"/>
      <c r="L65" s="248">
        <f>'INPUT SHEET '!P37</f>
        <v>0</v>
      </c>
      <c r="M65" s="430"/>
      <c r="N65" s="256"/>
      <c r="P65" s="257" t="b">
        <f>P64</f>
        <v>0</v>
      </c>
    </row>
    <row r="66" spans="1:16" ht="23.1" customHeight="1">
      <c r="A66" s="423" t="s">
        <v>319</v>
      </c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3"/>
      <c r="M66" s="423"/>
      <c r="N66" s="423"/>
      <c r="O66" s="244"/>
      <c r="P66" s="257" t="b">
        <f>P67</f>
        <v>1</v>
      </c>
    </row>
    <row r="67" spans="1:16" ht="15.75" customHeight="1">
      <c r="A67" s="421"/>
      <c r="B67" s="420">
        <f>'INPUT SHEET '!A39</f>
        <v>1</v>
      </c>
      <c r="C67" s="425" t="str">
        <f>IF('INPUT SHEET '!B39=""," ",'INPUT SHEET '!B39)</f>
        <v>Skirmishing Archers</v>
      </c>
      <c r="D67" s="426" t="str">
        <f>'INPUT SHEET '!C39</f>
        <v>INFANTRY</v>
      </c>
      <c r="E67" s="426"/>
      <c r="F67" s="245" t="str">
        <f>'INPUT SHEET '!E39</f>
        <v>Average</v>
      </c>
      <c r="G67" s="427" t="str">
        <f>'INPUT SHEET '!G39</f>
        <v>-</v>
      </c>
      <c r="H67" s="245" t="str">
        <f>'INPUT SHEET '!H39</f>
        <v>Experienced</v>
      </c>
      <c r="I67" s="427" t="str">
        <f>CONCATENATE('INPUT SHEET '!J39,"; ",'INPUT SHEET '!K39,"; ",'INPUT SHEET '!L39,"; ",'INPUT SHEET '!M39,"; ",'INPUT SHEET '!N39)</f>
        <v>-; Combat Shy; -; -; -</v>
      </c>
      <c r="J67" s="427"/>
      <c r="K67" s="427"/>
      <c r="L67" s="246">
        <f>'INPUT SHEET '!O39</f>
        <v>9</v>
      </c>
      <c r="M67" s="429">
        <f>'INPUT SHEET '!Q39</f>
        <v>360</v>
      </c>
      <c r="N67" s="256"/>
      <c r="P67" s="257" t="b">
        <f>'INPUT SHEET '!A39&lt;&gt;0</f>
        <v>1</v>
      </c>
    </row>
    <row r="68" spans="1:16" ht="15.75" customHeight="1">
      <c r="A68" s="421"/>
      <c r="B68" s="420"/>
      <c r="C68" s="425"/>
      <c r="D68" s="428" t="str">
        <f>'INPUT SHEET '!D39</f>
        <v>Skirmisher</v>
      </c>
      <c r="E68" s="428"/>
      <c r="F68" s="266" t="str">
        <f>'INPUT SHEET '!F39</f>
        <v>Unprotected</v>
      </c>
      <c r="G68" s="427"/>
      <c r="H68" s="247" t="str">
        <f>'INPUT SHEET '!I39</f>
        <v>Bow</v>
      </c>
      <c r="I68" s="427"/>
      <c r="J68" s="427"/>
      <c r="K68" s="427"/>
      <c r="L68" s="248">
        <f>'INPUT SHEET '!P39</f>
        <v>40</v>
      </c>
      <c r="M68" s="430"/>
      <c r="N68" s="256"/>
      <c r="P68" s="257" t="b">
        <f>P67</f>
        <v>1</v>
      </c>
    </row>
    <row r="69" spans="1:16" ht="15.75" customHeight="1">
      <c r="A69" s="421"/>
      <c r="B69" s="420">
        <f>'INPUT SHEET '!A40</f>
        <v>2</v>
      </c>
      <c r="C69" s="425" t="str">
        <f>IF('INPUT SHEET '!B40=""," ",'INPUT SHEET '!B40)</f>
        <v>Skirmishing Archers</v>
      </c>
      <c r="D69" s="426" t="str">
        <f>'INPUT SHEET '!C40</f>
        <v>INFANTRY</v>
      </c>
      <c r="E69" s="426"/>
      <c r="F69" s="245" t="str">
        <f>'INPUT SHEET '!E40</f>
        <v>Average</v>
      </c>
      <c r="G69" s="427" t="str">
        <f>'INPUT SHEET '!G40</f>
        <v>-</v>
      </c>
      <c r="H69" s="245" t="str">
        <f>'INPUT SHEET '!H40</f>
        <v>Experienced</v>
      </c>
      <c r="I69" s="427" t="str">
        <f>CONCATENATE('INPUT SHEET '!J40,"; ",'INPUT SHEET '!K40,"; ",'INPUT SHEET '!L40,"; ",'INPUT SHEET '!M40,"; ",'INPUT SHEET '!N40)</f>
        <v>-; Combat Shy; -; -; -</v>
      </c>
      <c r="J69" s="427"/>
      <c r="K69" s="427"/>
      <c r="L69" s="246">
        <f>'INPUT SHEET '!O40</f>
        <v>9</v>
      </c>
      <c r="M69" s="429">
        <f>'INPUT SHEET '!Q40</f>
        <v>360</v>
      </c>
      <c r="N69" s="256"/>
      <c r="P69" s="257" t="b">
        <f>'INPUT SHEET '!A40&lt;&gt;0</f>
        <v>1</v>
      </c>
    </row>
    <row r="70" spans="1:16" ht="15.75" customHeight="1">
      <c r="A70" s="421"/>
      <c r="B70" s="420"/>
      <c r="C70" s="425"/>
      <c r="D70" s="428" t="str">
        <f>'INPUT SHEET '!D40</f>
        <v>Skirmisher</v>
      </c>
      <c r="E70" s="428"/>
      <c r="F70" s="266" t="str">
        <f>'INPUT SHEET '!F40</f>
        <v>Unprotected</v>
      </c>
      <c r="G70" s="427"/>
      <c r="H70" s="247" t="str">
        <f>'INPUT SHEET '!I40</f>
        <v>Bow</v>
      </c>
      <c r="I70" s="427"/>
      <c r="J70" s="427"/>
      <c r="K70" s="427"/>
      <c r="L70" s="248">
        <f>'INPUT SHEET '!P40</f>
        <v>40</v>
      </c>
      <c r="M70" s="430"/>
      <c r="N70" s="256"/>
      <c r="P70" s="257" t="b">
        <f>P69</f>
        <v>1</v>
      </c>
    </row>
    <row r="71" spans="1:16" ht="15.75" customHeight="1">
      <c r="A71" s="421"/>
      <c r="B71" s="420">
        <f>'INPUT SHEET '!A41</f>
        <v>0</v>
      </c>
      <c r="C71" s="425" t="str">
        <f>IF('INPUT SHEET '!B41=""," ",'INPUT SHEET '!B41)</f>
        <v xml:space="preserve"> </v>
      </c>
      <c r="D71" s="426" t="str">
        <f>'INPUT SHEET '!C41</f>
        <v>INFANTRY</v>
      </c>
      <c r="E71" s="426"/>
      <c r="F71" s="245" t="str">
        <f>'INPUT SHEET '!E41</f>
        <v>Average</v>
      </c>
      <c r="G71" s="427" t="str">
        <f>'INPUT SHEET '!G41</f>
        <v>-</v>
      </c>
      <c r="H71" s="245" t="str">
        <f>'INPUT SHEET '!H41</f>
        <v>Experienced</v>
      </c>
      <c r="I71" s="427" t="str">
        <f>CONCATENATE('INPUT SHEET '!J41,"; ",'INPUT SHEET '!K41,"; ",'INPUT SHEET '!L41,"; ",'INPUT SHEET '!M41,"; ",'INPUT SHEET '!N41)</f>
        <v>-; -; -; -; -</v>
      </c>
      <c r="J71" s="427"/>
      <c r="K71" s="427"/>
      <c r="L71" s="246">
        <f>'INPUT SHEET '!O41</f>
        <v>0</v>
      </c>
      <c r="M71" s="429">
        <f>'INPUT SHEET '!Q41</f>
        <v>0</v>
      </c>
      <c r="N71" s="256"/>
      <c r="P71" s="257" t="b">
        <f>'INPUT SHEET '!A41&lt;&gt;0</f>
        <v>0</v>
      </c>
    </row>
    <row r="72" spans="1:16" ht="15.75" customHeight="1">
      <c r="A72" s="421"/>
      <c r="B72" s="420"/>
      <c r="C72" s="425"/>
      <c r="D72" s="428" t="str">
        <f>'INPUT SHEET '!D41</f>
        <v>Skirmisher</v>
      </c>
      <c r="E72" s="428"/>
      <c r="F72" s="266" t="str">
        <f>'INPUT SHEET '!F41</f>
        <v>Unprotected</v>
      </c>
      <c r="G72" s="427"/>
      <c r="H72" s="247" t="str">
        <f>'INPUT SHEET '!I41</f>
        <v>Bow</v>
      </c>
      <c r="I72" s="427"/>
      <c r="J72" s="427"/>
      <c r="K72" s="427"/>
      <c r="L72" s="248">
        <f>'INPUT SHEET '!P41</f>
        <v>0</v>
      </c>
      <c r="M72" s="430"/>
      <c r="N72" s="256"/>
      <c r="P72" s="257" t="b">
        <f>P71</f>
        <v>0</v>
      </c>
    </row>
    <row r="73" spans="1:16" ht="15.75" customHeight="1">
      <c r="A73" s="421"/>
      <c r="B73" s="420">
        <f>'INPUT SHEET '!A42</f>
        <v>0</v>
      </c>
      <c r="C73" s="425" t="str">
        <f>IF('INPUT SHEET '!B42=""," ",'INPUT SHEET '!B42)</f>
        <v xml:space="preserve"> </v>
      </c>
      <c r="D73" s="426" t="str">
        <f>'INPUT SHEET '!C42</f>
        <v>INFANTRY</v>
      </c>
      <c r="E73" s="426"/>
      <c r="F73" s="245" t="str">
        <f>'INPUT SHEET '!E42</f>
        <v>Average</v>
      </c>
      <c r="G73" s="427" t="str">
        <f>'INPUT SHEET '!G42</f>
        <v>-</v>
      </c>
      <c r="H73" s="245" t="str">
        <f>'INPUT SHEET '!H42</f>
        <v>Experienced</v>
      </c>
      <c r="I73" s="427" t="str">
        <f>CONCATENATE('INPUT SHEET '!J42,"; ",'INPUT SHEET '!K42,"; ",'INPUT SHEET '!L42,"; ",'INPUT SHEET '!M42,"; ",'INPUT SHEET '!N42)</f>
        <v>-; -; -; -; -</v>
      </c>
      <c r="J73" s="427"/>
      <c r="K73" s="427"/>
      <c r="L73" s="246">
        <f>'INPUT SHEET '!O42</f>
        <v>0</v>
      </c>
      <c r="M73" s="429">
        <f>'INPUT SHEET '!Q42</f>
        <v>0</v>
      </c>
      <c r="N73" s="256"/>
      <c r="P73" s="257" t="b">
        <f>'INPUT SHEET '!A42&lt;&gt;0</f>
        <v>0</v>
      </c>
    </row>
    <row r="74" spans="1:16" ht="15.75" customHeight="1">
      <c r="A74" s="421"/>
      <c r="B74" s="420"/>
      <c r="C74" s="425"/>
      <c r="D74" s="428" t="str">
        <f>'INPUT SHEET '!D42</f>
        <v>Skirmisher</v>
      </c>
      <c r="E74" s="428"/>
      <c r="F74" s="266" t="str">
        <f>'INPUT SHEET '!F42</f>
        <v>Unprotected</v>
      </c>
      <c r="G74" s="427"/>
      <c r="H74" s="247" t="str">
        <f>'INPUT SHEET '!I42</f>
        <v>Bow</v>
      </c>
      <c r="I74" s="427"/>
      <c r="J74" s="427"/>
      <c r="K74" s="427"/>
      <c r="L74" s="248">
        <f>'INPUT SHEET '!P42</f>
        <v>0</v>
      </c>
      <c r="M74" s="430"/>
      <c r="N74" s="256"/>
      <c r="P74" s="257" t="b">
        <f>P73</f>
        <v>0</v>
      </c>
    </row>
    <row r="75" spans="1:16" ht="15.75" customHeight="1">
      <c r="A75" s="421"/>
      <c r="B75" s="420">
        <f>'INPUT SHEET '!A43</f>
        <v>0</v>
      </c>
      <c r="C75" s="425" t="str">
        <f>IF('INPUT SHEET '!B43=""," ",'INPUT SHEET '!B43)</f>
        <v xml:space="preserve"> </v>
      </c>
      <c r="D75" s="426" t="str">
        <f>'INPUT SHEET '!C43</f>
        <v>INFANTRY</v>
      </c>
      <c r="E75" s="426"/>
      <c r="F75" s="245" t="str">
        <f>'INPUT SHEET '!E43</f>
        <v>Average</v>
      </c>
      <c r="G75" s="427" t="str">
        <f>'INPUT SHEET '!G43</f>
        <v>-</v>
      </c>
      <c r="H75" s="245" t="str">
        <f>'INPUT SHEET '!H43</f>
        <v>Experienced</v>
      </c>
      <c r="I75" s="427" t="str">
        <f>CONCATENATE('INPUT SHEET '!J43,"; ",'INPUT SHEET '!K43,"; ",'INPUT SHEET '!L43,"; ",'INPUT SHEET '!M43,"; ",'INPUT SHEET '!N43)</f>
        <v>-; -; -; -; -</v>
      </c>
      <c r="J75" s="427"/>
      <c r="K75" s="427"/>
      <c r="L75" s="246">
        <f>'INPUT SHEET '!O43</f>
        <v>0</v>
      </c>
      <c r="M75" s="429">
        <f>'INPUT SHEET '!Q43</f>
        <v>0</v>
      </c>
      <c r="N75" s="256"/>
      <c r="P75" s="257" t="b">
        <f>'INPUT SHEET '!A43&lt;&gt;0</f>
        <v>0</v>
      </c>
    </row>
    <row r="76" spans="1:16" ht="15.75" customHeight="1">
      <c r="A76" s="421"/>
      <c r="B76" s="420"/>
      <c r="C76" s="425"/>
      <c r="D76" s="428" t="str">
        <f>'INPUT SHEET '!D43</f>
        <v>Skirmisher</v>
      </c>
      <c r="E76" s="428"/>
      <c r="F76" s="266" t="str">
        <f>'INPUT SHEET '!F43</f>
        <v>Unprotected</v>
      </c>
      <c r="G76" s="427"/>
      <c r="H76" s="247" t="str">
        <f>'INPUT SHEET '!I43</f>
        <v>Bow</v>
      </c>
      <c r="I76" s="427"/>
      <c r="J76" s="427"/>
      <c r="K76" s="427"/>
      <c r="L76" s="248">
        <f>'INPUT SHEET '!P43</f>
        <v>0</v>
      </c>
      <c r="M76" s="430"/>
      <c r="N76" s="256"/>
      <c r="P76" s="257" t="b">
        <f>P75</f>
        <v>0</v>
      </c>
    </row>
    <row r="77" spans="1:16" ht="15.75" customHeight="1">
      <c r="A77" s="421"/>
      <c r="B77" s="420">
        <f>'INPUT SHEET '!A44</f>
        <v>0</v>
      </c>
      <c r="C77" s="425" t="str">
        <f>IF('INPUT SHEET '!B44=""," ",'INPUT SHEET '!B44)</f>
        <v xml:space="preserve"> </v>
      </c>
      <c r="D77" s="426" t="str">
        <f>'INPUT SHEET '!C44</f>
        <v>INFANTRY</v>
      </c>
      <c r="E77" s="426"/>
      <c r="F77" s="245" t="str">
        <f>'INPUT SHEET '!E44</f>
        <v>Average</v>
      </c>
      <c r="G77" s="427" t="str">
        <f>'INPUT SHEET '!G44</f>
        <v>-</v>
      </c>
      <c r="H77" s="245" t="str">
        <f>'INPUT SHEET '!H44</f>
        <v>Experienced</v>
      </c>
      <c r="I77" s="427" t="str">
        <f>CONCATENATE('INPUT SHEET '!J44,"; ",'INPUT SHEET '!K44,"; ",'INPUT SHEET '!L44,"; ",'INPUT SHEET '!M44,"; ",'INPUT SHEET '!N44)</f>
        <v>-; -; -; -; -</v>
      </c>
      <c r="J77" s="427"/>
      <c r="K77" s="427"/>
      <c r="L77" s="246">
        <f>'INPUT SHEET '!O44</f>
        <v>0</v>
      </c>
      <c r="M77" s="429">
        <f>'INPUT SHEET '!Q44</f>
        <v>0</v>
      </c>
      <c r="N77" s="256"/>
      <c r="P77" s="257" t="b">
        <f>'INPUT SHEET '!A44&lt;&gt;0</f>
        <v>0</v>
      </c>
    </row>
    <row r="78" spans="1:16" ht="15.75" customHeight="1">
      <c r="A78" s="421"/>
      <c r="B78" s="420"/>
      <c r="C78" s="425"/>
      <c r="D78" s="428" t="str">
        <f>'INPUT SHEET '!D44</f>
        <v>Skirmisher</v>
      </c>
      <c r="E78" s="428"/>
      <c r="F78" s="266" t="str">
        <f>'INPUT SHEET '!F44</f>
        <v>Unprotected</v>
      </c>
      <c r="G78" s="427"/>
      <c r="H78" s="247" t="str">
        <f>'INPUT SHEET '!I44</f>
        <v>Bow</v>
      </c>
      <c r="I78" s="427"/>
      <c r="J78" s="427"/>
      <c r="K78" s="427"/>
      <c r="L78" s="248">
        <f>'INPUT SHEET '!P44</f>
        <v>0</v>
      </c>
      <c r="M78" s="430"/>
      <c r="N78" s="256"/>
      <c r="P78" s="257" t="b">
        <f>P77</f>
        <v>0</v>
      </c>
    </row>
    <row r="79" spans="1:16" ht="15.75" customHeight="1">
      <c r="A79" s="421"/>
      <c r="B79" s="420">
        <f>'INPUT SHEET '!A45</f>
        <v>0</v>
      </c>
      <c r="C79" s="425" t="str">
        <f>IF('INPUT SHEET '!B45=""," ",'INPUT SHEET '!B45)</f>
        <v xml:space="preserve"> </v>
      </c>
      <c r="D79" s="426" t="str">
        <f>'INPUT SHEET '!C45</f>
        <v>INFANTRY</v>
      </c>
      <c r="E79" s="426"/>
      <c r="F79" s="245" t="str">
        <f>'INPUT SHEET '!E45</f>
        <v>Average</v>
      </c>
      <c r="G79" s="427" t="str">
        <f>'INPUT SHEET '!G45</f>
        <v>-</v>
      </c>
      <c r="H79" s="245" t="str">
        <f>'INPUT SHEET '!H45</f>
        <v>Experienced</v>
      </c>
      <c r="I79" s="427" t="str">
        <f>CONCATENATE('INPUT SHEET '!J45,"; ",'INPUT SHEET '!K45,"; ",'INPUT SHEET '!L45,"; ",'INPUT SHEET '!M45,"; ",'INPUT SHEET '!N45)</f>
        <v>-; -; -; -; -</v>
      </c>
      <c r="J79" s="427"/>
      <c r="K79" s="427"/>
      <c r="L79" s="246">
        <f>'INPUT SHEET '!O45</f>
        <v>0</v>
      </c>
      <c r="M79" s="429">
        <f>'INPUT SHEET '!Q45</f>
        <v>0</v>
      </c>
      <c r="N79" s="256"/>
      <c r="P79" s="257" t="b">
        <f>'INPUT SHEET '!A45&lt;&gt;0</f>
        <v>0</v>
      </c>
    </row>
    <row r="80" spans="1:16" ht="15.75" customHeight="1">
      <c r="A80" s="421"/>
      <c r="B80" s="420"/>
      <c r="C80" s="425"/>
      <c r="D80" s="428" t="str">
        <f>'INPUT SHEET '!D45</f>
        <v>Skirmisher</v>
      </c>
      <c r="E80" s="428"/>
      <c r="F80" s="266" t="str">
        <f>'INPUT SHEET '!F45</f>
        <v>Unprotected</v>
      </c>
      <c r="G80" s="427"/>
      <c r="H80" s="247" t="str">
        <f>'INPUT SHEET '!I45</f>
        <v>Bow</v>
      </c>
      <c r="I80" s="427"/>
      <c r="J80" s="427"/>
      <c r="K80" s="427"/>
      <c r="L80" s="248">
        <f>'INPUT SHEET '!P45</f>
        <v>0</v>
      </c>
      <c r="M80" s="430"/>
      <c r="N80" s="256"/>
      <c r="P80" s="257" t="b">
        <f>P79</f>
        <v>0</v>
      </c>
    </row>
    <row r="81" spans="1:16" ht="15.75" customHeight="1">
      <c r="A81" s="421"/>
      <c r="B81" s="420">
        <f>'INPUT SHEET '!A46</f>
        <v>0</v>
      </c>
      <c r="C81" s="425" t="str">
        <f>IF('INPUT SHEET '!B46=""," ",'INPUT SHEET '!B46)</f>
        <v xml:space="preserve"> </v>
      </c>
      <c r="D81" s="426" t="str">
        <f>'INPUT SHEET '!C46</f>
        <v>INFANTRY</v>
      </c>
      <c r="E81" s="426"/>
      <c r="F81" s="245" t="str">
        <f>'INPUT SHEET '!E46</f>
        <v>Average</v>
      </c>
      <c r="G81" s="427" t="str">
        <f>'INPUT SHEET '!G46</f>
        <v>-</v>
      </c>
      <c r="H81" s="245" t="str">
        <f>'INPUT SHEET '!H46</f>
        <v>Experienced</v>
      </c>
      <c r="I81" s="427" t="str">
        <f>CONCATENATE('INPUT SHEET '!J46,"; ",'INPUT SHEET '!K46,"; ",'INPUT SHEET '!L46,"; ",'INPUT SHEET '!M46,"; ",'INPUT SHEET '!N46)</f>
        <v>-; -; -; -; -</v>
      </c>
      <c r="J81" s="427"/>
      <c r="K81" s="427"/>
      <c r="L81" s="246">
        <f>'INPUT SHEET '!O46</f>
        <v>0</v>
      </c>
      <c r="M81" s="429">
        <f>'INPUT SHEET '!Q46</f>
        <v>0</v>
      </c>
      <c r="N81" s="256"/>
      <c r="P81" s="257" t="b">
        <f>'INPUT SHEET '!A46&lt;&gt;0</f>
        <v>0</v>
      </c>
    </row>
    <row r="82" spans="1:16" ht="15.75" customHeight="1">
      <c r="A82" s="421"/>
      <c r="B82" s="420"/>
      <c r="C82" s="425"/>
      <c r="D82" s="428" t="str">
        <f>'INPUT SHEET '!D46</f>
        <v>Skirmisher</v>
      </c>
      <c r="E82" s="428"/>
      <c r="F82" s="266" t="str">
        <f>'INPUT SHEET '!F46</f>
        <v>Unprotected</v>
      </c>
      <c r="G82" s="427"/>
      <c r="H82" s="247" t="str">
        <f>'INPUT SHEET '!I46</f>
        <v>Bow</v>
      </c>
      <c r="I82" s="427"/>
      <c r="J82" s="427"/>
      <c r="K82" s="427"/>
      <c r="L82" s="248">
        <f>'INPUT SHEET '!P46</f>
        <v>0</v>
      </c>
      <c r="M82" s="430"/>
      <c r="N82" s="256"/>
      <c r="P82" s="257" t="b">
        <f>P81</f>
        <v>0</v>
      </c>
    </row>
    <row r="83" spans="1:16" ht="15.75" customHeight="1">
      <c r="A83" s="421"/>
      <c r="B83" s="420">
        <f>'INPUT SHEET '!A47</f>
        <v>0</v>
      </c>
      <c r="C83" s="425" t="str">
        <f>IF('INPUT SHEET '!B47=""," ",'INPUT SHEET '!B47)</f>
        <v xml:space="preserve"> </v>
      </c>
      <c r="D83" s="426" t="str">
        <f>'INPUT SHEET '!C47</f>
        <v>INFANTRY</v>
      </c>
      <c r="E83" s="426"/>
      <c r="F83" s="245" t="str">
        <f>'INPUT SHEET '!E47</f>
        <v>Average</v>
      </c>
      <c r="G83" s="427" t="str">
        <f>'INPUT SHEET '!G47</f>
        <v>-</v>
      </c>
      <c r="H83" s="245" t="str">
        <f>'INPUT SHEET '!H47</f>
        <v>Experienced</v>
      </c>
      <c r="I83" s="427" t="str">
        <f>CONCATENATE('INPUT SHEET '!J47,"; ",'INPUT SHEET '!K47,"; ",'INPUT SHEET '!L47,"; ",'INPUT SHEET '!M47,"; ",'INPUT SHEET '!N47)</f>
        <v>-; -; -; -; -</v>
      </c>
      <c r="J83" s="427"/>
      <c r="K83" s="427"/>
      <c r="L83" s="246">
        <f>'INPUT SHEET '!O47</f>
        <v>0</v>
      </c>
      <c r="M83" s="429">
        <f>'INPUT SHEET '!Q47</f>
        <v>0</v>
      </c>
      <c r="N83" s="256"/>
      <c r="P83" s="257" t="b">
        <f>'INPUT SHEET '!A47&lt;&gt;0</f>
        <v>0</v>
      </c>
    </row>
    <row r="84" spans="1:16" ht="15.75" customHeight="1">
      <c r="A84" s="421"/>
      <c r="B84" s="420"/>
      <c r="C84" s="425"/>
      <c r="D84" s="428" t="str">
        <f>'INPUT SHEET '!D47</f>
        <v>Skirmisher</v>
      </c>
      <c r="E84" s="428"/>
      <c r="F84" s="266" t="str">
        <f>'INPUT SHEET '!F47</f>
        <v>Unprotected</v>
      </c>
      <c r="G84" s="427"/>
      <c r="H84" s="247" t="str">
        <f>'INPUT SHEET '!I47</f>
        <v>Bow</v>
      </c>
      <c r="I84" s="427"/>
      <c r="J84" s="427"/>
      <c r="K84" s="427"/>
      <c r="L84" s="248">
        <f>'INPUT SHEET '!P47</f>
        <v>0</v>
      </c>
      <c r="M84" s="430"/>
      <c r="N84" s="256"/>
      <c r="P84" s="257" t="b">
        <f>P83</f>
        <v>0</v>
      </c>
    </row>
    <row r="85" spans="1:16" ht="15.75" customHeight="1">
      <c r="A85" s="421"/>
      <c r="B85" s="420">
        <f>'INPUT SHEET '!A48</f>
        <v>0</v>
      </c>
      <c r="C85" s="425" t="str">
        <f>IF('INPUT SHEET '!B48=""," ",'INPUT SHEET '!B48)</f>
        <v xml:space="preserve"> </v>
      </c>
      <c r="D85" s="426" t="str">
        <f>'INPUT SHEET '!C48</f>
        <v>INFANTRY</v>
      </c>
      <c r="E85" s="426"/>
      <c r="F85" s="245" t="str">
        <f>'INPUT SHEET '!E48</f>
        <v>Average</v>
      </c>
      <c r="G85" s="427" t="str">
        <f>'INPUT SHEET '!G48</f>
        <v>-</v>
      </c>
      <c r="H85" s="245" t="str">
        <f>'INPUT SHEET '!H48</f>
        <v>Experienced</v>
      </c>
      <c r="I85" s="427" t="str">
        <f>CONCATENATE('INPUT SHEET '!J48,"; ",'INPUT SHEET '!K48,"; ",'INPUT SHEET '!L48,"; ",'INPUT SHEET '!M48,"; ",'INPUT SHEET '!N48)</f>
        <v>-; -; -; -; -</v>
      </c>
      <c r="J85" s="427"/>
      <c r="K85" s="427"/>
      <c r="L85" s="246">
        <f>'INPUT SHEET '!O48</f>
        <v>0</v>
      </c>
      <c r="M85" s="429">
        <f>'INPUT SHEET '!Q48</f>
        <v>0</v>
      </c>
      <c r="N85" s="256"/>
      <c r="P85" s="257" t="b">
        <f>'INPUT SHEET '!A48&lt;&gt;0</f>
        <v>0</v>
      </c>
    </row>
    <row r="86" spans="1:16" ht="15.75" customHeight="1">
      <c r="A86" s="421"/>
      <c r="B86" s="420"/>
      <c r="C86" s="425"/>
      <c r="D86" s="428" t="str">
        <f>'INPUT SHEET '!D48</f>
        <v>Skirmisher</v>
      </c>
      <c r="E86" s="428"/>
      <c r="F86" s="266" t="str">
        <f>'INPUT SHEET '!F48</f>
        <v>Unprotected</v>
      </c>
      <c r="G86" s="427"/>
      <c r="H86" s="247" t="str">
        <f>'INPUT SHEET '!I48</f>
        <v>Bow</v>
      </c>
      <c r="I86" s="427"/>
      <c r="J86" s="427"/>
      <c r="K86" s="427"/>
      <c r="L86" s="248">
        <f>'INPUT SHEET '!P48</f>
        <v>0</v>
      </c>
      <c r="M86" s="430"/>
      <c r="N86" s="256"/>
      <c r="P86" s="257" t="b">
        <f>P85</f>
        <v>0</v>
      </c>
    </row>
    <row r="87" spans="1:16" ht="15.75" customHeight="1">
      <c r="A87" s="421"/>
      <c r="B87" s="420">
        <f>'INPUT SHEET '!A49</f>
        <v>0</v>
      </c>
      <c r="C87" s="425" t="str">
        <f>IF('INPUT SHEET '!B49=""," ",'INPUT SHEET '!B49)</f>
        <v xml:space="preserve"> </v>
      </c>
      <c r="D87" s="426" t="str">
        <f>'INPUT SHEET '!C49</f>
        <v>INFANTRY</v>
      </c>
      <c r="E87" s="426"/>
      <c r="F87" s="245" t="str">
        <f>'INPUT SHEET '!E49</f>
        <v>Average</v>
      </c>
      <c r="G87" s="427" t="str">
        <f>'INPUT SHEET '!G49</f>
        <v>-</v>
      </c>
      <c r="H87" s="245" t="str">
        <f>'INPUT SHEET '!H49</f>
        <v>Experienced</v>
      </c>
      <c r="I87" s="427" t="str">
        <f>CONCATENATE('INPUT SHEET '!J49,"; ",'INPUT SHEET '!K49,"; ",'INPUT SHEET '!L49,"; ",'INPUT SHEET '!M49,"; ",'INPUT SHEET '!N49)</f>
        <v>-; -; -; -; -</v>
      </c>
      <c r="J87" s="427"/>
      <c r="K87" s="427"/>
      <c r="L87" s="246">
        <f>'INPUT SHEET '!O49</f>
        <v>0</v>
      </c>
      <c r="M87" s="429">
        <f>'INPUT SHEET '!Q49</f>
        <v>0</v>
      </c>
      <c r="N87" s="256"/>
      <c r="P87" s="257" t="b">
        <f>'INPUT SHEET '!A49&lt;&gt;0</f>
        <v>0</v>
      </c>
    </row>
    <row r="88" spans="1:16" ht="15.75" customHeight="1">
      <c r="A88" s="421"/>
      <c r="B88" s="420"/>
      <c r="C88" s="425"/>
      <c r="D88" s="428" t="str">
        <f>'INPUT SHEET '!D49</f>
        <v>Skirmisher</v>
      </c>
      <c r="E88" s="428"/>
      <c r="F88" s="266" t="str">
        <f>'INPUT SHEET '!F49</f>
        <v>Unprotected</v>
      </c>
      <c r="G88" s="427"/>
      <c r="H88" s="247" t="str">
        <f>'INPUT SHEET '!I49</f>
        <v>Bow</v>
      </c>
      <c r="I88" s="427"/>
      <c r="J88" s="427"/>
      <c r="K88" s="427"/>
      <c r="L88" s="248">
        <f>'INPUT SHEET '!P49</f>
        <v>0</v>
      </c>
      <c r="M88" s="430"/>
      <c r="N88" s="256"/>
      <c r="P88" s="257" t="b">
        <f>P87</f>
        <v>0</v>
      </c>
    </row>
    <row r="89" spans="1:16" ht="15.75" customHeight="1">
      <c r="A89" s="421"/>
      <c r="B89" s="420">
        <f>'INPUT SHEET '!A50</f>
        <v>0</v>
      </c>
      <c r="C89" s="425" t="str">
        <f>IF('INPUT SHEET '!B50=""," ",'INPUT SHEET '!B50)</f>
        <v xml:space="preserve"> </v>
      </c>
      <c r="D89" s="426" t="str">
        <f>'INPUT SHEET '!C50</f>
        <v>INFANTRY</v>
      </c>
      <c r="E89" s="426"/>
      <c r="F89" s="245" t="str">
        <f>'INPUT SHEET '!E50</f>
        <v>Average</v>
      </c>
      <c r="G89" s="427" t="str">
        <f>'INPUT SHEET '!G50</f>
        <v>-</v>
      </c>
      <c r="H89" s="245" t="str">
        <f>'INPUT SHEET '!H50</f>
        <v>Experienced</v>
      </c>
      <c r="I89" s="427" t="str">
        <f>CONCATENATE('INPUT SHEET '!J50,"; ",'INPUT SHEET '!K50,"; ",'INPUT SHEET '!L50,"; ",'INPUT SHEET '!M50,"; ",'INPUT SHEET '!N50)</f>
        <v>-; -; -; -; -</v>
      </c>
      <c r="J89" s="427"/>
      <c r="K89" s="427"/>
      <c r="L89" s="246">
        <f>'INPUT SHEET '!O50</f>
        <v>0</v>
      </c>
      <c r="M89" s="429">
        <f>'INPUT SHEET '!Q50</f>
        <v>0</v>
      </c>
      <c r="N89" s="256"/>
      <c r="P89" s="257" t="b">
        <f>'INPUT SHEET '!A50&lt;&gt;0</f>
        <v>0</v>
      </c>
    </row>
    <row r="90" spans="1:16" ht="15.75" customHeight="1">
      <c r="A90" s="421"/>
      <c r="B90" s="420"/>
      <c r="C90" s="425"/>
      <c r="D90" s="428" t="str">
        <f>'INPUT SHEET '!D50</f>
        <v>Skirmisher</v>
      </c>
      <c r="E90" s="428"/>
      <c r="F90" s="266" t="str">
        <f>'INPUT SHEET '!F50</f>
        <v>Unprotected</v>
      </c>
      <c r="G90" s="427"/>
      <c r="H90" s="247" t="str">
        <f>'INPUT SHEET '!I50</f>
        <v>Bow</v>
      </c>
      <c r="I90" s="427"/>
      <c r="J90" s="427"/>
      <c r="K90" s="427"/>
      <c r="L90" s="248">
        <f>'INPUT SHEET '!P50</f>
        <v>0</v>
      </c>
      <c r="M90" s="430"/>
      <c r="N90" s="256"/>
      <c r="P90" s="257" t="b">
        <f>P89</f>
        <v>0</v>
      </c>
    </row>
    <row r="91" spans="1:16" ht="15.75" customHeight="1">
      <c r="A91" s="421"/>
      <c r="B91" s="420">
        <f>'INPUT SHEET '!A51</f>
        <v>0</v>
      </c>
      <c r="C91" s="425" t="str">
        <f>IF('INPUT SHEET '!B51=""," ",'INPUT SHEET '!B51)</f>
        <v xml:space="preserve"> </v>
      </c>
      <c r="D91" s="426" t="str">
        <f>'INPUT SHEET '!C51</f>
        <v>INFANTRY</v>
      </c>
      <c r="E91" s="426"/>
      <c r="F91" s="245" t="str">
        <f>'INPUT SHEET '!E51</f>
        <v>Average</v>
      </c>
      <c r="G91" s="427" t="str">
        <f>'INPUT SHEET '!G51</f>
        <v>-</v>
      </c>
      <c r="H91" s="245" t="str">
        <f>'INPUT SHEET '!H51</f>
        <v>Experienced</v>
      </c>
      <c r="I91" s="427" t="str">
        <f>CONCATENATE('INPUT SHEET '!J51,"; ",'INPUT SHEET '!K51,"; ",'INPUT SHEET '!L51,"; ",'INPUT SHEET '!M51,"; ",'INPUT SHEET '!N51)</f>
        <v>-; -; -; -; -</v>
      </c>
      <c r="J91" s="427"/>
      <c r="K91" s="427"/>
      <c r="L91" s="246">
        <f>'INPUT SHEET '!O51</f>
        <v>0</v>
      </c>
      <c r="M91" s="429">
        <f>'INPUT SHEET '!Q51</f>
        <v>0</v>
      </c>
      <c r="N91" s="256"/>
      <c r="P91" s="257" t="b">
        <f>'INPUT SHEET '!A51&lt;&gt;0</f>
        <v>0</v>
      </c>
    </row>
    <row r="92" spans="1:16" ht="15.75" customHeight="1">
      <c r="A92" s="421"/>
      <c r="B92" s="420"/>
      <c r="C92" s="425"/>
      <c r="D92" s="428" t="str">
        <f>'INPUT SHEET '!D51</f>
        <v>Skirmisher</v>
      </c>
      <c r="E92" s="428"/>
      <c r="F92" s="266" t="str">
        <f>'INPUT SHEET '!F51</f>
        <v>Unprotected</v>
      </c>
      <c r="G92" s="427"/>
      <c r="H92" s="247" t="str">
        <f>'INPUT SHEET '!I51</f>
        <v>Bow</v>
      </c>
      <c r="I92" s="427"/>
      <c r="J92" s="427"/>
      <c r="K92" s="427"/>
      <c r="L92" s="248">
        <f>'INPUT SHEET '!P51</f>
        <v>0</v>
      </c>
      <c r="M92" s="430"/>
      <c r="N92" s="256"/>
      <c r="P92" s="257" t="b">
        <f>P91</f>
        <v>0</v>
      </c>
    </row>
    <row r="93" spans="1:16" ht="15.75" customHeight="1">
      <c r="A93" s="421"/>
      <c r="B93" s="420">
        <f>'INPUT SHEET '!A52</f>
        <v>0</v>
      </c>
      <c r="C93" s="425" t="str">
        <f>IF('INPUT SHEET '!B52=""," ",'INPUT SHEET '!B52)</f>
        <v xml:space="preserve"> </v>
      </c>
      <c r="D93" s="426" t="str">
        <f>'INPUT SHEET '!C52</f>
        <v>INFANTRY</v>
      </c>
      <c r="E93" s="426"/>
      <c r="F93" s="245" t="str">
        <f>'INPUT SHEET '!E52</f>
        <v>Average</v>
      </c>
      <c r="G93" s="427" t="str">
        <f>'INPUT SHEET '!G52</f>
        <v>-</v>
      </c>
      <c r="H93" s="245" t="str">
        <f>'INPUT SHEET '!H52</f>
        <v>Experienced</v>
      </c>
      <c r="I93" s="427" t="str">
        <f>CONCATENATE('INPUT SHEET '!J52,"; ",'INPUT SHEET '!K52,"; ",'INPUT SHEET '!L52,"; ",'INPUT SHEET '!M52,"; ",'INPUT SHEET '!N52)</f>
        <v>-; -; -; -; -</v>
      </c>
      <c r="J93" s="427"/>
      <c r="K93" s="427"/>
      <c r="L93" s="246">
        <f>'INPUT SHEET '!O52</f>
        <v>0</v>
      </c>
      <c r="M93" s="429">
        <f>'INPUT SHEET '!Q52</f>
        <v>0</v>
      </c>
      <c r="N93" s="256"/>
      <c r="P93" s="257" t="b">
        <f>'INPUT SHEET '!A52&lt;&gt;0</f>
        <v>0</v>
      </c>
    </row>
    <row r="94" spans="1:16" ht="15.75" customHeight="1">
      <c r="A94" s="421"/>
      <c r="B94" s="420"/>
      <c r="C94" s="425"/>
      <c r="D94" s="428" t="str">
        <f>'INPUT SHEET '!D52</f>
        <v>Skirmisher</v>
      </c>
      <c r="E94" s="428"/>
      <c r="F94" s="266" t="str">
        <f>'INPUT SHEET '!F52</f>
        <v>Unprotected</v>
      </c>
      <c r="G94" s="427"/>
      <c r="H94" s="247" t="str">
        <f>'INPUT SHEET '!I52</f>
        <v>Bow</v>
      </c>
      <c r="I94" s="427"/>
      <c r="J94" s="427"/>
      <c r="K94" s="427"/>
      <c r="L94" s="248">
        <f>'INPUT SHEET '!P52</f>
        <v>0</v>
      </c>
      <c r="M94" s="430"/>
      <c r="N94" s="256"/>
      <c r="P94" s="257" t="b">
        <f>P93</f>
        <v>0</v>
      </c>
    </row>
    <row r="95" spans="1:16" ht="15.75" customHeight="1">
      <c r="A95" s="421"/>
      <c r="B95" s="420">
        <f>'INPUT SHEET '!A53</f>
        <v>0</v>
      </c>
      <c r="C95" s="425" t="str">
        <f>IF('INPUT SHEET '!B53=""," ",'INPUT SHEET '!B53)</f>
        <v xml:space="preserve"> </v>
      </c>
      <c r="D95" s="426" t="str">
        <f>'INPUT SHEET '!C53</f>
        <v>INFANTRY</v>
      </c>
      <c r="E95" s="426"/>
      <c r="F95" s="245" t="str">
        <f>'INPUT SHEET '!E53</f>
        <v>Average</v>
      </c>
      <c r="G95" s="427" t="str">
        <f>'INPUT SHEET '!G53</f>
        <v>-</v>
      </c>
      <c r="H95" s="245" t="str">
        <f>'INPUT SHEET '!H53</f>
        <v>Experienced</v>
      </c>
      <c r="I95" s="427" t="str">
        <f>CONCATENATE('INPUT SHEET '!J53,"; ",'INPUT SHEET '!K53,"; ",'INPUT SHEET '!L53,"; ",'INPUT SHEET '!M53,"; ",'INPUT SHEET '!N53)</f>
        <v>-; -; -; -; -</v>
      </c>
      <c r="J95" s="427"/>
      <c r="K95" s="427"/>
      <c r="L95" s="246">
        <f>'INPUT SHEET '!O53</f>
        <v>0</v>
      </c>
      <c r="M95" s="429">
        <f>'INPUT SHEET '!Q53</f>
        <v>0</v>
      </c>
      <c r="N95" s="256"/>
      <c r="P95" s="257" t="b">
        <f>'INPUT SHEET '!A53&lt;&gt;0</f>
        <v>0</v>
      </c>
    </row>
    <row r="96" spans="1:16" ht="15.75" customHeight="1">
      <c r="A96" s="421"/>
      <c r="B96" s="420"/>
      <c r="C96" s="425"/>
      <c r="D96" s="428" t="str">
        <f>'INPUT SHEET '!D53</f>
        <v>Skirmisher</v>
      </c>
      <c r="E96" s="428"/>
      <c r="F96" s="266" t="str">
        <f>'INPUT SHEET '!F53</f>
        <v>Unprotected</v>
      </c>
      <c r="G96" s="427"/>
      <c r="H96" s="247" t="str">
        <f>'INPUT SHEET '!I53</f>
        <v>Bow</v>
      </c>
      <c r="I96" s="427"/>
      <c r="J96" s="427"/>
      <c r="K96" s="427"/>
      <c r="L96" s="248">
        <f>'INPUT SHEET '!P53</f>
        <v>0</v>
      </c>
      <c r="M96" s="430"/>
      <c r="N96" s="256"/>
      <c r="P96" s="257" t="b">
        <f>P95</f>
        <v>0</v>
      </c>
    </row>
    <row r="97" spans="1:16" ht="15.75" customHeight="1">
      <c r="A97" s="421"/>
      <c r="B97" s="420">
        <f>'INPUT SHEET '!A54</f>
        <v>0</v>
      </c>
      <c r="C97" s="425" t="str">
        <f>IF('INPUT SHEET '!B54=""," ",'INPUT SHEET '!B54)</f>
        <v xml:space="preserve"> </v>
      </c>
      <c r="D97" s="426" t="str">
        <f>'INPUT SHEET '!C54</f>
        <v>INFANTRY</v>
      </c>
      <c r="E97" s="426"/>
      <c r="F97" s="245" t="str">
        <f>'INPUT SHEET '!E54</f>
        <v>Average</v>
      </c>
      <c r="G97" s="427" t="str">
        <f>'INPUT SHEET '!G54</f>
        <v>-</v>
      </c>
      <c r="H97" s="245" t="str">
        <f>'INPUT SHEET '!H54</f>
        <v>Experienced</v>
      </c>
      <c r="I97" s="427" t="str">
        <f>CONCATENATE('INPUT SHEET '!J51,"; ",'INPUT SHEET '!K51,"; ",'INPUT SHEET '!L51,"; ",'INPUT SHEET '!M51,"; ",'INPUT SHEET '!N51)</f>
        <v>-; -; -; -; -</v>
      </c>
      <c r="J97" s="427"/>
      <c r="K97" s="427"/>
      <c r="L97" s="246">
        <f>'INPUT SHEET '!O54</f>
        <v>0</v>
      </c>
      <c r="M97" s="429">
        <f>'INPUT SHEET '!Q54</f>
        <v>0</v>
      </c>
      <c r="N97" s="256"/>
      <c r="P97" s="257" t="b">
        <f>'INPUT SHEET '!A54&lt;&gt;0</f>
        <v>0</v>
      </c>
    </row>
    <row r="98" spans="1:16" ht="15.75" customHeight="1">
      <c r="A98" s="421"/>
      <c r="B98" s="420"/>
      <c r="C98" s="425"/>
      <c r="D98" s="428" t="str">
        <f>'INPUT SHEET '!D54</f>
        <v>Skirmisher</v>
      </c>
      <c r="E98" s="428"/>
      <c r="F98" s="266" t="str">
        <f>'INPUT SHEET '!F54</f>
        <v>Unprotected</v>
      </c>
      <c r="G98" s="427"/>
      <c r="H98" s="247" t="str">
        <f>'INPUT SHEET '!I54</f>
        <v>Bow</v>
      </c>
      <c r="I98" s="427"/>
      <c r="J98" s="427"/>
      <c r="K98" s="427"/>
      <c r="L98" s="248">
        <f>'INPUT SHEET '!P54</f>
        <v>0</v>
      </c>
      <c r="M98" s="430"/>
      <c r="N98" s="256"/>
      <c r="P98" s="257" t="b">
        <f>P97</f>
        <v>0</v>
      </c>
    </row>
    <row r="99" spans="1:16" ht="20.100000000000001" customHeight="1">
      <c r="A99" s="423" t="s">
        <v>320</v>
      </c>
      <c r="B99" s="423"/>
      <c r="C99" s="423"/>
      <c r="D99" s="423"/>
      <c r="E99" s="423"/>
      <c r="F99" s="423"/>
      <c r="G99" s="423"/>
      <c r="H99" s="423"/>
      <c r="I99" s="423"/>
      <c r="J99" s="423"/>
      <c r="K99" s="423"/>
      <c r="L99" s="423"/>
      <c r="M99" s="423"/>
      <c r="N99" s="423"/>
      <c r="O99" s="244"/>
      <c r="P99" s="257" t="b">
        <f>P100</f>
        <v>0</v>
      </c>
    </row>
    <row r="100" spans="1:16" ht="15.75">
      <c r="A100" s="422"/>
      <c r="B100" s="420">
        <f>'INPUT SHEET '!A56</f>
        <v>0</v>
      </c>
      <c r="C100" s="425" t="str">
        <f>IF('INPUT SHEET '!B56=""," ",'INPUT SHEET '!B56)</f>
        <v xml:space="preserve"> </v>
      </c>
      <c r="D100" s="426" t="str">
        <f>IF('INPUT SHEET '!C56=""," ",'INPUT SHEET '!C56)</f>
        <v xml:space="preserve"> </v>
      </c>
      <c r="E100" s="426"/>
      <c r="F100" s="245" t="str">
        <f>IF('INPUT SHEET '!E56=""," ",'INPUT SHEET '!E56)</f>
        <v>Average</v>
      </c>
      <c r="G100" s="427" t="str">
        <f>'INPUT SHEET '!G56</f>
        <v>-</v>
      </c>
      <c r="H100" s="245" t="str">
        <f>'INPUT SHEET '!H56</f>
        <v>-</v>
      </c>
      <c r="I100" s="427" t="str">
        <f>CONCATENATE('INPUT SHEET '!J56,"; ",'INPUT SHEET '!K56,"; ",'INPUT SHEET '!L56,"; ",'INPUT SHEET '!M56,"; ",'INPUT SHEET '!N56)</f>
        <v>Expendables; -; -; -; -</v>
      </c>
      <c r="J100" s="427"/>
      <c r="K100" s="427"/>
      <c r="L100" s="246">
        <f>'INPUT SHEET '!O56</f>
        <v>0</v>
      </c>
      <c r="M100" s="429">
        <f>'INPUT SHEET '!Q56</f>
        <v>0</v>
      </c>
      <c r="N100" s="256"/>
      <c r="P100" s="257" t="b">
        <f>'INPUT SHEET '!A56&lt;&gt;0</f>
        <v>0</v>
      </c>
    </row>
    <row r="101" spans="1:16" ht="15.75">
      <c r="A101" s="422"/>
      <c r="B101" s="420"/>
      <c r="C101" s="425"/>
      <c r="D101" s="428" t="str">
        <f>IF('INPUT SHEET '!D56=""," ",'INPUT SHEET '!D56)</f>
        <v xml:space="preserve"> </v>
      </c>
      <c r="E101" s="428"/>
      <c r="F101" s="266" t="str">
        <f>'INPUT SHEET '!F56</f>
        <v>Protected</v>
      </c>
      <c r="G101" s="427"/>
      <c r="H101" s="247" t="str">
        <f>'INPUT SHEET '!I56</f>
        <v>-</v>
      </c>
      <c r="I101" s="427"/>
      <c r="J101" s="427"/>
      <c r="K101" s="427"/>
      <c r="L101" s="248">
        <f>'INPUT SHEET '!P56</f>
        <v>0</v>
      </c>
      <c r="M101" s="430"/>
      <c r="N101" s="256"/>
      <c r="P101" s="257" t="b">
        <f>P100</f>
        <v>0</v>
      </c>
    </row>
    <row r="102" spans="1:16" ht="9" customHeight="1">
      <c r="A102" s="419"/>
      <c r="B102" s="419"/>
      <c r="C102" s="419"/>
      <c r="D102" s="419"/>
      <c r="E102" s="419"/>
      <c r="F102" s="419"/>
      <c r="G102" s="419"/>
      <c r="H102" s="419"/>
      <c r="I102" s="419"/>
      <c r="J102" s="419"/>
      <c r="K102" s="419"/>
      <c r="L102" s="419"/>
      <c r="M102" s="419"/>
      <c r="N102" s="419"/>
      <c r="O102" s="244"/>
    </row>
  </sheetData>
  <sheetProtection password="CD66" sheet="1" objects="1" scenarios="1" autoFilter="0"/>
  <autoFilter ref="P17:P101"/>
  <mergeCells count="326">
    <mergeCell ref="G15:G16"/>
    <mergeCell ref="I15:K16"/>
    <mergeCell ref="M15:M16"/>
    <mergeCell ref="B15:B16"/>
    <mergeCell ref="C15:C16"/>
    <mergeCell ref="C14:M14"/>
    <mergeCell ref="B2:M3"/>
    <mergeCell ref="C1:M1"/>
    <mergeCell ref="P13:X16"/>
    <mergeCell ref="F5:G5"/>
    <mergeCell ref="D5:E5"/>
    <mergeCell ref="K5:M5"/>
    <mergeCell ref="H8:I9"/>
    <mergeCell ref="C89:C90"/>
    <mergeCell ref="D89:E89"/>
    <mergeCell ref="G89:G90"/>
    <mergeCell ref="I89:K90"/>
    <mergeCell ref="M89:M90"/>
    <mergeCell ref="D90:E90"/>
    <mergeCell ref="C77:C78"/>
    <mergeCell ref="D77:E77"/>
    <mergeCell ref="G77:G78"/>
    <mergeCell ref="I77:K78"/>
    <mergeCell ref="M77:M78"/>
    <mergeCell ref="D78:E78"/>
    <mergeCell ref="C79:C80"/>
    <mergeCell ref="D79:E79"/>
    <mergeCell ref="G79:G80"/>
    <mergeCell ref="I79:K80"/>
    <mergeCell ref="M79:M80"/>
    <mergeCell ref="D80:E80"/>
    <mergeCell ref="C81:C82"/>
    <mergeCell ref="D81:E81"/>
    <mergeCell ref="G81:G82"/>
    <mergeCell ref="I81:K82"/>
    <mergeCell ref="M81:M82"/>
    <mergeCell ref="D82:E82"/>
    <mergeCell ref="C85:C86"/>
    <mergeCell ref="D85:E85"/>
    <mergeCell ref="G85:G86"/>
    <mergeCell ref="I85:K86"/>
    <mergeCell ref="M85:M86"/>
    <mergeCell ref="D86:E86"/>
    <mergeCell ref="C87:C88"/>
    <mergeCell ref="D87:E87"/>
    <mergeCell ref="G87:G88"/>
    <mergeCell ref="I87:K88"/>
    <mergeCell ref="M87:M88"/>
    <mergeCell ref="D88:E88"/>
    <mergeCell ref="C62:C63"/>
    <mergeCell ref="D62:E62"/>
    <mergeCell ref="G62:G63"/>
    <mergeCell ref="I62:K63"/>
    <mergeCell ref="M62:M63"/>
    <mergeCell ref="D63:E63"/>
    <mergeCell ref="C95:C96"/>
    <mergeCell ref="D95:E95"/>
    <mergeCell ref="G95:G96"/>
    <mergeCell ref="I95:K96"/>
    <mergeCell ref="M95:M96"/>
    <mergeCell ref="D96:E96"/>
    <mergeCell ref="C93:C94"/>
    <mergeCell ref="D93:E93"/>
    <mergeCell ref="G93:G94"/>
    <mergeCell ref="I93:K94"/>
    <mergeCell ref="M93:M94"/>
    <mergeCell ref="D94:E94"/>
    <mergeCell ref="C91:C92"/>
    <mergeCell ref="D91:E91"/>
    <mergeCell ref="G91:G92"/>
    <mergeCell ref="I91:K92"/>
    <mergeCell ref="M91:M92"/>
    <mergeCell ref="D92:E92"/>
    <mergeCell ref="C58:C59"/>
    <mergeCell ref="D58:E58"/>
    <mergeCell ref="G58:G59"/>
    <mergeCell ref="I58:K59"/>
    <mergeCell ref="M58:M59"/>
    <mergeCell ref="D59:E59"/>
    <mergeCell ref="C60:C61"/>
    <mergeCell ref="D60:E60"/>
    <mergeCell ref="G60:G61"/>
    <mergeCell ref="I60:K61"/>
    <mergeCell ref="M60:M61"/>
    <mergeCell ref="D61:E61"/>
    <mergeCell ref="C54:C55"/>
    <mergeCell ref="D54:E54"/>
    <mergeCell ref="G54:G55"/>
    <mergeCell ref="I54:K55"/>
    <mergeCell ref="M54:M55"/>
    <mergeCell ref="D55:E55"/>
    <mergeCell ref="C56:C57"/>
    <mergeCell ref="D56:E56"/>
    <mergeCell ref="G56:G57"/>
    <mergeCell ref="I56:K57"/>
    <mergeCell ref="M56:M57"/>
    <mergeCell ref="D57:E57"/>
    <mergeCell ref="D25:E25"/>
    <mergeCell ref="C22:C23"/>
    <mergeCell ref="D22:E22"/>
    <mergeCell ref="G22:G23"/>
    <mergeCell ref="I22:K23"/>
    <mergeCell ref="M22:M23"/>
    <mergeCell ref="D23:E23"/>
    <mergeCell ref="D38:E38"/>
    <mergeCell ref="G38:G39"/>
    <mergeCell ref="I38:K39"/>
    <mergeCell ref="D36:E36"/>
    <mergeCell ref="G36:G37"/>
    <mergeCell ref="I36:K37"/>
    <mergeCell ref="M36:M37"/>
    <mergeCell ref="D37:E37"/>
    <mergeCell ref="C34:C35"/>
    <mergeCell ref="D34:E34"/>
    <mergeCell ref="G34:G35"/>
    <mergeCell ref="I34:K35"/>
    <mergeCell ref="M34:M35"/>
    <mergeCell ref="D26:E26"/>
    <mergeCell ref="G26:G27"/>
    <mergeCell ref="D24:E24"/>
    <mergeCell ref="G24:G25"/>
    <mergeCell ref="C50:C51"/>
    <mergeCell ref="D50:E50"/>
    <mergeCell ref="G50:G51"/>
    <mergeCell ref="I50:K51"/>
    <mergeCell ref="M50:M51"/>
    <mergeCell ref="D51:E51"/>
    <mergeCell ref="C52:C53"/>
    <mergeCell ref="D52:E52"/>
    <mergeCell ref="G52:G53"/>
    <mergeCell ref="I52:K53"/>
    <mergeCell ref="M52:M53"/>
    <mergeCell ref="D53:E53"/>
    <mergeCell ref="D67:E67"/>
    <mergeCell ref="D19:E19"/>
    <mergeCell ref="K10:M10"/>
    <mergeCell ref="D16:E16"/>
    <mergeCell ref="K7:M7"/>
    <mergeCell ref="K9:M9"/>
    <mergeCell ref="C4:M4"/>
    <mergeCell ref="K8:M8"/>
    <mergeCell ref="F13:G13"/>
    <mergeCell ref="C11:M11"/>
    <mergeCell ref="D15:E15"/>
    <mergeCell ref="A17:N17"/>
    <mergeCell ref="F12:G12"/>
    <mergeCell ref="F7:G7"/>
    <mergeCell ref="F8:G8"/>
    <mergeCell ref="F9:G9"/>
    <mergeCell ref="F10:G10"/>
    <mergeCell ref="D12:E12"/>
    <mergeCell ref="D13:E13"/>
    <mergeCell ref="L12:M12"/>
    <mergeCell ref="D65:E65"/>
    <mergeCell ref="D28:E28"/>
    <mergeCell ref="G28:G29"/>
    <mergeCell ref="I28:K29"/>
    <mergeCell ref="C73:C74"/>
    <mergeCell ref="D73:E73"/>
    <mergeCell ref="G73:G74"/>
    <mergeCell ref="D74:E74"/>
    <mergeCell ref="C71:C72"/>
    <mergeCell ref="D71:E71"/>
    <mergeCell ref="G71:G72"/>
    <mergeCell ref="D72:E72"/>
    <mergeCell ref="C69:C70"/>
    <mergeCell ref="D69:E69"/>
    <mergeCell ref="G69:G70"/>
    <mergeCell ref="D70:E70"/>
    <mergeCell ref="I100:K101"/>
    <mergeCell ref="M18:M19"/>
    <mergeCell ref="C20:C21"/>
    <mergeCell ref="D20:E20"/>
    <mergeCell ref="G20:G21"/>
    <mergeCell ref="I20:K21"/>
    <mergeCell ref="M20:M21"/>
    <mergeCell ref="G46:G47"/>
    <mergeCell ref="C100:C101"/>
    <mergeCell ref="D100:E100"/>
    <mergeCell ref="G100:G101"/>
    <mergeCell ref="D101:E101"/>
    <mergeCell ref="I18:K19"/>
    <mergeCell ref="D21:E21"/>
    <mergeCell ref="C18:C19"/>
    <mergeCell ref="D18:E18"/>
    <mergeCell ref="G18:G19"/>
    <mergeCell ref="C38:C39"/>
    <mergeCell ref="G83:G84"/>
    <mergeCell ref="D84:E84"/>
    <mergeCell ref="C75:C76"/>
    <mergeCell ref="D75:E75"/>
    <mergeCell ref="G75:G76"/>
    <mergeCell ref="D76:E76"/>
    <mergeCell ref="M44:M45"/>
    <mergeCell ref="D45:E45"/>
    <mergeCell ref="D32:E32"/>
    <mergeCell ref="G32:G33"/>
    <mergeCell ref="C42:C43"/>
    <mergeCell ref="D42:E42"/>
    <mergeCell ref="G42:G43"/>
    <mergeCell ref="I42:K43"/>
    <mergeCell ref="M42:M43"/>
    <mergeCell ref="D43:E43"/>
    <mergeCell ref="C40:C41"/>
    <mergeCell ref="D40:E40"/>
    <mergeCell ref="G40:G41"/>
    <mergeCell ref="I40:K41"/>
    <mergeCell ref="M100:M101"/>
    <mergeCell ref="C67:C68"/>
    <mergeCell ref="G67:G68"/>
    <mergeCell ref="I67:K68"/>
    <mergeCell ref="M67:M68"/>
    <mergeCell ref="D68:E68"/>
    <mergeCell ref="I46:K47"/>
    <mergeCell ref="M46:M47"/>
    <mergeCell ref="D47:E47"/>
    <mergeCell ref="I73:K74"/>
    <mergeCell ref="I71:K72"/>
    <mergeCell ref="I69:K70"/>
    <mergeCell ref="M69:M70"/>
    <mergeCell ref="M71:M72"/>
    <mergeCell ref="C64:C65"/>
    <mergeCell ref="D64:E64"/>
    <mergeCell ref="C97:C98"/>
    <mergeCell ref="D97:E97"/>
    <mergeCell ref="G97:G98"/>
    <mergeCell ref="D98:E98"/>
    <mergeCell ref="G64:G65"/>
    <mergeCell ref="C83:C84"/>
    <mergeCell ref="D83:E83"/>
    <mergeCell ref="M73:M74"/>
    <mergeCell ref="I75:K76"/>
    <mergeCell ref="M75:M76"/>
    <mergeCell ref="I83:K84"/>
    <mergeCell ref="M83:M84"/>
    <mergeCell ref="I97:K98"/>
    <mergeCell ref="M97:M98"/>
    <mergeCell ref="I64:K65"/>
    <mergeCell ref="M64:M65"/>
    <mergeCell ref="H12:I13"/>
    <mergeCell ref="I32:K33"/>
    <mergeCell ref="I48:K49"/>
    <mergeCell ref="M48:M49"/>
    <mergeCell ref="M26:M27"/>
    <mergeCell ref="M40:M41"/>
    <mergeCell ref="M32:M33"/>
    <mergeCell ref="I30:K31"/>
    <mergeCell ref="M30:M31"/>
    <mergeCell ref="M38:M39"/>
    <mergeCell ref="L13:M13"/>
    <mergeCell ref="M24:M25"/>
    <mergeCell ref="I26:K27"/>
    <mergeCell ref="I24:K25"/>
    <mergeCell ref="M28:M29"/>
    <mergeCell ref="I44:K45"/>
    <mergeCell ref="B18:B19"/>
    <mergeCell ref="B20:B21"/>
    <mergeCell ref="B22:B23"/>
    <mergeCell ref="B24:B25"/>
    <mergeCell ref="B26:B27"/>
    <mergeCell ref="B28:B29"/>
    <mergeCell ref="B30:B31"/>
    <mergeCell ref="B32:B33"/>
    <mergeCell ref="C32:C33"/>
    <mergeCell ref="C26:C27"/>
    <mergeCell ref="C30:C31"/>
    <mergeCell ref="C28:C29"/>
    <mergeCell ref="C24:C25"/>
    <mergeCell ref="C48:C49"/>
    <mergeCell ref="D48:E48"/>
    <mergeCell ref="G48:G49"/>
    <mergeCell ref="D49:E49"/>
    <mergeCell ref="C46:C47"/>
    <mergeCell ref="D46:E46"/>
    <mergeCell ref="D27:E27"/>
    <mergeCell ref="D41:E41"/>
    <mergeCell ref="D35:E35"/>
    <mergeCell ref="D33:E33"/>
    <mergeCell ref="D30:E30"/>
    <mergeCell ref="G30:G31"/>
    <mergeCell ref="D31:E31"/>
    <mergeCell ref="D39:E39"/>
    <mergeCell ref="C36:C37"/>
    <mergeCell ref="D29:E29"/>
    <mergeCell ref="C44:C45"/>
    <mergeCell ref="D44:E44"/>
    <mergeCell ref="G44:G45"/>
    <mergeCell ref="B64:B65"/>
    <mergeCell ref="B100:B101"/>
    <mergeCell ref="B67:B68"/>
    <mergeCell ref="B69:B70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A102:N102"/>
    <mergeCell ref="B89:B90"/>
    <mergeCell ref="B91:B92"/>
    <mergeCell ref="B93:B94"/>
    <mergeCell ref="B95:B96"/>
    <mergeCell ref="B97:B98"/>
    <mergeCell ref="A67:A98"/>
    <mergeCell ref="A18:A65"/>
    <mergeCell ref="A100:A101"/>
    <mergeCell ref="A99:N99"/>
    <mergeCell ref="A66:N66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58:B59"/>
    <mergeCell ref="B60:B61"/>
    <mergeCell ref="B34:B35"/>
    <mergeCell ref="B62:B63"/>
  </mergeCells>
  <phoneticPr fontId="20" type="noConversion"/>
  <pageMargins left="0.25" right="0.25" top="0.75" bottom="0.75" header="0.3" footer="0.3"/>
  <pageSetup paperSize="9" scale="60" fitToHeight="0" orientation="portrait" horizontalDpi="1200" verticalDpi="1200"/>
  <ignoredErrors>
    <ignoredError sqref="P22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 THESE INSTRUCTIONS</vt:lpstr>
      <vt:lpstr>INPUT SHEET </vt:lpstr>
      <vt:lpstr>PRINT FORMAT</vt:lpstr>
      <vt:lpstr>'INPUT SHEET '!Print_Area</vt:lpstr>
      <vt:lpstr>'PRINT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Riddick, Stewart H</cp:lastModifiedBy>
  <cp:lastPrinted>2018-12-06T09:55:59Z</cp:lastPrinted>
  <dcterms:created xsi:type="dcterms:W3CDTF">2014-11-06T21:51:03Z</dcterms:created>
  <dcterms:modified xsi:type="dcterms:W3CDTF">2018-12-21T13:05:52Z</dcterms:modified>
</cp:coreProperties>
</file>