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5.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15.xml" ContentType="application/vnd.openxmlformats-officedocument.drawing+xml"/>
  <Override PartName="/xl/drawings/drawing16.xml" ContentType="application/vnd.openxmlformats-officedocument.drawing+xml"/>
  <Override PartName="/xl/comments6.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drawings/drawing17.xml" ContentType="application/vnd.openxmlformats-officedocument.drawing+xml"/>
  <Override PartName="/xl/comments7.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81803\Downloads\"/>
    </mc:Choice>
  </mc:AlternateContent>
  <workbookProtection workbookPassword="C527" lockStructure="1"/>
  <bookViews>
    <workbookView xWindow="14508" yWindow="132" windowWidth="4692" windowHeight="9816" firstSheet="5" activeTab="7"/>
  </bookViews>
  <sheets>
    <sheet name="MENU" sheetId="81" r:id="rId1"/>
    <sheet name="筐体温度計算(4.1.3)" sheetId="60" r:id="rId2"/>
    <sheet name="筐体温度計算実験式（4.1.1)" sheetId="61" r:id="rId3"/>
    <sheet name="熱回路網法_筐体熱回路モデル (4.1.4)" sheetId="65" r:id="rId4"/>
    <sheet name="日射の計算（6.4.1)" sheetId="70" r:id="rId5"/>
    <sheet name="熱回路網法_筐体熱回路モデル　日射(6.4.2)" sheetId="64" r:id="rId6"/>
    <sheet name="モータ計算シート（7.4.2)" sheetId="66" r:id="rId7"/>
    <sheet name="PCBの等価熱伝達率" sheetId="82" r:id="rId8"/>
    <sheet name="サーマルビア(8.5.2)" sheetId="33" r:id="rId9"/>
    <sheet name="ジュール発熱計算(8.6.1)" sheetId="58" r:id="rId10"/>
    <sheet name="ヒートシンクの非定常計算(10.8)" sheetId="27" r:id="rId11"/>
    <sheet name="水冷ヒートシンク計算(11.2.3)" sheetId="69" r:id="rId12"/>
    <sheet name="ペルチェモジュール　熱回路モデル(11.3.2)" sheetId="47" r:id="rId13"/>
    <sheet name="【事例1】　密閉機器筐体" sheetId="62" r:id="rId14"/>
    <sheet name="【事例1】　密閉機器基板" sheetId="71" r:id="rId15"/>
    <sheet name="【事例1】危険部品判断シート" sheetId="72" r:id="rId16"/>
    <sheet name="LEEの式 (2)" sheetId="73" state="hidden" r:id="rId17"/>
    <sheet name="【事例2】　自然空冷通風機器" sheetId="74" r:id="rId18"/>
    <sheet name="【事例2】危険部品判断シート" sheetId="76" r:id="rId19"/>
    <sheet name="LEEの式 (3)" sheetId="77" state="hidden" r:id="rId20"/>
    <sheet name="【事例3】危険部品判断シート" sheetId="79" r:id="rId21"/>
    <sheet name="LEEの式 (4)" sheetId="80" state="hidden" r:id="rId22"/>
  </sheets>
  <calcPr calcId="152511" iterate="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43" i="82" l="1"/>
  <c r="H54" i="79" l="1"/>
  <c r="F10" i="80" l="1"/>
  <c r="F9" i="80"/>
  <c r="F9" i="77"/>
  <c r="F9" i="73"/>
  <c r="Q40" i="79" l="1"/>
  <c r="E9" i="47" l="1"/>
  <c r="E10" i="47"/>
  <c r="D41" i="69" l="1"/>
  <c r="C13" i="33" l="1"/>
  <c r="C8" i="33" l="1"/>
  <c r="K47" i="82" l="1"/>
  <c r="J47" i="82"/>
  <c r="I47" i="82"/>
  <c r="H47" i="82"/>
  <c r="K46" i="82"/>
  <c r="J46" i="82"/>
  <c r="I46" i="82"/>
  <c r="H46" i="82"/>
  <c r="K45" i="82"/>
  <c r="I45" i="82"/>
  <c r="H45" i="82"/>
  <c r="J45" i="82" s="1"/>
  <c r="I44" i="82"/>
  <c r="H44" i="82"/>
  <c r="I43" i="82"/>
  <c r="D42" i="82"/>
  <c r="M53" i="82" s="1"/>
  <c r="O53" i="82" s="1"/>
  <c r="D38" i="82"/>
  <c r="L11" i="82" s="1"/>
  <c r="J44" i="82" l="1"/>
  <c r="K44" i="82" s="1"/>
  <c r="N44" i="82" s="1"/>
  <c r="J43" i="82"/>
  <c r="K43" i="82" s="1"/>
  <c r="M44" i="82"/>
  <c r="M47" i="82"/>
  <c r="O47" i="82" s="1"/>
  <c r="M52" i="82"/>
  <c r="N52" i="82" s="1"/>
  <c r="O52" i="82" s="1"/>
  <c r="M46" i="82"/>
  <c r="N46" i="82" s="1"/>
  <c r="O46" i="82" s="1"/>
  <c r="M49" i="82"/>
  <c r="O49" i="82" s="1"/>
  <c r="M43" i="82"/>
  <c r="O43" i="82" s="1"/>
  <c r="M48" i="82"/>
  <c r="N48" i="82" s="1"/>
  <c r="O48" i="82" s="1"/>
  <c r="M51" i="82"/>
  <c r="O51" i="82" s="1"/>
  <c r="M45" i="82"/>
  <c r="O45" i="82" s="1"/>
  <c r="M50" i="82"/>
  <c r="N50" i="82" s="1"/>
  <c r="O50" i="82" s="1"/>
  <c r="O44" i="82" l="1"/>
  <c r="O75" i="82" s="1"/>
  <c r="O76" i="82" s="1"/>
  <c r="O77" i="82" s="1"/>
  <c r="L14" i="82" s="1"/>
  <c r="E8" i="64" l="1"/>
  <c r="E7" i="64"/>
  <c r="Q38" i="79" l="1"/>
  <c r="Q54" i="79"/>
  <c r="J54" i="79" s="1"/>
  <c r="Q53" i="79"/>
  <c r="Q52" i="79"/>
  <c r="Q51" i="79"/>
  <c r="Q50" i="79"/>
  <c r="Q49" i="79"/>
  <c r="Q48" i="79"/>
  <c r="Q47" i="79"/>
  <c r="K54" i="79"/>
  <c r="K53" i="79"/>
  <c r="K52" i="79"/>
  <c r="K51" i="79"/>
  <c r="K50" i="79"/>
  <c r="K49" i="79"/>
  <c r="K48" i="79"/>
  <c r="K47" i="79"/>
  <c r="I54" i="79"/>
  <c r="G54" i="79"/>
  <c r="H53" i="79"/>
  <c r="I53" i="79" s="1"/>
  <c r="G53" i="79"/>
  <c r="H52" i="79"/>
  <c r="I52" i="79" s="1"/>
  <c r="G52" i="79"/>
  <c r="H51" i="79"/>
  <c r="I51" i="79" s="1"/>
  <c r="G51" i="79"/>
  <c r="H50" i="79"/>
  <c r="I50" i="79" s="1"/>
  <c r="G50" i="79"/>
  <c r="H49" i="79"/>
  <c r="I49" i="79" s="1"/>
  <c r="G49" i="79"/>
  <c r="H48" i="79"/>
  <c r="I48" i="79" s="1"/>
  <c r="G48" i="79"/>
  <c r="H47" i="79"/>
  <c r="I47" i="79" s="1"/>
  <c r="G47" i="79"/>
  <c r="J52" i="79" l="1"/>
  <c r="J49" i="79"/>
  <c r="J53" i="79"/>
  <c r="J50" i="79"/>
  <c r="J48" i="79"/>
  <c r="N48" i="79" s="1"/>
  <c r="J47" i="79"/>
  <c r="N47" i="79" s="1"/>
  <c r="J51" i="79"/>
  <c r="N51" i="79" s="1"/>
  <c r="L51" i="79"/>
  <c r="M51" i="79" s="1"/>
  <c r="N52" i="79"/>
  <c r="L52" i="79"/>
  <c r="M52" i="79" s="1"/>
  <c r="N49" i="79"/>
  <c r="L49" i="79"/>
  <c r="M49" i="79" s="1"/>
  <c r="N53" i="79"/>
  <c r="L53" i="79"/>
  <c r="M53" i="79" s="1"/>
  <c r="N50" i="79"/>
  <c r="L50" i="79"/>
  <c r="M50" i="79" s="1"/>
  <c r="N54" i="79"/>
  <c r="L54" i="79"/>
  <c r="M54" i="79" s="1"/>
  <c r="L48" i="79" l="1"/>
  <c r="M48" i="79" s="1"/>
  <c r="L47" i="79"/>
  <c r="M47" i="79" s="1"/>
  <c r="I91" i="80"/>
  <c r="P91" i="80" s="1"/>
  <c r="P90" i="80"/>
  <c r="J90" i="80"/>
  <c r="G90" i="80"/>
  <c r="I63" i="80"/>
  <c r="J63" i="80" s="1"/>
  <c r="G63" i="80" s="1"/>
  <c r="P62" i="80"/>
  <c r="J62" i="80"/>
  <c r="G62" i="80" s="1"/>
  <c r="I35" i="80"/>
  <c r="J35" i="80" s="1"/>
  <c r="G35" i="80" s="1"/>
  <c r="P34" i="80"/>
  <c r="J34" i="80"/>
  <c r="G34" i="80" s="1"/>
  <c r="E33" i="80"/>
  <c r="I7" i="80"/>
  <c r="I8" i="80" s="1"/>
  <c r="P6" i="80"/>
  <c r="J6" i="80"/>
  <c r="G6" i="80" s="1"/>
  <c r="L4" i="80"/>
  <c r="L3" i="80"/>
  <c r="H46" i="79"/>
  <c r="G46" i="79"/>
  <c r="H45" i="79"/>
  <c r="G45" i="79"/>
  <c r="H44" i="79"/>
  <c r="I44" i="79" s="1"/>
  <c r="G44" i="79"/>
  <c r="H43" i="79"/>
  <c r="I43" i="79" s="1"/>
  <c r="G43" i="79"/>
  <c r="H42" i="79"/>
  <c r="G42" i="79"/>
  <c r="H41" i="79"/>
  <c r="G41" i="79"/>
  <c r="H40" i="79"/>
  <c r="I40" i="79" s="1"/>
  <c r="G40" i="79"/>
  <c r="H39" i="79"/>
  <c r="I39" i="79" s="1"/>
  <c r="G39" i="79"/>
  <c r="H38" i="79"/>
  <c r="G38" i="79"/>
  <c r="I64" i="80" l="1"/>
  <c r="I65" i="80" s="1"/>
  <c r="J91" i="80"/>
  <c r="G91" i="80" s="1"/>
  <c r="Y6" i="80"/>
  <c r="P35" i="80"/>
  <c r="L32" i="80"/>
  <c r="K35" i="80" s="1"/>
  <c r="I36" i="80"/>
  <c r="J36" i="80" s="1"/>
  <c r="G36" i="80" s="1"/>
  <c r="I9" i="80"/>
  <c r="P8" i="80"/>
  <c r="J8" i="80"/>
  <c r="K8" i="80"/>
  <c r="Q45" i="79"/>
  <c r="J45" i="79" s="1"/>
  <c r="K45" i="79"/>
  <c r="Q41" i="79"/>
  <c r="J41" i="79" s="1"/>
  <c r="K41" i="79"/>
  <c r="Q46" i="79"/>
  <c r="J46" i="79" s="1"/>
  <c r="K42" i="79"/>
  <c r="K38" i="79"/>
  <c r="Q44" i="79"/>
  <c r="J44" i="79" s="1"/>
  <c r="K44" i="79"/>
  <c r="K40" i="79"/>
  <c r="Q42" i="79"/>
  <c r="J42" i="79" s="1"/>
  <c r="Q43" i="79"/>
  <c r="J43" i="79" s="1"/>
  <c r="K43" i="79"/>
  <c r="Q39" i="79"/>
  <c r="J39" i="79" s="1"/>
  <c r="K39" i="79"/>
  <c r="K46" i="79"/>
  <c r="J38" i="79"/>
  <c r="J40" i="79"/>
  <c r="I41" i="79"/>
  <c r="I45" i="79"/>
  <c r="J7" i="80"/>
  <c r="P36" i="80"/>
  <c r="K36" i="80"/>
  <c r="I38" i="79"/>
  <c r="I42" i="79"/>
  <c r="I46" i="79"/>
  <c r="K6" i="80"/>
  <c r="K7" i="80"/>
  <c r="P7" i="80"/>
  <c r="P63" i="80"/>
  <c r="I92" i="80"/>
  <c r="B9" i="74"/>
  <c r="P64" i="80" l="1"/>
  <c r="K34" i="80"/>
  <c r="J64" i="80"/>
  <c r="G64" i="80" s="1"/>
  <c r="I37" i="80"/>
  <c r="L60" i="80"/>
  <c r="L35" i="80"/>
  <c r="Q35" i="80"/>
  <c r="R35" i="80" s="1"/>
  <c r="N42" i="79"/>
  <c r="L42" i="79"/>
  <c r="M42" i="79" s="1"/>
  <c r="L44" i="79"/>
  <c r="M44" i="79" s="1"/>
  <c r="N44" i="79"/>
  <c r="N41" i="79"/>
  <c r="L41" i="79"/>
  <c r="M41" i="79" s="1"/>
  <c r="L88" i="80"/>
  <c r="K92" i="80" s="1"/>
  <c r="K62" i="80"/>
  <c r="K63" i="80"/>
  <c r="Y7" i="80"/>
  <c r="G7" i="80"/>
  <c r="N38" i="79"/>
  <c r="L38" i="79"/>
  <c r="M38" i="79" s="1"/>
  <c r="N46" i="79"/>
  <c r="L46" i="79"/>
  <c r="M46" i="79" s="1"/>
  <c r="L7" i="80"/>
  <c r="Q7" i="80"/>
  <c r="K64" i="80"/>
  <c r="L36" i="80"/>
  <c r="Q36" i="80"/>
  <c r="N45" i="79"/>
  <c r="L45" i="79"/>
  <c r="M45" i="79" s="1"/>
  <c r="I10" i="80"/>
  <c r="P9" i="80"/>
  <c r="K9" i="80"/>
  <c r="J9" i="80"/>
  <c r="L40" i="79"/>
  <c r="M40" i="79" s="1"/>
  <c r="N40" i="79"/>
  <c r="N43" i="79"/>
  <c r="L43" i="79"/>
  <c r="M43" i="79" s="1"/>
  <c r="Q8" i="80"/>
  <c r="L8" i="80"/>
  <c r="L39" i="79"/>
  <c r="N39" i="79"/>
  <c r="L6" i="80"/>
  <c r="Q6" i="80"/>
  <c r="J65" i="80"/>
  <c r="G65" i="80" s="1"/>
  <c r="P65" i="80"/>
  <c r="I66" i="80"/>
  <c r="K65" i="80"/>
  <c r="I93" i="80"/>
  <c r="J92" i="80"/>
  <c r="G92" i="80" s="1"/>
  <c r="P92" i="80"/>
  <c r="L34" i="80"/>
  <c r="Q34" i="80"/>
  <c r="P37" i="80"/>
  <c r="I38" i="80"/>
  <c r="K37" i="80"/>
  <c r="J37" i="80"/>
  <c r="G37" i="80" s="1"/>
  <c r="M39" i="79"/>
  <c r="Y8" i="80"/>
  <c r="G8" i="80"/>
  <c r="I91" i="77"/>
  <c r="P90" i="77"/>
  <c r="J90" i="77"/>
  <c r="G90" i="77" s="1"/>
  <c r="I63" i="77"/>
  <c r="J63" i="77" s="1"/>
  <c r="G63" i="77" s="1"/>
  <c r="P62" i="77"/>
  <c r="J62" i="77"/>
  <c r="G62" i="77" s="1"/>
  <c r="I35" i="77"/>
  <c r="P35" i="77" s="1"/>
  <c r="P34" i="77"/>
  <c r="J34" i="77"/>
  <c r="G34" i="77" s="1"/>
  <c r="E33" i="77"/>
  <c r="I7" i="77"/>
  <c r="I8" i="77" s="1"/>
  <c r="P6" i="77"/>
  <c r="J6" i="77"/>
  <c r="Y6" i="77" s="1"/>
  <c r="G6" i="77"/>
  <c r="L4" i="77"/>
  <c r="L3" i="77"/>
  <c r="H46" i="76"/>
  <c r="I46" i="76" s="1"/>
  <c r="G46" i="76"/>
  <c r="H45" i="76"/>
  <c r="G45" i="76"/>
  <c r="H44" i="76"/>
  <c r="G44" i="76"/>
  <c r="H43" i="76"/>
  <c r="I43" i="76" s="1"/>
  <c r="G43" i="76"/>
  <c r="H42" i="76"/>
  <c r="I42" i="76" s="1"/>
  <c r="G42" i="76"/>
  <c r="H41" i="76"/>
  <c r="G41" i="76"/>
  <c r="H40" i="76"/>
  <c r="G40" i="76"/>
  <c r="H39" i="76"/>
  <c r="I39" i="76" s="1"/>
  <c r="G39" i="76"/>
  <c r="H38" i="76"/>
  <c r="I38" i="76" s="1"/>
  <c r="G38" i="76"/>
  <c r="B16" i="74"/>
  <c r="E12" i="74"/>
  <c r="B12" i="74"/>
  <c r="B11" i="74"/>
  <c r="E10" i="74"/>
  <c r="D8" i="74"/>
  <c r="D6" i="74"/>
  <c r="D5" i="74"/>
  <c r="D4" i="74"/>
  <c r="D3" i="74"/>
  <c r="B15" i="74" s="1"/>
  <c r="S35" i="80" l="1"/>
  <c r="I36" i="77"/>
  <c r="J36" i="77" s="1"/>
  <c r="G36" i="77" s="1"/>
  <c r="B18" i="74"/>
  <c r="P63" i="77"/>
  <c r="I64" i="77"/>
  <c r="J64" i="77" s="1"/>
  <c r="G64" i="77" s="1"/>
  <c r="L32" i="77"/>
  <c r="K35" i="77" s="1"/>
  <c r="J35" i="77"/>
  <c r="G35" i="77" s="1"/>
  <c r="E11" i="74"/>
  <c r="M36" i="76"/>
  <c r="F10" i="77" s="1"/>
  <c r="R8" i="80"/>
  <c r="S8" i="80"/>
  <c r="S7" i="80"/>
  <c r="R7" i="80"/>
  <c r="J38" i="80"/>
  <c r="G38" i="80" s="1"/>
  <c r="I39" i="80"/>
  <c r="P38" i="80"/>
  <c r="K38" i="80"/>
  <c r="P93" i="80"/>
  <c r="I94" i="80"/>
  <c r="K93" i="80"/>
  <c r="J93" i="80"/>
  <c r="G93" i="80" s="1"/>
  <c r="J10" i="80"/>
  <c r="I11" i="80"/>
  <c r="P10" i="80"/>
  <c r="K10" i="80"/>
  <c r="L37" i="80"/>
  <c r="Q37" i="80"/>
  <c r="Q92" i="80"/>
  <c r="L92" i="80"/>
  <c r="K90" i="80"/>
  <c r="K91" i="80"/>
  <c r="Q65" i="80"/>
  <c r="L65" i="80"/>
  <c r="S6" i="80"/>
  <c r="R6" i="80"/>
  <c r="Y9" i="80"/>
  <c r="G9" i="80"/>
  <c r="U35" i="80"/>
  <c r="Q63" i="80"/>
  <c r="L63" i="80"/>
  <c r="S34" i="80"/>
  <c r="R34" i="80"/>
  <c r="P66" i="80"/>
  <c r="I67" i="80"/>
  <c r="K66" i="80"/>
  <c r="J66" i="80"/>
  <c r="G66" i="80" s="1"/>
  <c r="Q9" i="80"/>
  <c r="L9" i="80"/>
  <c r="S36" i="80"/>
  <c r="R36" i="80"/>
  <c r="L64" i="80"/>
  <c r="Q64" i="80"/>
  <c r="L62" i="80"/>
  <c r="Q62" i="80"/>
  <c r="D19" i="74"/>
  <c r="C16" i="74"/>
  <c r="D16" i="74" s="1"/>
  <c r="C15" i="74"/>
  <c r="D15" i="74" s="1"/>
  <c r="C18" i="74"/>
  <c r="D18" i="74" s="1"/>
  <c r="I9" i="77"/>
  <c r="P8" i="77"/>
  <c r="K8" i="77"/>
  <c r="J8" i="77"/>
  <c r="B17" i="74"/>
  <c r="C17" i="74" s="1"/>
  <c r="D17" i="74" s="1"/>
  <c r="I40" i="76"/>
  <c r="I44" i="76"/>
  <c r="J7" i="77"/>
  <c r="I41" i="76"/>
  <c r="I45" i="76"/>
  <c r="K6" i="77"/>
  <c r="K7" i="77"/>
  <c r="P7" i="77"/>
  <c r="I37" i="77"/>
  <c r="P36" i="77"/>
  <c r="P91" i="77"/>
  <c r="I92" i="77"/>
  <c r="J91" i="77"/>
  <c r="G91" i="77" s="1"/>
  <c r="K34" i="77" l="1"/>
  <c r="I65" i="77"/>
  <c r="K36" i="77"/>
  <c r="L60" i="77"/>
  <c r="K64" i="77" s="1"/>
  <c r="Q64" i="77" s="1"/>
  <c r="P64" i="77"/>
  <c r="Q46" i="76"/>
  <c r="Q42" i="76"/>
  <c r="J42" i="76" s="1"/>
  <c r="Q38" i="76"/>
  <c r="J38" i="76" s="1"/>
  <c r="Q39" i="76"/>
  <c r="J39" i="76" s="1"/>
  <c r="Q45" i="76"/>
  <c r="J45" i="76" s="1"/>
  <c r="Q41" i="76"/>
  <c r="Q44" i="76"/>
  <c r="Q40" i="76"/>
  <c r="J40" i="76" s="1"/>
  <c r="Q43" i="76"/>
  <c r="Q10" i="80"/>
  <c r="L10" i="80"/>
  <c r="P39" i="80"/>
  <c r="I40" i="80"/>
  <c r="K39" i="80"/>
  <c r="J39" i="80"/>
  <c r="G39" i="80" s="1"/>
  <c r="S64" i="80"/>
  <c r="R64" i="80"/>
  <c r="J67" i="80"/>
  <c r="G67" i="80" s="1"/>
  <c r="P67" i="80"/>
  <c r="I68" i="80"/>
  <c r="K67" i="80"/>
  <c r="U8" i="80"/>
  <c r="Q90" i="80"/>
  <c r="L90" i="80"/>
  <c r="R9" i="80"/>
  <c r="S9" i="80"/>
  <c r="R63" i="80"/>
  <c r="S63" i="80"/>
  <c r="R65" i="80"/>
  <c r="S65" i="80"/>
  <c r="S92" i="80"/>
  <c r="R92" i="80"/>
  <c r="J11" i="80"/>
  <c r="I12" i="80"/>
  <c r="K11" i="80"/>
  <c r="P11" i="80"/>
  <c r="Q93" i="80"/>
  <c r="L93" i="80"/>
  <c r="Q38" i="80"/>
  <c r="L38" i="80"/>
  <c r="U7" i="80"/>
  <c r="L66" i="80"/>
  <c r="Q66" i="80"/>
  <c r="S62" i="80"/>
  <c r="R62" i="80"/>
  <c r="U36" i="80"/>
  <c r="U34" i="80"/>
  <c r="U6" i="80"/>
  <c r="Q91" i="80"/>
  <c r="L91" i="80"/>
  <c r="R37" i="80"/>
  <c r="S37" i="80"/>
  <c r="Y10" i="80"/>
  <c r="G10" i="80"/>
  <c r="I95" i="80"/>
  <c r="K94" i="80"/>
  <c r="J94" i="80"/>
  <c r="G94" i="80" s="1"/>
  <c r="P94" i="80"/>
  <c r="D20" i="74"/>
  <c r="B22" i="74" s="1"/>
  <c r="J92" i="77"/>
  <c r="G92" i="77" s="1"/>
  <c r="I93" i="77"/>
  <c r="P92" i="77"/>
  <c r="P37" i="77"/>
  <c r="I38" i="77"/>
  <c r="K37" i="77"/>
  <c r="J37" i="77"/>
  <c r="G37" i="77" s="1"/>
  <c r="L64" i="77"/>
  <c r="L34" i="77"/>
  <c r="Q34" i="77"/>
  <c r="Y8" i="77"/>
  <c r="G8" i="77"/>
  <c r="L6" i="77"/>
  <c r="Q6" i="77"/>
  <c r="J44" i="76"/>
  <c r="K44" i="76"/>
  <c r="K40" i="76"/>
  <c r="J43" i="76"/>
  <c r="K43" i="76"/>
  <c r="K39" i="76"/>
  <c r="J46" i="76"/>
  <c r="K46" i="76"/>
  <c r="K42" i="76"/>
  <c r="K38" i="76"/>
  <c r="K45" i="76"/>
  <c r="J41" i="76"/>
  <c r="K41" i="76"/>
  <c r="Q35" i="77"/>
  <c r="L35" i="77"/>
  <c r="I10" i="77"/>
  <c r="P9" i="77"/>
  <c r="K9" i="77"/>
  <c r="J9" i="77"/>
  <c r="J65" i="77"/>
  <c r="G65" i="77" s="1"/>
  <c r="P65" i="77"/>
  <c r="I66" i="77"/>
  <c r="L36" i="77"/>
  <c r="Q36" i="77"/>
  <c r="L7" i="77"/>
  <c r="Q7" i="77"/>
  <c r="G7" i="77"/>
  <c r="Y7" i="77"/>
  <c r="Q8" i="77"/>
  <c r="L8" i="77"/>
  <c r="G38" i="72"/>
  <c r="H38" i="72"/>
  <c r="I38" i="72" s="1"/>
  <c r="G39" i="72"/>
  <c r="H39" i="72"/>
  <c r="I39" i="72" s="1"/>
  <c r="G40" i="72"/>
  <c r="H40" i="72"/>
  <c r="I40" i="72" s="1"/>
  <c r="G41" i="72"/>
  <c r="H41" i="72"/>
  <c r="I41" i="72" s="1"/>
  <c r="G42" i="72"/>
  <c r="H42" i="72"/>
  <c r="I42" i="72" s="1"/>
  <c r="G43" i="72"/>
  <c r="H43" i="72"/>
  <c r="I43" i="72" s="1"/>
  <c r="L88" i="77" l="1"/>
  <c r="K65" i="77"/>
  <c r="K63" i="77"/>
  <c r="L63" i="77" s="1"/>
  <c r="K62" i="77"/>
  <c r="L62" i="77" s="1"/>
  <c r="U65" i="80"/>
  <c r="U92" i="80"/>
  <c r="S90" i="80"/>
  <c r="R90" i="80"/>
  <c r="S93" i="80"/>
  <c r="R93" i="80"/>
  <c r="Y11" i="80"/>
  <c r="G11" i="80"/>
  <c r="J40" i="80"/>
  <c r="G40" i="80" s="1"/>
  <c r="I41" i="80"/>
  <c r="P40" i="80"/>
  <c r="K40" i="80"/>
  <c r="S91" i="80"/>
  <c r="R91" i="80"/>
  <c r="Q94" i="80"/>
  <c r="L94" i="80"/>
  <c r="S66" i="80"/>
  <c r="R66" i="80"/>
  <c r="R38" i="80"/>
  <c r="S38" i="80"/>
  <c r="Q11" i="80"/>
  <c r="L11" i="80"/>
  <c r="U63" i="80"/>
  <c r="Q67" i="80"/>
  <c r="L67" i="80"/>
  <c r="U62" i="80"/>
  <c r="U9" i="80"/>
  <c r="U64" i="80"/>
  <c r="P95" i="80"/>
  <c r="I96" i="80"/>
  <c r="K95" i="80"/>
  <c r="J95" i="80"/>
  <c r="G95" i="80" s="1"/>
  <c r="U37" i="80"/>
  <c r="I13" i="80"/>
  <c r="J12" i="80"/>
  <c r="P12" i="80"/>
  <c r="K12" i="80"/>
  <c r="P68" i="80"/>
  <c r="I69" i="80"/>
  <c r="K68" i="80"/>
  <c r="J68" i="80"/>
  <c r="G68" i="80" s="1"/>
  <c r="L39" i="80"/>
  <c r="Q39" i="80"/>
  <c r="R10" i="80"/>
  <c r="S10" i="80"/>
  <c r="R35" i="77"/>
  <c r="S35" i="77"/>
  <c r="L38" i="76"/>
  <c r="M38" i="76" s="1"/>
  <c r="N38" i="76"/>
  <c r="L46" i="76"/>
  <c r="M46" i="76" s="1"/>
  <c r="N46" i="76"/>
  <c r="N40" i="76"/>
  <c r="L40" i="76"/>
  <c r="M40" i="76" s="1"/>
  <c r="S64" i="77"/>
  <c r="R64" i="77"/>
  <c r="Q37" i="77"/>
  <c r="L37" i="77"/>
  <c r="S8" i="77"/>
  <c r="R8" i="77"/>
  <c r="S36" i="77"/>
  <c r="R36" i="77"/>
  <c r="Q9" i="77"/>
  <c r="L9" i="77"/>
  <c r="N45" i="76"/>
  <c r="L45" i="76"/>
  <c r="M45" i="76" s="1"/>
  <c r="L43" i="76"/>
  <c r="M43" i="76" s="1"/>
  <c r="N43" i="76"/>
  <c r="K90" i="77"/>
  <c r="K91" i="77"/>
  <c r="S6" i="77"/>
  <c r="R6" i="77"/>
  <c r="K38" i="77"/>
  <c r="I39" i="77"/>
  <c r="J38" i="77"/>
  <c r="G38" i="77" s="1"/>
  <c r="P38" i="77"/>
  <c r="P93" i="77"/>
  <c r="I94" i="77"/>
  <c r="K93" i="77"/>
  <c r="J93" i="77"/>
  <c r="G93" i="77" s="1"/>
  <c r="S7" i="77"/>
  <c r="R7" i="77"/>
  <c r="Q65" i="77"/>
  <c r="L65" i="77"/>
  <c r="I11" i="77"/>
  <c r="P10" i="77"/>
  <c r="K10" i="77"/>
  <c r="J10" i="77"/>
  <c r="L39" i="76"/>
  <c r="M39" i="76" s="1"/>
  <c r="N39" i="76"/>
  <c r="N44" i="76"/>
  <c r="L44" i="76"/>
  <c r="M44" i="76" s="1"/>
  <c r="S34" i="77"/>
  <c r="R34" i="77"/>
  <c r="N41" i="76"/>
  <c r="L41" i="76"/>
  <c r="M41" i="76" s="1"/>
  <c r="L42" i="76"/>
  <c r="M42" i="76" s="1"/>
  <c r="N42" i="76"/>
  <c r="Q63" i="77"/>
  <c r="P66" i="77"/>
  <c r="I67" i="77"/>
  <c r="K66" i="77"/>
  <c r="J66" i="77"/>
  <c r="G66" i="77" s="1"/>
  <c r="Y9" i="77"/>
  <c r="G9" i="77"/>
  <c r="K92" i="77"/>
  <c r="Q62" i="77" l="1"/>
  <c r="R62" i="77" s="1"/>
  <c r="U38" i="80"/>
  <c r="Q40" i="80"/>
  <c r="L40" i="80"/>
  <c r="U93" i="80"/>
  <c r="Y12" i="80"/>
  <c r="G12" i="80"/>
  <c r="U10" i="80"/>
  <c r="L68" i="80"/>
  <c r="Q68" i="80"/>
  <c r="P13" i="80"/>
  <c r="I14" i="80"/>
  <c r="K13" i="80"/>
  <c r="J13" i="80"/>
  <c r="Q95" i="80"/>
  <c r="L95" i="80"/>
  <c r="R67" i="80"/>
  <c r="S67" i="80"/>
  <c r="U66" i="80"/>
  <c r="S94" i="80"/>
  <c r="R94" i="80"/>
  <c r="U90" i="80"/>
  <c r="S39" i="80"/>
  <c r="R39" i="80"/>
  <c r="J69" i="80"/>
  <c r="G69" i="80" s="1"/>
  <c r="P69" i="80"/>
  <c r="I70" i="80"/>
  <c r="K69" i="80"/>
  <c r="Q12" i="80"/>
  <c r="L12" i="80"/>
  <c r="J96" i="80"/>
  <c r="G96" i="80" s="1"/>
  <c r="I97" i="80"/>
  <c r="P96" i="80"/>
  <c r="K96" i="80"/>
  <c r="R11" i="80"/>
  <c r="S11" i="80"/>
  <c r="U91" i="80"/>
  <c r="P41" i="80"/>
  <c r="J41" i="80"/>
  <c r="G41" i="80" s="1"/>
  <c r="K41" i="80"/>
  <c r="I42" i="80"/>
  <c r="Q92" i="77"/>
  <c r="L92" i="77"/>
  <c r="L66" i="77"/>
  <c r="Q66" i="77"/>
  <c r="Q10" i="77"/>
  <c r="L10" i="77"/>
  <c r="Q91" i="77"/>
  <c r="L91" i="77"/>
  <c r="U36" i="77"/>
  <c r="J67" i="77"/>
  <c r="G67" i="77" s="1"/>
  <c r="I68" i="77"/>
  <c r="K67" i="77"/>
  <c r="P67" i="77"/>
  <c r="R65" i="77"/>
  <c r="S65" i="77"/>
  <c r="Q93" i="77"/>
  <c r="L93" i="77"/>
  <c r="Q90" i="77"/>
  <c r="L90" i="77"/>
  <c r="S37" i="77"/>
  <c r="R37" i="77"/>
  <c r="U35" i="77"/>
  <c r="R63" i="77"/>
  <c r="S63" i="77"/>
  <c r="J11" i="77"/>
  <c r="I12" i="77"/>
  <c r="P11" i="77"/>
  <c r="K11" i="77"/>
  <c r="U7" i="77"/>
  <c r="I95" i="77"/>
  <c r="K94" i="77"/>
  <c r="J94" i="77"/>
  <c r="G94" i="77" s="1"/>
  <c r="P94" i="77"/>
  <c r="P39" i="77"/>
  <c r="I40" i="77"/>
  <c r="J39" i="77"/>
  <c r="G39" i="77" s="1"/>
  <c r="K39" i="77"/>
  <c r="U6" i="77"/>
  <c r="U8" i="77"/>
  <c r="U64" i="77"/>
  <c r="U34" i="77"/>
  <c r="Y10" i="77"/>
  <c r="G10" i="77"/>
  <c r="L38" i="77"/>
  <c r="Q38" i="77"/>
  <c r="S9" i="77"/>
  <c r="R9" i="77"/>
  <c r="I91" i="73"/>
  <c r="J91" i="73" s="1"/>
  <c r="G91" i="73" s="1"/>
  <c r="P90" i="73"/>
  <c r="J90" i="73"/>
  <c r="G90" i="73" s="1"/>
  <c r="I63" i="73"/>
  <c r="P63" i="73" s="1"/>
  <c r="P62" i="73"/>
  <c r="J62" i="73"/>
  <c r="G62" i="73" s="1"/>
  <c r="I35" i="73"/>
  <c r="P35" i="73" s="1"/>
  <c r="P34" i="73"/>
  <c r="J34" i="73"/>
  <c r="G34" i="73" s="1"/>
  <c r="E33" i="73"/>
  <c r="I7" i="73"/>
  <c r="P6" i="73"/>
  <c r="J6" i="73"/>
  <c r="G6" i="73" s="1"/>
  <c r="L4" i="73"/>
  <c r="K6" i="73" s="1"/>
  <c r="L6" i="73" s="1"/>
  <c r="L3" i="73"/>
  <c r="H49" i="72"/>
  <c r="G49" i="72"/>
  <c r="H48" i="72"/>
  <c r="I48" i="72" s="1"/>
  <c r="G48" i="72"/>
  <c r="H47" i="72"/>
  <c r="G47" i="72"/>
  <c r="H46" i="72"/>
  <c r="G46" i="72"/>
  <c r="H45" i="72"/>
  <c r="I45" i="72" s="1"/>
  <c r="G45" i="72"/>
  <c r="H44" i="72"/>
  <c r="I44" i="72" s="1"/>
  <c r="G44" i="72"/>
  <c r="S62" i="77" l="1"/>
  <c r="I92" i="73"/>
  <c r="J63" i="73"/>
  <c r="G63" i="73" s="1"/>
  <c r="Y6" i="73"/>
  <c r="P97" i="80"/>
  <c r="J97" i="80"/>
  <c r="G97" i="80" s="1"/>
  <c r="I98" i="80"/>
  <c r="K97" i="80"/>
  <c r="Q69" i="80"/>
  <c r="L69" i="80"/>
  <c r="Q13" i="80"/>
  <c r="L13" i="80"/>
  <c r="J42" i="80"/>
  <c r="G42" i="80" s="1"/>
  <c r="I43" i="80"/>
  <c r="P42" i="80"/>
  <c r="K42" i="80"/>
  <c r="P70" i="80"/>
  <c r="I71" i="80"/>
  <c r="K70" i="80"/>
  <c r="J70" i="80"/>
  <c r="G70" i="80" s="1"/>
  <c r="U94" i="80"/>
  <c r="L41" i="80"/>
  <c r="Q41" i="80"/>
  <c r="Q96" i="80"/>
  <c r="L96" i="80"/>
  <c r="S95" i="80"/>
  <c r="R95" i="80"/>
  <c r="R40" i="80"/>
  <c r="S40" i="80"/>
  <c r="U39" i="80"/>
  <c r="U67" i="80"/>
  <c r="U11" i="80"/>
  <c r="P14" i="80"/>
  <c r="K14" i="80"/>
  <c r="I15" i="80"/>
  <c r="J14" i="80"/>
  <c r="S12" i="80"/>
  <c r="R12" i="80"/>
  <c r="Y13" i="80"/>
  <c r="G13" i="80"/>
  <c r="S68" i="80"/>
  <c r="R68" i="80"/>
  <c r="U9" i="77"/>
  <c r="L39" i="77"/>
  <c r="Q39" i="77"/>
  <c r="I13" i="77"/>
  <c r="P12" i="77"/>
  <c r="J12" i="77"/>
  <c r="K12" i="77"/>
  <c r="S66" i="77"/>
  <c r="R66" i="77"/>
  <c r="U63" i="77"/>
  <c r="Y11" i="77"/>
  <c r="G11" i="77"/>
  <c r="S93" i="77"/>
  <c r="R93" i="77"/>
  <c r="Q67" i="77"/>
  <c r="L67" i="77"/>
  <c r="U62" i="77"/>
  <c r="J40" i="77"/>
  <c r="G40" i="77" s="1"/>
  <c r="P40" i="77"/>
  <c r="I41" i="77"/>
  <c r="K40" i="77"/>
  <c r="Q94" i="77"/>
  <c r="L94" i="77"/>
  <c r="Q11" i="77"/>
  <c r="L11" i="77"/>
  <c r="J68" i="77"/>
  <c r="G68" i="77" s="1"/>
  <c r="P68" i="77"/>
  <c r="I69" i="77"/>
  <c r="K68" i="77"/>
  <c r="S91" i="77"/>
  <c r="R91" i="77"/>
  <c r="S10" i="77"/>
  <c r="R10" i="77"/>
  <c r="S38" i="77"/>
  <c r="R38" i="77"/>
  <c r="I96" i="77"/>
  <c r="P95" i="77"/>
  <c r="K95" i="77"/>
  <c r="J95" i="77"/>
  <c r="G95" i="77" s="1"/>
  <c r="U37" i="77"/>
  <c r="R90" i="77"/>
  <c r="S90" i="77"/>
  <c r="U65" i="77"/>
  <c r="R92" i="77"/>
  <c r="S92" i="77"/>
  <c r="L32" i="73"/>
  <c r="L60" i="73" s="1"/>
  <c r="K63" i="73" s="1"/>
  <c r="I49" i="72"/>
  <c r="I8" i="73"/>
  <c r="P7" i="73"/>
  <c r="J7" i="73"/>
  <c r="K7" i="73"/>
  <c r="I46" i="72"/>
  <c r="I47" i="72"/>
  <c r="I36" i="73"/>
  <c r="J35" i="73"/>
  <c r="G35" i="73" s="1"/>
  <c r="P92" i="73"/>
  <c r="I93" i="73"/>
  <c r="J92" i="73"/>
  <c r="G92" i="73" s="1"/>
  <c r="I64" i="73"/>
  <c r="P91" i="73"/>
  <c r="B8" i="71"/>
  <c r="B16" i="71"/>
  <c r="E10" i="71"/>
  <c r="D8" i="71"/>
  <c r="D6" i="71"/>
  <c r="D5" i="71"/>
  <c r="D4" i="71"/>
  <c r="D3" i="71"/>
  <c r="B17" i="71" s="1"/>
  <c r="C17" i="71" s="1"/>
  <c r="D17" i="71" s="1"/>
  <c r="E12" i="71" l="1"/>
  <c r="M36" i="72"/>
  <c r="F10" i="73" s="1"/>
  <c r="S41" i="80"/>
  <c r="R41" i="80"/>
  <c r="Q42" i="80"/>
  <c r="L42" i="80"/>
  <c r="G14" i="80"/>
  <c r="Y14" i="80"/>
  <c r="U95" i="80"/>
  <c r="L70" i="80"/>
  <c r="Q70" i="80"/>
  <c r="S13" i="80"/>
  <c r="R13" i="80"/>
  <c r="J98" i="80"/>
  <c r="G98" i="80" s="1"/>
  <c r="I99" i="80"/>
  <c r="P98" i="80"/>
  <c r="K98" i="80"/>
  <c r="U40" i="80"/>
  <c r="L97" i="80"/>
  <c r="Q97" i="80"/>
  <c r="U68" i="80"/>
  <c r="K15" i="80"/>
  <c r="J15" i="80"/>
  <c r="I16" i="80"/>
  <c r="P15" i="80"/>
  <c r="P71" i="80"/>
  <c r="J71" i="80"/>
  <c r="G71" i="80" s="1"/>
  <c r="I72" i="80"/>
  <c r="K71" i="80"/>
  <c r="P43" i="80"/>
  <c r="I44" i="80"/>
  <c r="K43" i="80"/>
  <c r="J43" i="80"/>
  <c r="G43" i="80" s="1"/>
  <c r="U12" i="80"/>
  <c r="L14" i="80"/>
  <c r="Q14" i="80"/>
  <c r="R96" i="80"/>
  <c r="S96" i="80"/>
  <c r="R69" i="80"/>
  <c r="S69" i="80"/>
  <c r="U92" i="77"/>
  <c r="U90" i="77"/>
  <c r="Q40" i="77"/>
  <c r="L40" i="77"/>
  <c r="Q12" i="77"/>
  <c r="L12" i="77"/>
  <c r="S39" i="77"/>
  <c r="R39" i="77"/>
  <c r="Q95" i="77"/>
  <c r="L95" i="77"/>
  <c r="U38" i="77"/>
  <c r="U10" i="77"/>
  <c r="L68" i="77"/>
  <c r="Q68" i="77"/>
  <c r="R11" i="77"/>
  <c r="S11" i="77"/>
  <c r="P41" i="77"/>
  <c r="I42" i="77"/>
  <c r="K41" i="77"/>
  <c r="J41" i="77"/>
  <c r="G41" i="77" s="1"/>
  <c r="R67" i="77"/>
  <c r="S67" i="77"/>
  <c r="U66" i="77"/>
  <c r="Y12" i="77"/>
  <c r="G12" i="77"/>
  <c r="P69" i="77"/>
  <c r="J69" i="77"/>
  <c r="G69" i="77" s="1"/>
  <c r="I70" i="77"/>
  <c r="K69" i="77"/>
  <c r="U93" i="77"/>
  <c r="I97" i="77"/>
  <c r="P96" i="77"/>
  <c r="K96" i="77"/>
  <c r="J96" i="77"/>
  <c r="G96" i="77" s="1"/>
  <c r="U91" i="77"/>
  <c r="S94" i="77"/>
  <c r="R94" i="77"/>
  <c r="P13" i="77"/>
  <c r="I14" i="77"/>
  <c r="J13" i="77"/>
  <c r="K13" i="77"/>
  <c r="K35" i="73"/>
  <c r="K34" i="73"/>
  <c r="L34" i="73" s="1"/>
  <c r="Q63" i="73"/>
  <c r="L63" i="73"/>
  <c r="L35" i="73"/>
  <c r="Q35" i="73"/>
  <c r="G7" i="73"/>
  <c r="Y7" i="73"/>
  <c r="I65" i="73"/>
  <c r="K64" i="73"/>
  <c r="J64" i="73"/>
  <c r="G64" i="73" s="1"/>
  <c r="P64" i="73"/>
  <c r="P36" i="73"/>
  <c r="J36" i="73"/>
  <c r="G36" i="73" s="1"/>
  <c r="I37" i="73"/>
  <c r="K36" i="73"/>
  <c r="K8" i="73"/>
  <c r="I9" i="73"/>
  <c r="P8" i="73"/>
  <c r="J8" i="73"/>
  <c r="Q6" i="73"/>
  <c r="J93" i="73"/>
  <c r="G93" i="73" s="1"/>
  <c r="P93" i="73"/>
  <c r="I94" i="73"/>
  <c r="L88" i="73"/>
  <c r="K62" i="73"/>
  <c r="L7" i="73"/>
  <c r="Q7" i="73"/>
  <c r="D19" i="71"/>
  <c r="C16" i="71"/>
  <c r="D16" i="71" s="1"/>
  <c r="B11" i="71"/>
  <c r="B12" i="71"/>
  <c r="B9" i="71"/>
  <c r="E11" i="71"/>
  <c r="B15" i="71"/>
  <c r="C15" i="71" s="1"/>
  <c r="D15" i="71" s="1"/>
  <c r="E7" i="47"/>
  <c r="B18" i="71" l="1"/>
  <c r="C18" i="71" s="1"/>
  <c r="D18" i="71" s="1"/>
  <c r="K40" i="72"/>
  <c r="Q38" i="72"/>
  <c r="J38" i="72" s="1"/>
  <c r="Q46" i="72"/>
  <c r="J46" i="72" s="1"/>
  <c r="Q42" i="72"/>
  <c r="J42" i="72" s="1"/>
  <c r="Q41" i="72"/>
  <c r="J41" i="72" s="1"/>
  <c r="Q47" i="72"/>
  <c r="J47" i="72" s="1"/>
  <c r="Q49" i="72"/>
  <c r="J49" i="72" s="1"/>
  <c r="Q45" i="72"/>
  <c r="J45" i="72" s="1"/>
  <c r="Q43" i="72"/>
  <c r="J43" i="72" s="1"/>
  <c r="Q48" i="72"/>
  <c r="J48" i="72" s="1"/>
  <c r="Q44" i="72"/>
  <c r="J44" i="72" s="1"/>
  <c r="Q40" i="72"/>
  <c r="J40" i="72" s="1"/>
  <c r="Q39" i="72"/>
  <c r="J39" i="72" s="1"/>
  <c r="K39" i="72"/>
  <c r="K41" i="72"/>
  <c r="K42" i="72"/>
  <c r="K38" i="72"/>
  <c r="K43" i="72"/>
  <c r="K49" i="72"/>
  <c r="K45" i="72"/>
  <c r="K44" i="72"/>
  <c r="K47" i="72"/>
  <c r="K46" i="72"/>
  <c r="K48" i="72"/>
  <c r="U13" i="80"/>
  <c r="U96" i="80"/>
  <c r="J44" i="80"/>
  <c r="G44" i="80" s="1"/>
  <c r="P44" i="80"/>
  <c r="I45" i="80"/>
  <c r="K44" i="80"/>
  <c r="L15" i="80"/>
  <c r="Q15" i="80"/>
  <c r="R42" i="80"/>
  <c r="S42" i="80"/>
  <c r="J72" i="80"/>
  <c r="G72" i="80" s="1"/>
  <c r="I73" i="80"/>
  <c r="P72" i="80"/>
  <c r="K72" i="80"/>
  <c r="Q98" i="80"/>
  <c r="L98" i="80"/>
  <c r="P99" i="80"/>
  <c r="I100" i="80"/>
  <c r="K99" i="80"/>
  <c r="J99" i="80"/>
  <c r="G99" i="80" s="1"/>
  <c r="S70" i="80"/>
  <c r="R70" i="80"/>
  <c r="U41" i="80"/>
  <c r="L43" i="80"/>
  <c r="Q43" i="80"/>
  <c r="G15" i="80"/>
  <c r="Y15" i="80"/>
  <c r="S97" i="80"/>
  <c r="R97" i="80"/>
  <c r="U69" i="80"/>
  <c r="S14" i="80"/>
  <c r="R14" i="80"/>
  <c r="L71" i="80"/>
  <c r="Q71" i="80"/>
  <c r="P16" i="80"/>
  <c r="K16" i="80"/>
  <c r="I17" i="80"/>
  <c r="J16" i="80"/>
  <c r="L41" i="77"/>
  <c r="Q41" i="77"/>
  <c r="U11" i="77"/>
  <c r="S95" i="77"/>
  <c r="R95" i="77"/>
  <c r="R12" i="77"/>
  <c r="S12" i="77"/>
  <c r="R40" i="77"/>
  <c r="S40" i="77"/>
  <c r="Q13" i="77"/>
  <c r="L13" i="77"/>
  <c r="I98" i="77"/>
  <c r="K97" i="77"/>
  <c r="P97" i="77"/>
  <c r="J97" i="77"/>
  <c r="G97" i="77" s="1"/>
  <c r="L69" i="77"/>
  <c r="Q69" i="77"/>
  <c r="J42" i="77"/>
  <c r="G42" i="77" s="1"/>
  <c r="I43" i="77"/>
  <c r="K42" i="77"/>
  <c r="P42" i="77"/>
  <c r="R68" i="77"/>
  <c r="S68" i="77"/>
  <c r="U39" i="77"/>
  <c r="U94" i="77"/>
  <c r="J70" i="77"/>
  <c r="G70" i="77" s="1"/>
  <c r="P70" i="77"/>
  <c r="I71" i="77"/>
  <c r="K70" i="77"/>
  <c r="U67" i="77"/>
  <c r="Y13" i="77"/>
  <c r="G13" i="77"/>
  <c r="K14" i="77"/>
  <c r="I15" i="77"/>
  <c r="J14" i="77"/>
  <c r="P14" i="77"/>
  <c r="Q96" i="77"/>
  <c r="L96" i="77"/>
  <c r="Q34" i="73"/>
  <c r="S34" i="73" s="1"/>
  <c r="Q62" i="73"/>
  <c r="L62" i="73"/>
  <c r="K90" i="73"/>
  <c r="K91" i="73"/>
  <c r="K92" i="73"/>
  <c r="R6" i="73"/>
  <c r="S6" i="73"/>
  <c r="I10" i="73"/>
  <c r="P9" i="73"/>
  <c r="J9" i="73"/>
  <c r="K9" i="73"/>
  <c r="P65" i="73"/>
  <c r="I66" i="73"/>
  <c r="K65" i="73"/>
  <c r="J65" i="73"/>
  <c r="G65" i="73" s="1"/>
  <c r="K93" i="73"/>
  <c r="Q8" i="73"/>
  <c r="L8" i="73"/>
  <c r="Q36" i="73"/>
  <c r="L36" i="73"/>
  <c r="Q64" i="73"/>
  <c r="L64" i="73"/>
  <c r="S63" i="73"/>
  <c r="R63" i="73"/>
  <c r="S35" i="73"/>
  <c r="R35" i="73"/>
  <c r="S7" i="73"/>
  <c r="R7" i="73"/>
  <c r="P94" i="73"/>
  <c r="I95" i="73"/>
  <c r="K94" i="73"/>
  <c r="J94" i="73"/>
  <c r="G94" i="73" s="1"/>
  <c r="Y8" i="73"/>
  <c r="G8" i="73"/>
  <c r="I38" i="73"/>
  <c r="K37" i="73"/>
  <c r="J37" i="73"/>
  <c r="G37" i="73" s="1"/>
  <c r="P37" i="73"/>
  <c r="D20" i="71"/>
  <c r="B22" i="71" s="1"/>
  <c r="E4" i="66"/>
  <c r="R34" i="73" l="1"/>
  <c r="L40" i="72"/>
  <c r="N40" i="72"/>
  <c r="L44" i="72"/>
  <c r="M44" i="72" s="1"/>
  <c r="N44" i="72"/>
  <c r="L49" i="72"/>
  <c r="M49" i="72" s="1"/>
  <c r="N49" i="72"/>
  <c r="N46" i="72"/>
  <c r="L46" i="72"/>
  <c r="M46" i="72" s="1"/>
  <c r="L42" i="72"/>
  <c r="M42" i="72" s="1"/>
  <c r="N42" i="72"/>
  <c r="L48" i="72"/>
  <c r="M48" i="72" s="1"/>
  <c r="N48" i="72"/>
  <c r="L47" i="72"/>
  <c r="M47" i="72" s="1"/>
  <c r="N47" i="72"/>
  <c r="L38" i="72"/>
  <c r="M38" i="72" s="1"/>
  <c r="N38" i="72"/>
  <c r="L45" i="72"/>
  <c r="M45" i="72" s="1"/>
  <c r="N45" i="72"/>
  <c r="L39" i="72"/>
  <c r="M39" i="72" s="1"/>
  <c r="N39" i="72"/>
  <c r="L43" i="72"/>
  <c r="M43" i="72" s="1"/>
  <c r="N43" i="72"/>
  <c r="L41" i="72"/>
  <c r="M41" i="72" s="1"/>
  <c r="N41" i="72"/>
  <c r="M40" i="72"/>
  <c r="U97" i="80"/>
  <c r="S43" i="80"/>
  <c r="R43" i="80"/>
  <c r="L99" i="80"/>
  <c r="Q99" i="80"/>
  <c r="P73" i="80"/>
  <c r="I74" i="80"/>
  <c r="K73" i="80"/>
  <c r="J73" i="80"/>
  <c r="G73" i="80" s="1"/>
  <c r="P45" i="80"/>
  <c r="I46" i="80"/>
  <c r="K45" i="80"/>
  <c r="J45" i="80"/>
  <c r="G45" i="80" s="1"/>
  <c r="G16" i="80"/>
  <c r="Y16" i="80"/>
  <c r="K17" i="80"/>
  <c r="J17" i="80"/>
  <c r="P17" i="80"/>
  <c r="I18" i="80"/>
  <c r="U70" i="80"/>
  <c r="J100" i="80"/>
  <c r="G100" i="80" s="1"/>
  <c r="P100" i="80"/>
  <c r="K100" i="80"/>
  <c r="I101" i="80"/>
  <c r="R98" i="80"/>
  <c r="S98" i="80"/>
  <c r="U42" i="80"/>
  <c r="S15" i="80"/>
  <c r="R15" i="80"/>
  <c r="Q44" i="80"/>
  <c r="L44" i="80"/>
  <c r="S71" i="80"/>
  <c r="R71" i="80"/>
  <c r="L16" i="80"/>
  <c r="Q16" i="80"/>
  <c r="U14" i="80"/>
  <c r="Q72" i="80"/>
  <c r="L72" i="80"/>
  <c r="P71" i="77"/>
  <c r="J71" i="77"/>
  <c r="G71" i="77" s="1"/>
  <c r="I72" i="77"/>
  <c r="K71" i="77"/>
  <c r="U68" i="77"/>
  <c r="G14" i="77"/>
  <c r="Y14" i="77"/>
  <c r="S13" i="77"/>
  <c r="R13" i="77"/>
  <c r="U12" i="77"/>
  <c r="R96" i="77"/>
  <c r="S96" i="77"/>
  <c r="J15" i="77"/>
  <c r="I16" i="77"/>
  <c r="K15" i="77"/>
  <c r="P15" i="77"/>
  <c r="Q42" i="77"/>
  <c r="L42" i="77"/>
  <c r="R69" i="77"/>
  <c r="S69" i="77"/>
  <c r="Q97" i="77"/>
  <c r="L97" i="77"/>
  <c r="U95" i="77"/>
  <c r="S41" i="77"/>
  <c r="R41" i="77"/>
  <c r="Q14" i="77"/>
  <c r="L14" i="77"/>
  <c r="L70" i="77"/>
  <c r="Q70" i="77"/>
  <c r="P43" i="77"/>
  <c r="I44" i="77"/>
  <c r="K43" i="77"/>
  <c r="J43" i="77"/>
  <c r="G43" i="77" s="1"/>
  <c r="I99" i="77"/>
  <c r="P98" i="77"/>
  <c r="K98" i="77"/>
  <c r="J98" i="77"/>
  <c r="G98" i="77" s="1"/>
  <c r="U40" i="77"/>
  <c r="U7" i="73"/>
  <c r="U6" i="73"/>
  <c r="Q65" i="73"/>
  <c r="L65" i="73"/>
  <c r="P38" i="73"/>
  <c r="I39" i="73"/>
  <c r="K38" i="73"/>
  <c r="J38" i="73"/>
  <c r="G38" i="73" s="1"/>
  <c r="U63" i="73"/>
  <c r="R36" i="73"/>
  <c r="S36" i="73"/>
  <c r="I67" i="73"/>
  <c r="K66" i="73"/>
  <c r="J66" i="73"/>
  <c r="G66" i="73" s="1"/>
  <c r="P66" i="73"/>
  <c r="L92" i="73"/>
  <c r="Q92" i="73"/>
  <c r="S62" i="73"/>
  <c r="R62" i="73"/>
  <c r="L37" i="73"/>
  <c r="Q37" i="73"/>
  <c r="Y9" i="73"/>
  <c r="G9" i="73"/>
  <c r="L94" i="73"/>
  <c r="Q94" i="73"/>
  <c r="J95" i="73"/>
  <c r="G95" i="73" s="1"/>
  <c r="P95" i="73"/>
  <c r="I96" i="73"/>
  <c r="K95" i="73"/>
  <c r="U35" i="73"/>
  <c r="S64" i="73"/>
  <c r="R64" i="73"/>
  <c r="Q93" i="73"/>
  <c r="L93" i="73"/>
  <c r="I11" i="73"/>
  <c r="P10" i="73"/>
  <c r="K10" i="73"/>
  <c r="J10" i="73"/>
  <c r="Q91" i="73"/>
  <c r="L91" i="73"/>
  <c r="U34" i="73"/>
  <c r="S8" i="73"/>
  <c r="R8" i="73"/>
  <c r="Q9" i="73"/>
  <c r="L9" i="73"/>
  <c r="L90" i="73"/>
  <c r="Q90" i="73"/>
  <c r="I42" i="70"/>
  <c r="H42" i="70"/>
  <c r="I41" i="70"/>
  <c r="H41" i="70"/>
  <c r="I40" i="70"/>
  <c r="H40" i="70"/>
  <c r="D40" i="70"/>
  <c r="I39" i="70"/>
  <c r="H39" i="70"/>
  <c r="D39" i="70"/>
  <c r="J38" i="70"/>
  <c r="I38" i="70"/>
  <c r="H38" i="70"/>
  <c r="D38" i="70"/>
  <c r="I37" i="70"/>
  <c r="H37" i="70"/>
  <c r="D37" i="70"/>
  <c r="G30" i="70"/>
  <c r="G42" i="70" s="1"/>
  <c r="F30" i="70"/>
  <c r="G29" i="70"/>
  <c r="G37" i="70" s="1"/>
  <c r="G28" i="70"/>
  <c r="G41" i="70" s="1"/>
  <c r="G27" i="70"/>
  <c r="G39" i="70" s="1"/>
  <c r="G26" i="70"/>
  <c r="G40" i="70" s="1"/>
  <c r="G25" i="70"/>
  <c r="G38" i="70" s="1"/>
  <c r="G15" i="70"/>
  <c r="J42" i="70" s="1"/>
  <c r="F15" i="70"/>
  <c r="J37" i="70" s="1"/>
  <c r="E15" i="70"/>
  <c r="J41" i="70" s="1"/>
  <c r="D15" i="70"/>
  <c r="J39" i="70" s="1"/>
  <c r="C15" i="70"/>
  <c r="J40" i="70" s="1"/>
  <c r="G11" i="70"/>
  <c r="F11" i="70"/>
  <c r="E11" i="70"/>
  <c r="D11" i="70"/>
  <c r="C11" i="70"/>
  <c r="D7" i="70"/>
  <c r="D6" i="70"/>
  <c r="E4" i="70"/>
  <c r="L45" i="80" l="1"/>
  <c r="Q45" i="80"/>
  <c r="U43" i="80"/>
  <c r="R72" i="80"/>
  <c r="S72" i="80"/>
  <c r="S16" i="80"/>
  <c r="R16" i="80"/>
  <c r="U98" i="80"/>
  <c r="K18" i="80"/>
  <c r="J18" i="80"/>
  <c r="I19" i="80"/>
  <c r="P18" i="80"/>
  <c r="J46" i="80"/>
  <c r="G46" i="80" s="1"/>
  <c r="P46" i="80"/>
  <c r="I47" i="80"/>
  <c r="K46" i="80"/>
  <c r="L73" i="80"/>
  <c r="Q73" i="80"/>
  <c r="R44" i="80"/>
  <c r="S44" i="80"/>
  <c r="P101" i="80"/>
  <c r="I102" i="80"/>
  <c r="K101" i="80"/>
  <c r="J101" i="80"/>
  <c r="G101" i="80" s="1"/>
  <c r="J74" i="80"/>
  <c r="G74" i="80" s="1"/>
  <c r="K74" i="80"/>
  <c r="P74" i="80"/>
  <c r="I75" i="80"/>
  <c r="S99" i="80"/>
  <c r="R99" i="80"/>
  <c r="U15" i="80"/>
  <c r="L17" i="80"/>
  <c r="Q17" i="80"/>
  <c r="U71" i="80"/>
  <c r="Q100" i="80"/>
  <c r="L100" i="80"/>
  <c r="G17" i="80"/>
  <c r="Y17" i="80"/>
  <c r="Q98" i="77"/>
  <c r="L98" i="77"/>
  <c r="S97" i="77"/>
  <c r="R97" i="77"/>
  <c r="R42" i="77"/>
  <c r="S42" i="77"/>
  <c r="Y15" i="77"/>
  <c r="G15" i="77"/>
  <c r="L71" i="77"/>
  <c r="Q71" i="77"/>
  <c r="S14" i="77"/>
  <c r="R14" i="77"/>
  <c r="U13" i="77"/>
  <c r="J72" i="77"/>
  <c r="G72" i="77" s="1"/>
  <c r="P72" i="77"/>
  <c r="I73" i="77"/>
  <c r="K72" i="77"/>
  <c r="I100" i="77"/>
  <c r="K99" i="77"/>
  <c r="P99" i="77"/>
  <c r="J99" i="77"/>
  <c r="G99" i="77" s="1"/>
  <c r="U41" i="77"/>
  <c r="U69" i="77"/>
  <c r="Q15" i="77"/>
  <c r="L15" i="77"/>
  <c r="U96" i="77"/>
  <c r="L43" i="77"/>
  <c r="Q43" i="77"/>
  <c r="R70" i="77"/>
  <c r="S70" i="77"/>
  <c r="J44" i="77"/>
  <c r="G44" i="77" s="1"/>
  <c r="P44" i="77"/>
  <c r="I45" i="77"/>
  <c r="K44" i="77"/>
  <c r="K16" i="77"/>
  <c r="I17" i="77"/>
  <c r="J16" i="77"/>
  <c r="P16" i="77"/>
  <c r="Q10" i="73"/>
  <c r="L10" i="73"/>
  <c r="R93" i="73"/>
  <c r="S93" i="73"/>
  <c r="Q95" i="73"/>
  <c r="L95" i="73"/>
  <c r="S94" i="73"/>
  <c r="R94" i="73"/>
  <c r="U62" i="73"/>
  <c r="Q38" i="73"/>
  <c r="L38" i="73"/>
  <c r="S65" i="73"/>
  <c r="R65" i="73"/>
  <c r="I97" i="73"/>
  <c r="J96" i="73"/>
  <c r="G96" i="73" s="1"/>
  <c r="P96" i="73"/>
  <c r="K96" i="73"/>
  <c r="U36" i="73"/>
  <c r="I40" i="73"/>
  <c r="K39" i="73"/>
  <c r="J39" i="73"/>
  <c r="G39" i="73" s="1"/>
  <c r="P39" i="73"/>
  <c r="U8" i="73"/>
  <c r="R91" i="73"/>
  <c r="S91" i="73"/>
  <c r="J11" i="73"/>
  <c r="I12" i="73"/>
  <c r="K11" i="73"/>
  <c r="P11" i="73"/>
  <c r="S37" i="73"/>
  <c r="R37" i="73"/>
  <c r="S92" i="73"/>
  <c r="R92" i="73"/>
  <c r="Q66" i="73"/>
  <c r="L66" i="73"/>
  <c r="S90" i="73"/>
  <c r="R90" i="73"/>
  <c r="R9" i="73"/>
  <c r="S9" i="73"/>
  <c r="Y10" i="73"/>
  <c r="G10" i="73"/>
  <c r="U64" i="73"/>
  <c r="I68" i="73"/>
  <c r="K67" i="73"/>
  <c r="P67" i="73"/>
  <c r="J67" i="73"/>
  <c r="G67" i="73" s="1"/>
  <c r="L41" i="70"/>
  <c r="L37" i="70"/>
  <c r="M37" i="70" s="1"/>
  <c r="L39" i="70"/>
  <c r="M39" i="70" s="1"/>
  <c r="L42" i="70"/>
  <c r="M42" i="70" s="1"/>
  <c r="H30" i="70"/>
  <c r="I30" i="70" s="1"/>
  <c r="G19" i="70" s="1"/>
  <c r="L38" i="70"/>
  <c r="L40" i="70"/>
  <c r="M40" i="70" s="1"/>
  <c r="G43" i="70"/>
  <c r="M41" i="70"/>
  <c r="F42" i="70"/>
  <c r="K42" i="70" s="1"/>
  <c r="C22" i="70"/>
  <c r="B22" i="70" s="1"/>
  <c r="C23" i="70" s="1"/>
  <c r="B23" i="70" s="1"/>
  <c r="L43" i="70" l="1"/>
  <c r="Q18" i="80"/>
  <c r="L18" i="80"/>
  <c r="U99" i="80"/>
  <c r="Q74" i="80"/>
  <c r="L74" i="80"/>
  <c r="J102" i="80"/>
  <c r="G102" i="80" s="1"/>
  <c r="I103" i="80"/>
  <c r="P102" i="80"/>
  <c r="K102" i="80"/>
  <c r="L46" i="80"/>
  <c r="Q46" i="80"/>
  <c r="U16" i="80"/>
  <c r="L101" i="80"/>
  <c r="Q101" i="80"/>
  <c r="U72" i="80"/>
  <c r="P47" i="80"/>
  <c r="J47" i="80"/>
  <c r="G47" i="80" s="1"/>
  <c r="K47" i="80"/>
  <c r="I48" i="80"/>
  <c r="K19" i="80"/>
  <c r="J19" i="80"/>
  <c r="I20" i="80"/>
  <c r="P19" i="80"/>
  <c r="U44" i="80"/>
  <c r="R100" i="80"/>
  <c r="S100" i="80"/>
  <c r="S17" i="80"/>
  <c r="R17" i="80"/>
  <c r="P75" i="80"/>
  <c r="I76" i="80"/>
  <c r="K75" i="80"/>
  <c r="J75" i="80"/>
  <c r="G75" i="80" s="1"/>
  <c r="S73" i="80"/>
  <c r="R73" i="80"/>
  <c r="G18" i="80"/>
  <c r="Y18" i="80"/>
  <c r="R45" i="80"/>
  <c r="S45" i="80"/>
  <c r="J17" i="77"/>
  <c r="I18" i="77"/>
  <c r="K17" i="77"/>
  <c r="P17" i="77"/>
  <c r="Q99" i="77"/>
  <c r="L99" i="77"/>
  <c r="R71" i="77"/>
  <c r="S71" i="77"/>
  <c r="Q16" i="77"/>
  <c r="L16" i="77"/>
  <c r="Q44" i="77"/>
  <c r="L44" i="77"/>
  <c r="R15" i="77"/>
  <c r="S15" i="77"/>
  <c r="J100" i="77"/>
  <c r="G100" i="77" s="1"/>
  <c r="P100" i="77"/>
  <c r="K100" i="77"/>
  <c r="I101" i="77"/>
  <c r="U42" i="77"/>
  <c r="P45" i="77"/>
  <c r="I46" i="77"/>
  <c r="K45" i="77"/>
  <c r="J45" i="77"/>
  <c r="G45" i="77" s="1"/>
  <c r="U70" i="77"/>
  <c r="L72" i="77"/>
  <c r="Q72" i="77"/>
  <c r="U14" i="77"/>
  <c r="U97" i="77"/>
  <c r="G16" i="77"/>
  <c r="Y16" i="77"/>
  <c r="S43" i="77"/>
  <c r="R43" i="77"/>
  <c r="P73" i="77"/>
  <c r="J73" i="77"/>
  <c r="G73" i="77" s="1"/>
  <c r="I74" i="77"/>
  <c r="K73" i="77"/>
  <c r="S98" i="77"/>
  <c r="R98" i="77"/>
  <c r="U90" i="73"/>
  <c r="U37" i="73"/>
  <c r="J12" i="73"/>
  <c r="I13" i="73"/>
  <c r="K12" i="73"/>
  <c r="P12" i="73"/>
  <c r="P97" i="73"/>
  <c r="J97" i="73"/>
  <c r="G97" i="73" s="1"/>
  <c r="I98" i="73"/>
  <c r="K97" i="73"/>
  <c r="U65" i="73"/>
  <c r="S66" i="73"/>
  <c r="R66" i="73"/>
  <c r="Y11" i="73"/>
  <c r="G11" i="73"/>
  <c r="Q96" i="73"/>
  <c r="L96" i="73"/>
  <c r="U93" i="73"/>
  <c r="L67" i="73"/>
  <c r="Q67" i="73"/>
  <c r="U92" i="73"/>
  <c r="L39" i="73"/>
  <c r="Q39" i="73"/>
  <c r="R95" i="73"/>
  <c r="S95" i="73"/>
  <c r="P68" i="73"/>
  <c r="I69" i="73"/>
  <c r="K68" i="73"/>
  <c r="J68" i="73"/>
  <c r="G68" i="73" s="1"/>
  <c r="U9" i="73"/>
  <c r="Q11" i="73"/>
  <c r="L11" i="73"/>
  <c r="U91" i="73"/>
  <c r="P40" i="73"/>
  <c r="J40" i="73"/>
  <c r="G40" i="73" s="1"/>
  <c r="I41" i="73"/>
  <c r="K40" i="73"/>
  <c r="S38" i="73"/>
  <c r="R38" i="73"/>
  <c r="U94" i="73"/>
  <c r="R10" i="73"/>
  <c r="S10" i="73"/>
  <c r="N42" i="70"/>
  <c r="M38" i="70"/>
  <c r="M43" i="70"/>
  <c r="G23" i="70"/>
  <c r="E23" i="70"/>
  <c r="E29" i="70"/>
  <c r="C30" i="70"/>
  <c r="B30" i="70" s="1"/>
  <c r="C29" i="70"/>
  <c r="B29" i="70" s="1"/>
  <c r="C28" i="70"/>
  <c r="B28" i="70" s="1"/>
  <c r="C27" i="70"/>
  <c r="B27" i="70" s="1"/>
  <c r="C26" i="70"/>
  <c r="B26" i="70" s="1"/>
  <c r="C25" i="70"/>
  <c r="B25" i="70" s="1"/>
  <c r="U100" i="80" l="1"/>
  <c r="G19" i="80"/>
  <c r="Y19" i="80"/>
  <c r="K20" i="80"/>
  <c r="J20" i="80"/>
  <c r="I21" i="80"/>
  <c r="P20" i="80"/>
  <c r="P103" i="80"/>
  <c r="I104" i="80"/>
  <c r="K103" i="80"/>
  <c r="J103" i="80"/>
  <c r="G103" i="80" s="1"/>
  <c r="U17" i="80"/>
  <c r="Q19" i="80"/>
  <c r="L19" i="80"/>
  <c r="R101" i="80"/>
  <c r="S101" i="80"/>
  <c r="Q102" i="80"/>
  <c r="L102" i="80"/>
  <c r="J76" i="80"/>
  <c r="G76" i="80" s="1"/>
  <c r="P76" i="80"/>
  <c r="I77" i="80"/>
  <c r="K76" i="80"/>
  <c r="L47" i="80"/>
  <c r="Q47" i="80"/>
  <c r="R46" i="80"/>
  <c r="S46" i="80"/>
  <c r="U45" i="80"/>
  <c r="U73" i="80"/>
  <c r="L75" i="80"/>
  <c r="Q75" i="80"/>
  <c r="J48" i="80"/>
  <c r="G48" i="80" s="1"/>
  <c r="P48" i="80"/>
  <c r="I49" i="80"/>
  <c r="K48" i="80"/>
  <c r="R74" i="80"/>
  <c r="S74" i="80"/>
  <c r="S18" i="80"/>
  <c r="R18" i="80"/>
  <c r="R72" i="77"/>
  <c r="S72" i="77"/>
  <c r="I102" i="77"/>
  <c r="K101" i="77"/>
  <c r="P101" i="77"/>
  <c r="J101" i="77"/>
  <c r="G101" i="77" s="1"/>
  <c r="R44" i="77"/>
  <c r="S44" i="77"/>
  <c r="L45" i="77"/>
  <c r="Q45" i="77"/>
  <c r="Q100" i="77"/>
  <c r="L100" i="77"/>
  <c r="U15" i="77"/>
  <c r="U71" i="77"/>
  <c r="Q17" i="77"/>
  <c r="L17" i="77"/>
  <c r="U98" i="77"/>
  <c r="L73" i="77"/>
  <c r="Q73" i="77"/>
  <c r="U43" i="77"/>
  <c r="J46" i="77"/>
  <c r="G46" i="77" s="1"/>
  <c r="I47" i="77"/>
  <c r="K46" i="77"/>
  <c r="P46" i="77"/>
  <c r="S16" i="77"/>
  <c r="R16" i="77"/>
  <c r="J18" i="77"/>
  <c r="I19" i="77"/>
  <c r="P18" i="77"/>
  <c r="K18" i="77"/>
  <c r="I75" i="77"/>
  <c r="J74" i="77"/>
  <c r="G74" i="77" s="1"/>
  <c r="P74" i="77"/>
  <c r="K74" i="77"/>
  <c r="S99" i="77"/>
  <c r="R99" i="77"/>
  <c r="Y17" i="77"/>
  <c r="G17" i="77"/>
  <c r="Q68" i="73"/>
  <c r="L68" i="73"/>
  <c r="I14" i="73"/>
  <c r="J13" i="73"/>
  <c r="K13" i="73"/>
  <c r="P13" i="73"/>
  <c r="Q40" i="73"/>
  <c r="L40" i="73"/>
  <c r="I42" i="73"/>
  <c r="K41" i="73"/>
  <c r="J41" i="73"/>
  <c r="G41" i="73" s="1"/>
  <c r="P41" i="73"/>
  <c r="I70" i="73"/>
  <c r="K69" i="73"/>
  <c r="J69" i="73"/>
  <c r="G69" i="73" s="1"/>
  <c r="P69" i="73"/>
  <c r="S39" i="73"/>
  <c r="R39" i="73"/>
  <c r="Y12" i="73"/>
  <c r="G12" i="73"/>
  <c r="U95" i="73"/>
  <c r="Q97" i="73"/>
  <c r="L97" i="73"/>
  <c r="U38" i="73"/>
  <c r="U10" i="73"/>
  <c r="R11" i="73"/>
  <c r="S11" i="73"/>
  <c r="S67" i="73"/>
  <c r="R67" i="73"/>
  <c r="S96" i="73"/>
  <c r="R96" i="73"/>
  <c r="U66" i="73"/>
  <c r="I99" i="73"/>
  <c r="K98" i="73"/>
  <c r="J98" i="73"/>
  <c r="G98" i="73" s="1"/>
  <c r="P98" i="73"/>
  <c r="Q12" i="73"/>
  <c r="L12" i="73"/>
  <c r="D27" i="70"/>
  <c r="D28" i="70"/>
  <c r="D26" i="70"/>
  <c r="D25" i="70"/>
  <c r="E28" i="70"/>
  <c r="E27" i="70"/>
  <c r="E26" i="70"/>
  <c r="E25" i="70"/>
  <c r="D29" i="70"/>
  <c r="F29" i="70" s="1"/>
  <c r="P77" i="80" l="1"/>
  <c r="I78" i="80"/>
  <c r="K77" i="80"/>
  <c r="J77" i="80"/>
  <c r="G77" i="80" s="1"/>
  <c r="U74" i="80"/>
  <c r="P49" i="80"/>
  <c r="J49" i="80"/>
  <c r="G49" i="80" s="1"/>
  <c r="I50" i="80"/>
  <c r="K49" i="80"/>
  <c r="S75" i="80"/>
  <c r="R75" i="80"/>
  <c r="R47" i="80"/>
  <c r="S47" i="80"/>
  <c r="R102" i="80"/>
  <c r="S102" i="80"/>
  <c r="S19" i="80"/>
  <c r="R19" i="80"/>
  <c r="L48" i="80"/>
  <c r="Q48" i="80"/>
  <c r="Q20" i="80"/>
  <c r="L20" i="80"/>
  <c r="U18" i="80"/>
  <c r="L103" i="80"/>
  <c r="Q103" i="80"/>
  <c r="K21" i="80"/>
  <c r="J21" i="80"/>
  <c r="I22" i="80"/>
  <c r="P21" i="80"/>
  <c r="U46" i="80"/>
  <c r="Q76" i="80"/>
  <c r="L76" i="80"/>
  <c r="U101" i="80"/>
  <c r="J104" i="80"/>
  <c r="G104" i="80" s="1"/>
  <c r="I105" i="80"/>
  <c r="K104" i="80"/>
  <c r="P104" i="80"/>
  <c r="G20" i="80"/>
  <c r="Y20" i="80"/>
  <c r="U99" i="77"/>
  <c r="P75" i="77"/>
  <c r="I76" i="77"/>
  <c r="K75" i="77"/>
  <c r="J75" i="77"/>
  <c r="G75" i="77" s="1"/>
  <c r="J19" i="77"/>
  <c r="I20" i="77"/>
  <c r="K19" i="77"/>
  <c r="P19" i="77"/>
  <c r="U16" i="77"/>
  <c r="P47" i="77"/>
  <c r="I48" i="77"/>
  <c r="K47" i="77"/>
  <c r="J47" i="77"/>
  <c r="G47" i="77" s="1"/>
  <c r="R73" i="77"/>
  <c r="S73" i="77"/>
  <c r="U44" i="77"/>
  <c r="Q101" i="77"/>
  <c r="L101" i="77"/>
  <c r="Q74" i="77"/>
  <c r="L74" i="77"/>
  <c r="Y18" i="77"/>
  <c r="G18" i="77"/>
  <c r="R17" i="77"/>
  <c r="S17" i="77"/>
  <c r="S100" i="77"/>
  <c r="R100" i="77"/>
  <c r="I103" i="77"/>
  <c r="P102" i="77"/>
  <c r="K102" i="77"/>
  <c r="J102" i="77"/>
  <c r="G102" i="77" s="1"/>
  <c r="Q18" i="77"/>
  <c r="L18" i="77"/>
  <c r="S45" i="77"/>
  <c r="R45" i="77"/>
  <c r="Q46" i="77"/>
  <c r="L46" i="77"/>
  <c r="U72" i="77"/>
  <c r="L98" i="73"/>
  <c r="Q98" i="73"/>
  <c r="U67" i="73"/>
  <c r="Q13" i="73"/>
  <c r="L13" i="73"/>
  <c r="R12" i="73"/>
  <c r="S12" i="73"/>
  <c r="U39" i="73"/>
  <c r="R40" i="73"/>
  <c r="S40" i="73"/>
  <c r="Y13" i="73"/>
  <c r="G13" i="73"/>
  <c r="R97" i="73"/>
  <c r="S97" i="73"/>
  <c r="Q69" i="73"/>
  <c r="L69" i="73"/>
  <c r="L41" i="73"/>
  <c r="Q41" i="73"/>
  <c r="P14" i="73"/>
  <c r="I15" i="73"/>
  <c r="K14" i="73"/>
  <c r="J14" i="73"/>
  <c r="U96" i="73"/>
  <c r="P99" i="73"/>
  <c r="I100" i="73"/>
  <c r="K99" i="73"/>
  <c r="J99" i="73"/>
  <c r="G99" i="73" s="1"/>
  <c r="U11" i="73"/>
  <c r="P70" i="73"/>
  <c r="I71" i="73"/>
  <c r="K70" i="73"/>
  <c r="J70" i="73"/>
  <c r="G70" i="73" s="1"/>
  <c r="P42" i="73"/>
  <c r="I43" i="73"/>
  <c r="K42" i="73"/>
  <c r="J42" i="73"/>
  <c r="G42" i="73" s="1"/>
  <c r="S68" i="73"/>
  <c r="R68" i="73"/>
  <c r="F26" i="70"/>
  <c r="F40" i="70" s="1"/>
  <c r="K40" i="70" s="1"/>
  <c r="N40" i="70" s="1"/>
  <c r="F25" i="70"/>
  <c r="F28" i="70"/>
  <c r="H29" i="70"/>
  <c r="I29" i="70" s="1"/>
  <c r="F19" i="70" s="1"/>
  <c r="F37" i="70"/>
  <c r="K37" i="70" s="1"/>
  <c r="N37" i="70" s="1"/>
  <c r="F27" i="70"/>
  <c r="G21" i="80" l="1"/>
  <c r="Y21" i="80"/>
  <c r="S20" i="80"/>
  <c r="R20" i="80"/>
  <c r="L77" i="80"/>
  <c r="Q77" i="80"/>
  <c r="Q104" i="80"/>
  <c r="L104" i="80"/>
  <c r="Q21" i="80"/>
  <c r="L21" i="80"/>
  <c r="U19" i="80"/>
  <c r="L49" i="80"/>
  <c r="Q49" i="80"/>
  <c r="J78" i="80"/>
  <c r="G78" i="80" s="1"/>
  <c r="P78" i="80"/>
  <c r="I79" i="80"/>
  <c r="K78" i="80"/>
  <c r="U102" i="80"/>
  <c r="P105" i="80"/>
  <c r="I106" i="80"/>
  <c r="K105" i="80"/>
  <c r="J105" i="80"/>
  <c r="G105" i="80" s="1"/>
  <c r="S103" i="80"/>
  <c r="R103" i="80"/>
  <c r="U47" i="80"/>
  <c r="J50" i="80"/>
  <c r="G50" i="80" s="1"/>
  <c r="P50" i="80"/>
  <c r="I51" i="80"/>
  <c r="K50" i="80"/>
  <c r="R76" i="80"/>
  <c r="S76" i="80"/>
  <c r="I23" i="80"/>
  <c r="P22" i="80"/>
  <c r="K22" i="80"/>
  <c r="J22" i="80"/>
  <c r="R48" i="80"/>
  <c r="S48" i="80"/>
  <c r="U75" i="80"/>
  <c r="R46" i="77"/>
  <c r="S46" i="77"/>
  <c r="R74" i="77"/>
  <c r="S74" i="77"/>
  <c r="J20" i="77"/>
  <c r="I21" i="77"/>
  <c r="P20" i="77"/>
  <c r="K20" i="77"/>
  <c r="J76" i="77"/>
  <c r="G76" i="77" s="1"/>
  <c r="P76" i="77"/>
  <c r="K76" i="77"/>
  <c r="I77" i="77"/>
  <c r="R18" i="77"/>
  <c r="S18" i="77"/>
  <c r="I104" i="77"/>
  <c r="K103" i="77"/>
  <c r="P103" i="77"/>
  <c r="J103" i="77"/>
  <c r="G103" i="77" s="1"/>
  <c r="U17" i="77"/>
  <c r="L47" i="77"/>
  <c r="Q47" i="77"/>
  <c r="Y19" i="77"/>
  <c r="G19" i="77"/>
  <c r="U45" i="77"/>
  <c r="U100" i="77"/>
  <c r="J48" i="77"/>
  <c r="G48" i="77" s="1"/>
  <c r="P48" i="77"/>
  <c r="I49" i="77"/>
  <c r="K48" i="77"/>
  <c r="Q102" i="77"/>
  <c r="L102" i="77"/>
  <c r="S101" i="77"/>
  <c r="R101" i="77"/>
  <c r="U73" i="77"/>
  <c r="Q19" i="77"/>
  <c r="L19" i="77"/>
  <c r="L75" i="77"/>
  <c r="Q75" i="77"/>
  <c r="Q99" i="73"/>
  <c r="L99" i="73"/>
  <c r="Q14" i="73"/>
  <c r="L14" i="73"/>
  <c r="I101" i="73"/>
  <c r="K100" i="73"/>
  <c r="J100" i="73"/>
  <c r="G100" i="73" s="1"/>
  <c r="P100" i="73"/>
  <c r="I16" i="73"/>
  <c r="P15" i="73"/>
  <c r="K15" i="73"/>
  <c r="J15" i="73"/>
  <c r="U97" i="73"/>
  <c r="R13" i="73"/>
  <c r="S13" i="73"/>
  <c r="I72" i="73"/>
  <c r="K71" i="73"/>
  <c r="J71" i="73"/>
  <c r="G71" i="73" s="1"/>
  <c r="P71" i="73"/>
  <c r="Q42" i="73"/>
  <c r="L42" i="73"/>
  <c r="Q70" i="73"/>
  <c r="L70" i="73"/>
  <c r="S69" i="73"/>
  <c r="R69" i="73"/>
  <c r="U12" i="73"/>
  <c r="U68" i="73"/>
  <c r="Y14" i="73"/>
  <c r="G14" i="73"/>
  <c r="S41" i="73"/>
  <c r="R41" i="73"/>
  <c r="U40" i="73"/>
  <c r="S98" i="73"/>
  <c r="R98" i="73"/>
  <c r="I44" i="73"/>
  <c r="K43" i="73"/>
  <c r="J43" i="73"/>
  <c r="G43" i="73" s="1"/>
  <c r="P43" i="73"/>
  <c r="H26" i="70"/>
  <c r="I26" i="70" s="1"/>
  <c r="C19" i="70" s="1"/>
  <c r="F39" i="70"/>
  <c r="K39" i="70" s="1"/>
  <c r="N39" i="70" s="1"/>
  <c r="H27" i="70"/>
  <c r="I27" i="70" s="1"/>
  <c r="D19" i="70" s="1"/>
  <c r="H28" i="70"/>
  <c r="I28" i="70" s="1"/>
  <c r="E19" i="70" s="1"/>
  <c r="F41" i="70"/>
  <c r="K41" i="70" s="1"/>
  <c r="N41" i="70" s="1"/>
  <c r="F38" i="70"/>
  <c r="K38" i="70" s="1"/>
  <c r="N38" i="70" s="1"/>
  <c r="H25" i="70"/>
  <c r="U20" i="80" l="1"/>
  <c r="U103" i="80"/>
  <c r="S21" i="80"/>
  <c r="R21" i="80"/>
  <c r="L22" i="80"/>
  <c r="Q22" i="80"/>
  <c r="P79" i="80"/>
  <c r="I80" i="80"/>
  <c r="K79" i="80"/>
  <c r="J79" i="80"/>
  <c r="G79" i="80" s="1"/>
  <c r="S77" i="80"/>
  <c r="R77" i="80"/>
  <c r="U48" i="80"/>
  <c r="I24" i="80"/>
  <c r="P23" i="80"/>
  <c r="K23" i="80"/>
  <c r="J23" i="80"/>
  <c r="L50" i="80"/>
  <c r="Q50" i="80"/>
  <c r="L105" i="80"/>
  <c r="Q105" i="80"/>
  <c r="U76" i="80"/>
  <c r="G22" i="80"/>
  <c r="Y22" i="80"/>
  <c r="P51" i="80"/>
  <c r="J51" i="80"/>
  <c r="G51" i="80" s="1"/>
  <c r="K51" i="80"/>
  <c r="I52" i="80"/>
  <c r="J106" i="80"/>
  <c r="G106" i="80" s="1"/>
  <c r="P106" i="80"/>
  <c r="I107" i="80"/>
  <c r="K106" i="80"/>
  <c r="Q78" i="80"/>
  <c r="L78" i="80"/>
  <c r="R49" i="80"/>
  <c r="S49" i="80"/>
  <c r="R104" i="80"/>
  <c r="S104" i="80"/>
  <c r="U18" i="77"/>
  <c r="R19" i="77"/>
  <c r="S19" i="77"/>
  <c r="Q103" i="77"/>
  <c r="L103" i="77"/>
  <c r="J77" i="77"/>
  <c r="G77" i="77" s="1"/>
  <c r="P77" i="77"/>
  <c r="I78" i="77"/>
  <c r="K77" i="77"/>
  <c r="Q20" i="77"/>
  <c r="L20" i="77"/>
  <c r="U101" i="77"/>
  <c r="Y20" i="77"/>
  <c r="G20" i="77"/>
  <c r="S75" i="77"/>
  <c r="R75" i="77"/>
  <c r="S102" i="77"/>
  <c r="R102" i="77"/>
  <c r="Q48" i="77"/>
  <c r="L48" i="77"/>
  <c r="I105" i="77"/>
  <c r="P104" i="77"/>
  <c r="K104" i="77"/>
  <c r="J104" i="77"/>
  <c r="G104" i="77" s="1"/>
  <c r="Q76" i="77"/>
  <c r="L76" i="77"/>
  <c r="U74" i="77"/>
  <c r="P49" i="77"/>
  <c r="I50" i="77"/>
  <c r="K49" i="77"/>
  <c r="J49" i="77"/>
  <c r="G49" i="77" s="1"/>
  <c r="S47" i="77"/>
  <c r="R47" i="77"/>
  <c r="J21" i="77"/>
  <c r="I22" i="77"/>
  <c r="K21" i="77"/>
  <c r="P21" i="77"/>
  <c r="U46" i="77"/>
  <c r="U41" i="73"/>
  <c r="S70" i="73"/>
  <c r="R70" i="73"/>
  <c r="L15" i="73"/>
  <c r="Q15" i="73"/>
  <c r="R14" i="73"/>
  <c r="S14" i="73"/>
  <c r="U69" i="73"/>
  <c r="U13" i="73"/>
  <c r="L100" i="73"/>
  <c r="Q100" i="73"/>
  <c r="U98" i="73"/>
  <c r="L43" i="73"/>
  <c r="Q43" i="73"/>
  <c r="S42" i="73"/>
  <c r="R42" i="73"/>
  <c r="Q71" i="73"/>
  <c r="L71" i="73"/>
  <c r="P16" i="73"/>
  <c r="I17" i="73"/>
  <c r="K16" i="73"/>
  <c r="J16" i="73"/>
  <c r="P101" i="73"/>
  <c r="J101" i="73"/>
  <c r="G101" i="73" s="1"/>
  <c r="K101" i="73"/>
  <c r="I102" i="73"/>
  <c r="S99" i="73"/>
  <c r="R99" i="73"/>
  <c r="P44" i="73"/>
  <c r="J44" i="73"/>
  <c r="G44" i="73" s="1"/>
  <c r="I45" i="73"/>
  <c r="K44" i="73"/>
  <c r="P72" i="73"/>
  <c r="I73" i="73"/>
  <c r="K72" i="73"/>
  <c r="J72" i="73"/>
  <c r="G72" i="73" s="1"/>
  <c r="G15" i="73"/>
  <c r="Y15" i="73"/>
  <c r="N43" i="70"/>
  <c r="I25" i="70"/>
  <c r="B19" i="70" s="1"/>
  <c r="H32" i="70"/>
  <c r="Q106" i="80" l="1"/>
  <c r="L106" i="80"/>
  <c r="J52" i="80"/>
  <c r="G52" i="80" s="1"/>
  <c r="P52" i="80"/>
  <c r="I53" i="80"/>
  <c r="K52" i="80"/>
  <c r="R50" i="80"/>
  <c r="S50" i="80"/>
  <c r="U77" i="80"/>
  <c r="S22" i="80"/>
  <c r="R22" i="80"/>
  <c r="U49" i="80"/>
  <c r="P107" i="80"/>
  <c r="I108" i="80"/>
  <c r="K107" i="80"/>
  <c r="J107" i="80"/>
  <c r="G107" i="80" s="1"/>
  <c r="L51" i="80"/>
  <c r="Q51" i="80"/>
  <c r="S105" i="80"/>
  <c r="R105" i="80"/>
  <c r="I25" i="80"/>
  <c r="P24" i="80"/>
  <c r="K24" i="80"/>
  <c r="J24" i="80"/>
  <c r="L79" i="80"/>
  <c r="Q79" i="80"/>
  <c r="U21" i="80"/>
  <c r="Y23" i="80"/>
  <c r="G23" i="80"/>
  <c r="J80" i="80"/>
  <c r="G80" i="80" s="1"/>
  <c r="P80" i="80"/>
  <c r="I81" i="80"/>
  <c r="K80" i="80"/>
  <c r="U104" i="80"/>
  <c r="R78" i="80"/>
  <c r="S78" i="80"/>
  <c r="Q23" i="80"/>
  <c r="L23" i="80"/>
  <c r="U102" i="77"/>
  <c r="Q21" i="77"/>
  <c r="L21" i="77"/>
  <c r="U47" i="77"/>
  <c r="J50" i="77"/>
  <c r="G50" i="77" s="1"/>
  <c r="I51" i="77"/>
  <c r="K50" i="77"/>
  <c r="P50" i="77"/>
  <c r="R76" i="77"/>
  <c r="S76" i="77"/>
  <c r="I106" i="77"/>
  <c r="K105" i="77"/>
  <c r="P105" i="77"/>
  <c r="J105" i="77"/>
  <c r="G105" i="77" s="1"/>
  <c r="L77" i="77"/>
  <c r="Q77" i="77"/>
  <c r="R20" i="77"/>
  <c r="S20" i="77"/>
  <c r="K22" i="77"/>
  <c r="J22" i="77"/>
  <c r="P22" i="77"/>
  <c r="I23" i="77"/>
  <c r="U75" i="77"/>
  <c r="P78" i="77"/>
  <c r="I79" i="77"/>
  <c r="K78" i="77"/>
  <c r="J78" i="77"/>
  <c r="G78" i="77" s="1"/>
  <c r="S103" i="77"/>
  <c r="R103" i="77"/>
  <c r="L49" i="77"/>
  <c r="Q49" i="77"/>
  <c r="Y21" i="77"/>
  <c r="G21" i="77"/>
  <c r="Q104" i="77"/>
  <c r="L104" i="77"/>
  <c r="R48" i="77"/>
  <c r="S48" i="77"/>
  <c r="U19" i="77"/>
  <c r="I103" i="73"/>
  <c r="K102" i="73"/>
  <c r="J102" i="73"/>
  <c r="G102" i="73" s="1"/>
  <c r="P102" i="73"/>
  <c r="Y16" i="73"/>
  <c r="G16" i="73"/>
  <c r="I74" i="73"/>
  <c r="K73" i="73"/>
  <c r="J73" i="73"/>
  <c r="G73" i="73" s="1"/>
  <c r="P73" i="73"/>
  <c r="Q44" i="73"/>
  <c r="L44" i="73"/>
  <c r="Q101" i="73"/>
  <c r="L101" i="73"/>
  <c r="Q16" i="73"/>
  <c r="L16" i="73"/>
  <c r="S71" i="73"/>
  <c r="R71" i="73"/>
  <c r="S43" i="73"/>
  <c r="R43" i="73"/>
  <c r="U14" i="73"/>
  <c r="U70" i="73"/>
  <c r="J45" i="73"/>
  <c r="G45" i="73" s="1"/>
  <c r="I46" i="73"/>
  <c r="P45" i="73"/>
  <c r="K45" i="73"/>
  <c r="P17" i="73"/>
  <c r="K17" i="73"/>
  <c r="I18" i="73"/>
  <c r="J17" i="73"/>
  <c r="S15" i="73"/>
  <c r="R15" i="73"/>
  <c r="U99" i="73"/>
  <c r="U42" i="73"/>
  <c r="S100" i="73"/>
  <c r="R100" i="73"/>
  <c r="Q72" i="73"/>
  <c r="L72" i="73"/>
  <c r="H19" i="70"/>
  <c r="I32" i="70"/>
  <c r="S79" i="80" l="1"/>
  <c r="R79" i="80"/>
  <c r="Q24" i="80"/>
  <c r="L24" i="80"/>
  <c r="U50" i="80"/>
  <c r="S23" i="80"/>
  <c r="R23" i="80"/>
  <c r="U78" i="80"/>
  <c r="Q80" i="80"/>
  <c r="L80" i="80"/>
  <c r="U105" i="80"/>
  <c r="Q52" i="80"/>
  <c r="L52" i="80"/>
  <c r="P81" i="80"/>
  <c r="I82" i="80"/>
  <c r="K81" i="80"/>
  <c r="J81" i="80"/>
  <c r="G81" i="80" s="1"/>
  <c r="I26" i="80"/>
  <c r="P25" i="80"/>
  <c r="K25" i="80"/>
  <c r="J25" i="80"/>
  <c r="L107" i="80"/>
  <c r="Q107" i="80"/>
  <c r="P53" i="80"/>
  <c r="I54" i="80"/>
  <c r="K53" i="80"/>
  <c r="J53" i="80"/>
  <c r="G53" i="80" s="1"/>
  <c r="R106" i="80"/>
  <c r="S106" i="80"/>
  <c r="Y24" i="80"/>
  <c r="G24" i="80"/>
  <c r="R51" i="80"/>
  <c r="S51" i="80"/>
  <c r="J108" i="80"/>
  <c r="G108" i="80" s="1"/>
  <c r="I109" i="80"/>
  <c r="K108" i="80"/>
  <c r="P108" i="80"/>
  <c r="U22" i="80"/>
  <c r="U103" i="77"/>
  <c r="U20" i="77"/>
  <c r="S49" i="77"/>
  <c r="R49" i="77"/>
  <c r="G22" i="77"/>
  <c r="Y22" i="77"/>
  <c r="R77" i="77"/>
  <c r="S77" i="77"/>
  <c r="U76" i="77"/>
  <c r="R21" i="77"/>
  <c r="S21" i="77"/>
  <c r="R104" i="77"/>
  <c r="S104" i="77"/>
  <c r="Q22" i="77"/>
  <c r="L22" i="77"/>
  <c r="L105" i="77"/>
  <c r="Q105" i="77"/>
  <c r="U48" i="77"/>
  <c r="J79" i="77"/>
  <c r="G79" i="77" s="1"/>
  <c r="P79" i="77"/>
  <c r="I80" i="77"/>
  <c r="K79" i="77"/>
  <c r="P51" i="77"/>
  <c r="I52" i="77"/>
  <c r="K51" i="77"/>
  <c r="J51" i="77"/>
  <c r="G51" i="77" s="1"/>
  <c r="L78" i="77"/>
  <c r="Q78" i="77"/>
  <c r="P23" i="77"/>
  <c r="K23" i="77"/>
  <c r="I24" i="77"/>
  <c r="J23" i="77"/>
  <c r="I107" i="77"/>
  <c r="P106" i="77"/>
  <c r="K106" i="77"/>
  <c r="J106" i="77"/>
  <c r="G106" i="77" s="1"/>
  <c r="Q50" i="77"/>
  <c r="L50" i="77"/>
  <c r="U43" i="73"/>
  <c r="P18" i="73"/>
  <c r="K18" i="73"/>
  <c r="I19" i="73"/>
  <c r="J18" i="73"/>
  <c r="R16" i="73"/>
  <c r="S16" i="73"/>
  <c r="R44" i="73"/>
  <c r="S44" i="73"/>
  <c r="P74" i="73"/>
  <c r="I75" i="73"/>
  <c r="K74" i="73"/>
  <c r="J74" i="73"/>
  <c r="G74" i="73" s="1"/>
  <c r="G17" i="73"/>
  <c r="Y17" i="73"/>
  <c r="Q73" i="73"/>
  <c r="L73" i="73"/>
  <c r="L17" i="73"/>
  <c r="Q17" i="73"/>
  <c r="P46" i="73"/>
  <c r="I47" i="73"/>
  <c r="K46" i="73"/>
  <c r="J46" i="73"/>
  <c r="G46" i="73" s="1"/>
  <c r="U71" i="73"/>
  <c r="S72" i="73"/>
  <c r="R72" i="73"/>
  <c r="U15" i="73"/>
  <c r="Q45" i="73"/>
  <c r="L45" i="73"/>
  <c r="U100" i="73"/>
  <c r="R101" i="73"/>
  <c r="S101" i="73"/>
  <c r="L102" i="73"/>
  <c r="Q102" i="73"/>
  <c r="P103" i="73"/>
  <c r="I104" i="73"/>
  <c r="K103" i="73"/>
  <c r="J103" i="73"/>
  <c r="G103" i="73" s="1"/>
  <c r="C32" i="69"/>
  <c r="C41" i="69"/>
  <c r="C15" i="69"/>
  <c r="C16" i="69" s="1"/>
  <c r="C14" i="69"/>
  <c r="C13" i="69"/>
  <c r="E36" i="69"/>
  <c r="D36" i="69"/>
  <c r="C36" i="69"/>
  <c r="N27" i="69"/>
  <c r="N26" i="69"/>
  <c r="N25" i="69"/>
  <c r="N24" i="69"/>
  <c r="N23" i="69"/>
  <c r="N22" i="69"/>
  <c r="N21" i="69"/>
  <c r="N20" i="69"/>
  <c r="N19" i="69"/>
  <c r="N18" i="69"/>
  <c r="H18" i="69"/>
  <c r="H19" i="69" s="1"/>
  <c r="H20" i="69" s="1"/>
  <c r="H21" i="69" s="1"/>
  <c r="H22" i="69" s="1"/>
  <c r="H23" i="69" s="1"/>
  <c r="H24" i="69" s="1"/>
  <c r="H25" i="69" s="1"/>
  <c r="H26" i="69" s="1"/>
  <c r="H27" i="69" s="1"/>
  <c r="N17" i="69"/>
  <c r="N16" i="69"/>
  <c r="C25" i="69"/>
  <c r="C19" i="69" l="1"/>
  <c r="Q108" i="80"/>
  <c r="L108" i="80"/>
  <c r="P109" i="80"/>
  <c r="I110" i="80"/>
  <c r="K109" i="80"/>
  <c r="J109" i="80"/>
  <c r="G109" i="80" s="1"/>
  <c r="L53" i="80"/>
  <c r="Q53" i="80"/>
  <c r="J82" i="80"/>
  <c r="G82" i="80" s="1"/>
  <c r="P82" i="80"/>
  <c r="K82" i="80"/>
  <c r="I83" i="80"/>
  <c r="U23" i="80"/>
  <c r="S24" i="80"/>
  <c r="R24" i="80"/>
  <c r="J54" i="80"/>
  <c r="G54" i="80" s="1"/>
  <c r="P54" i="80"/>
  <c r="I55" i="80"/>
  <c r="K54" i="80"/>
  <c r="I27" i="80"/>
  <c r="J26" i="80"/>
  <c r="P26" i="80"/>
  <c r="K26" i="80"/>
  <c r="R80" i="80"/>
  <c r="S80" i="80"/>
  <c r="U79" i="80"/>
  <c r="U51" i="80"/>
  <c r="U106" i="80"/>
  <c r="Y25" i="80"/>
  <c r="G25" i="80"/>
  <c r="S107" i="80"/>
  <c r="R107" i="80"/>
  <c r="Q25" i="80"/>
  <c r="L25" i="80"/>
  <c r="L81" i="80"/>
  <c r="Q81" i="80"/>
  <c r="R52" i="80"/>
  <c r="S52" i="80"/>
  <c r="S22" i="77"/>
  <c r="R22" i="77"/>
  <c r="S78" i="77"/>
  <c r="R78" i="77"/>
  <c r="Q79" i="77"/>
  <c r="L79" i="77"/>
  <c r="U49" i="77"/>
  <c r="U104" i="77"/>
  <c r="G23" i="77"/>
  <c r="Y23" i="77"/>
  <c r="P24" i="77"/>
  <c r="K24" i="77"/>
  <c r="J24" i="77"/>
  <c r="I25" i="77"/>
  <c r="L51" i="77"/>
  <c r="Q51" i="77"/>
  <c r="P80" i="77"/>
  <c r="I81" i="77"/>
  <c r="K80" i="77"/>
  <c r="J80" i="77"/>
  <c r="G80" i="77" s="1"/>
  <c r="U21" i="77"/>
  <c r="U77" i="77"/>
  <c r="Q106" i="77"/>
  <c r="L106" i="77"/>
  <c r="R50" i="77"/>
  <c r="S50" i="77"/>
  <c r="I108" i="77"/>
  <c r="K107" i="77"/>
  <c r="P107" i="77"/>
  <c r="J107" i="77"/>
  <c r="G107" i="77" s="1"/>
  <c r="L23" i="77"/>
  <c r="Q23" i="77"/>
  <c r="J52" i="77"/>
  <c r="G52" i="77" s="1"/>
  <c r="P52" i="77"/>
  <c r="I53" i="77"/>
  <c r="K52" i="77"/>
  <c r="S105" i="77"/>
  <c r="R105" i="77"/>
  <c r="P104" i="73"/>
  <c r="I105" i="73"/>
  <c r="K104" i="73"/>
  <c r="J104" i="73"/>
  <c r="G104" i="73" s="1"/>
  <c r="U101" i="73"/>
  <c r="R45" i="73"/>
  <c r="S45" i="73"/>
  <c r="S73" i="73"/>
  <c r="R73" i="73"/>
  <c r="Q74" i="73"/>
  <c r="L74" i="73"/>
  <c r="U44" i="73"/>
  <c r="G18" i="73"/>
  <c r="Y18" i="73"/>
  <c r="U72" i="73"/>
  <c r="J47" i="73"/>
  <c r="G47" i="73" s="1"/>
  <c r="P47" i="73"/>
  <c r="I48" i="73"/>
  <c r="K47" i="73"/>
  <c r="S102" i="73"/>
  <c r="R102" i="73"/>
  <c r="S17" i="73"/>
  <c r="R17" i="73"/>
  <c r="I76" i="73"/>
  <c r="K75" i="73"/>
  <c r="J75" i="73"/>
  <c r="G75" i="73" s="1"/>
  <c r="P75" i="73"/>
  <c r="P19" i="73"/>
  <c r="K19" i="73"/>
  <c r="I20" i="73"/>
  <c r="J19" i="73"/>
  <c r="Q103" i="73"/>
  <c r="L103" i="73"/>
  <c r="L46" i="73"/>
  <c r="Q46" i="73"/>
  <c r="U16" i="73"/>
  <c r="L18" i="73"/>
  <c r="Q18" i="73"/>
  <c r="E41" i="69"/>
  <c r="Y26" i="80" l="1"/>
  <c r="G26" i="80"/>
  <c r="U24" i="80"/>
  <c r="S53" i="80"/>
  <c r="R53" i="80"/>
  <c r="J110" i="80"/>
  <c r="G110" i="80" s="1"/>
  <c r="P110" i="80"/>
  <c r="I111" i="80"/>
  <c r="K110" i="80"/>
  <c r="U52" i="80"/>
  <c r="S25" i="80"/>
  <c r="R25" i="80"/>
  <c r="U80" i="80"/>
  <c r="I28" i="80"/>
  <c r="P27" i="80"/>
  <c r="K27" i="80"/>
  <c r="J27" i="80"/>
  <c r="S81" i="80"/>
  <c r="R81" i="80"/>
  <c r="U107" i="80"/>
  <c r="Q26" i="80"/>
  <c r="L26" i="80"/>
  <c r="Q54" i="80"/>
  <c r="L54" i="80"/>
  <c r="P83" i="80"/>
  <c r="I84" i="80"/>
  <c r="K83" i="80"/>
  <c r="J83" i="80"/>
  <c r="G83" i="80" s="1"/>
  <c r="P55" i="80"/>
  <c r="I56" i="80"/>
  <c r="K55" i="80"/>
  <c r="J55" i="80"/>
  <c r="G55" i="80" s="1"/>
  <c r="Q82" i="80"/>
  <c r="L82" i="80"/>
  <c r="L109" i="80"/>
  <c r="Q109" i="80"/>
  <c r="R108" i="80"/>
  <c r="S108" i="80"/>
  <c r="P53" i="77"/>
  <c r="I54" i="77"/>
  <c r="K53" i="77"/>
  <c r="J53" i="77"/>
  <c r="G53" i="77" s="1"/>
  <c r="J108" i="77"/>
  <c r="G108" i="77" s="1"/>
  <c r="P108" i="77"/>
  <c r="K108" i="77"/>
  <c r="I109" i="77"/>
  <c r="L80" i="77"/>
  <c r="Q80" i="77"/>
  <c r="U105" i="77"/>
  <c r="S106" i="77"/>
  <c r="R106" i="77"/>
  <c r="J81" i="77"/>
  <c r="G81" i="77" s="1"/>
  <c r="P81" i="77"/>
  <c r="I82" i="77"/>
  <c r="K81" i="77"/>
  <c r="U50" i="77"/>
  <c r="U78" i="77"/>
  <c r="G24" i="77"/>
  <c r="Y24" i="77"/>
  <c r="U22" i="77"/>
  <c r="L24" i="77"/>
  <c r="Q24" i="77"/>
  <c r="R79" i="77"/>
  <c r="S79" i="77"/>
  <c r="Q52" i="77"/>
  <c r="L52" i="77"/>
  <c r="S23" i="77"/>
  <c r="R23" i="77"/>
  <c r="Q107" i="77"/>
  <c r="L107" i="77"/>
  <c r="S51" i="77"/>
  <c r="R51" i="77"/>
  <c r="I26" i="77"/>
  <c r="P25" i="77"/>
  <c r="K25" i="77"/>
  <c r="J25" i="77"/>
  <c r="Q47" i="73"/>
  <c r="L47" i="73"/>
  <c r="U73" i="73"/>
  <c r="U45" i="73"/>
  <c r="L104" i="73"/>
  <c r="Q104" i="73"/>
  <c r="P20" i="73"/>
  <c r="K20" i="73"/>
  <c r="I21" i="73"/>
  <c r="J20" i="73"/>
  <c r="R103" i="73"/>
  <c r="S103" i="73"/>
  <c r="L19" i="73"/>
  <c r="Q19" i="73"/>
  <c r="P48" i="73"/>
  <c r="I49" i="73"/>
  <c r="K48" i="73"/>
  <c r="J48" i="73"/>
  <c r="G48" i="73" s="1"/>
  <c r="S18" i="73"/>
  <c r="R18" i="73"/>
  <c r="Q75" i="73"/>
  <c r="L75" i="73"/>
  <c r="U102" i="73"/>
  <c r="J105" i="73"/>
  <c r="G105" i="73" s="1"/>
  <c r="P105" i="73"/>
  <c r="I106" i="73"/>
  <c r="K105" i="73"/>
  <c r="S46" i="73"/>
  <c r="R46" i="73"/>
  <c r="U17" i="73"/>
  <c r="S74" i="73"/>
  <c r="R74" i="73"/>
  <c r="G19" i="73"/>
  <c r="Y19" i="73"/>
  <c r="P76" i="73"/>
  <c r="I77" i="73"/>
  <c r="K76" i="73"/>
  <c r="J76" i="73"/>
  <c r="G76" i="73" s="1"/>
  <c r="C8" i="27"/>
  <c r="C7" i="27"/>
  <c r="U108" i="80" l="1"/>
  <c r="S109" i="80"/>
  <c r="R109" i="80"/>
  <c r="R26" i="80"/>
  <c r="S26" i="80"/>
  <c r="Y27" i="80"/>
  <c r="G27" i="80"/>
  <c r="L55" i="80"/>
  <c r="Q55" i="80"/>
  <c r="Q27" i="80"/>
  <c r="L27" i="80"/>
  <c r="J56" i="80"/>
  <c r="G56" i="80" s="1"/>
  <c r="P56" i="80"/>
  <c r="I57" i="80"/>
  <c r="K56" i="80"/>
  <c r="L83" i="80"/>
  <c r="Q83" i="80"/>
  <c r="R54" i="80"/>
  <c r="S54" i="80"/>
  <c r="U25" i="80"/>
  <c r="Q110" i="80"/>
  <c r="L110" i="80"/>
  <c r="U53" i="80"/>
  <c r="R82" i="80"/>
  <c r="S82" i="80"/>
  <c r="I85" i="80"/>
  <c r="J84" i="80"/>
  <c r="G84" i="80" s="1"/>
  <c r="P84" i="80"/>
  <c r="K84" i="80"/>
  <c r="U81" i="80"/>
  <c r="J28" i="80"/>
  <c r="I29" i="80"/>
  <c r="P28" i="80"/>
  <c r="K28" i="80"/>
  <c r="P111" i="80"/>
  <c r="I112" i="80"/>
  <c r="K111" i="80"/>
  <c r="J111" i="80"/>
  <c r="G111" i="80" s="1"/>
  <c r="L25" i="77"/>
  <c r="Q25" i="77"/>
  <c r="U106" i="77"/>
  <c r="I110" i="77"/>
  <c r="K109" i="77"/>
  <c r="P109" i="77"/>
  <c r="J109" i="77"/>
  <c r="G109" i="77" s="1"/>
  <c r="Q108" i="77"/>
  <c r="L108" i="77"/>
  <c r="P26" i="77"/>
  <c r="K26" i="77"/>
  <c r="J26" i="77"/>
  <c r="I27" i="77"/>
  <c r="S107" i="77"/>
  <c r="R107" i="77"/>
  <c r="R52" i="77"/>
  <c r="S52" i="77"/>
  <c r="S24" i="77"/>
  <c r="R24" i="77"/>
  <c r="S80" i="77"/>
  <c r="R80" i="77"/>
  <c r="J54" i="77"/>
  <c r="G54" i="77" s="1"/>
  <c r="I55" i="77"/>
  <c r="K54" i="77"/>
  <c r="P54" i="77"/>
  <c r="Q81" i="77"/>
  <c r="L81" i="77"/>
  <c r="U79" i="77"/>
  <c r="P82" i="77"/>
  <c r="I83" i="77"/>
  <c r="K82" i="77"/>
  <c r="J82" i="77"/>
  <c r="G82" i="77" s="1"/>
  <c r="L53" i="77"/>
  <c r="Q53" i="77"/>
  <c r="G25" i="77"/>
  <c r="Y25" i="77"/>
  <c r="U51" i="77"/>
  <c r="U23" i="77"/>
  <c r="L20" i="73"/>
  <c r="Q20" i="73"/>
  <c r="P106" i="73"/>
  <c r="I107" i="73"/>
  <c r="K106" i="73"/>
  <c r="J106" i="73"/>
  <c r="G106" i="73" s="1"/>
  <c r="U18" i="73"/>
  <c r="I50" i="73"/>
  <c r="J49" i="73"/>
  <c r="G49" i="73" s="1"/>
  <c r="K49" i="73"/>
  <c r="P49" i="73"/>
  <c r="R47" i="73"/>
  <c r="S47" i="73"/>
  <c r="S75" i="73"/>
  <c r="R75" i="73"/>
  <c r="Q76" i="73"/>
  <c r="L76" i="73"/>
  <c r="U74" i="73"/>
  <c r="U46" i="73"/>
  <c r="U103" i="73"/>
  <c r="G20" i="73"/>
  <c r="Y20" i="73"/>
  <c r="S104" i="73"/>
  <c r="R104" i="73"/>
  <c r="Q105" i="73"/>
  <c r="L105" i="73"/>
  <c r="L48" i="73"/>
  <c r="Q48" i="73"/>
  <c r="I78" i="73"/>
  <c r="K77" i="73"/>
  <c r="J77" i="73"/>
  <c r="G77" i="73" s="1"/>
  <c r="P77" i="73"/>
  <c r="S19" i="73"/>
  <c r="R19" i="73"/>
  <c r="I22" i="73"/>
  <c r="P21" i="73"/>
  <c r="K21" i="73"/>
  <c r="J21" i="73"/>
  <c r="L111" i="80" l="1"/>
  <c r="Q111" i="80"/>
  <c r="Q28" i="80"/>
  <c r="L28" i="80"/>
  <c r="Q84" i="80"/>
  <c r="L84" i="80"/>
  <c r="Q56" i="80"/>
  <c r="L56" i="80"/>
  <c r="S27" i="80"/>
  <c r="R27" i="80"/>
  <c r="U109" i="80"/>
  <c r="J112" i="80"/>
  <c r="G112" i="80" s="1"/>
  <c r="I113" i="80"/>
  <c r="K112" i="80"/>
  <c r="P112" i="80"/>
  <c r="U82" i="80"/>
  <c r="R110" i="80"/>
  <c r="S110" i="80"/>
  <c r="U54" i="80"/>
  <c r="P57" i="80"/>
  <c r="I58" i="80"/>
  <c r="K57" i="80"/>
  <c r="J57" i="80"/>
  <c r="G57" i="80" s="1"/>
  <c r="K29" i="80"/>
  <c r="J29" i="80"/>
  <c r="P29" i="80"/>
  <c r="I30" i="80"/>
  <c r="S83" i="80"/>
  <c r="R83" i="80"/>
  <c r="Y28" i="80"/>
  <c r="G28" i="80"/>
  <c r="I86" i="80"/>
  <c r="P85" i="80"/>
  <c r="K85" i="80"/>
  <c r="J85" i="80"/>
  <c r="G85" i="80" s="1"/>
  <c r="S55" i="80"/>
  <c r="R55" i="80"/>
  <c r="U26" i="80"/>
  <c r="J83" i="77"/>
  <c r="G83" i="77" s="1"/>
  <c r="P83" i="77"/>
  <c r="I84" i="77"/>
  <c r="K83" i="77"/>
  <c r="R81" i="77"/>
  <c r="S81" i="77"/>
  <c r="Q54" i="77"/>
  <c r="L54" i="77"/>
  <c r="U52" i="77"/>
  <c r="Y26" i="77"/>
  <c r="G26" i="77"/>
  <c r="S108" i="77"/>
  <c r="R108" i="77"/>
  <c r="P55" i="77"/>
  <c r="I56" i="77"/>
  <c r="K55" i="77"/>
  <c r="J55" i="77"/>
  <c r="G55" i="77" s="1"/>
  <c r="U24" i="77"/>
  <c r="U107" i="77"/>
  <c r="Q26" i="77"/>
  <c r="L26" i="77"/>
  <c r="I111" i="77"/>
  <c r="P110" i="77"/>
  <c r="K110" i="77"/>
  <c r="J110" i="77"/>
  <c r="G110" i="77" s="1"/>
  <c r="S25" i="77"/>
  <c r="R25" i="77"/>
  <c r="S53" i="77"/>
  <c r="R53" i="77"/>
  <c r="U80" i="77"/>
  <c r="I28" i="77"/>
  <c r="P27" i="77"/>
  <c r="K27" i="77"/>
  <c r="J27" i="77"/>
  <c r="Q109" i="77"/>
  <c r="L109" i="77"/>
  <c r="L82" i="77"/>
  <c r="Q82" i="77"/>
  <c r="U19" i="73"/>
  <c r="L21" i="73"/>
  <c r="Q21" i="73"/>
  <c r="P78" i="73"/>
  <c r="I79" i="73"/>
  <c r="K78" i="73"/>
  <c r="J78" i="73"/>
  <c r="G78" i="73" s="1"/>
  <c r="R105" i="73"/>
  <c r="S105" i="73"/>
  <c r="Q49" i="73"/>
  <c r="L49" i="73"/>
  <c r="S48" i="73"/>
  <c r="R48" i="73"/>
  <c r="U104" i="73"/>
  <c r="S76" i="73"/>
  <c r="R76" i="73"/>
  <c r="U47" i="73"/>
  <c r="S20" i="73"/>
  <c r="R20" i="73"/>
  <c r="G21" i="73"/>
  <c r="Y21" i="73"/>
  <c r="Q77" i="73"/>
  <c r="L77" i="73"/>
  <c r="J107" i="73"/>
  <c r="G107" i="73" s="1"/>
  <c r="P107" i="73"/>
  <c r="I108" i="73"/>
  <c r="K107" i="73"/>
  <c r="I23" i="73"/>
  <c r="P22" i="73"/>
  <c r="J22" i="73"/>
  <c r="K22" i="73"/>
  <c r="U75" i="73"/>
  <c r="P50" i="73"/>
  <c r="I51" i="73"/>
  <c r="K50" i="73"/>
  <c r="J50" i="73"/>
  <c r="G50" i="73" s="1"/>
  <c r="L106" i="73"/>
  <c r="Q106" i="73"/>
  <c r="P113" i="80" l="1"/>
  <c r="I114" i="80"/>
  <c r="K113" i="80"/>
  <c r="J113" i="80"/>
  <c r="G113" i="80" s="1"/>
  <c r="P86" i="80"/>
  <c r="K86" i="80"/>
  <c r="J86" i="80"/>
  <c r="G86" i="80" s="1"/>
  <c r="U83" i="80"/>
  <c r="G29" i="80"/>
  <c r="Y29" i="80"/>
  <c r="L57" i="80"/>
  <c r="Q57" i="80"/>
  <c r="R56" i="80"/>
  <c r="S56" i="80"/>
  <c r="R28" i="80"/>
  <c r="S28" i="80"/>
  <c r="Q29" i="80"/>
  <c r="L29" i="80"/>
  <c r="J58" i="80"/>
  <c r="G58" i="80" s="1"/>
  <c r="P58" i="80"/>
  <c r="K58" i="80"/>
  <c r="U27" i="80"/>
  <c r="S111" i="80"/>
  <c r="R111" i="80"/>
  <c r="U55" i="80"/>
  <c r="Q85" i="80"/>
  <c r="L85" i="80"/>
  <c r="P30" i="80"/>
  <c r="K30" i="80"/>
  <c r="J30" i="80"/>
  <c r="U110" i="80"/>
  <c r="Q112" i="80"/>
  <c r="L112" i="80"/>
  <c r="S84" i="80"/>
  <c r="R84" i="80"/>
  <c r="S26" i="77"/>
  <c r="R26" i="77"/>
  <c r="S109" i="77"/>
  <c r="R109" i="77"/>
  <c r="U108" i="77"/>
  <c r="I29" i="77"/>
  <c r="P28" i="77"/>
  <c r="K28" i="77"/>
  <c r="J28" i="77"/>
  <c r="I112" i="77"/>
  <c r="K111" i="77"/>
  <c r="J111" i="77"/>
  <c r="G111" i="77" s="1"/>
  <c r="P111" i="77"/>
  <c r="L55" i="77"/>
  <c r="Q55" i="77"/>
  <c r="U81" i="77"/>
  <c r="L27" i="77"/>
  <c r="Q27" i="77"/>
  <c r="Q110" i="77"/>
  <c r="L110" i="77"/>
  <c r="R54" i="77"/>
  <c r="S54" i="77"/>
  <c r="Q83" i="77"/>
  <c r="L83" i="77"/>
  <c r="U25" i="77"/>
  <c r="P84" i="77"/>
  <c r="I85" i="77"/>
  <c r="K84" i="77"/>
  <c r="J84" i="77"/>
  <c r="G84" i="77" s="1"/>
  <c r="S82" i="77"/>
  <c r="R82" i="77"/>
  <c r="G27" i="77"/>
  <c r="Y27" i="77"/>
  <c r="U53" i="77"/>
  <c r="J56" i="77"/>
  <c r="G56" i="77" s="1"/>
  <c r="P56" i="77"/>
  <c r="I57" i="77"/>
  <c r="K56" i="77"/>
  <c r="S106" i="73"/>
  <c r="R106" i="73"/>
  <c r="I52" i="73"/>
  <c r="K51" i="73"/>
  <c r="J51" i="73"/>
  <c r="G51" i="73" s="1"/>
  <c r="P51" i="73"/>
  <c r="Y22" i="73"/>
  <c r="G22" i="73"/>
  <c r="P108" i="73"/>
  <c r="I109" i="73"/>
  <c r="K108" i="73"/>
  <c r="J108" i="73"/>
  <c r="G108" i="73" s="1"/>
  <c r="U20" i="73"/>
  <c r="U76" i="73"/>
  <c r="U48" i="73"/>
  <c r="Q78" i="73"/>
  <c r="L78" i="73"/>
  <c r="S21" i="73"/>
  <c r="R21" i="73"/>
  <c r="S77" i="73"/>
  <c r="R77" i="73"/>
  <c r="S49" i="73"/>
  <c r="R49" i="73"/>
  <c r="I80" i="73"/>
  <c r="K79" i="73"/>
  <c r="J79" i="73"/>
  <c r="G79" i="73" s="1"/>
  <c r="P79" i="73"/>
  <c r="J23" i="73"/>
  <c r="I24" i="73"/>
  <c r="K23" i="73"/>
  <c r="P23" i="73"/>
  <c r="U105" i="73"/>
  <c r="Q50" i="73"/>
  <c r="L50" i="73"/>
  <c r="Q22" i="73"/>
  <c r="L22" i="73"/>
  <c r="Q107" i="73"/>
  <c r="L107" i="73"/>
  <c r="U28" i="80" l="1"/>
  <c r="L113" i="80"/>
  <c r="Q113" i="80"/>
  <c r="S57" i="80"/>
  <c r="R57" i="80"/>
  <c r="G30" i="80"/>
  <c r="Y30" i="80"/>
  <c r="R85" i="80"/>
  <c r="S85" i="80"/>
  <c r="Q58" i="80"/>
  <c r="L58" i="80"/>
  <c r="S29" i="80"/>
  <c r="R29" i="80"/>
  <c r="J114" i="80"/>
  <c r="G114" i="80" s="1"/>
  <c r="P114" i="80"/>
  <c r="K114" i="80"/>
  <c r="U84" i="80"/>
  <c r="R112" i="80"/>
  <c r="S112" i="80"/>
  <c r="L30" i="80"/>
  <c r="Q30" i="80"/>
  <c r="U111" i="80"/>
  <c r="U56" i="80"/>
  <c r="Q86" i="80"/>
  <c r="L86" i="80"/>
  <c r="J85" i="77"/>
  <c r="G85" i="77" s="1"/>
  <c r="P85" i="77"/>
  <c r="I86" i="77"/>
  <c r="K85" i="77"/>
  <c r="P57" i="77"/>
  <c r="I58" i="77"/>
  <c r="K57" i="77"/>
  <c r="J57" i="77"/>
  <c r="G57" i="77" s="1"/>
  <c r="Y28" i="77"/>
  <c r="G28" i="77"/>
  <c r="U26" i="77"/>
  <c r="U82" i="77"/>
  <c r="R83" i="77"/>
  <c r="S83" i="77"/>
  <c r="S110" i="77"/>
  <c r="R110" i="77"/>
  <c r="S55" i="77"/>
  <c r="R55" i="77"/>
  <c r="Q111" i="77"/>
  <c r="L111" i="77"/>
  <c r="Q28" i="77"/>
  <c r="L28" i="77"/>
  <c r="Q56" i="77"/>
  <c r="L56" i="77"/>
  <c r="U54" i="77"/>
  <c r="J29" i="77"/>
  <c r="P29" i="77"/>
  <c r="I30" i="77"/>
  <c r="K29" i="77"/>
  <c r="L84" i="77"/>
  <c r="Q84" i="77"/>
  <c r="S27" i="77"/>
  <c r="R27" i="77"/>
  <c r="I113" i="77"/>
  <c r="P112" i="77"/>
  <c r="K112" i="77"/>
  <c r="J112" i="77"/>
  <c r="G112" i="77" s="1"/>
  <c r="U109" i="77"/>
  <c r="J24" i="73"/>
  <c r="I25" i="73"/>
  <c r="K24" i="73"/>
  <c r="P24" i="73"/>
  <c r="Q51" i="73"/>
  <c r="L51" i="73"/>
  <c r="S22" i="73"/>
  <c r="R22" i="73"/>
  <c r="Y23" i="73"/>
  <c r="G23" i="73"/>
  <c r="U49" i="73"/>
  <c r="S78" i="73"/>
  <c r="R78" i="73"/>
  <c r="L108" i="73"/>
  <c r="Q108" i="73"/>
  <c r="P52" i="73"/>
  <c r="I53" i="73"/>
  <c r="K52" i="73"/>
  <c r="J52" i="73"/>
  <c r="G52" i="73" s="1"/>
  <c r="Q79" i="73"/>
  <c r="L79" i="73"/>
  <c r="U77" i="73"/>
  <c r="U21" i="73"/>
  <c r="J109" i="73"/>
  <c r="G109" i="73" s="1"/>
  <c r="P109" i="73"/>
  <c r="I110" i="73"/>
  <c r="K109" i="73"/>
  <c r="U106" i="73"/>
  <c r="R107" i="73"/>
  <c r="S107" i="73"/>
  <c r="S50" i="73"/>
  <c r="R50" i="73"/>
  <c r="Q23" i="73"/>
  <c r="L23" i="73"/>
  <c r="P80" i="73"/>
  <c r="K80" i="73"/>
  <c r="J80" i="73"/>
  <c r="G80" i="73" s="1"/>
  <c r="I81" i="73"/>
  <c r="U112" i="80" l="1"/>
  <c r="U85" i="80"/>
  <c r="S113" i="80"/>
  <c r="R113" i="80"/>
  <c r="S30" i="80"/>
  <c r="R30" i="80"/>
  <c r="U57" i="80"/>
  <c r="S86" i="80"/>
  <c r="R86" i="80"/>
  <c r="R58" i="80"/>
  <c r="S58" i="80"/>
  <c r="Q114" i="80"/>
  <c r="L114" i="80"/>
  <c r="U29" i="80"/>
  <c r="K30" i="77"/>
  <c r="J30" i="77"/>
  <c r="P30" i="77"/>
  <c r="Q112" i="77"/>
  <c r="L112" i="77"/>
  <c r="S84" i="77"/>
  <c r="R84" i="77"/>
  <c r="S111" i="77"/>
  <c r="R111" i="77"/>
  <c r="L57" i="77"/>
  <c r="Q57" i="77"/>
  <c r="P86" i="77"/>
  <c r="K86" i="77"/>
  <c r="J86" i="77"/>
  <c r="G86" i="77" s="1"/>
  <c r="U110" i="77"/>
  <c r="U27" i="77"/>
  <c r="Y29" i="77"/>
  <c r="G29" i="77"/>
  <c r="U55" i="77"/>
  <c r="J58" i="77"/>
  <c r="G58" i="77" s="1"/>
  <c r="K58" i="77"/>
  <c r="P58" i="77"/>
  <c r="R56" i="77"/>
  <c r="S56" i="77"/>
  <c r="Q85" i="77"/>
  <c r="L85" i="77"/>
  <c r="I114" i="77"/>
  <c r="K113" i="77"/>
  <c r="P113" i="77"/>
  <c r="J113" i="77"/>
  <c r="G113" i="77" s="1"/>
  <c r="Q29" i="77"/>
  <c r="L29" i="77"/>
  <c r="S28" i="77"/>
  <c r="R28" i="77"/>
  <c r="U83" i="77"/>
  <c r="S108" i="73"/>
  <c r="R108" i="73"/>
  <c r="U22" i="73"/>
  <c r="J25" i="73"/>
  <c r="K25" i="73"/>
  <c r="P25" i="73"/>
  <c r="I26" i="73"/>
  <c r="Q109" i="73"/>
  <c r="L109" i="73"/>
  <c r="Q52" i="73"/>
  <c r="L52" i="73"/>
  <c r="Y24" i="73"/>
  <c r="G24" i="73"/>
  <c r="P81" i="73"/>
  <c r="J81" i="73"/>
  <c r="G81" i="73" s="1"/>
  <c r="I82" i="73"/>
  <c r="K81" i="73"/>
  <c r="R23" i="73"/>
  <c r="S23" i="73"/>
  <c r="U107" i="73"/>
  <c r="P110" i="73"/>
  <c r="I111" i="73"/>
  <c r="K110" i="73"/>
  <c r="J110" i="73"/>
  <c r="G110" i="73" s="1"/>
  <c r="I54" i="73"/>
  <c r="K53" i="73"/>
  <c r="J53" i="73"/>
  <c r="G53" i="73" s="1"/>
  <c r="P53" i="73"/>
  <c r="U78" i="73"/>
  <c r="Q80" i="73"/>
  <c r="L80" i="73"/>
  <c r="U50" i="73"/>
  <c r="S79" i="73"/>
  <c r="R79" i="73"/>
  <c r="S51" i="73"/>
  <c r="R51" i="73"/>
  <c r="Q24" i="73"/>
  <c r="L24" i="73"/>
  <c r="U58" i="80" l="1"/>
  <c r="U86" i="80"/>
  <c r="U30" i="80"/>
  <c r="R114" i="80"/>
  <c r="S114" i="80"/>
  <c r="U113" i="80"/>
  <c r="R85" i="77"/>
  <c r="S85" i="77"/>
  <c r="R29" i="77"/>
  <c r="S29" i="77"/>
  <c r="Q113" i="77"/>
  <c r="L113" i="77"/>
  <c r="U111" i="77"/>
  <c r="P114" i="77"/>
  <c r="K114" i="77"/>
  <c r="J114" i="77"/>
  <c r="G114" i="77" s="1"/>
  <c r="U56" i="77"/>
  <c r="S57" i="77"/>
  <c r="R57" i="77"/>
  <c r="R112" i="77"/>
  <c r="S112" i="77"/>
  <c r="G30" i="77"/>
  <c r="Y30" i="77"/>
  <c r="U28" i="77"/>
  <c r="Q58" i="77"/>
  <c r="L58" i="77"/>
  <c r="L86" i="77"/>
  <c r="Q86" i="77"/>
  <c r="U84" i="77"/>
  <c r="L30" i="77"/>
  <c r="Q30" i="77"/>
  <c r="R80" i="73"/>
  <c r="S80" i="73"/>
  <c r="P54" i="73"/>
  <c r="I55" i="73"/>
  <c r="K54" i="73"/>
  <c r="J54" i="73"/>
  <c r="G54" i="73" s="1"/>
  <c r="L110" i="73"/>
  <c r="Q110" i="73"/>
  <c r="J111" i="73"/>
  <c r="G111" i="73" s="1"/>
  <c r="P111" i="73"/>
  <c r="I112" i="73"/>
  <c r="K111" i="73"/>
  <c r="L81" i="73"/>
  <c r="Q81" i="73"/>
  <c r="R109" i="73"/>
  <c r="S109" i="73"/>
  <c r="Q25" i="73"/>
  <c r="L25" i="73"/>
  <c r="U108" i="73"/>
  <c r="U51" i="73"/>
  <c r="U23" i="73"/>
  <c r="J82" i="73"/>
  <c r="G82" i="73" s="1"/>
  <c r="P82" i="73"/>
  <c r="K82" i="73"/>
  <c r="I83" i="73"/>
  <c r="Y25" i="73"/>
  <c r="G25" i="73"/>
  <c r="R24" i="73"/>
  <c r="S24" i="73"/>
  <c r="U79" i="73"/>
  <c r="Q53" i="73"/>
  <c r="L53" i="73"/>
  <c r="S52" i="73"/>
  <c r="R52" i="73"/>
  <c r="K26" i="73"/>
  <c r="I27" i="73"/>
  <c r="J26" i="73"/>
  <c r="P26" i="73"/>
  <c r="U114" i="80" l="1"/>
  <c r="S113" i="77"/>
  <c r="R113" i="77"/>
  <c r="U85" i="77"/>
  <c r="U112" i="77"/>
  <c r="R58" i="77"/>
  <c r="S58" i="77"/>
  <c r="U57" i="77"/>
  <c r="S30" i="77"/>
  <c r="R30" i="77"/>
  <c r="S86" i="77"/>
  <c r="R86" i="77"/>
  <c r="Q114" i="77"/>
  <c r="L114" i="77"/>
  <c r="U29" i="77"/>
  <c r="J27" i="73"/>
  <c r="K27" i="73"/>
  <c r="P27" i="73"/>
  <c r="I28" i="73"/>
  <c r="L82" i="73"/>
  <c r="Q82" i="73"/>
  <c r="U109" i="73"/>
  <c r="Q111" i="73"/>
  <c r="L111" i="73"/>
  <c r="L26" i="73"/>
  <c r="Q26" i="73"/>
  <c r="S53" i="73"/>
  <c r="R53" i="73"/>
  <c r="R81" i="73"/>
  <c r="S81" i="73"/>
  <c r="P112" i="73"/>
  <c r="I113" i="73"/>
  <c r="K112" i="73"/>
  <c r="J112" i="73"/>
  <c r="G112" i="73" s="1"/>
  <c r="U52" i="73"/>
  <c r="R25" i="73"/>
  <c r="S25" i="73"/>
  <c r="Q54" i="73"/>
  <c r="L54" i="73"/>
  <c r="U80" i="73"/>
  <c r="G26" i="73"/>
  <c r="Y26" i="73"/>
  <c r="U24" i="73"/>
  <c r="P83" i="73"/>
  <c r="I84" i="73"/>
  <c r="K83" i="73"/>
  <c r="J83" i="73"/>
  <c r="G83" i="73" s="1"/>
  <c r="S110" i="73"/>
  <c r="R110" i="73"/>
  <c r="I56" i="73"/>
  <c r="K55" i="73"/>
  <c r="J55" i="73"/>
  <c r="G55" i="73" s="1"/>
  <c r="P55" i="73"/>
  <c r="S114" i="77" l="1"/>
  <c r="R114" i="77"/>
  <c r="U86" i="77"/>
  <c r="U30" i="77"/>
  <c r="U113" i="77"/>
  <c r="U58" i="77"/>
  <c r="Q55" i="73"/>
  <c r="L55" i="73"/>
  <c r="J113" i="73"/>
  <c r="G113" i="73" s="1"/>
  <c r="P113" i="73"/>
  <c r="I114" i="73"/>
  <c r="K113" i="73"/>
  <c r="S26" i="73"/>
  <c r="R26" i="73"/>
  <c r="R82" i="73"/>
  <c r="S82" i="73"/>
  <c r="K28" i="73"/>
  <c r="J28" i="73"/>
  <c r="P28" i="73"/>
  <c r="I29" i="73"/>
  <c r="P56" i="73"/>
  <c r="I57" i="73"/>
  <c r="K56" i="73"/>
  <c r="J56" i="73"/>
  <c r="G56" i="73" s="1"/>
  <c r="S54" i="73"/>
  <c r="R54" i="73"/>
  <c r="U25" i="73"/>
  <c r="R111" i="73"/>
  <c r="S111" i="73"/>
  <c r="U110" i="73"/>
  <c r="L83" i="73"/>
  <c r="Q83" i="73"/>
  <c r="U53" i="73"/>
  <c r="Q27" i="73"/>
  <c r="L27" i="73"/>
  <c r="J84" i="73"/>
  <c r="G84" i="73" s="1"/>
  <c r="P84" i="73"/>
  <c r="I85" i="73"/>
  <c r="K84" i="73"/>
  <c r="L112" i="73"/>
  <c r="Q112" i="73"/>
  <c r="U81" i="73"/>
  <c r="Y27" i="73"/>
  <c r="G27" i="73"/>
  <c r="U114" i="77" l="1"/>
  <c r="L28" i="73"/>
  <c r="Q28" i="73"/>
  <c r="P114" i="73"/>
  <c r="K114" i="73"/>
  <c r="J114" i="73"/>
  <c r="G114" i="73" s="1"/>
  <c r="Q84" i="73"/>
  <c r="L84" i="73"/>
  <c r="I30" i="73"/>
  <c r="P29" i="73"/>
  <c r="K29" i="73"/>
  <c r="J29" i="73"/>
  <c r="U26" i="73"/>
  <c r="P85" i="73"/>
  <c r="I86" i="73"/>
  <c r="K85" i="73"/>
  <c r="J85" i="73"/>
  <c r="G85" i="73" s="1"/>
  <c r="U111" i="73"/>
  <c r="Q56" i="73"/>
  <c r="L56" i="73"/>
  <c r="U82" i="73"/>
  <c r="S112" i="73"/>
  <c r="R112" i="73"/>
  <c r="R27" i="73"/>
  <c r="S27" i="73"/>
  <c r="S83" i="73"/>
  <c r="R83" i="73"/>
  <c r="U54" i="73"/>
  <c r="I58" i="73"/>
  <c r="K57" i="73"/>
  <c r="J57" i="73"/>
  <c r="G57" i="73" s="1"/>
  <c r="P57" i="73"/>
  <c r="G28" i="73"/>
  <c r="Y28" i="73"/>
  <c r="Q113" i="73"/>
  <c r="L113" i="73"/>
  <c r="S55" i="73"/>
  <c r="R55" i="73"/>
  <c r="P58" i="73" l="1"/>
  <c r="K58" i="73"/>
  <c r="J58" i="73"/>
  <c r="G58" i="73" s="1"/>
  <c r="J86" i="73"/>
  <c r="G86" i="73" s="1"/>
  <c r="P86" i="73"/>
  <c r="K86" i="73"/>
  <c r="P30" i="73"/>
  <c r="J30" i="73"/>
  <c r="K30" i="73"/>
  <c r="G29" i="73"/>
  <c r="Y29" i="73"/>
  <c r="S28" i="73"/>
  <c r="R28" i="73"/>
  <c r="R113" i="73"/>
  <c r="S113" i="73"/>
  <c r="U27" i="73"/>
  <c r="L29" i="73"/>
  <c r="Q29" i="73"/>
  <c r="U55" i="73"/>
  <c r="Q57" i="73"/>
  <c r="L57" i="73"/>
  <c r="U83" i="73"/>
  <c r="U112" i="73"/>
  <c r="S56" i="73"/>
  <c r="R56" i="73"/>
  <c r="L85" i="73"/>
  <c r="Q85" i="73"/>
  <c r="R84" i="73"/>
  <c r="S84" i="73"/>
  <c r="L114" i="73"/>
  <c r="Q114" i="73"/>
  <c r="U84" i="73" l="1"/>
  <c r="S114" i="73"/>
  <c r="R114" i="73"/>
  <c r="S85" i="73"/>
  <c r="R85" i="73"/>
  <c r="Q86" i="73"/>
  <c r="L86" i="73"/>
  <c r="S57" i="73"/>
  <c r="R57" i="73"/>
  <c r="U113" i="73"/>
  <c r="Q30" i="73"/>
  <c r="L30" i="73"/>
  <c r="Q58" i="73"/>
  <c r="L58" i="73"/>
  <c r="U56" i="73"/>
  <c r="S29" i="73"/>
  <c r="R29" i="73"/>
  <c r="U28" i="73"/>
  <c r="Y30" i="73"/>
  <c r="G30" i="73"/>
  <c r="U29" i="73" l="1"/>
  <c r="R30" i="73"/>
  <c r="S30" i="73"/>
  <c r="U114" i="73"/>
  <c r="S58" i="73"/>
  <c r="R58" i="73"/>
  <c r="R86" i="73"/>
  <c r="S86" i="73"/>
  <c r="U85" i="73"/>
  <c r="U57" i="73"/>
  <c r="U86" i="73" l="1"/>
  <c r="U58" i="73"/>
  <c r="U30" i="73"/>
  <c r="B27" i="66" l="1"/>
  <c r="B26" i="66"/>
  <c r="E12" i="66"/>
  <c r="B19" i="66" s="1"/>
  <c r="E11" i="66"/>
  <c r="B20" i="66" s="1"/>
  <c r="B28" i="66" l="1"/>
  <c r="B30" i="66" s="1"/>
  <c r="B32" i="66" s="1"/>
  <c r="B29" i="66"/>
  <c r="B31" i="66" s="1"/>
  <c r="C41" i="65"/>
  <c r="E40" i="65"/>
  <c r="C40" i="65"/>
  <c r="C39" i="65"/>
  <c r="C38" i="65"/>
  <c r="C37" i="65"/>
  <c r="C36" i="65"/>
  <c r="C35" i="65"/>
  <c r="C34" i="65"/>
  <c r="C31" i="65"/>
  <c r="C30" i="65"/>
  <c r="C27" i="65"/>
  <c r="C29" i="65" s="1"/>
  <c r="C26" i="65"/>
  <c r="C28" i="65" s="1"/>
  <c r="C25" i="65"/>
  <c r="C17" i="65"/>
  <c r="C18" i="65" s="1"/>
  <c r="C19" i="65" s="1"/>
  <c r="C20" i="65" s="1"/>
  <c r="C14" i="65"/>
  <c r="C16" i="65" s="1"/>
  <c r="C24" i="65" s="1"/>
  <c r="C13" i="65"/>
  <c r="C15" i="65" s="1"/>
  <c r="C23" i="65" s="1"/>
  <c r="C12" i="65"/>
  <c r="C11" i="65"/>
  <c r="C10" i="65"/>
  <c r="C9" i="65"/>
  <c r="C8" i="65"/>
  <c r="G7" i="65"/>
  <c r="E7" i="65"/>
  <c r="C7" i="65"/>
  <c r="E12" i="64"/>
  <c r="E11" i="64"/>
  <c r="E10" i="64"/>
  <c r="E9" i="64"/>
  <c r="G7" i="64"/>
  <c r="C31" i="64"/>
  <c r="C41" i="64"/>
  <c r="E40" i="64"/>
  <c r="C40" i="64"/>
  <c r="C39" i="64"/>
  <c r="C38" i="64"/>
  <c r="C37" i="64"/>
  <c r="C36" i="64"/>
  <c r="C35" i="64"/>
  <c r="C34" i="64"/>
  <c r="C30" i="64"/>
  <c r="C27" i="64"/>
  <c r="C29" i="64" s="1"/>
  <c r="C26" i="64"/>
  <c r="C28" i="64" s="1"/>
  <c r="C25" i="64"/>
  <c r="C17" i="64"/>
  <c r="C18" i="64" s="1"/>
  <c r="C19" i="64" s="1"/>
  <c r="C20" i="64" s="1"/>
  <c r="C14" i="64"/>
  <c r="C16" i="64" s="1"/>
  <c r="C24" i="64" s="1"/>
  <c r="C13" i="64"/>
  <c r="C21" i="64" s="1"/>
  <c r="C12" i="64"/>
  <c r="C11" i="64"/>
  <c r="C10" i="64"/>
  <c r="C9" i="64"/>
  <c r="C8" i="64"/>
  <c r="C7" i="64"/>
  <c r="C21" i="65" l="1"/>
  <c r="C22" i="65"/>
  <c r="C22" i="64"/>
  <c r="C15" i="64"/>
  <c r="C23" i="64" s="1"/>
  <c r="E10" i="60" l="1"/>
  <c r="E10" i="62"/>
  <c r="B9" i="62" l="1"/>
  <c r="B16" i="62" l="1"/>
  <c r="D8" i="62"/>
  <c r="D6" i="62"/>
  <c r="D5" i="62"/>
  <c r="D4" i="62"/>
  <c r="D3" i="62"/>
  <c r="B15" i="62" s="1"/>
  <c r="D4" i="60"/>
  <c r="D6" i="60"/>
  <c r="D5" i="60"/>
  <c r="C15" i="62" l="1"/>
  <c r="D15" i="62" s="1"/>
  <c r="D19" i="62"/>
  <c r="C16" i="62"/>
  <c r="D16" i="62" s="1"/>
  <c r="B17" i="62"/>
  <c r="C17" i="62" s="1"/>
  <c r="D17" i="62" s="1"/>
  <c r="D3" i="60" l="1"/>
  <c r="B17" i="60" s="1"/>
  <c r="B15" i="60" l="1"/>
  <c r="D8" i="61"/>
  <c r="D6" i="61"/>
  <c r="D5" i="61"/>
  <c r="D4" i="61"/>
  <c r="B16" i="60"/>
  <c r="E12" i="60"/>
  <c r="B12" i="60"/>
  <c r="B11" i="60"/>
  <c r="D8" i="60"/>
  <c r="B12" i="61" l="1"/>
  <c r="B13" i="61" s="1"/>
  <c r="E11" i="60"/>
  <c r="B18" i="60"/>
  <c r="D19" i="60"/>
  <c r="B12" i="62" l="1"/>
  <c r="B11" i="62"/>
  <c r="E12" i="62"/>
  <c r="E11" i="62"/>
  <c r="C18" i="60"/>
  <c r="D18" i="60" s="1"/>
  <c r="C16" i="60"/>
  <c r="D16" i="60" s="1"/>
  <c r="C17" i="60"/>
  <c r="D17" i="60" s="1"/>
  <c r="C15" i="60"/>
  <c r="D15" i="60" s="1"/>
  <c r="B18" i="62" l="1"/>
  <c r="C18" i="62" s="1"/>
  <c r="D18" i="62" s="1"/>
  <c r="D20" i="62" s="1"/>
  <c r="B22" i="62" s="1"/>
  <c r="D20" i="60"/>
  <c r="B22" i="60" s="1"/>
  <c r="I9" i="58" l="1"/>
  <c r="I13" i="58"/>
  <c r="C16" i="58"/>
  <c r="I18" i="58"/>
  <c r="C12" i="33" l="1"/>
  <c r="F29" i="47" l="1"/>
  <c r="F30" i="47" l="1"/>
  <c r="F31" i="47" s="1"/>
  <c r="F32" i="47" s="1"/>
  <c r="E8" i="47"/>
  <c r="D31" i="47"/>
  <c r="D29" i="47"/>
  <c r="C14" i="47" l="1"/>
  <c r="C16" i="47"/>
  <c r="C13" i="47" l="1"/>
  <c r="C15" i="47"/>
  <c r="C11" i="47"/>
  <c r="C10" i="47" l="1"/>
  <c r="C9" i="47"/>
  <c r="C12" i="47"/>
  <c r="C8" i="47"/>
  <c r="D30" i="47" s="1"/>
  <c r="D32" i="47" s="1"/>
  <c r="C9" i="33" l="1"/>
  <c r="C11" i="33"/>
  <c r="C10" i="33"/>
  <c r="C7" i="33"/>
  <c r="M7" i="73" l="1"/>
  <c r="N7" i="73" s="1"/>
  <c r="X7" i="73" l="1"/>
  <c r="H7" i="73" s="1"/>
  <c r="T7" i="73" l="1"/>
  <c r="V7" i="73" s="1"/>
  <c r="W7" i="73" s="1"/>
  <c r="M8" i="73"/>
  <c r="N8" i="73" s="1"/>
  <c r="X8" i="73" l="1"/>
  <c r="H8" i="73" s="1"/>
  <c r="T8" i="73" l="1"/>
  <c r="V8" i="73" s="1"/>
  <c r="W8" i="73" s="1"/>
  <c r="H6" i="73"/>
  <c r="M6" i="73"/>
  <c r="N6" i="73"/>
  <c r="O6" i="73"/>
  <c r="T6" i="73"/>
  <c r="V6" i="73"/>
  <c r="W6" i="73"/>
  <c r="X6" i="73"/>
  <c r="H9" i="73"/>
  <c r="M9" i="73"/>
  <c r="N9" i="73"/>
  <c r="O9" i="73"/>
  <c r="T9" i="73"/>
  <c r="V9" i="73"/>
  <c r="W9" i="73"/>
  <c r="X9" i="73"/>
  <c r="H10" i="73"/>
  <c r="M10" i="73"/>
  <c r="N10" i="73"/>
  <c r="O10" i="73"/>
  <c r="T10" i="73"/>
  <c r="V10" i="73"/>
  <c r="W10" i="73"/>
  <c r="X10" i="73"/>
  <c r="H11" i="73"/>
  <c r="M11" i="73"/>
  <c r="N11" i="73"/>
  <c r="O11" i="73"/>
  <c r="T11" i="73"/>
  <c r="V11" i="73"/>
  <c r="W11" i="73"/>
  <c r="X11" i="73"/>
  <c r="H12" i="73"/>
  <c r="M12" i="73"/>
  <c r="N12" i="73"/>
  <c r="O12" i="73"/>
  <c r="T12" i="73"/>
  <c r="V12" i="73"/>
  <c r="W12" i="73"/>
  <c r="X12" i="73"/>
  <c r="H13" i="73"/>
  <c r="M13" i="73"/>
  <c r="N13" i="73"/>
  <c r="O13" i="73"/>
  <c r="T13" i="73"/>
  <c r="V13" i="73"/>
  <c r="W13" i="73"/>
  <c r="X13" i="73"/>
  <c r="H14" i="73"/>
  <c r="M14" i="73"/>
  <c r="N14" i="73"/>
  <c r="O14" i="73"/>
  <c r="T14" i="73"/>
  <c r="V14" i="73"/>
  <c r="W14" i="73"/>
  <c r="X14" i="73"/>
  <c r="H15" i="73"/>
  <c r="M15" i="73"/>
  <c r="N15" i="73"/>
  <c r="O15" i="73"/>
  <c r="T15" i="73"/>
  <c r="V15" i="73"/>
  <c r="W15" i="73"/>
  <c r="X15" i="73"/>
  <c r="H16" i="73"/>
  <c r="M16" i="73"/>
  <c r="N16" i="73"/>
  <c r="O16" i="73"/>
  <c r="T16" i="73"/>
  <c r="V16" i="73"/>
  <c r="W16" i="73"/>
  <c r="X16" i="73"/>
  <c r="H17" i="73"/>
  <c r="M17" i="73"/>
  <c r="N17" i="73"/>
  <c r="O17" i="73"/>
  <c r="T17" i="73"/>
  <c r="V17" i="73"/>
  <c r="W17" i="73"/>
  <c r="X17" i="73"/>
  <c r="H18" i="73"/>
  <c r="M18" i="73"/>
  <c r="N18" i="73"/>
  <c r="O18" i="73"/>
  <c r="T18" i="73"/>
  <c r="V18" i="73"/>
  <c r="W18" i="73"/>
  <c r="X18" i="73"/>
  <c r="H19" i="73"/>
  <c r="M19" i="73"/>
  <c r="N19" i="73"/>
  <c r="O19" i="73"/>
  <c r="T19" i="73"/>
  <c r="V19" i="73"/>
  <c r="W19" i="73"/>
  <c r="X19" i="73"/>
  <c r="H20" i="73"/>
  <c r="M20" i="73"/>
  <c r="N20" i="73"/>
  <c r="O20" i="73"/>
  <c r="T20" i="73"/>
  <c r="V20" i="73"/>
  <c r="W20" i="73"/>
  <c r="X20" i="73"/>
  <c r="H21" i="73"/>
  <c r="M21" i="73"/>
  <c r="N21" i="73"/>
  <c r="O21" i="73"/>
  <c r="T21" i="73"/>
  <c r="V21" i="73"/>
  <c r="W21" i="73"/>
  <c r="X21" i="73"/>
  <c r="H22" i="73"/>
  <c r="M22" i="73"/>
  <c r="N22" i="73"/>
  <c r="O22" i="73"/>
  <c r="T22" i="73"/>
  <c r="V22" i="73"/>
  <c r="W22" i="73"/>
  <c r="X22" i="73"/>
  <c r="H23" i="73"/>
  <c r="M23" i="73"/>
  <c r="N23" i="73"/>
  <c r="O23" i="73"/>
  <c r="T23" i="73"/>
  <c r="V23" i="73"/>
  <c r="W23" i="73"/>
  <c r="X23" i="73"/>
  <c r="H24" i="73"/>
  <c r="M24" i="73"/>
  <c r="N24" i="73"/>
  <c r="O24" i="73"/>
  <c r="T24" i="73"/>
  <c r="V24" i="73"/>
  <c r="W24" i="73"/>
  <c r="X24" i="73"/>
  <c r="H25" i="73"/>
  <c r="M25" i="73"/>
  <c r="N25" i="73"/>
  <c r="O25" i="73"/>
  <c r="T25" i="73"/>
  <c r="V25" i="73"/>
  <c r="W25" i="73"/>
  <c r="X25" i="73"/>
  <c r="H26" i="73"/>
  <c r="M26" i="73"/>
  <c r="N26" i="73"/>
  <c r="O26" i="73"/>
  <c r="T26" i="73"/>
  <c r="V26" i="73"/>
  <c r="W26" i="73"/>
  <c r="X26" i="73"/>
  <c r="H27" i="73"/>
  <c r="M27" i="73"/>
  <c r="N27" i="73"/>
  <c r="O27" i="73"/>
  <c r="T27" i="73"/>
  <c r="V27" i="73"/>
  <c r="W27" i="73"/>
  <c r="X27" i="73"/>
  <c r="H28" i="73"/>
  <c r="M28" i="73"/>
  <c r="N28" i="73"/>
  <c r="O28" i="73"/>
  <c r="T28" i="73"/>
  <c r="V28" i="73"/>
  <c r="W28" i="73"/>
  <c r="X28" i="73"/>
  <c r="H29" i="73"/>
  <c r="M29" i="73"/>
  <c r="N29" i="73"/>
  <c r="O29" i="73"/>
  <c r="T29" i="73"/>
  <c r="V29" i="73"/>
  <c r="W29" i="73"/>
  <c r="X29" i="73"/>
  <c r="H30" i="73"/>
  <c r="M30" i="73"/>
  <c r="N30" i="73"/>
  <c r="O30" i="73"/>
  <c r="T30" i="73"/>
  <c r="V30" i="73"/>
  <c r="W30" i="73"/>
  <c r="X30" i="73"/>
  <c r="H34" i="73"/>
  <c r="M34" i="73"/>
  <c r="N34" i="73"/>
  <c r="O34" i="73"/>
  <c r="T34" i="73"/>
  <c r="V34" i="73"/>
  <c r="W34" i="73"/>
  <c r="X34" i="73"/>
  <c r="H35" i="73"/>
  <c r="M35" i="73"/>
  <c r="N35" i="73"/>
  <c r="O35" i="73"/>
  <c r="T35" i="73"/>
  <c r="V35" i="73"/>
  <c r="W35" i="73"/>
  <c r="X35" i="73"/>
  <c r="H36" i="73"/>
  <c r="M36" i="73"/>
  <c r="N36" i="73"/>
  <c r="O36" i="73"/>
  <c r="T36" i="73"/>
  <c r="V36" i="73"/>
  <c r="W36" i="73"/>
  <c r="X36" i="73"/>
  <c r="H37" i="73"/>
  <c r="M37" i="73"/>
  <c r="N37" i="73"/>
  <c r="O37" i="73"/>
  <c r="T37" i="73"/>
  <c r="V37" i="73"/>
  <c r="W37" i="73"/>
  <c r="X37" i="73"/>
  <c r="H38" i="73"/>
  <c r="M38" i="73"/>
  <c r="N38" i="73"/>
  <c r="O38" i="73"/>
  <c r="T38" i="73"/>
  <c r="V38" i="73"/>
  <c r="W38" i="73"/>
  <c r="X38" i="73"/>
  <c r="H39" i="73"/>
  <c r="M39" i="73"/>
  <c r="N39" i="73"/>
  <c r="O39" i="73"/>
  <c r="T39" i="73"/>
  <c r="V39" i="73"/>
  <c r="W39" i="73"/>
  <c r="X39" i="73"/>
  <c r="H40" i="73"/>
  <c r="M40" i="73"/>
  <c r="N40" i="73"/>
  <c r="O40" i="73"/>
  <c r="T40" i="73"/>
  <c r="V40" i="73"/>
  <c r="W40" i="73"/>
  <c r="X40" i="73"/>
  <c r="H41" i="73"/>
  <c r="M41" i="73"/>
  <c r="N41" i="73"/>
  <c r="O41" i="73"/>
  <c r="T41" i="73"/>
  <c r="V41" i="73"/>
  <c r="W41" i="73"/>
  <c r="X41" i="73"/>
  <c r="H42" i="73"/>
  <c r="M42" i="73"/>
  <c r="N42" i="73"/>
  <c r="O42" i="73"/>
  <c r="T42" i="73"/>
  <c r="V42" i="73"/>
  <c r="W42" i="73"/>
  <c r="X42" i="73"/>
  <c r="H43" i="73"/>
  <c r="M43" i="73"/>
  <c r="N43" i="73"/>
  <c r="O43" i="73"/>
  <c r="T43" i="73"/>
  <c r="V43" i="73"/>
  <c r="W43" i="73"/>
  <c r="X43" i="73"/>
  <c r="H44" i="73"/>
  <c r="M44" i="73"/>
  <c r="N44" i="73"/>
  <c r="O44" i="73"/>
  <c r="T44" i="73"/>
  <c r="V44" i="73"/>
  <c r="W44" i="73"/>
  <c r="X44" i="73"/>
  <c r="H45" i="73"/>
  <c r="M45" i="73"/>
  <c r="N45" i="73"/>
  <c r="O45" i="73"/>
  <c r="T45" i="73"/>
  <c r="V45" i="73"/>
  <c r="W45" i="73"/>
  <c r="X45" i="73"/>
  <c r="H46" i="73"/>
  <c r="M46" i="73"/>
  <c r="N46" i="73"/>
  <c r="O46" i="73"/>
  <c r="T46" i="73"/>
  <c r="V46" i="73"/>
  <c r="W46" i="73"/>
  <c r="X46" i="73"/>
  <c r="H47" i="73"/>
  <c r="M47" i="73"/>
  <c r="N47" i="73"/>
  <c r="O47" i="73"/>
  <c r="T47" i="73"/>
  <c r="V47" i="73"/>
  <c r="W47" i="73"/>
  <c r="X47" i="73"/>
  <c r="H48" i="73"/>
  <c r="M48" i="73"/>
  <c r="N48" i="73"/>
  <c r="O48" i="73"/>
  <c r="T48" i="73"/>
  <c r="V48" i="73"/>
  <c r="W48" i="73"/>
  <c r="X48" i="73"/>
  <c r="H49" i="73"/>
  <c r="M49" i="73"/>
  <c r="N49" i="73"/>
  <c r="O49" i="73"/>
  <c r="T49" i="73"/>
  <c r="V49" i="73"/>
  <c r="W49" i="73"/>
  <c r="X49" i="73"/>
  <c r="H50" i="73"/>
  <c r="M50" i="73"/>
  <c r="N50" i="73"/>
  <c r="O50" i="73"/>
  <c r="T50" i="73"/>
  <c r="V50" i="73"/>
  <c r="W50" i="73"/>
  <c r="X50" i="73"/>
  <c r="H51" i="73"/>
  <c r="M51" i="73"/>
  <c r="N51" i="73"/>
  <c r="O51" i="73"/>
  <c r="T51" i="73"/>
  <c r="V51" i="73"/>
  <c r="W51" i="73"/>
  <c r="X51" i="73"/>
  <c r="H52" i="73"/>
  <c r="M52" i="73"/>
  <c r="N52" i="73"/>
  <c r="O52" i="73"/>
  <c r="T52" i="73"/>
  <c r="V52" i="73"/>
  <c r="W52" i="73"/>
  <c r="X52" i="73"/>
  <c r="H53" i="73"/>
  <c r="M53" i="73"/>
  <c r="N53" i="73"/>
  <c r="O53" i="73"/>
  <c r="T53" i="73"/>
  <c r="V53" i="73"/>
  <c r="W53" i="73"/>
  <c r="X53" i="73"/>
  <c r="H54" i="73"/>
  <c r="M54" i="73"/>
  <c r="N54" i="73"/>
  <c r="O54" i="73"/>
  <c r="T54" i="73"/>
  <c r="V54" i="73"/>
  <c r="W54" i="73"/>
  <c r="X54" i="73"/>
  <c r="H55" i="73"/>
  <c r="M55" i="73"/>
  <c r="N55" i="73"/>
  <c r="O55" i="73"/>
  <c r="T55" i="73"/>
  <c r="V55" i="73"/>
  <c r="W55" i="73"/>
  <c r="X55" i="73"/>
  <c r="H56" i="73"/>
  <c r="M56" i="73"/>
  <c r="N56" i="73"/>
  <c r="O56" i="73"/>
  <c r="T56" i="73"/>
  <c r="V56" i="73"/>
  <c r="W56" i="73"/>
  <c r="X56" i="73"/>
  <c r="H57" i="73"/>
  <c r="M57" i="73"/>
  <c r="N57" i="73"/>
  <c r="O57" i="73"/>
  <c r="T57" i="73"/>
  <c r="V57" i="73"/>
  <c r="W57" i="73"/>
  <c r="X57" i="73"/>
  <c r="H58" i="73"/>
  <c r="M58" i="73"/>
  <c r="N58" i="73"/>
  <c r="O58" i="73"/>
  <c r="T58" i="73"/>
  <c r="V58" i="73"/>
  <c r="W58" i="73"/>
  <c r="X58" i="73"/>
  <c r="H62" i="73"/>
  <c r="M62" i="73"/>
  <c r="N62" i="73"/>
  <c r="O62" i="73"/>
  <c r="T62" i="73"/>
  <c r="V62" i="73"/>
  <c r="W62" i="73"/>
  <c r="X62" i="73"/>
  <c r="H63" i="73"/>
  <c r="M63" i="73"/>
  <c r="N63" i="73"/>
  <c r="O63" i="73"/>
  <c r="T63" i="73"/>
  <c r="V63" i="73"/>
  <c r="W63" i="73"/>
  <c r="X63" i="73"/>
  <c r="H64" i="73"/>
  <c r="M64" i="73"/>
  <c r="N64" i="73"/>
  <c r="O64" i="73"/>
  <c r="T64" i="73"/>
  <c r="V64" i="73"/>
  <c r="W64" i="73"/>
  <c r="X64" i="73"/>
  <c r="H65" i="73"/>
  <c r="M65" i="73"/>
  <c r="N65" i="73"/>
  <c r="O65" i="73"/>
  <c r="T65" i="73"/>
  <c r="V65" i="73"/>
  <c r="W65" i="73"/>
  <c r="X65" i="73"/>
  <c r="H66" i="73"/>
  <c r="M66" i="73"/>
  <c r="N66" i="73"/>
  <c r="O66" i="73"/>
  <c r="T66" i="73"/>
  <c r="V66" i="73"/>
  <c r="W66" i="73"/>
  <c r="X66" i="73"/>
  <c r="H67" i="73"/>
  <c r="M67" i="73"/>
  <c r="N67" i="73"/>
  <c r="O67" i="73"/>
  <c r="T67" i="73"/>
  <c r="V67" i="73"/>
  <c r="W67" i="73"/>
  <c r="X67" i="73"/>
  <c r="H68" i="73"/>
  <c r="M68" i="73"/>
  <c r="N68" i="73"/>
  <c r="O68" i="73"/>
  <c r="T68" i="73"/>
  <c r="V68" i="73"/>
  <c r="W68" i="73"/>
  <c r="X68" i="73"/>
  <c r="H69" i="73"/>
  <c r="M69" i="73"/>
  <c r="N69" i="73"/>
  <c r="O69" i="73"/>
  <c r="T69" i="73"/>
  <c r="V69" i="73"/>
  <c r="W69" i="73"/>
  <c r="X69" i="73"/>
  <c r="H70" i="73"/>
  <c r="M70" i="73"/>
  <c r="N70" i="73"/>
  <c r="O70" i="73"/>
  <c r="T70" i="73"/>
  <c r="V70" i="73"/>
  <c r="W70" i="73"/>
  <c r="X70" i="73"/>
  <c r="H71" i="73"/>
  <c r="M71" i="73"/>
  <c r="N71" i="73"/>
  <c r="O71" i="73"/>
  <c r="T71" i="73"/>
  <c r="V71" i="73"/>
  <c r="W71" i="73"/>
  <c r="X71" i="73"/>
  <c r="H72" i="73"/>
  <c r="M72" i="73"/>
  <c r="N72" i="73"/>
  <c r="O72" i="73"/>
  <c r="T72" i="73"/>
  <c r="V72" i="73"/>
  <c r="W72" i="73"/>
  <c r="X72" i="73"/>
  <c r="H73" i="73"/>
  <c r="M73" i="73"/>
  <c r="N73" i="73"/>
  <c r="O73" i="73"/>
  <c r="T73" i="73"/>
  <c r="V73" i="73"/>
  <c r="W73" i="73"/>
  <c r="X73" i="73"/>
  <c r="H74" i="73"/>
  <c r="M74" i="73"/>
  <c r="N74" i="73"/>
  <c r="O74" i="73"/>
  <c r="T74" i="73"/>
  <c r="V74" i="73"/>
  <c r="W74" i="73"/>
  <c r="X74" i="73"/>
  <c r="H75" i="73"/>
  <c r="M75" i="73"/>
  <c r="N75" i="73"/>
  <c r="O75" i="73"/>
  <c r="T75" i="73"/>
  <c r="V75" i="73"/>
  <c r="W75" i="73"/>
  <c r="X75" i="73"/>
  <c r="H76" i="73"/>
  <c r="M76" i="73"/>
  <c r="N76" i="73"/>
  <c r="O76" i="73"/>
  <c r="T76" i="73"/>
  <c r="V76" i="73"/>
  <c r="W76" i="73"/>
  <c r="X76" i="73"/>
  <c r="H77" i="73"/>
  <c r="M77" i="73"/>
  <c r="N77" i="73"/>
  <c r="O77" i="73"/>
  <c r="T77" i="73"/>
  <c r="V77" i="73"/>
  <c r="W77" i="73"/>
  <c r="X77" i="73"/>
  <c r="H78" i="73"/>
  <c r="M78" i="73"/>
  <c r="N78" i="73"/>
  <c r="O78" i="73"/>
  <c r="T78" i="73"/>
  <c r="V78" i="73"/>
  <c r="W78" i="73"/>
  <c r="X78" i="73"/>
  <c r="H79" i="73"/>
  <c r="M79" i="73"/>
  <c r="N79" i="73"/>
  <c r="O79" i="73"/>
  <c r="T79" i="73"/>
  <c r="V79" i="73"/>
  <c r="W79" i="73"/>
  <c r="X79" i="73"/>
  <c r="H80" i="73"/>
  <c r="M80" i="73"/>
  <c r="N80" i="73"/>
  <c r="O80" i="73"/>
  <c r="T80" i="73"/>
  <c r="V80" i="73"/>
  <c r="W80" i="73"/>
  <c r="X80" i="73"/>
  <c r="H81" i="73"/>
  <c r="M81" i="73"/>
  <c r="N81" i="73"/>
  <c r="O81" i="73"/>
  <c r="T81" i="73"/>
  <c r="V81" i="73"/>
  <c r="W81" i="73"/>
  <c r="X81" i="73"/>
  <c r="H82" i="73"/>
  <c r="M82" i="73"/>
  <c r="N82" i="73"/>
  <c r="O82" i="73"/>
  <c r="T82" i="73"/>
  <c r="V82" i="73"/>
  <c r="W82" i="73"/>
  <c r="X82" i="73"/>
  <c r="H83" i="73"/>
  <c r="M83" i="73"/>
  <c r="N83" i="73"/>
  <c r="O83" i="73"/>
  <c r="T83" i="73"/>
  <c r="V83" i="73"/>
  <c r="W83" i="73"/>
  <c r="X83" i="73"/>
  <c r="H84" i="73"/>
  <c r="M84" i="73"/>
  <c r="N84" i="73"/>
  <c r="O84" i="73"/>
  <c r="T84" i="73"/>
  <c r="V84" i="73"/>
  <c r="W84" i="73"/>
  <c r="X84" i="73"/>
  <c r="H85" i="73"/>
  <c r="M85" i="73"/>
  <c r="N85" i="73"/>
  <c r="O85" i="73"/>
  <c r="T85" i="73"/>
  <c r="V85" i="73"/>
  <c r="W85" i="73"/>
  <c r="X85" i="73"/>
  <c r="H86" i="73"/>
  <c r="M86" i="73"/>
  <c r="N86" i="73"/>
  <c r="O86" i="73"/>
  <c r="T86" i="73"/>
  <c r="V86" i="73"/>
  <c r="W86" i="73"/>
  <c r="X86" i="73"/>
  <c r="H90" i="73"/>
  <c r="M90" i="73"/>
  <c r="N90" i="73"/>
  <c r="O90" i="73"/>
  <c r="T90" i="73"/>
  <c r="V90" i="73"/>
  <c r="W90" i="73"/>
  <c r="X90" i="73"/>
  <c r="H91" i="73"/>
  <c r="M91" i="73"/>
  <c r="N91" i="73"/>
  <c r="O91" i="73"/>
  <c r="T91" i="73"/>
  <c r="V91" i="73"/>
  <c r="W91" i="73"/>
  <c r="X91" i="73"/>
  <c r="H92" i="73"/>
  <c r="M92" i="73"/>
  <c r="N92" i="73"/>
  <c r="O92" i="73"/>
  <c r="T92" i="73"/>
  <c r="V92" i="73"/>
  <c r="W92" i="73"/>
  <c r="X92" i="73"/>
  <c r="H93" i="73"/>
  <c r="M93" i="73"/>
  <c r="N93" i="73"/>
  <c r="O93" i="73"/>
  <c r="T93" i="73"/>
  <c r="V93" i="73"/>
  <c r="W93" i="73"/>
  <c r="X93" i="73"/>
  <c r="H94" i="73"/>
  <c r="M94" i="73"/>
  <c r="N94" i="73"/>
  <c r="O94" i="73"/>
  <c r="T94" i="73"/>
  <c r="V94" i="73"/>
  <c r="W94" i="73"/>
  <c r="X94" i="73"/>
  <c r="H95" i="73"/>
  <c r="M95" i="73"/>
  <c r="N95" i="73"/>
  <c r="O95" i="73"/>
  <c r="T95" i="73"/>
  <c r="V95" i="73"/>
  <c r="W95" i="73"/>
  <c r="X95" i="73"/>
  <c r="H96" i="73"/>
  <c r="M96" i="73"/>
  <c r="N96" i="73"/>
  <c r="O96" i="73"/>
  <c r="T96" i="73"/>
  <c r="V96" i="73"/>
  <c r="W96" i="73"/>
  <c r="X96" i="73"/>
  <c r="H97" i="73"/>
  <c r="M97" i="73"/>
  <c r="N97" i="73"/>
  <c r="O97" i="73"/>
  <c r="T97" i="73"/>
  <c r="V97" i="73"/>
  <c r="W97" i="73"/>
  <c r="X97" i="73"/>
  <c r="H98" i="73"/>
  <c r="M98" i="73"/>
  <c r="N98" i="73"/>
  <c r="O98" i="73"/>
  <c r="T98" i="73"/>
  <c r="V98" i="73"/>
  <c r="W98" i="73"/>
  <c r="X98" i="73"/>
  <c r="H99" i="73"/>
  <c r="M99" i="73"/>
  <c r="N99" i="73"/>
  <c r="O99" i="73"/>
  <c r="T99" i="73"/>
  <c r="V99" i="73"/>
  <c r="W99" i="73"/>
  <c r="X99" i="73"/>
  <c r="H100" i="73"/>
  <c r="M100" i="73"/>
  <c r="N100" i="73"/>
  <c r="O100" i="73"/>
  <c r="T100" i="73"/>
  <c r="V100" i="73"/>
  <c r="W100" i="73"/>
  <c r="X100" i="73"/>
  <c r="H101" i="73"/>
  <c r="M101" i="73"/>
  <c r="N101" i="73"/>
  <c r="O101" i="73"/>
  <c r="T101" i="73"/>
  <c r="V101" i="73"/>
  <c r="W101" i="73"/>
  <c r="X101" i="73"/>
  <c r="H102" i="73"/>
  <c r="M102" i="73"/>
  <c r="N102" i="73"/>
  <c r="O102" i="73"/>
  <c r="T102" i="73"/>
  <c r="V102" i="73"/>
  <c r="W102" i="73"/>
  <c r="X102" i="73"/>
  <c r="H103" i="73"/>
  <c r="M103" i="73"/>
  <c r="N103" i="73"/>
  <c r="O103" i="73"/>
  <c r="T103" i="73"/>
  <c r="V103" i="73"/>
  <c r="W103" i="73"/>
  <c r="X103" i="73"/>
  <c r="H104" i="73"/>
  <c r="M104" i="73"/>
  <c r="N104" i="73"/>
  <c r="O104" i="73"/>
  <c r="T104" i="73"/>
  <c r="V104" i="73"/>
  <c r="W104" i="73"/>
  <c r="X104" i="73"/>
  <c r="H105" i="73"/>
  <c r="M105" i="73"/>
  <c r="N105" i="73"/>
  <c r="O105" i="73"/>
  <c r="T105" i="73"/>
  <c r="V105" i="73"/>
  <c r="W105" i="73"/>
  <c r="X105" i="73"/>
  <c r="H106" i="73"/>
  <c r="M106" i="73"/>
  <c r="N106" i="73"/>
  <c r="O106" i="73"/>
  <c r="T106" i="73"/>
  <c r="V106" i="73"/>
  <c r="W106" i="73"/>
  <c r="X106" i="73"/>
  <c r="H107" i="73"/>
  <c r="M107" i="73"/>
  <c r="N107" i="73"/>
  <c r="O107" i="73"/>
  <c r="T107" i="73"/>
  <c r="V107" i="73"/>
  <c r="W107" i="73"/>
  <c r="X107" i="73"/>
  <c r="H108" i="73"/>
  <c r="M108" i="73"/>
  <c r="N108" i="73"/>
  <c r="O108" i="73"/>
  <c r="T108" i="73"/>
  <c r="V108" i="73"/>
  <c r="W108" i="73"/>
  <c r="X108" i="73"/>
  <c r="H109" i="73"/>
  <c r="M109" i="73"/>
  <c r="N109" i="73"/>
  <c r="O109" i="73"/>
  <c r="T109" i="73"/>
  <c r="V109" i="73"/>
  <c r="W109" i="73"/>
  <c r="X109" i="73"/>
  <c r="H110" i="73"/>
  <c r="M110" i="73"/>
  <c r="N110" i="73"/>
  <c r="O110" i="73"/>
  <c r="T110" i="73"/>
  <c r="V110" i="73"/>
  <c r="W110" i="73"/>
  <c r="X110" i="73"/>
  <c r="H111" i="73"/>
  <c r="M111" i="73"/>
  <c r="N111" i="73"/>
  <c r="O111" i="73"/>
  <c r="T111" i="73"/>
  <c r="V111" i="73"/>
  <c r="W111" i="73"/>
  <c r="X111" i="73"/>
  <c r="H112" i="73"/>
  <c r="M112" i="73"/>
  <c r="N112" i="73"/>
  <c r="O112" i="73"/>
  <c r="T112" i="73"/>
  <c r="V112" i="73"/>
  <c r="W112" i="73"/>
  <c r="X112" i="73"/>
  <c r="H113" i="73"/>
  <c r="M113" i="73"/>
  <c r="N113" i="73"/>
  <c r="O113" i="73"/>
  <c r="T113" i="73"/>
  <c r="V113" i="73"/>
  <c r="W113" i="73"/>
  <c r="X113" i="73"/>
  <c r="H114" i="73"/>
  <c r="M114" i="73"/>
  <c r="N114" i="73"/>
  <c r="O114" i="73"/>
  <c r="T114" i="73"/>
  <c r="V114" i="73"/>
  <c r="W114" i="73"/>
  <c r="X114" i="73"/>
  <c r="H6" i="77"/>
  <c r="M6" i="77"/>
  <c r="N6" i="77"/>
  <c r="O6" i="77"/>
  <c r="T6" i="77"/>
  <c r="V6" i="77"/>
  <c r="W6" i="77"/>
  <c r="X6" i="77"/>
  <c r="H7" i="77"/>
  <c r="M7" i="77"/>
  <c r="N7" i="77"/>
  <c r="O7" i="77"/>
  <c r="T7" i="77"/>
  <c r="V7" i="77"/>
  <c r="W7" i="77"/>
  <c r="X7" i="77"/>
  <c r="H8" i="77"/>
  <c r="M8" i="77"/>
  <c r="N8" i="77"/>
  <c r="O8" i="77"/>
  <c r="T8" i="77"/>
  <c r="V8" i="77"/>
  <c r="W8" i="77"/>
  <c r="X8" i="77"/>
  <c r="H9" i="77"/>
  <c r="M9" i="77"/>
  <c r="N9" i="77"/>
  <c r="O9" i="77"/>
  <c r="T9" i="77"/>
  <c r="V9" i="77"/>
  <c r="W9" i="77"/>
  <c r="X9" i="77"/>
  <c r="H10" i="77"/>
  <c r="M10" i="77"/>
  <c r="N10" i="77"/>
  <c r="O10" i="77"/>
  <c r="T10" i="77"/>
  <c r="V10" i="77"/>
  <c r="W10" i="77"/>
  <c r="X10" i="77"/>
  <c r="H11" i="77"/>
  <c r="M11" i="77"/>
  <c r="N11" i="77"/>
  <c r="O11" i="77"/>
  <c r="T11" i="77"/>
  <c r="V11" i="77"/>
  <c r="W11" i="77"/>
  <c r="X11" i="77"/>
  <c r="H12" i="77"/>
  <c r="M12" i="77"/>
  <c r="N12" i="77"/>
  <c r="O12" i="77"/>
  <c r="T12" i="77"/>
  <c r="V12" i="77"/>
  <c r="W12" i="77"/>
  <c r="X12" i="77"/>
  <c r="H13" i="77"/>
  <c r="M13" i="77"/>
  <c r="N13" i="77"/>
  <c r="O13" i="77"/>
  <c r="T13" i="77"/>
  <c r="V13" i="77"/>
  <c r="W13" i="77"/>
  <c r="X13" i="77"/>
  <c r="H14" i="77"/>
  <c r="M14" i="77"/>
  <c r="N14" i="77"/>
  <c r="O14" i="77"/>
  <c r="T14" i="77"/>
  <c r="V14" i="77"/>
  <c r="W14" i="77"/>
  <c r="X14" i="77"/>
  <c r="H15" i="77"/>
  <c r="M15" i="77"/>
  <c r="N15" i="77"/>
  <c r="O15" i="77"/>
  <c r="T15" i="77"/>
  <c r="V15" i="77"/>
  <c r="W15" i="77"/>
  <c r="X15" i="77"/>
  <c r="H16" i="77"/>
  <c r="M16" i="77"/>
  <c r="N16" i="77"/>
  <c r="O16" i="77"/>
  <c r="T16" i="77"/>
  <c r="V16" i="77"/>
  <c r="W16" i="77"/>
  <c r="X16" i="77"/>
  <c r="H17" i="77"/>
  <c r="M17" i="77"/>
  <c r="N17" i="77"/>
  <c r="O17" i="77"/>
  <c r="T17" i="77"/>
  <c r="V17" i="77"/>
  <c r="W17" i="77"/>
  <c r="X17" i="77"/>
  <c r="H18" i="77"/>
  <c r="M18" i="77"/>
  <c r="N18" i="77"/>
  <c r="O18" i="77"/>
  <c r="T18" i="77"/>
  <c r="V18" i="77"/>
  <c r="W18" i="77"/>
  <c r="X18" i="77"/>
  <c r="H19" i="77"/>
  <c r="M19" i="77"/>
  <c r="N19" i="77"/>
  <c r="O19" i="77"/>
  <c r="T19" i="77"/>
  <c r="V19" i="77"/>
  <c r="W19" i="77"/>
  <c r="X19" i="77"/>
  <c r="H20" i="77"/>
  <c r="M20" i="77"/>
  <c r="N20" i="77"/>
  <c r="O20" i="77"/>
  <c r="T20" i="77"/>
  <c r="V20" i="77"/>
  <c r="W20" i="77"/>
  <c r="X20" i="77"/>
  <c r="H21" i="77"/>
  <c r="M21" i="77"/>
  <c r="N21" i="77"/>
  <c r="O21" i="77"/>
  <c r="T21" i="77"/>
  <c r="V21" i="77"/>
  <c r="W21" i="77"/>
  <c r="X21" i="77"/>
  <c r="H22" i="77"/>
  <c r="M22" i="77"/>
  <c r="N22" i="77"/>
  <c r="O22" i="77"/>
  <c r="T22" i="77"/>
  <c r="V22" i="77"/>
  <c r="W22" i="77"/>
  <c r="X22" i="77"/>
  <c r="H23" i="77"/>
  <c r="M23" i="77"/>
  <c r="N23" i="77"/>
  <c r="O23" i="77"/>
  <c r="T23" i="77"/>
  <c r="V23" i="77"/>
  <c r="W23" i="77"/>
  <c r="X23" i="77"/>
  <c r="H24" i="77"/>
  <c r="M24" i="77"/>
  <c r="N24" i="77"/>
  <c r="O24" i="77"/>
  <c r="T24" i="77"/>
  <c r="V24" i="77"/>
  <c r="W24" i="77"/>
  <c r="X24" i="77"/>
  <c r="H25" i="77"/>
  <c r="M25" i="77"/>
  <c r="N25" i="77"/>
  <c r="O25" i="77"/>
  <c r="T25" i="77"/>
  <c r="V25" i="77"/>
  <c r="W25" i="77"/>
  <c r="X25" i="77"/>
  <c r="H26" i="77"/>
  <c r="M26" i="77"/>
  <c r="N26" i="77"/>
  <c r="O26" i="77"/>
  <c r="T26" i="77"/>
  <c r="V26" i="77"/>
  <c r="W26" i="77"/>
  <c r="X26" i="77"/>
  <c r="H27" i="77"/>
  <c r="M27" i="77"/>
  <c r="N27" i="77"/>
  <c r="O27" i="77"/>
  <c r="T27" i="77"/>
  <c r="V27" i="77"/>
  <c r="W27" i="77"/>
  <c r="X27" i="77"/>
  <c r="H28" i="77"/>
  <c r="M28" i="77"/>
  <c r="N28" i="77"/>
  <c r="O28" i="77"/>
  <c r="T28" i="77"/>
  <c r="V28" i="77"/>
  <c r="W28" i="77"/>
  <c r="X28" i="77"/>
  <c r="H29" i="77"/>
  <c r="M29" i="77"/>
  <c r="N29" i="77"/>
  <c r="O29" i="77"/>
  <c r="T29" i="77"/>
  <c r="V29" i="77"/>
  <c r="W29" i="77"/>
  <c r="X29" i="77"/>
  <c r="H30" i="77"/>
  <c r="M30" i="77"/>
  <c r="N30" i="77"/>
  <c r="O30" i="77"/>
  <c r="T30" i="77"/>
  <c r="V30" i="77"/>
  <c r="W30" i="77"/>
  <c r="X30" i="77"/>
  <c r="H34" i="77"/>
  <c r="M34" i="77"/>
  <c r="N34" i="77"/>
  <c r="O34" i="77"/>
  <c r="T34" i="77"/>
  <c r="V34" i="77"/>
  <c r="W34" i="77"/>
  <c r="X34" i="77"/>
  <c r="H35" i="77"/>
  <c r="M35" i="77"/>
  <c r="N35" i="77"/>
  <c r="O35" i="77"/>
  <c r="T35" i="77"/>
  <c r="V35" i="77"/>
  <c r="W35" i="77"/>
  <c r="X35" i="77"/>
  <c r="H36" i="77"/>
  <c r="M36" i="77"/>
  <c r="N36" i="77"/>
  <c r="O36" i="77"/>
  <c r="T36" i="77"/>
  <c r="V36" i="77"/>
  <c r="W36" i="77"/>
  <c r="X36" i="77"/>
  <c r="H37" i="77"/>
  <c r="M37" i="77"/>
  <c r="N37" i="77"/>
  <c r="O37" i="77"/>
  <c r="T37" i="77"/>
  <c r="V37" i="77"/>
  <c r="W37" i="77"/>
  <c r="X37" i="77"/>
  <c r="H38" i="77"/>
  <c r="M38" i="77"/>
  <c r="N38" i="77"/>
  <c r="O38" i="77"/>
  <c r="T38" i="77"/>
  <c r="V38" i="77"/>
  <c r="W38" i="77"/>
  <c r="X38" i="77"/>
  <c r="H39" i="77"/>
  <c r="M39" i="77"/>
  <c r="N39" i="77"/>
  <c r="O39" i="77"/>
  <c r="T39" i="77"/>
  <c r="V39" i="77"/>
  <c r="W39" i="77"/>
  <c r="X39" i="77"/>
  <c r="H40" i="77"/>
  <c r="M40" i="77"/>
  <c r="N40" i="77"/>
  <c r="O40" i="77"/>
  <c r="T40" i="77"/>
  <c r="V40" i="77"/>
  <c r="W40" i="77"/>
  <c r="X40" i="77"/>
  <c r="H41" i="77"/>
  <c r="M41" i="77"/>
  <c r="N41" i="77"/>
  <c r="O41" i="77"/>
  <c r="T41" i="77"/>
  <c r="V41" i="77"/>
  <c r="W41" i="77"/>
  <c r="X41" i="77"/>
  <c r="H42" i="77"/>
  <c r="M42" i="77"/>
  <c r="N42" i="77"/>
  <c r="O42" i="77"/>
  <c r="T42" i="77"/>
  <c r="V42" i="77"/>
  <c r="W42" i="77"/>
  <c r="X42" i="77"/>
  <c r="H43" i="77"/>
  <c r="M43" i="77"/>
  <c r="N43" i="77"/>
  <c r="O43" i="77"/>
  <c r="T43" i="77"/>
  <c r="V43" i="77"/>
  <c r="W43" i="77"/>
  <c r="X43" i="77"/>
  <c r="H44" i="77"/>
  <c r="M44" i="77"/>
  <c r="N44" i="77"/>
  <c r="O44" i="77"/>
  <c r="T44" i="77"/>
  <c r="V44" i="77"/>
  <c r="W44" i="77"/>
  <c r="X44" i="77"/>
  <c r="H45" i="77"/>
  <c r="M45" i="77"/>
  <c r="N45" i="77"/>
  <c r="O45" i="77"/>
  <c r="T45" i="77"/>
  <c r="V45" i="77"/>
  <c r="W45" i="77"/>
  <c r="X45" i="77"/>
  <c r="H46" i="77"/>
  <c r="M46" i="77"/>
  <c r="N46" i="77"/>
  <c r="O46" i="77"/>
  <c r="T46" i="77"/>
  <c r="V46" i="77"/>
  <c r="W46" i="77"/>
  <c r="X46" i="77"/>
  <c r="H47" i="77"/>
  <c r="M47" i="77"/>
  <c r="N47" i="77"/>
  <c r="O47" i="77"/>
  <c r="T47" i="77"/>
  <c r="V47" i="77"/>
  <c r="W47" i="77"/>
  <c r="X47" i="77"/>
  <c r="H48" i="77"/>
  <c r="M48" i="77"/>
  <c r="N48" i="77"/>
  <c r="O48" i="77"/>
  <c r="T48" i="77"/>
  <c r="V48" i="77"/>
  <c r="W48" i="77"/>
  <c r="X48" i="77"/>
  <c r="H49" i="77"/>
  <c r="M49" i="77"/>
  <c r="N49" i="77"/>
  <c r="O49" i="77"/>
  <c r="T49" i="77"/>
  <c r="V49" i="77"/>
  <c r="W49" i="77"/>
  <c r="X49" i="77"/>
  <c r="H50" i="77"/>
  <c r="M50" i="77"/>
  <c r="N50" i="77"/>
  <c r="O50" i="77"/>
  <c r="T50" i="77"/>
  <c r="V50" i="77"/>
  <c r="W50" i="77"/>
  <c r="X50" i="77"/>
  <c r="H51" i="77"/>
  <c r="M51" i="77"/>
  <c r="N51" i="77"/>
  <c r="O51" i="77"/>
  <c r="T51" i="77"/>
  <c r="V51" i="77"/>
  <c r="W51" i="77"/>
  <c r="X51" i="77"/>
  <c r="H52" i="77"/>
  <c r="M52" i="77"/>
  <c r="N52" i="77"/>
  <c r="O52" i="77"/>
  <c r="T52" i="77"/>
  <c r="V52" i="77"/>
  <c r="W52" i="77"/>
  <c r="X52" i="77"/>
  <c r="H53" i="77"/>
  <c r="M53" i="77"/>
  <c r="N53" i="77"/>
  <c r="O53" i="77"/>
  <c r="T53" i="77"/>
  <c r="V53" i="77"/>
  <c r="W53" i="77"/>
  <c r="X53" i="77"/>
  <c r="H54" i="77"/>
  <c r="M54" i="77"/>
  <c r="N54" i="77"/>
  <c r="O54" i="77"/>
  <c r="T54" i="77"/>
  <c r="V54" i="77"/>
  <c r="W54" i="77"/>
  <c r="X54" i="77"/>
  <c r="H55" i="77"/>
  <c r="M55" i="77"/>
  <c r="N55" i="77"/>
  <c r="O55" i="77"/>
  <c r="T55" i="77"/>
  <c r="V55" i="77"/>
  <c r="W55" i="77"/>
  <c r="X55" i="77"/>
  <c r="H56" i="77"/>
  <c r="M56" i="77"/>
  <c r="N56" i="77"/>
  <c r="O56" i="77"/>
  <c r="T56" i="77"/>
  <c r="V56" i="77"/>
  <c r="W56" i="77"/>
  <c r="X56" i="77"/>
  <c r="H57" i="77"/>
  <c r="M57" i="77"/>
  <c r="N57" i="77"/>
  <c r="O57" i="77"/>
  <c r="T57" i="77"/>
  <c r="V57" i="77"/>
  <c r="W57" i="77"/>
  <c r="X57" i="77"/>
  <c r="H58" i="77"/>
  <c r="M58" i="77"/>
  <c r="N58" i="77"/>
  <c r="O58" i="77"/>
  <c r="T58" i="77"/>
  <c r="V58" i="77"/>
  <c r="W58" i="77"/>
  <c r="X58" i="77"/>
  <c r="H62" i="77"/>
  <c r="M62" i="77"/>
  <c r="N62" i="77"/>
  <c r="O62" i="77"/>
  <c r="T62" i="77"/>
  <c r="V62" i="77"/>
  <c r="W62" i="77"/>
  <c r="X62" i="77"/>
  <c r="H63" i="77"/>
  <c r="M63" i="77"/>
  <c r="N63" i="77"/>
  <c r="O63" i="77"/>
  <c r="T63" i="77"/>
  <c r="V63" i="77"/>
  <c r="W63" i="77"/>
  <c r="X63" i="77"/>
  <c r="H64" i="77"/>
  <c r="M64" i="77"/>
  <c r="N64" i="77"/>
  <c r="O64" i="77"/>
  <c r="T64" i="77"/>
  <c r="V64" i="77"/>
  <c r="W64" i="77"/>
  <c r="X64" i="77"/>
  <c r="H65" i="77"/>
  <c r="M65" i="77"/>
  <c r="N65" i="77"/>
  <c r="O65" i="77"/>
  <c r="T65" i="77"/>
  <c r="V65" i="77"/>
  <c r="W65" i="77"/>
  <c r="X65" i="77"/>
  <c r="H66" i="77"/>
  <c r="M66" i="77"/>
  <c r="N66" i="77"/>
  <c r="O66" i="77"/>
  <c r="T66" i="77"/>
  <c r="V66" i="77"/>
  <c r="W66" i="77"/>
  <c r="X66" i="77"/>
  <c r="H67" i="77"/>
  <c r="M67" i="77"/>
  <c r="N67" i="77"/>
  <c r="O67" i="77"/>
  <c r="T67" i="77"/>
  <c r="V67" i="77"/>
  <c r="W67" i="77"/>
  <c r="X67" i="77"/>
  <c r="H68" i="77"/>
  <c r="M68" i="77"/>
  <c r="N68" i="77"/>
  <c r="O68" i="77"/>
  <c r="T68" i="77"/>
  <c r="V68" i="77"/>
  <c r="W68" i="77"/>
  <c r="X68" i="77"/>
  <c r="H69" i="77"/>
  <c r="M69" i="77"/>
  <c r="N69" i="77"/>
  <c r="O69" i="77"/>
  <c r="T69" i="77"/>
  <c r="V69" i="77"/>
  <c r="W69" i="77"/>
  <c r="X69" i="77"/>
  <c r="H70" i="77"/>
  <c r="M70" i="77"/>
  <c r="N70" i="77"/>
  <c r="O70" i="77"/>
  <c r="T70" i="77"/>
  <c r="V70" i="77"/>
  <c r="W70" i="77"/>
  <c r="X70" i="77"/>
  <c r="H71" i="77"/>
  <c r="M71" i="77"/>
  <c r="N71" i="77"/>
  <c r="O71" i="77"/>
  <c r="T71" i="77"/>
  <c r="V71" i="77"/>
  <c r="W71" i="77"/>
  <c r="X71" i="77"/>
  <c r="H72" i="77"/>
  <c r="M72" i="77"/>
  <c r="N72" i="77"/>
  <c r="O72" i="77"/>
  <c r="T72" i="77"/>
  <c r="V72" i="77"/>
  <c r="W72" i="77"/>
  <c r="X72" i="77"/>
  <c r="H73" i="77"/>
  <c r="M73" i="77"/>
  <c r="N73" i="77"/>
  <c r="O73" i="77"/>
  <c r="T73" i="77"/>
  <c r="V73" i="77"/>
  <c r="W73" i="77"/>
  <c r="X73" i="77"/>
  <c r="H74" i="77"/>
  <c r="M74" i="77"/>
  <c r="N74" i="77"/>
  <c r="O74" i="77"/>
  <c r="T74" i="77"/>
  <c r="V74" i="77"/>
  <c r="W74" i="77"/>
  <c r="X74" i="77"/>
  <c r="H75" i="77"/>
  <c r="M75" i="77"/>
  <c r="N75" i="77"/>
  <c r="O75" i="77"/>
  <c r="T75" i="77"/>
  <c r="V75" i="77"/>
  <c r="W75" i="77"/>
  <c r="X75" i="77"/>
  <c r="H76" i="77"/>
  <c r="M76" i="77"/>
  <c r="N76" i="77"/>
  <c r="O76" i="77"/>
  <c r="T76" i="77"/>
  <c r="V76" i="77"/>
  <c r="W76" i="77"/>
  <c r="X76" i="77"/>
  <c r="H77" i="77"/>
  <c r="M77" i="77"/>
  <c r="N77" i="77"/>
  <c r="O77" i="77"/>
  <c r="T77" i="77"/>
  <c r="V77" i="77"/>
  <c r="W77" i="77"/>
  <c r="X77" i="77"/>
  <c r="H78" i="77"/>
  <c r="M78" i="77"/>
  <c r="N78" i="77"/>
  <c r="O78" i="77"/>
  <c r="T78" i="77"/>
  <c r="V78" i="77"/>
  <c r="W78" i="77"/>
  <c r="X78" i="77"/>
  <c r="H79" i="77"/>
  <c r="M79" i="77"/>
  <c r="N79" i="77"/>
  <c r="O79" i="77"/>
  <c r="T79" i="77"/>
  <c r="V79" i="77"/>
  <c r="W79" i="77"/>
  <c r="X79" i="77"/>
  <c r="H80" i="77"/>
  <c r="M80" i="77"/>
  <c r="N80" i="77"/>
  <c r="O80" i="77"/>
  <c r="T80" i="77"/>
  <c r="V80" i="77"/>
  <c r="W80" i="77"/>
  <c r="X80" i="77"/>
  <c r="H81" i="77"/>
  <c r="M81" i="77"/>
  <c r="N81" i="77"/>
  <c r="O81" i="77"/>
  <c r="T81" i="77"/>
  <c r="V81" i="77"/>
  <c r="W81" i="77"/>
  <c r="X81" i="77"/>
  <c r="H82" i="77"/>
  <c r="M82" i="77"/>
  <c r="N82" i="77"/>
  <c r="O82" i="77"/>
  <c r="T82" i="77"/>
  <c r="V82" i="77"/>
  <c r="W82" i="77"/>
  <c r="X82" i="77"/>
  <c r="H83" i="77"/>
  <c r="M83" i="77"/>
  <c r="N83" i="77"/>
  <c r="O83" i="77"/>
  <c r="T83" i="77"/>
  <c r="V83" i="77"/>
  <c r="W83" i="77"/>
  <c r="X83" i="77"/>
  <c r="H84" i="77"/>
  <c r="M84" i="77"/>
  <c r="N84" i="77"/>
  <c r="O84" i="77"/>
  <c r="T84" i="77"/>
  <c r="V84" i="77"/>
  <c r="W84" i="77"/>
  <c r="X84" i="77"/>
  <c r="H85" i="77"/>
  <c r="M85" i="77"/>
  <c r="N85" i="77"/>
  <c r="O85" i="77"/>
  <c r="T85" i="77"/>
  <c r="V85" i="77"/>
  <c r="W85" i="77"/>
  <c r="X85" i="77"/>
  <c r="H86" i="77"/>
  <c r="M86" i="77"/>
  <c r="N86" i="77"/>
  <c r="O86" i="77"/>
  <c r="T86" i="77"/>
  <c r="V86" i="77"/>
  <c r="W86" i="77"/>
  <c r="X86" i="77"/>
  <c r="H90" i="77"/>
  <c r="M90" i="77"/>
  <c r="N90" i="77"/>
  <c r="O90" i="77"/>
  <c r="T90" i="77"/>
  <c r="V90" i="77"/>
  <c r="W90" i="77"/>
  <c r="X90" i="77"/>
  <c r="H91" i="77"/>
  <c r="M91" i="77"/>
  <c r="N91" i="77"/>
  <c r="O91" i="77"/>
  <c r="T91" i="77"/>
  <c r="V91" i="77"/>
  <c r="W91" i="77"/>
  <c r="X91" i="77"/>
  <c r="H92" i="77"/>
  <c r="M92" i="77"/>
  <c r="N92" i="77"/>
  <c r="O92" i="77"/>
  <c r="T92" i="77"/>
  <c r="V92" i="77"/>
  <c r="W92" i="77"/>
  <c r="X92" i="77"/>
  <c r="H93" i="77"/>
  <c r="M93" i="77"/>
  <c r="N93" i="77"/>
  <c r="O93" i="77"/>
  <c r="T93" i="77"/>
  <c r="V93" i="77"/>
  <c r="W93" i="77"/>
  <c r="X93" i="77"/>
  <c r="H94" i="77"/>
  <c r="M94" i="77"/>
  <c r="N94" i="77"/>
  <c r="O94" i="77"/>
  <c r="T94" i="77"/>
  <c r="V94" i="77"/>
  <c r="W94" i="77"/>
  <c r="X94" i="77"/>
  <c r="H95" i="77"/>
  <c r="M95" i="77"/>
  <c r="N95" i="77"/>
  <c r="O95" i="77"/>
  <c r="T95" i="77"/>
  <c r="V95" i="77"/>
  <c r="W95" i="77"/>
  <c r="X95" i="77"/>
  <c r="H96" i="77"/>
  <c r="M96" i="77"/>
  <c r="N96" i="77"/>
  <c r="O96" i="77"/>
  <c r="T96" i="77"/>
  <c r="V96" i="77"/>
  <c r="W96" i="77"/>
  <c r="X96" i="77"/>
  <c r="H97" i="77"/>
  <c r="M97" i="77"/>
  <c r="N97" i="77"/>
  <c r="O97" i="77"/>
  <c r="T97" i="77"/>
  <c r="V97" i="77"/>
  <c r="W97" i="77"/>
  <c r="X97" i="77"/>
  <c r="H98" i="77"/>
  <c r="M98" i="77"/>
  <c r="N98" i="77"/>
  <c r="O98" i="77"/>
  <c r="T98" i="77"/>
  <c r="V98" i="77"/>
  <c r="W98" i="77"/>
  <c r="X98" i="77"/>
  <c r="H99" i="77"/>
  <c r="M99" i="77"/>
  <c r="N99" i="77"/>
  <c r="O99" i="77"/>
  <c r="T99" i="77"/>
  <c r="V99" i="77"/>
  <c r="W99" i="77"/>
  <c r="X99" i="77"/>
  <c r="H100" i="77"/>
  <c r="M100" i="77"/>
  <c r="N100" i="77"/>
  <c r="O100" i="77"/>
  <c r="T100" i="77"/>
  <c r="V100" i="77"/>
  <c r="W100" i="77"/>
  <c r="X100" i="77"/>
  <c r="H101" i="77"/>
  <c r="M101" i="77"/>
  <c r="N101" i="77"/>
  <c r="O101" i="77"/>
  <c r="T101" i="77"/>
  <c r="V101" i="77"/>
  <c r="W101" i="77"/>
  <c r="X101" i="77"/>
  <c r="H102" i="77"/>
  <c r="M102" i="77"/>
  <c r="N102" i="77"/>
  <c r="O102" i="77"/>
  <c r="T102" i="77"/>
  <c r="V102" i="77"/>
  <c r="W102" i="77"/>
  <c r="X102" i="77"/>
  <c r="H103" i="77"/>
  <c r="M103" i="77"/>
  <c r="N103" i="77"/>
  <c r="O103" i="77"/>
  <c r="T103" i="77"/>
  <c r="V103" i="77"/>
  <c r="W103" i="77"/>
  <c r="X103" i="77"/>
  <c r="H104" i="77"/>
  <c r="M104" i="77"/>
  <c r="N104" i="77"/>
  <c r="O104" i="77"/>
  <c r="T104" i="77"/>
  <c r="V104" i="77"/>
  <c r="W104" i="77"/>
  <c r="X104" i="77"/>
  <c r="H105" i="77"/>
  <c r="M105" i="77"/>
  <c r="N105" i="77"/>
  <c r="O105" i="77"/>
  <c r="T105" i="77"/>
  <c r="V105" i="77"/>
  <c r="W105" i="77"/>
  <c r="X105" i="77"/>
  <c r="H106" i="77"/>
  <c r="M106" i="77"/>
  <c r="N106" i="77"/>
  <c r="O106" i="77"/>
  <c r="T106" i="77"/>
  <c r="V106" i="77"/>
  <c r="W106" i="77"/>
  <c r="X106" i="77"/>
  <c r="H107" i="77"/>
  <c r="M107" i="77"/>
  <c r="N107" i="77"/>
  <c r="O107" i="77"/>
  <c r="T107" i="77"/>
  <c r="V107" i="77"/>
  <c r="W107" i="77"/>
  <c r="X107" i="77"/>
  <c r="H108" i="77"/>
  <c r="M108" i="77"/>
  <c r="N108" i="77"/>
  <c r="O108" i="77"/>
  <c r="T108" i="77"/>
  <c r="V108" i="77"/>
  <c r="W108" i="77"/>
  <c r="X108" i="77"/>
  <c r="H109" i="77"/>
  <c r="M109" i="77"/>
  <c r="N109" i="77"/>
  <c r="O109" i="77"/>
  <c r="T109" i="77"/>
  <c r="V109" i="77"/>
  <c r="W109" i="77"/>
  <c r="X109" i="77"/>
  <c r="H110" i="77"/>
  <c r="M110" i="77"/>
  <c r="N110" i="77"/>
  <c r="O110" i="77"/>
  <c r="T110" i="77"/>
  <c r="V110" i="77"/>
  <c r="W110" i="77"/>
  <c r="X110" i="77"/>
  <c r="H111" i="77"/>
  <c r="M111" i="77"/>
  <c r="N111" i="77"/>
  <c r="O111" i="77"/>
  <c r="T111" i="77"/>
  <c r="V111" i="77"/>
  <c r="W111" i="77"/>
  <c r="X111" i="77"/>
  <c r="H112" i="77"/>
  <c r="M112" i="77"/>
  <c r="N112" i="77"/>
  <c r="O112" i="77"/>
  <c r="T112" i="77"/>
  <c r="V112" i="77"/>
  <c r="W112" i="77"/>
  <c r="X112" i="77"/>
  <c r="H113" i="77"/>
  <c r="M113" i="77"/>
  <c r="N113" i="77"/>
  <c r="O113" i="77"/>
  <c r="T113" i="77"/>
  <c r="V113" i="77"/>
  <c r="W113" i="77"/>
  <c r="X113" i="77"/>
  <c r="H114" i="77"/>
  <c r="M114" i="77"/>
  <c r="N114" i="77"/>
  <c r="O114" i="77"/>
  <c r="T114" i="77"/>
  <c r="V114" i="77"/>
  <c r="W114" i="77"/>
  <c r="X114" i="77"/>
  <c r="H6" i="80"/>
  <c r="M6" i="80"/>
  <c r="N6" i="80"/>
  <c r="O6" i="80"/>
  <c r="T6" i="80"/>
  <c r="V6" i="80"/>
  <c r="W6" i="80"/>
  <c r="X6" i="80"/>
  <c r="H7" i="80"/>
  <c r="M7" i="80"/>
  <c r="N7" i="80"/>
  <c r="O7" i="80"/>
  <c r="T7" i="80"/>
  <c r="V7" i="80"/>
  <c r="W7" i="80"/>
  <c r="X7" i="80"/>
  <c r="H8" i="80"/>
  <c r="M8" i="80"/>
  <c r="N8" i="80"/>
  <c r="O8" i="80"/>
  <c r="T8" i="80"/>
  <c r="V8" i="80"/>
  <c r="W8" i="80"/>
  <c r="X8" i="80"/>
  <c r="H9" i="80"/>
  <c r="M9" i="80"/>
  <c r="N9" i="80"/>
  <c r="O9" i="80"/>
  <c r="T9" i="80"/>
  <c r="V9" i="80"/>
  <c r="W9" i="80"/>
  <c r="X9" i="80"/>
  <c r="H10" i="80"/>
  <c r="M10" i="80"/>
  <c r="N10" i="80"/>
  <c r="O10" i="80"/>
  <c r="T10" i="80"/>
  <c r="V10" i="80"/>
  <c r="W10" i="80"/>
  <c r="X10" i="80"/>
  <c r="H11" i="80"/>
  <c r="M11" i="80"/>
  <c r="N11" i="80"/>
  <c r="O11" i="80"/>
  <c r="T11" i="80"/>
  <c r="V11" i="80"/>
  <c r="W11" i="80"/>
  <c r="X11" i="80"/>
  <c r="H12" i="80"/>
  <c r="M12" i="80"/>
  <c r="N12" i="80"/>
  <c r="O12" i="80"/>
  <c r="T12" i="80"/>
  <c r="V12" i="80"/>
  <c r="W12" i="80"/>
  <c r="X12" i="80"/>
  <c r="H13" i="80"/>
  <c r="M13" i="80"/>
  <c r="N13" i="80"/>
  <c r="O13" i="80"/>
  <c r="T13" i="80"/>
  <c r="V13" i="80"/>
  <c r="W13" i="80"/>
  <c r="X13" i="80"/>
  <c r="H14" i="80"/>
  <c r="M14" i="80"/>
  <c r="N14" i="80"/>
  <c r="O14" i="80"/>
  <c r="T14" i="80"/>
  <c r="V14" i="80"/>
  <c r="W14" i="80"/>
  <c r="X14" i="80"/>
  <c r="H15" i="80"/>
  <c r="M15" i="80"/>
  <c r="N15" i="80"/>
  <c r="O15" i="80"/>
  <c r="T15" i="80"/>
  <c r="V15" i="80"/>
  <c r="W15" i="80"/>
  <c r="X15" i="80"/>
  <c r="H16" i="80"/>
  <c r="M16" i="80"/>
  <c r="N16" i="80"/>
  <c r="O16" i="80"/>
  <c r="T16" i="80"/>
  <c r="V16" i="80"/>
  <c r="W16" i="80"/>
  <c r="X16" i="80"/>
  <c r="H17" i="80"/>
  <c r="M17" i="80"/>
  <c r="N17" i="80"/>
  <c r="O17" i="80"/>
  <c r="T17" i="80"/>
  <c r="V17" i="80"/>
  <c r="W17" i="80"/>
  <c r="X17" i="80"/>
  <c r="H18" i="80"/>
  <c r="M18" i="80"/>
  <c r="N18" i="80"/>
  <c r="O18" i="80"/>
  <c r="T18" i="80"/>
  <c r="V18" i="80"/>
  <c r="W18" i="80"/>
  <c r="X18" i="80"/>
  <c r="H19" i="80"/>
  <c r="M19" i="80"/>
  <c r="N19" i="80"/>
  <c r="O19" i="80"/>
  <c r="T19" i="80"/>
  <c r="V19" i="80"/>
  <c r="W19" i="80"/>
  <c r="X19" i="80"/>
  <c r="H20" i="80"/>
  <c r="M20" i="80"/>
  <c r="N20" i="80"/>
  <c r="O20" i="80"/>
  <c r="T20" i="80"/>
  <c r="V20" i="80"/>
  <c r="W20" i="80"/>
  <c r="X20" i="80"/>
  <c r="H21" i="80"/>
  <c r="M21" i="80"/>
  <c r="N21" i="80"/>
  <c r="O21" i="80"/>
  <c r="T21" i="80"/>
  <c r="V21" i="80"/>
  <c r="W21" i="80"/>
  <c r="X21" i="80"/>
  <c r="H22" i="80"/>
  <c r="M22" i="80"/>
  <c r="N22" i="80"/>
  <c r="O22" i="80"/>
  <c r="T22" i="80"/>
  <c r="V22" i="80"/>
  <c r="W22" i="80"/>
  <c r="X22" i="80"/>
  <c r="H23" i="80"/>
  <c r="M23" i="80"/>
  <c r="N23" i="80"/>
  <c r="O23" i="80"/>
  <c r="T23" i="80"/>
  <c r="V23" i="80"/>
  <c r="W23" i="80"/>
  <c r="X23" i="80"/>
  <c r="H24" i="80"/>
  <c r="M24" i="80"/>
  <c r="N24" i="80"/>
  <c r="O24" i="80"/>
  <c r="T24" i="80"/>
  <c r="V24" i="80"/>
  <c r="W24" i="80"/>
  <c r="X24" i="80"/>
  <c r="H25" i="80"/>
  <c r="M25" i="80"/>
  <c r="N25" i="80"/>
  <c r="O25" i="80"/>
  <c r="T25" i="80"/>
  <c r="V25" i="80"/>
  <c r="W25" i="80"/>
  <c r="X25" i="80"/>
  <c r="H26" i="80"/>
  <c r="M26" i="80"/>
  <c r="N26" i="80"/>
  <c r="O26" i="80"/>
  <c r="T26" i="80"/>
  <c r="V26" i="80"/>
  <c r="W26" i="80"/>
  <c r="X26" i="80"/>
  <c r="H27" i="80"/>
  <c r="M27" i="80"/>
  <c r="N27" i="80"/>
  <c r="O27" i="80"/>
  <c r="T27" i="80"/>
  <c r="V27" i="80"/>
  <c r="W27" i="80"/>
  <c r="X27" i="80"/>
  <c r="H28" i="80"/>
  <c r="M28" i="80"/>
  <c r="N28" i="80"/>
  <c r="O28" i="80"/>
  <c r="T28" i="80"/>
  <c r="V28" i="80"/>
  <c r="W28" i="80"/>
  <c r="X28" i="80"/>
  <c r="H29" i="80"/>
  <c r="M29" i="80"/>
  <c r="N29" i="80"/>
  <c r="O29" i="80"/>
  <c r="T29" i="80"/>
  <c r="V29" i="80"/>
  <c r="W29" i="80"/>
  <c r="X29" i="80"/>
  <c r="H30" i="80"/>
  <c r="M30" i="80"/>
  <c r="N30" i="80"/>
  <c r="O30" i="80"/>
  <c r="T30" i="80"/>
  <c r="V30" i="80"/>
  <c r="W30" i="80"/>
  <c r="X30" i="80"/>
  <c r="H34" i="80"/>
  <c r="M34" i="80"/>
  <c r="N34" i="80"/>
  <c r="O34" i="80"/>
  <c r="T34" i="80"/>
  <c r="V34" i="80"/>
  <c r="W34" i="80"/>
  <c r="X34" i="80"/>
  <c r="H35" i="80"/>
  <c r="M35" i="80"/>
  <c r="N35" i="80"/>
  <c r="O35" i="80"/>
  <c r="T35" i="80"/>
  <c r="V35" i="80"/>
  <c r="W35" i="80"/>
  <c r="X35" i="80"/>
  <c r="H36" i="80"/>
  <c r="M36" i="80"/>
  <c r="N36" i="80"/>
  <c r="O36" i="80"/>
  <c r="T36" i="80"/>
  <c r="V36" i="80"/>
  <c r="W36" i="80"/>
  <c r="X36" i="80"/>
  <c r="H37" i="80"/>
  <c r="M37" i="80"/>
  <c r="N37" i="80"/>
  <c r="O37" i="80"/>
  <c r="T37" i="80"/>
  <c r="V37" i="80"/>
  <c r="W37" i="80"/>
  <c r="X37" i="80"/>
  <c r="H38" i="80"/>
  <c r="M38" i="80"/>
  <c r="N38" i="80"/>
  <c r="O38" i="80"/>
  <c r="T38" i="80"/>
  <c r="V38" i="80"/>
  <c r="W38" i="80"/>
  <c r="X38" i="80"/>
  <c r="H39" i="80"/>
  <c r="M39" i="80"/>
  <c r="N39" i="80"/>
  <c r="O39" i="80"/>
  <c r="T39" i="80"/>
  <c r="V39" i="80"/>
  <c r="W39" i="80"/>
  <c r="X39" i="80"/>
  <c r="H40" i="80"/>
  <c r="M40" i="80"/>
  <c r="N40" i="80"/>
  <c r="O40" i="80"/>
  <c r="T40" i="80"/>
  <c r="V40" i="80"/>
  <c r="W40" i="80"/>
  <c r="X40" i="80"/>
  <c r="H41" i="80"/>
  <c r="M41" i="80"/>
  <c r="N41" i="80"/>
  <c r="O41" i="80"/>
  <c r="T41" i="80"/>
  <c r="V41" i="80"/>
  <c r="W41" i="80"/>
  <c r="X41" i="80"/>
  <c r="H42" i="80"/>
  <c r="M42" i="80"/>
  <c r="N42" i="80"/>
  <c r="O42" i="80"/>
  <c r="T42" i="80"/>
  <c r="V42" i="80"/>
  <c r="W42" i="80"/>
  <c r="X42" i="80"/>
  <c r="H43" i="80"/>
  <c r="M43" i="80"/>
  <c r="N43" i="80"/>
  <c r="O43" i="80"/>
  <c r="T43" i="80"/>
  <c r="V43" i="80"/>
  <c r="W43" i="80"/>
  <c r="X43" i="80"/>
  <c r="H44" i="80"/>
  <c r="M44" i="80"/>
  <c r="N44" i="80"/>
  <c r="O44" i="80"/>
  <c r="T44" i="80"/>
  <c r="V44" i="80"/>
  <c r="W44" i="80"/>
  <c r="X44" i="80"/>
  <c r="H45" i="80"/>
  <c r="M45" i="80"/>
  <c r="N45" i="80"/>
  <c r="O45" i="80"/>
  <c r="T45" i="80"/>
  <c r="V45" i="80"/>
  <c r="W45" i="80"/>
  <c r="X45" i="80"/>
  <c r="H46" i="80"/>
  <c r="M46" i="80"/>
  <c r="N46" i="80"/>
  <c r="O46" i="80"/>
  <c r="T46" i="80"/>
  <c r="V46" i="80"/>
  <c r="W46" i="80"/>
  <c r="X46" i="80"/>
  <c r="H47" i="80"/>
  <c r="M47" i="80"/>
  <c r="N47" i="80"/>
  <c r="O47" i="80"/>
  <c r="T47" i="80"/>
  <c r="V47" i="80"/>
  <c r="W47" i="80"/>
  <c r="X47" i="80"/>
  <c r="H48" i="80"/>
  <c r="M48" i="80"/>
  <c r="N48" i="80"/>
  <c r="O48" i="80"/>
  <c r="T48" i="80"/>
  <c r="V48" i="80"/>
  <c r="W48" i="80"/>
  <c r="X48" i="80"/>
  <c r="H49" i="80"/>
  <c r="M49" i="80"/>
  <c r="N49" i="80"/>
  <c r="O49" i="80"/>
  <c r="T49" i="80"/>
  <c r="V49" i="80"/>
  <c r="W49" i="80"/>
  <c r="X49" i="80"/>
  <c r="H50" i="80"/>
  <c r="M50" i="80"/>
  <c r="N50" i="80"/>
  <c r="O50" i="80"/>
  <c r="T50" i="80"/>
  <c r="V50" i="80"/>
  <c r="W50" i="80"/>
  <c r="X50" i="80"/>
  <c r="H51" i="80"/>
  <c r="M51" i="80"/>
  <c r="N51" i="80"/>
  <c r="O51" i="80"/>
  <c r="T51" i="80"/>
  <c r="V51" i="80"/>
  <c r="W51" i="80"/>
  <c r="X51" i="80"/>
  <c r="H52" i="80"/>
  <c r="M52" i="80"/>
  <c r="N52" i="80"/>
  <c r="O52" i="80"/>
  <c r="T52" i="80"/>
  <c r="V52" i="80"/>
  <c r="W52" i="80"/>
  <c r="X52" i="80"/>
  <c r="H53" i="80"/>
  <c r="M53" i="80"/>
  <c r="N53" i="80"/>
  <c r="O53" i="80"/>
  <c r="T53" i="80"/>
  <c r="V53" i="80"/>
  <c r="W53" i="80"/>
  <c r="X53" i="80"/>
  <c r="H54" i="80"/>
  <c r="M54" i="80"/>
  <c r="N54" i="80"/>
  <c r="O54" i="80"/>
  <c r="T54" i="80"/>
  <c r="V54" i="80"/>
  <c r="W54" i="80"/>
  <c r="X54" i="80"/>
  <c r="H55" i="80"/>
  <c r="M55" i="80"/>
  <c r="N55" i="80"/>
  <c r="O55" i="80"/>
  <c r="T55" i="80"/>
  <c r="V55" i="80"/>
  <c r="W55" i="80"/>
  <c r="X55" i="80"/>
  <c r="H56" i="80"/>
  <c r="M56" i="80"/>
  <c r="N56" i="80"/>
  <c r="O56" i="80"/>
  <c r="T56" i="80"/>
  <c r="V56" i="80"/>
  <c r="W56" i="80"/>
  <c r="X56" i="80"/>
  <c r="H57" i="80"/>
  <c r="M57" i="80"/>
  <c r="N57" i="80"/>
  <c r="O57" i="80"/>
  <c r="T57" i="80"/>
  <c r="V57" i="80"/>
  <c r="W57" i="80"/>
  <c r="X57" i="80"/>
  <c r="H58" i="80"/>
  <c r="M58" i="80"/>
  <c r="N58" i="80"/>
  <c r="O58" i="80"/>
  <c r="T58" i="80"/>
  <c r="V58" i="80"/>
  <c r="W58" i="80"/>
  <c r="X58" i="80"/>
  <c r="H62" i="80"/>
  <c r="M62" i="80"/>
  <c r="N62" i="80"/>
  <c r="O62" i="80"/>
  <c r="T62" i="80"/>
  <c r="V62" i="80"/>
  <c r="W62" i="80"/>
  <c r="X62" i="80"/>
  <c r="H63" i="80"/>
  <c r="M63" i="80"/>
  <c r="N63" i="80"/>
  <c r="O63" i="80"/>
  <c r="T63" i="80"/>
  <c r="V63" i="80"/>
  <c r="W63" i="80"/>
  <c r="X63" i="80"/>
  <c r="H64" i="80"/>
  <c r="M64" i="80"/>
  <c r="N64" i="80"/>
  <c r="O64" i="80"/>
  <c r="T64" i="80"/>
  <c r="V64" i="80"/>
  <c r="W64" i="80"/>
  <c r="X64" i="80"/>
  <c r="H65" i="80"/>
  <c r="M65" i="80"/>
  <c r="N65" i="80"/>
  <c r="O65" i="80"/>
  <c r="T65" i="80"/>
  <c r="V65" i="80"/>
  <c r="W65" i="80"/>
  <c r="X65" i="80"/>
  <c r="H66" i="80"/>
  <c r="M66" i="80"/>
  <c r="N66" i="80"/>
  <c r="O66" i="80"/>
  <c r="T66" i="80"/>
  <c r="V66" i="80"/>
  <c r="W66" i="80"/>
  <c r="X66" i="80"/>
  <c r="H67" i="80"/>
  <c r="M67" i="80"/>
  <c r="N67" i="80"/>
  <c r="O67" i="80"/>
  <c r="T67" i="80"/>
  <c r="V67" i="80"/>
  <c r="W67" i="80"/>
  <c r="X67" i="80"/>
  <c r="H68" i="80"/>
  <c r="M68" i="80"/>
  <c r="N68" i="80"/>
  <c r="O68" i="80"/>
  <c r="T68" i="80"/>
  <c r="V68" i="80"/>
  <c r="W68" i="80"/>
  <c r="X68" i="80"/>
  <c r="H69" i="80"/>
  <c r="M69" i="80"/>
  <c r="N69" i="80"/>
  <c r="O69" i="80"/>
  <c r="T69" i="80"/>
  <c r="V69" i="80"/>
  <c r="W69" i="80"/>
  <c r="X69" i="80"/>
  <c r="H70" i="80"/>
  <c r="M70" i="80"/>
  <c r="N70" i="80"/>
  <c r="O70" i="80"/>
  <c r="T70" i="80"/>
  <c r="V70" i="80"/>
  <c r="W70" i="80"/>
  <c r="X70" i="80"/>
  <c r="H71" i="80"/>
  <c r="M71" i="80"/>
  <c r="N71" i="80"/>
  <c r="O71" i="80"/>
  <c r="T71" i="80"/>
  <c r="V71" i="80"/>
  <c r="W71" i="80"/>
  <c r="X71" i="80"/>
  <c r="H72" i="80"/>
  <c r="M72" i="80"/>
  <c r="N72" i="80"/>
  <c r="O72" i="80"/>
  <c r="T72" i="80"/>
  <c r="V72" i="80"/>
  <c r="W72" i="80"/>
  <c r="X72" i="80"/>
  <c r="H73" i="80"/>
  <c r="M73" i="80"/>
  <c r="N73" i="80"/>
  <c r="O73" i="80"/>
  <c r="T73" i="80"/>
  <c r="V73" i="80"/>
  <c r="W73" i="80"/>
  <c r="X73" i="80"/>
  <c r="H74" i="80"/>
  <c r="M74" i="80"/>
  <c r="N74" i="80"/>
  <c r="O74" i="80"/>
  <c r="T74" i="80"/>
  <c r="V74" i="80"/>
  <c r="W74" i="80"/>
  <c r="X74" i="80"/>
  <c r="H75" i="80"/>
  <c r="M75" i="80"/>
  <c r="N75" i="80"/>
  <c r="O75" i="80"/>
  <c r="T75" i="80"/>
  <c r="V75" i="80"/>
  <c r="W75" i="80"/>
  <c r="X75" i="80"/>
  <c r="H76" i="80"/>
  <c r="M76" i="80"/>
  <c r="N76" i="80"/>
  <c r="O76" i="80"/>
  <c r="T76" i="80"/>
  <c r="V76" i="80"/>
  <c r="W76" i="80"/>
  <c r="X76" i="80"/>
  <c r="H77" i="80"/>
  <c r="M77" i="80"/>
  <c r="N77" i="80"/>
  <c r="O77" i="80"/>
  <c r="T77" i="80"/>
  <c r="V77" i="80"/>
  <c r="W77" i="80"/>
  <c r="X77" i="80"/>
  <c r="H78" i="80"/>
  <c r="M78" i="80"/>
  <c r="N78" i="80"/>
  <c r="O78" i="80"/>
  <c r="T78" i="80"/>
  <c r="V78" i="80"/>
  <c r="W78" i="80"/>
  <c r="X78" i="80"/>
  <c r="H79" i="80"/>
  <c r="M79" i="80"/>
  <c r="N79" i="80"/>
  <c r="O79" i="80"/>
  <c r="T79" i="80"/>
  <c r="V79" i="80"/>
  <c r="W79" i="80"/>
  <c r="X79" i="80"/>
  <c r="H80" i="80"/>
  <c r="M80" i="80"/>
  <c r="N80" i="80"/>
  <c r="O80" i="80"/>
  <c r="T80" i="80"/>
  <c r="V80" i="80"/>
  <c r="W80" i="80"/>
  <c r="X80" i="80"/>
  <c r="H81" i="80"/>
  <c r="M81" i="80"/>
  <c r="N81" i="80"/>
  <c r="O81" i="80"/>
  <c r="T81" i="80"/>
  <c r="V81" i="80"/>
  <c r="W81" i="80"/>
  <c r="X81" i="80"/>
  <c r="H82" i="80"/>
  <c r="M82" i="80"/>
  <c r="N82" i="80"/>
  <c r="O82" i="80"/>
  <c r="T82" i="80"/>
  <c r="V82" i="80"/>
  <c r="W82" i="80"/>
  <c r="X82" i="80"/>
  <c r="H83" i="80"/>
  <c r="M83" i="80"/>
  <c r="N83" i="80"/>
  <c r="O83" i="80"/>
  <c r="T83" i="80"/>
  <c r="V83" i="80"/>
  <c r="W83" i="80"/>
  <c r="X83" i="80"/>
  <c r="H84" i="80"/>
  <c r="M84" i="80"/>
  <c r="N84" i="80"/>
  <c r="O84" i="80"/>
  <c r="T84" i="80"/>
  <c r="V84" i="80"/>
  <c r="W84" i="80"/>
  <c r="X84" i="80"/>
  <c r="H85" i="80"/>
  <c r="M85" i="80"/>
  <c r="N85" i="80"/>
  <c r="O85" i="80"/>
  <c r="T85" i="80"/>
  <c r="V85" i="80"/>
  <c r="W85" i="80"/>
  <c r="X85" i="80"/>
  <c r="H86" i="80"/>
  <c r="M86" i="80"/>
  <c r="N86" i="80"/>
  <c r="O86" i="80"/>
  <c r="T86" i="80"/>
  <c r="V86" i="80"/>
  <c r="W86" i="80"/>
  <c r="X86" i="80"/>
  <c r="H90" i="80"/>
  <c r="M90" i="80"/>
  <c r="N90" i="80"/>
  <c r="O90" i="80"/>
  <c r="T90" i="80"/>
  <c r="V90" i="80"/>
  <c r="W90" i="80"/>
  <c r="X90" i="80"/>
  <c r="H91" i="80"/>
  <c r="M91" i="80"/>
  <c r="N91" i="80"/>
  <c r="O91" i="80"/>
  <c r="T91" i="80"/>
  <c r="V91" i="80"/>
  <c r="W91" i="80"/>
  <c r="X91" i="80"/>
  <c r="H92" i="80"/>
  <c r="M92" i="80"/>
  <c r="N92" i="80"/>
  <c r="O92" i="80"/>
  <c r="T92" i="80"/>
  <c r="V92" i="80"/>
  <c r="W92" i="80"/>
  <c r="X92" i="80"/>
  <c r="H93" i="80"/>
  <c r="M93" i="80"/>
  <c r="N93" i="80"/>
  <c r="O93" i="80"/>
  <c r="T93" i="80"/>
  <c r="V93" i="80"/>
  <c r="W93" i="80"/>
  <c r="X93" i="80"/>
  <c r="H94" i="80"/>
  <c r="M94" i="80"/>
  <c r="N94" i="80"/>
  <c r="O94" i="80"/>
  <c r="T94" i="80"/>
  <c r="V94" i="80"/>
  <c r="W94" i="80"/>
  <c r="X94" i="80"/>
  <c r="H95" i="80"/>
  <c r="M95" i="80"/>
  <c r="N95" i="80"/>
  <c r="O95" i="80"/>
  <c r="T95" i="80"/>
  <c r="V95" i="80"/>
  <c r="W95" i="80"/>
  <c r="X95" i="80"/>
  <c r="H96" i="80"/>
  <c r="M96" i="80"/>
  <c r="N96" i="80"/>
  <c r="O96" i="80"/>
  <c r="T96" i="80"/>
  <c r="V96" i="80"/>
  <c r="W96" i="80"/>
  <c r="X96" i="80"/>
  <c r="H97" i="80"/>
  <c r="M97" i="80"/>
  <c r="N97" i="80"/>
  <c r="O97" i="80"/>
  <c r="T97" i="80"/>
  <c r="V97" i="80"/>
  <c r="W97" i="80"/>
  <c r="X97" i="80"/>
  <c r="H98" i="80"/>
  <c r="M98" i="80"/>
  <c r="N98" i="80"/>
  <c r="O98" i="80"/>
  <c r="T98" i="80"/>
  <c r="V98" i="80"/>
  <c r="W98" i="80"/>
  <c r="X98" i="80"/>
  <c r="H99" i="80"/>
  <c r="M99" i="80"/>
  <c r="N99" i="80"/>
  <c r="O99" i="80"/>
  <c r="T99" i="80"/>
  <c r="V99" i="80"/>
  <c r="W99" i="80"/>
  <c r="X99" i="80"/>
  <c r="H100" i="80"/>
  <c r="M100" i="80"/>
  <c r="N100" i="80"/>
  <c r="O100" i="80"/>
  <c r="T100" i="80"/>
  <c r="V100" i="80"/>
  <c r="W100" i="80"/>
  <c r="X100" i="80"/>
  <c r="H101" i="80"/>
  <c r="M101" i="80"/>
  <c r="N101" i="80"/>
  <c r="O101" i="80"/>
  <c r="T101" i="80"/>
  <c r="V101" i="80"/>
  <c r="W101" i="80"/>
  <c r="X101" i="80"/>
  <c r="H102" i="80"/>
  <c r="M102" i="80"/>
  <c r="N102" i="80"/>
  <c r="O102" i="80"/>
  <c r="T102" i="80"/>
  <c r="V102" i="80"/>
  <c r="W102" i="80"/>
  <c r="X102" i="80"/>
  <c r="H103" i="80"/>
  <c r="M103" i="80"/>
  <c r="N103" i="80"/>
  <c r="O103" i="80"/>
  <c r="T103" i="80"/>
  <c r="V103" i="80"/>
  <c r="W103" i="80"/>
  <c r="X103" i="80"/>
  <c r="H104" i="80"/>
  <c r="M104" i="80"/>
  <c r="N104" i="80"/>
  <c r="O104" i="80"/>
  <c r="T104" i="80"/>
  <c r="V104" i="80"/>
  <c r="W104" i="80"/>
  <c r="X104" i="80"/>
  <c r="H105" i="80"/>
  <c r="M105" i="80"/>
  <c r="N105" i="80"/>
  <c r="O105" i="80"/>
  <c r="T105" i="80"/>
  <c r="V105" i="80"/>
  <c r="W105" i="80"/>
  <c r="X105" i="80"/>
  <c r="H106" i="80"/>
  <c r="M106" i="80"/>
  <c r="N106" i="80"/>
  <c r="O106" i="80"/>
  <c r="T106" i="80"/>
  <c r="V106" i="80"/>
  <c r="W106" i="80"/>
  <c r="X106" i="80"/>
  <c r="H107" i="80"/>
  <c r="M107" i="80"/>
  <c r="N107" i="80"/>
  <c r="O107" i="80"/>
  <c r="T107" i="80"/>
  <c r="V107" i="80"/>
  <c r="W107" i="80"/>
  <c r="X107" i="80"/>
  <c r="H108" i="80"/>
  <c r="M108" i="80"/>
  <c r="N108" i="80"/>
  <c r="O108" i="80"/>
  <c r="T108" i="80"/>
  <c r="V108" i="80"/>
  <c r="W108" i="80"/>
  <c r="X108" i="80"/>
  <c r="H109" i="80"/>
  <c r="M109" i="80"/>
  <c r="N109" i="80"/>
  <c r="O109" i="80"/>
  <c r="T109" i="80"/>
  <c r="V109" i="80"/>
  <c r="W109" i="80"/>
  <c r="X109" i="80"/>
  <c r="H110" i="80"/>
  <c r="M110" i="80"/>
  <c r="N110" i="80"/>
  <c r="O110" i="80"/>
  <c r="T110" i="80"/>
  <c r="V110" i="80"/>
  <c r="W110" i="80"/>
  <c r="X110" i="80"/>
  <c r="H111" i="80"/>
  <c r="M111" i="80"/>
  <c r="N111" i="80"/>
  <c r="O111" i="80"/>
  <c r="T111" i="80"/>
  <c r="V111" i="80"/>
  <c r="W111" i="80"/>
  <c r="X111" i="80"/>
  <c r="H112" i="80"/>
  <c r="M112" i="80"/>
  <c r="N112" i="80"/>
  <c r="O112" i="80"/>
  <c r="T112" i="80"/>
  <c r="V112" i="80"/>
  <c r="W112" i="80"/>
  <c r="X112" i="80"/>
  <c r="H113" i="80"/>
  <c r="M113" i="80"/>
  <c r="N113" i="80"/>
  <c r="O113" i="80"/>
  <c r="T113" i="80"/>
  <c r="V113" i="80"/>
  <c r="W113" i="80"/>
  <c r="X113" i="80"/>
  <c r="H114" i="80"/>
  <c r="M114" i="80"/>
  <c r="N114" i="80"/>
  <c r="O114" i="80"/>
  <c r="T114" i="80"/>
  <c r="V114" i="80"/>
  <c r="W114" i="80"/>
  <c r="X114" i="80"/>
  <c r="I8" i="58"/>
  <c r="I11" i="58"/>
  <c r="I12" i="58"/>
  <c r="I14" i="58"/>
  <c r="I16" i="58"/>
  <c r="C17" i="58"/>
  <c r="I17" i="58"/>
  <c r="C19" i="58"/>
  <c r="B22" i="66"/>
  <c r="B23" i="66"/>
  <c r="D32" i="66"/>
  <c r="B33" i="66"/>
  <c r="D33" i="66"/>
  <c r="B35" i="66"/>
  <c r="B36" i="66"/>
  <c r="B37" i="66"/>
  <c r="E3" i="69"/>
  <c r="E6" i="69"/>
  <c r="E7" i="69"/>
  <c r="E8" i="69"/>
  <c r="E9" i="69"/>
  <c r="C11" i="69"/>
  <c r="D11" i="69"/>
  <c r="C12" i="69"/>
  <c r="C17" i="69"/>
  <c r="C18" i="69"/>
  <c r="C23" i="69"/>
  <c r="E23" i="69"/>
  <c r="C24" i="69"/>
  <c r="E24" i="69"/>
  <c r="C26" i="69"/>
  <c r="C27" i="69"/>
  <c r="C31" i="69"/>
  <c r="C40" i="69"/>
  <c r="D40" i="69"/>
  <c r="E40" i="69"/>
  <c r="C43" i="69"/>
</calcChain>
</file>

<file path=xl/comments1.xml><?xml version="1.0" encoding="utf-8"?>
<comments xmlns="http://schemas.openxmlformats.org/spreadsheetml/2006/main">
  <authors>
    <author>Thermal Design Lab</author>
  </authors>
  <commentList>
    <comment ref="N3" authorId="0" shapeId="0">
      <text>
        <r>
          <rPr>
            <sz val="9"/>
            <color indexed="81"/>
            <rFont val="MS P ゴシック"/>
            <family val="3"/>
            <charset val="128"/>
          </rPr>
          <t>危険部品判断シートの計算に放射率が反映されていなかった不具合を修正</t>
        </r>
      </text>
    </comment>
  </commentList>
</comments>
</file>

<file path=xl/comments2.xml><?xml version="1.0" encoding="utf-8"?>
<comments xmlns="http://schemas.openxmlformats.org/spreadsheetml/2006/main">
  <authors>
    <author>JI</author>
  </authors>
  <commentList>
    <comment ref="E3" authorId="0" shapeId="0">
      <text>
        <r>
          <rPr>
            <sz val="10"/>
            <color indexed="81"/>
            <rFont val="ＭＳ Ｐゴシック"/>
            <family val="3"/>
            <charset val="128"/>
          </rPr>
          <t>1353は年間平均値であり、1373とする場合もある（伝熱工学資料改訂第４版）
空調設計法では1382、空調ハンドブック（第3版）では1353を採用している</t>
        </r>
      </text>
    </comment>
    <comment ref="B6" authorId="0" shapeId="0">
      <text>
        <r>
          <rPr>
            <sz val="10"/>
            <color indexed="81"/>
            <rFont val="ＭＳ Ｐゴシック"/>
            <family val="3"/>
            <charset val="128"/>
          </rPr>
          <t>季節の指定は春分の日（3月21日前後）からの経過日数で指定します</t>
        </r>
      </text>
    </comment>
    <comment ref="C11" authorId="0" shapeId="0">
      <text>
        <r>
          <rPr>
            <sz val="10"/>
            <color indexed="81"/>
            <rFont val="ＭＳ Ｐゴシック"/>
            <family val="3"/>
            <charset val="128"/>
          </rPr>
          <t>東以降の面は,筐体を直方体と考えて、角度を自動計算します。</t>
        </r>
      </text>
    </comment>
    <comment ref="B16" authorId="0" shapeId="0">
      <text>
        <r>
          <rPr>
            <sz val="10"/>
            <color indexed="81"/>
            <rFont val="ＭＳ Ｐゴシック"/>
            <family val="3"/>
            <charset val="128"/>
          </rPr>
          <t>日除けの効果は、直達日射量を０と考えた簡易予測です。
日除けを付ける面の値を１、つけない場合を０とします</t>
        </r>
      </text>
    </comment>
  </commentList>
</comments>
</file>

<file path=xl/comments3.xml><?xml version="1.0" encoding="utf-8"?>
<comments xmlns="http://schemas.openxmlformats.org/spreadsheetml/2006/main">
  <authors>
    <author>Alpine</author>
  </authors>
  <commentList>
    <comment ref="C4" authorId="0" shapeId="0">
      <text>
        <r>
          <rPr>
            <sz val="10"/>
            <color indexed="81"/>
            <rFont val="ＭＳ Ｐゴシック"/>
            <family val="3"/>
            <charset val="128"/>
          </rPr>
          <t>厚み方向の等価熱伝導率の計算に使用します。ビアが設置されている領域を幅、奥行きで指定してください</t>
        </r>
      </text>
    </comment>
    <comment ref="E4" authorId="0" shapeId="0">
      <text>
        <r>
          <rPr>
            <sz val="10"/>
            <color indexed="81"/>
            <rFont val="ＭＳ Ｐゴシック"/>
            <family val="3"/>
            <charset val="128"/>
          </rPr>
          <t>厚み方向の等価熱伝導率の計算に使用します。ビアが設置されている領域を幅、奥行きで指定してください</t>
        </r>
      </text>
    </comment>
  </commentList>
</comments>
</file>

<file path=xl/comments4.xml><?xml version="1.0" encoding="utf-8"?>
<comments xmlns="http://schemas.openxmlformats.org/spreadsheetml/2006/main">
  <authors>
    <author>JI</author>
  </authors>
  <commentList>
    <comment ref="E3" authorId="0" shapeId="0">
      <text>
        <r>
          <rPr>
            <sz val="9"/>
            <color indexed="81"/>
            <rFont val="ＭＳ Ｐゴシック"/>
            <family val="3"/>
            <charset val="128"/>
          </rPr>
          <t>値は自動的にセットされます。</t>
        </r>
      </text>
    </comment>
    <comment ref="G3" authorId="0" shapeId="0">
      <text>
        <r>
          <rPr>
            <sz val="9"/>
            <color indexed="81"/>
            <rFont val="ＭＳ Ｐゴシック"/>
            <family val="3"/>
            <charset val="128"/>
          </rPr>
          <t>非定常解析の場合にのみ有効です</t>
        </r>
      </text>
    </comment>
    <comment ref="H3" authorId="0" shapeId="0">
      <text>
        <r>
          <rPr>
            <sz val="9"/>
            <color indexed="81"/>
            <rFont val="ＭＳ Ｐゴシック"/>
            <family val="3"/>
            <charset val="128"/>
          </rPr>
          <t>非定常解析の場合にのみ有効です</t>
        </r>
      </text>
    </comment>
    <comment ref="H6" authorId="0" shapeId="0">
      <text>
        <r>
          <rPr>
            <sz val="9"/>
            <color indexed="81"/>
            <rFont val="ＭＳ Ｐゴシック"/>
            <family val="3"/>
            <charset val="128"/>
          </rPr>
          <t>非定常解析の場合にのみ有効です</t>
        </r>
      </text>
    </comment>
    <comment ref="I6" authorId="0" shapeId="0">
      <text>
        <r>
          <rPr>
            <sz val="9"/>
            <color indexed="81"/>
            <rFont val="ＭＳ Ｐゴシック"/>
            <family val="3"/>
            <charset val="128"/>
          </rPr>
          <t>非定常解析の場合にのみ有効です</t>
        </r>
      </text>
    </comment>
    <comment ref="J6" authorId="0" shapeId="0">
      <text>
        <r>
          <rPr>
            <sz val="9"/>
            <color indexed="81"/>
            <rFont val="ＭＳ Ｐゴシック"/>
            <family val="3"/>
            <charset val="128"/>
          </rPr>
          <t>非定常解析の場合にのみ有効です</t>
        </r>
      </text>
    </comment>
  </commentList>
</comments>
</file>

<file path=xl/comments5.xml><?xml version="1.0" encoding="utf-8"?>
<comments xmlns="http://schemas.openxmlformats.org/spreadsheetml/2006/main">
  <authors>
    <author>ThermalDL</author>
  </authors>
  <commentList>
    <comment ref="Q36" authorId="0" shapeId="0">
      <text>
        <r>
          <rPr>
            <b/>
            <sz val="9"/>
            <color indexed="81"/>
            <rFont val="ＭＳ Ｐゴシック"/>
            <family val="3"/>
            <charset val="128"/>
          </rPr>
          <t>温度上限値を用いて計算した最大熱伝達率です</t>
        </r>
      </text>
    </comment>
  </commentList>
</comments>
</file>

<file path=xl/comments6.xml><?xml version="1.0" encoding="utf-8"?>
<comments xmlns="http://schemas.openxmlformats.org/spreadsheetml/2006/main">
  <authors>
    <author>ThermalDL</author>
  </authors>
  <commentList>
    <comment ref="Q36" authorId="0" shapeId="0">
      <text>
        <r>
          <rPr>
            <b/>
            <sz val="9"/>
            <color indexed="81"/>
            <rFont val="ＭＳ Ｐゴシック"/>
            <family val="3"/>
            <charset val="128"/>
          </rPr>
          <t>温度上限値を用いて計算した最大熱伝達率です</t>
        </r>
      </text>
    </comment>
  </commentList>
</comments>
</file>

<file path=xl/comments7.xml><?xml version="1.0" encoding="utf-8"?>
<comments xmlns="http://schemas.openxmlformats.org/spreadsheetml/2006/main">
  <authors>
    <author>ThermalDL</author>
  </authors>
  <commentList>
    <comment ref="Q36" authorId="0" shapeId="0">
      <text>
        <r>
          <rPr>
            <b/>
            <sz val="9"/>
            <color indexed="81"/>
            <rFont val="ＭＳ Ｐゴシック"/>
            <family val="3"/>
            <charset val="128"/>
          </rPr>
          <t>温度上限値を用いて計算した最大熱伝達率です</t>
        </r>
      </text>
    </comment>
  </commentList>
</comments>
</file>

<file path=xl/sharedStrings.xml><?xml version="1.0" encoding="utf-8"?>
<sst xmlns="http://schemas.openxmlformats.org/spreadsheetml/2006/main" count="1103" uniqueCount="570">
  <si>
    <t>節点数</t>
  </si>
  <si>
    <t>要素数</t>
  </si>
  <si>
    <t>発熱節点数</t>
  </si>
  <si>
    <t>温度固定節点数</t>
  </si>
  <si>
    <t>計算反復回数</t>
  </si>
  <si>
    <t>節点１</t>
  </si>
  <si>
    <t>節点２</t>
  </si>
  <si>
    <t>熱ｺﾝﾀﾞｸﾀﾝｽ</t>
  </si>
  <si>
    <t>発熱点番号</t>
  </si>
  <si>
    <t>発熱量</t>
  </si>
  <si>
    <t>固定点番号</t>
  </si>
  <si>
    <t>固定温度</t>
  </si>
  <si>
    <t>温度固定
節点数</t>
    <phoneticPr fontId="7"/>
  </si>
  <si>
    <t>熱容量保有
節点数</t>
    <phoneticPr fontId="17"/>
  </si>
  <si>
    <t>計算ステップ(s)</t>
    <phoneticPr fontId="17"/>
  </si>
  <si>
    <t>計算終了時間(s)</t>
  </si>
  <si>
    <t>熱容量
節点番号</t>
    <phoneticPr fontId="17"/>
  </si>
  <si>
    <t>熱容量</t>
    <phoneticPr fontId="17"/>
  </si>
  <si>
    <t>初期温度（℃）</t>
    <phoneticPr fontId="17"/>
  </si>
  <si>
    <t>部品表面放熱</t>
    <rPh sb="0" eb="2">
      <t>ブヒン</t>
    </rPh>
    <rPh sb="2" eb="4">
      <t>ヒョウメン</t>
    </rPh>
    <rPh sb="4" eb="6">
      <t>ホウネツ</t>
    </rPh>
    <phoneticPr fontId="7"/>
  </si>
  <si>
    <t>ビア本数</t>
    <rPh sb="2" eb="4">
      <t>ホンスウ</t>
    </rPh>
    <phoneticPr fontId="7"/>
  </si>
  <si>
    <t>基板熱伝導</t>
    <rPh sb="0" eb="2">
      <t>キバン</t>
    </rPh>
    <rPh sb="2" eb="3">
      <t>ネツ</t>
    </rPh>
    <rPh sb="3" eb="5">
      <t>デンドウ</t>
    </rPh>
    <phoneticPr fontId="7"/>
  </si>
  <si>
    <t>サーマルビア</t>
    <phoneticPr fontId="7"/>
  </si>
  <si>
    <t>配線熱伝導</t>
    <rPh sb="0" eb="2">
      <t>ハイセン</t>
    </rPh>
    <rPh sb="2" eb="3">
      <t>ネツ</t>
    </rPh>
    <rPh sb="3" eb="5">
      <t>デンドウ</t>
    </rPh>
    <phoneticPr fontId="7"/>
  </si>
  <si>
    <t>接触熱抵抗</t>
    <rPh sb="0" eb="2">
      <t>セッショク</t>
    </rPh>
    <rPh sb="2" eb="3">
      <t>ネツ</t>
    </rPh>
    <rPh sb="3" eb="5">
      <t>テイコウ</t>
    </rPh>
    <phoneticPr fontId="7"/>
  </si>
  <si>
    <t>筐体底面放熱</t>
    <rPh sb="0" eb="2">
      <t>キョウタイ</t>
    </rPh>
    <rPh sb="2" eb="4">
      <t>テイメン</t>
    </rPh>
    <rPh sb="4" eb="6">
      <t>ホウネツ</t>
    </rPh>
    <phoneticPr fontId="7"/>
  </si>
  <si>
    <t>部品とビアの距離</t>
    <rPh sb="0" eb="2">
      <t>ブヒン</t>
    </rPh>
    <rPh sb="6" eb="8">
      <t>キョリ</t>
    </rPh>
    <phoneticPr fontId="7"/>
  </si>
  <si>
    <t>入力</t>
    <rPh sb="0" eb="2">
      <t>ニュウリョク</t>
    </rPh>
    <phoneticPr fontId="7"/>
  </si>
  <si>
    <t>筐体幅(m)</t>
    <rPh sb="0" eb="2">
      <t>キョウタイ</t>
    </rPh>
    <rPh sb="2" eb="3">
      <t>ハバ</t>
    </rPh>
    <phoneticPr fontId="7"/>
  </si>
  <si>
    <t>筐体奥行(m)</t>
    <rPh sb="0" eb="2">
      <t>キョウタイ</t>
    </rPh>
    <rPh sb="2" eb="4">
      <t>オクユキ</t>
    </rPh>
    <phoneticPr fontId="7"/>
  </si>
  <si>
    <t>筐体高さ(m)</t>
    <rPh sb="0" eb="2">
      <t>キョウタイ</t>
    </rPh>
    <rPh sb="2" eb="3">
      <t>タカ</t>
    </rPh>
    <phoneticPr fontId="7"/>
  </si>
  <si>
    <t>筐体厚み(m)</t>
    <rPh sb="0" eb="2">
      <t>キョウタイ</t>
    </rPh>
    <rPh sb="2" eb="3">
      <t>アツ</t>
    </rPh>
    <phoneticPr fontId="7"/>
  </si>
  <si>
    <t>外表面放射率</t>
    <rPh sb="0" eb="1">
      <t>ソト</t>
    </rPh>
    <rPh sb="1" eb="3">
      <t>ヒョウメン</t>
    </rPh>
    <rPh sb="3" eb="5">
      <t>ホウシャ</t>
    </rPh>
    <rPh sb="5" eb="6">
      <t>リツ</t>
    </rPh>
    <phoneticPr fontId="7"/>
  </si>
  <si>
    <t>内表面放射率</t>
    <rPh sb="0" eb="1">
      <t>ウチ</t>
    </rPh>
    <rPh sb="1" eb="3">
      <t>ヒョウメン</t>
    </rPh>
    <rPh sb="3" eb="5">
      <t>ホウシャ</t>
    </rPh>
    <rPh sb="5" eb="6">
      <t>リツ</t>
    </rPh>
    <phoneticPr fontId="7"/>
  </si>
  <si>
    <t>温度上昇</t>
  </si>
  <si>
    <t>上面</t>
    <rPh sb="0" eb="2">
      <t>ジョウメン</t>
    </rPh>
    <phoneticPr fontId="7"/>
  </si>
  <si>
    <t>前面</t>
    <rPh sb="0" eb="2">
      <t>ゼンメン</t>
    </rPh>
    <phoneticPr fontId="7"/>
  </si>
  <si>
    <t>左面</t>
    <rPh sb="0" eb="1">
      <t>ヒダリ</t>
    </rPh>
    <rPh sb="1" eb="2">
      <t>メン</t>
    </rPh>
    <phoneticPr fontId="7"/>
  </si>
  <si>
    <t>後面</t>
    <rPh sb="0" eb="1">
      <t>ウシ</t>
    </rPh>
    <rPh sb="1" eb="2">
      <t>メン</t>
    </rPh>
    <phoneticPr fontId="7"/>
  </si>
  <si>
    <t>右面</t>
    <rPh sb="0" eb="1">
      <t>ミギ</t>
    </rPh>
    <rPh sb="1" eb="2">
      <t>メン</t>
    </rPh>
    <phoneticPr fontId="7"/>
  </si>
  <si>
    <t>底面</t>
    <rPh sb="0" eb="2">
      <t>テイメン</t>
    </rPh>
    <phoneticPr fontId="7"/>
  </si>
  <si>
    <t>内部空気</t>
    <rPh sb="0" eb="2">
      <t>ナイブ</t>
    </rPh>
    <rPh sb="2" eb="4">
      <t>クウキ</t>
    </rPh>
    <phoneticPr fontId="7"/>
  </si>
  <si>
    <t>外気</t>
    <rPh sb="0" eb="2">
      <t>ガイキ</t>
    </rPh>
    <phoneticPr fontId="7"/>
  </si>
  <si>
    <t>発熱量(W)</t>
    <rPh sb="0" eb="2">
      <t>ハツネツ</t>
    </rPh>
    <rPh sb="2" eb="3">
      <t>リョウ</t>
    </rPh>
    <phoneticPr fontId="7"/>
  </si>
  <si>
    <t>周囲温度(℃)</t>
    <rPh sb="0" eb="2">
      <t>シュウイ</t>
    </rPh>
    <rPh sb="2" eb="4">
      <t>オンド</t>
    </rPh>
    <phoneticPr fontId="7"/>
  </si>
  <si>
    <r>
      <t>筺体熱伝導率</t>
    </r>
    <r>
      <rPr>
        <sz val="8"/>
        <rFont val="ＭＳ Ｐゴシック"/>
        <family val="3"/>
        <charset val="128"/>
      </rPr>
      <t>(W/mK)</t>
    </r>
    <rPh sb="0" eb="2">
      <t>キョウタイ</t>
    </rPh>
    <rPh sb="2" eb="3">
      <t>ネツ</t>
    </rPh>
    <rPh sb="3" eb="6">
      <t>デンドウリツ</t>
    </rPh>
    <phoneticPr fontId="7"/>
  </si>
  <si>
    <r>
      <t>通風口面積(m</t>
    </r>
    <r>
      <rPr>
        <vertAlign val="superscript"/>
        <sz val="11"/>
        <rFont val="ＭＳ Ｐゴシック"/>
        <family val="3"/>
        <charset val="128"/>
      </rPr>
      <t>2</t>
    </r>
    <r>
      <rPr>
        <sz val="11"/>
        <rFont val="ＭＳ Ｐゴシック"/>
        <family val="3"/>
        <charset val="128"/>
      </rPr>
      <t>)</t>
    </r>
    <rPh sb="0" eb="2">
      <t>ツウフウ</t>
    </rPh>
    <rPh sb="2" eb="3">
      <t>コウ</t>
    </rPh>
    <rPh sb="3" eb="5">
      <t>メンセキ</t>
    </rPh>
    <phoneticPr fontId="7"/>
  </si>
  <si>
    <t>風速</t>
    <rPh sb="0" eb="2">
      <t>フウソク</t>
    </rPh>
    <phoneticPr fontId="7"/>
  </si>
  <si>
    <t>放射率</t>
    <rPh sb="0" eb="2">
      <t>ホウシャ</t>
    </rPh>
    <rPh sb="2" eb="3">
      <t>リツ</t>
    </rPh>
    <phoneticPr fontId="7"/>
  </si>
  <si>
    <t>電流</t>
    <rPh sb="0" eb="2">
      <t>デンリュウ</t>
    </rPh>
    <phoneticPr fontId="17"/>
  </si>
  <si>
    <t>ゼーベック係数</t>
    <rPh sb="5" eb="7">
      <t>ケイスウ</t>
    </rPh>
    <phoneticPr fontId="17"/>
  </si>
  <si>
    <t>素子の厚み</t>
    <rPh sb="0" eb="2">
      <t>ソシ</t>
    </rPh>
    <rPh sb="3" eb="4">
      <t>アツ</t>
    </rPh>
    <phoneticPr fontId="17"/>
  </si>
  <si>
    <t>素子の断面積</t>
    <rPh sb="0" eb="2">
      <t>ソシ</t>
    </rPh>
    <rPh sb="3" eb="6">
      <t>ダンメンセキ</t>
    </rPh>
    <phoneticPr fontId="17"/>
  </si>
  <si>
    <t>素子の電気抵抗率</t>
    <rPh sb="0" eb="2">
      <t>ソシ</t>
    </rPh>
    <rPh sb="3" eb="5">
      <t>デンキ</t>
    </rPh>
    <rPh sb="5" eb="8">
      <t>テイコウリツ</t>
    </rPh>
    <phoneticPr fontId="17"/>
  </si>
  <si>
    <t>熱伝導率</t>
    <rPh sb="0" eb="3">
      <t>ネツデンドウ</t>
    </rPh>
    <rPh sb="3" eb="4">
      <t>リツ</t>
    </rPh>
    <phoneticPr fontId="17"/>
  </si>
  <si>
    <t>セラミック熱伝導率</t>
    <rPh sb="5" eb="6">
      <t>ネツ</t>
    </rPh>
    <rPh sb="6" eb="9">
      <t>デンドウリツ</t>
    </rPh>
    <phoneticPr fontId="17"/>
  </si>
  <si>
    <t>外形寸法縦</t>
    <rPh sb="0" eb="2">
      <t>ガイケイ</t>
    </rPh>
    <rPh sb="2" eb="4">
      <t>スンポウ</t>
    </rPh>
    <rPh sb="4" eb="5">
      <t>タテ</t>
    </rPh>
    <phoneticPr fontId="17"/>
  </si>
  <si>
    <t>m</t>
    <phoneticPr fontId="17"/>
  </si>
  <si>
    <t>外形寸法横</t>
    <rPh sb="0" eb="2">
      <t>ガイケイ</t>
    </rPh>
    <rPh sb="2" eb="4">
      <t>スンポウ</t>
    </rPh>
    <rPh sb="4" eb="5">
      <t>ヨコ</t>
    </rPh>
    <phoneticPr fontId="17"/>
  </si>
  <si>
    <t>外形寸法高さ</t>
    <rPh sb="0" eb="2">
      <t>ガイケイ</t>
    </rPh>
    <rPh sb="2" eb="4">
      <t>スンポウ</t>
    </rPh>
    <rPh sb="4" eb="5">
      <t>タカ</t>
    </rPh>
    <phoneticPr fontId="17"/>
  </si>
  <si>
    <t>セラミック厚み</t>
    <rPh sb="5" eb="6">
      <t>アツ</t>
    </rPh>
    <phoneticPr fontId="17"/>
  </si>
  <si>
    <t>V/K</t>
    <phoneticPr fontId="17"/>
  </si>
  <si>
    <t>W/mK</t>
    <phoneticPr fontId="17"/>
  </si>
  <si>
    <t>m</t>
    <phoneticPr fontId="17"/>
  </si>
  <si>
    <t>Ω</t>
    <phoneticPr fontId="17"/>
  </si>
  <si>
    <t>電圧</t>
    <rPh sb="0" eb="2">
      <t>デンアツ</t>
    </rPh>
    <phoneticPr fontId="7"/>
  </si>
  <si>
    <t>入力電力</t>
    <rPh sb="0" eb="2">
      <t>ニュウリョク</t>
    </rPh>
    <rPh sb="2" eb="4">
      <t>デンリョク</t>
    </rPh>
    <phoneticPr fontId="7"/>
  </si>
  <si>
    <t>部品</t>
    <rPh sb="0" eb="2">
      <t>ブヒン</t>
    </rPh>
    <phoneticPr fontId="7"/>
  </si>
  <si>
    <t>周囲温度</t>
    <rPh sb="0" eb="2">
      <t>シュウイ</t>
    </rPh>
    <rPh sb="2" eb="4">
      <t>オンド</t>
    </rPh>
    <phoneticPr fontId="7"/>
  </si>
  <si>
    <t>ペルチェ吸熱面</t>
    <rPh sb="4" eb="6">
      <t>キュウネツ</t>
    </rPh>
    <rPh sb="6" eb="7">
      <t>メン</t>
    </rPh>
    <phoneticPr fontId="7"/>
  </si>
  <si>
    <t>ペルチェ中心部</t>
    <rPh sb="4" eb="7">
      <t>チュウシンブ</t>
    </rPh>
    <phoneticPr fontId="7"/>
  </si>
  <si>
    <t>ペルチェ排熱面</t>
    <rPh sb="4" eb="6">
      <t>ハイネツ</t>
    </rPh>
    <rPh sb="6" eb="7">
      <t>メン</t>
    </rPh>
    <phoneticPr fontId="7"/>
  </si>
  <si>
    <t>セラミックC部品面</t>
    <rPh sb="6" eb="8">
      <t>ブヒン</t>
    </rPh>
    <rPh sb="8" eb="9">
      <t>メン</t>
    </rPh>
    <phoneticPr fontId="7"/>
  </si>
  <si>
    <t>セラミックC厚み中心</t>
    <rPh sb="6" eb="7">
      <t>アツ</t>
    </rPh>
    <rPh sb="8" eb="10">
      <t>チュウシン</t>
    </rPh>
    <phoneticPr fontId="7"/>
  </si>
  <si>
    <t>セラミックH厚み中心</t>
    <rPh sb="6" eb="7">
      <t>アツ</t>
    </rPh>
    <rPh sb="8" eb="10">
      <t>チュウシン</t>
    </rPh>
    <phoneticPr fontId="7"/>
  </si>
  <si>
    <t>セラミックH放熱面</t>
    <rPh sb="6" eb="8">
      <t>ホウネツ</t>
    </rPh>
    <rPh sb="8" eb="9">
      <t>メン</t>
    </rPh>
    <phoneticPr fontId="7"/>
  </si>
  <si>
    <t>電気抵抗/素子</t>
    <rPh sb="0" eb="2">
      <t>デンキ</t>
    </rPh>
    <rPh sb="2" eb="4">
      <t>テイコウ</t>
    </rPh>
    <rPh sb="5" eb="7">
      <t>ソシ</t>
    </rPh>
    <phoneticPr fontId="17"/>
  </si>
  <si>
    <t>電気抵抗/モジュール</t>
    <rPh sb="0" eb="2">
      <t>デンキ</t>
    </rPh>
    <rPh sb="2" eb="4">
      <t>テイコウ</t>
    </rPh>
    <phoneticPr fontId="17"/>
  </si>
  <si>
    <t>K/W</t>
    <phoneticPr fontId="7"/>
  </si>
  <si>
    <t>Hot-Cool戻り熱抵抗</t>
    <rPh sb="8" eb="9">
      <t>モド</t>
    </rPh>
    <rPh sb="10" eb="11">
      <t>ネツ</t>
    </rPh>
    <rPh sb="11" eb="13">
      <t>テイコウ</t>
    </rPh>
    <phoneticPr fontId="7"/>
  </si>
  <si>
    <t>発熱体-空気熱抵抗</t>
    <rPh sb="0" eb="3">
      <t>ハツネツタイ</t>
    </rPh>
    <rPh sb="4" eb="6">
      <t>クウキ</t>
    </rPh>
    <rPh sb="6" eb="7">
      <t>ネツ</t>
    </rPh>
    <rPh sb="7" eb="9">
      <t>テイコウ</t>
    </rPh>
    <phoneticPr fontId="7"/>
  </si>
  <si>
    <t>V</t>
    <phoneticPr fontId="7"/>
  </si>
  <si>
    <t>W</t>
    <phoneticPr fontId="7"/>
  </si>
  <si>
    <t>ヒートシンク熱抵抗（接触含む）</t>
    <rPh sb="6" eb="7">
      <t>ネツ</t>
    </rPh>
    <rPh sb="7" eb="9">
      <t>テイコウ</t>
    </rPh>
    <rPh sb="10" eb="12">
      <t>セッショク</t>
    </rPh>
    <rPh sb="12" eb="13">
      <t>フク</t>
    </rPh>
    <phoneticPr fontId="7"/>
  </si>
  <si>
    <t>A</t>
    <phoneticPr fontId="7"/>
  </si>
  <si>
    <t xml:space="preserve"> 成績係数　COP</t>
    <rPh sb="1" eb="3">
      <t>セイセキ</t>
    </rPh>
    <rPh sb="3" eb="5">
      <t>ケイスウ</t>
    </rPh>
    <phoneticPr fontId="7"/>
  </si>
  <si>
    <t xml:space="preserve"> 投入電力　　[W]</t>
    <rPh sb="1" eb="3">
      <t>トウニュウ</t>
    </rPh>
    <rPh sb="3" eb="5">
      <t>デンリョク</t>
    </rPh>
    <phoneticPr fontId="7"/>
  </si>
  <si>
    <t xml:space="preserve"> 吸熱量　Qc　[W]</t>
    <rPh sb="1" eb="3">
      <t>キュウネツ</t>
    </rPh>
    <rPh sb="3" eb="4">
      <t>リョウ</t>
    </rPh>
    <phoneticPr fontId="7"/>
  </si>
  <si>
    <t xml:space="preserve"> 温度差ΔT　[℃]</t>
    <rPh sb="1" eb="4">
      <t>オンドサ</t>
    </rPh>
    <phoneticPr fontId="7"/>
  </si>
  <si>
    <r>
      <t>m</t>
    </r>
    <r>
      <rPr>
        <vertAlign val="superscript"/>
        <sz val="11"/>
        <rFont val="Times New Roman"/>
        <family val="1"/>
      </rPr>
      <t>2</t>
    </r>
    <phoneticPr fontId="17"/>
  </si>
  <si>
    <r>
      <rPr>
        <sz val="11"/>
        <rFont val="ＭＳ Ｐ明朝"/>
        <family val="1"/>
        <charset val="128"/>
      </rPr>
      <t>Ω</t>
    </r>
    <r>
      <rPr>
        <sz val="11"/>
        <rFont val="Times New Roman"/>
        <family val="1"/>
      </rPr>
      <t>m</t>
    </r>
    <phoneticPr fontId="17"/>
  </si>
  <si>
    <t>部品の発熱量</t>
    <rPh sb="0" eb="2">
      <t>ブヒン</t>
    </rPh>
    <rPh sb="3" eb="5">
      <t>ハツネツ</t>
    </rPh>
    <rPh sb="5" eb="6">
      <t>リョウ</t>
    </rPh>
    <phoneticPr fontId="17"/>
  </si>
  <si>
    <t>W</t>
    <phoneticPr fontId="7"/>
  </si>
  <si>
    <t>素子数　(PNペア数）</t>
    <rPh sb="0" eb="2">
      <t>ソシ</t>
    </rPh>
    <rPh sb="2" eb="3">
      <t>スウ</t>
    </rPh>
    <rPh sb="9" eb="10">
      <t>スウ</t>
    </rPh>
    <phoneticPr fontId="17"/>
  </si>
  <si>
    <t>ペア</t>
    <phoneticPr fontId="7"/>
  </si>
  <si>
    <t>節点番号</t>
    <phoneticPr fontId="7"/>
  </si>
  <si>
    <t>温度</t>
    <phoneticPr fontId="7"/>
  </si>
  <si>
    <t>m</t>
    <phoneticPr fontId="7"/>
  </si>
  <si>
    <t>本</t>
    <rPh sb="0" eb="1">
      <t>ホン</t>
    </rPh>
    <phoneticPr fontId="7"/>
  </si>
  <si>
    <t>時間Step</t>
    <phoneticPr fontId="7"/>
  </si>
  <si>
    <t>熱伝達率</t>
    <rPh sb="0" eb="3">
      <t>ネツデンタツ</t>
    </rPh>
    <rPh sb="3" eb="4">
      <t>リツ</t>
    </rPh>
    <phoneticPr fontId="7"/>
  </si>
  <si>
    <t>熱回路網法　(TEC 熱電素子）</t>
    <rPh sb="0" eb="1">
      <t>ネツ</t>
    </rPh>
    <rPh sb="1" eb="3">
      <t>カイロ</t>
    </rPh>
    <rPh sb="3" eb="4">
      <t>モウ</t>
    </rPh>
    <rPh sb="4" eb="5">
      <t>ホウ</t>
    </rPh>
    <rPh sb="11" eb="12">
      <t>ネツ</t>
    </rPh>
    <rPh sb="12" eb="13">
      <t>デン</t>
    </rPh>
    <rPh sb="13" eb="15">
      <t>ソシ</t>
    </rPh>
    <phoneticPr fontId="7"/>
  </si>
  <si>
    <t>節点番号</t>
    <phoneticPr fontId="17"/>
  </si>
  <si>
    <t>温度</t>
    <phoneticPr fontId="17"/>
  </si>
  <si>
    <t>℃</t>
    <phoneticPr fontId="7"/>
  </si>
  <si>
    <t>温度</t>
    <rPh sb="0" eb="2">
      <t>オンド</t>
    </rPh>
    <phoneticPr fontId="7"/>
  </si>
  <si>
    <t>放熱面積（両面）</t>
    <rPh sb="0" eb="2">
      <t>ホウネツ</t>
    </rPh>
    <rPh sb="2" eb="4">
      <t>メンセキ</t>
    </rPh>
    <rPh sb="5" eb="7">
      <t>リョウメン</t>
    </rPh>
    <phoneticPr fontId="7"/>
  </si>
  <si>
    <t>放射熱伝達率</t>
    <rPh sb="0" eb="2">
      <t>ホウシャ</t>
    </rPh>
    <rPh sb="2" eb="5">
      <t>ネツデンタツ</t>
    </rPh>
    <rPh sb="5" eb="6">
      <t>リツ</t>
    </rPh>
    <phoneticPr fontId="7"/>
  </si>
  <si>
    <t>W</t>
    <phoneticPr fontId="7"/>
  </si>
  <si>
    <t>発熱量</t>
    <rPh sb="0" eb="2">
      <t>ハツネツ</t>
    </rPh>
    <rPh sb="2" eb="3">
      <t>リョウ</t>
    </rPh>
    <phoneticPr fontId="7"/>
  </si>
  <si>
    <t>対流熱伝達率</t>
    <rPh sb="0" eb="2">
      <t>タイリュウ</t>
    </rPh>
    <rPh sb="2" eb="5">
      <t>ネツデンタツ</t>
    </rPh>
    <rPh sb="5" eb="6">
      <t>リツ</t>
    </rPh>
    <phoneticPr fontId="7"/>
  </si>
  <si>
    <t>Ω</t>
    <phoneticPr fontId="7"/>
  </si>
  <si>
    <t>電気抵抗値</t>
    <rPh sb="0" eb="2">
      <t>デンキ</t>
    </rPh>
    <rPh sb="2" eb="4">
      <t>テイコウ</t>
    </rPh>
    <rPh sb="4" eb="5">
      <t>チ</t>
    </rPh>
    <phoneticPr fontId="7"/>
  </si>
  <si>
    <t>銅箔温度上昇</t>
    <rPh sb="0" eb="2">
      <t>ドウハク</t>
    </rPh>
    <rPh sb="2" eb="4">
      <t>オンド</t>
    </rPh>
    <rPh sb="4" eb="6">
      <t>ジョウショウ</t>
    </rPh>
    <phoneticPr fontId="7"/>
  </si>
  <si>
    <t>周囲温度K</t>
    <rPh sb="0" eb="2">
      <t>シュウイ</t>
    </rPh>
    <rPh sb="2" eb="4">
      <t>オンド</t>
    </rPh>
    <phoneticPr fontId="7"/>
  </si>
  <si>
    <t>A</t>
    <phoneticPr fontId="7"/>
  </si>
  <si>
    <t>電流値</t>
    <rPh sb="0" eb="3">
      <t>デンリュウチ</t>
    </rPh>
    <phoneticPr fontId="7"/>
  </si>
  <si>
    <t>銅箔温度K</t>
    <rPh sb="0" eb="2">
      <t>ドウハク</t>
    </rPh>
    <rPh sb="2" eb="4">
      <t>オンド</t>
    </rPh>
    <phoneticPr fontId="7"/>
  </si>
  <si>
    <t>層数</t>
    <rPh sb="0" eb="2">
      <t>ソウスウ</t>
    </rPh>
    <phoneticPr fontId="7"/>
  </si>
  <si>
    <t>㎜</t>
    <phoneticPr fontId="7"/>
  </si>
  <si>
    <t>配線長</t>
    <rPh sb="0" eb="2">
      <t>ハイセン</t>
    </rPh>
    <rPh sb="2" eb="3">
      <t>ナガ</t>
    </rPh>
    <phoneticPr fontId="7"/>
  </si>
  <si>
    <t>計算用ワークエリア</t>
    <rPh sb="0" eb="2">
      <t>ケイサン</t>
    </rPh>
    <rPh sb="2" eb="3">
      <t>ヨウ</t>
    </rPh>
    <phoneticPr fontId="7"/>
  </si>
  <si>
    <t>配線幅</t>
    <rPh sb="0" eb="2">
      <t>ハイセン</t>
    </rPh>
    <rPh sb="2" eb="3">
      <t>ハバ</t>
    </rPh>
    <phoneticPr fontId="7"/>
  </si>
  <si>
    <t>β</t>
  </si>
  <si>
    <t>体膨張係数</t>
    <rPh sb="0" eb="1">
      <t>タイ</t>
    </rPh>
    <phoneticPr fontId="37"/>
  </si>
  <si>
    <t>μm</t>
    <phoneticPr fontId="7"/>
  </si>
  <si>
    <t>銅箔厚</t>
    <rPh sb="0" eb="2">
      <t>ドウハク</t>
    </rPh>
    <rPh sb="2" eb="3">
      <t>アツ</t>
    </rPh>
    <phoneticPr fontId="7"/>
  </si>
  <si>
    <t>λ（W/mK)</t>
    <phoneticPr fontId="37"/>
  </si>
  <si>
    <t>流体熱伝導率</t>
    <rPh sb="0" eb="2">
      <t>リュウタイ</t>
    </rPh>
    <phoneticPr fontId="37"/>
  </si>
  <si>
    <t>Pr</t>
  </si>
  <si>
    <t>ﾌﾟﾗﾝﾄﾙ数</t>
    <phoneticPr fontId="37"/>
  </si>
  <si>
    <r>
      <t>ν(m</t>
    </r>
    <r>
      <rPr>
        <vertAlign val="superscript"/>
        <sz val="9"/>
        <rFont val="ＭＳ Ｐゴシック"/>
        <family val="3"/>
        <charset val="128"/>
      </rPr>
      <t>2</t>
    </r>
    <r>
      <rPr>
        <sz val="9"/>
        <rFont val="ＭＳ Ｐゴシック"/>
        <family val="3"/>
        <charset val="128"/>
      </rPr>
      <t>/s)</t>
    </r>
    <phoneticPr fontId="37"/>
  </si>
  <si>
    <t>動粘性係数</t>
  </si>
  <si>
    <t>温度係数</t>
    <rPh sb="0" eb="2">
      <t>オンド</t>
    </rPh>
    <rPh sb="2" eb="4">
      <t>ケイスウ</t>
    </rPh>
    <phoneticPr fontId="7"/>
  </si>
  <si>
    <r>
      <t>g(m/s</t>
    </r>
    <r>
      <rPr>
        <vertAlign val="superscript"/>
        <sz val="9"/>
        <rFont val="ＭＳ Ｐゴシック"/>
        <family val="3"/>
        <charset val="128"/>
      </rPr>
      <t>2</t>
    </r>
    <r>
      <rPr>
        <sz val="9"/>
        <rFont val="ＭＳ Ｐゴシック"/>
        <family val="3"/>
        <charset val="128"/>
      </rPr>
      <t>)</t>
    </r>
    <phoneticPr fontId="37"/>
  </si>
  <si>
    <t>重力加速度</t>
  </si>
  <si>
    <t>m・Ω</t>
    <phoneticPr fontId="7"/>
  </si>
  <si>
    <t>抵抗率</t>
    <rPh sb="0" eb="3">
      <t>テイコウリツ</t>
    </rPh>
    <phoneticPr fontId="7"/>
  </si>
  <si>
    <r>
      <t>ρ(kg/m</t>
    </r>
    <r>
      <rPr>
        <vertAlign val="superscript"/>
        <sz val="9"/>
        <rFont val="ＭＳ Ｐゴシック"/>
        <family val="3"/>
        <charset val="128"/>
      </rPr>
      <t>3</t>
    </r>
    <r>
      <rPr>
        <sz val="9"/>
        <rFont val="ＭＳ Ｐゴシック"/>
        <family val="3"/>
        <charset val="128"/>
      </rPr>
      <t>)</t>
    </r>
    <phoneticPr fontId="37"/>
  </si>
  <si>
    <t>流体密度</t>
    <rPh sb="0" eb="2">
      <t>リュウタイ</t>
    </rPh>
    <rPh sb="2" eb="4">
      <t>ミツド</t>
    </rPh>
    <phoneticPr fontId="37"/>
  </si>
  <si>
    <t>１/mΩ</t>
    <phoneticPr fontId="7"/>
  </si>
  <si>
    <t>導電率</t>
    <rPh sb="0" eb="2">
      <t>ドウデン</t>
    </rPh>
    <rPh sb="2" eb="3">
      <t>リツ</t>
    </rPh>
    <phoneticPr fontId="7"/>
  </si>
  <si>
    <t>流体の物性値</t>
    <rPh sb="0" eb="2">
      <t>リュウタイ</t>
    </rPh>
    <rPh sb="3" eb="6">
      <t>ブッセイチ</t>
    </rPh>
    <phoneticPr fontId="7"/>
  </si>
  <si>
    <t>アルミ</t>
    <phoneticPr fontId="7"/>
  </si>
  <si>
    <t>銅</t>
    <rPh sb="0" eb="1">
      <t>ドウ</t>
    </rPh>
    <phoneticPr fontId="7"/>
  </si>
  <si>
    <t>単位</t>
    <rPh sb="0" eb="2">
      <t>タンイ</t>
    </rPh>
    <phoneticPr fontId="7"/>
  </si>
  <si>
    <t>項目</t>
    <rPh sb="0" eb="2">
      <t>コウモク</t>
    </rPh>
    <phoneticPr fontId="7"/>
  </si>
  <si>
    <t>参考データ</t>
    <rPh sb="0" eb="2">
      <t>サンコウ</t>
    </rPh>
    <phoneticPr fontId="7"/>
  </si>
  <si>
    <t>ジュール発熱による配線温度上昇計算</t>
    <rPh sb="4" eb="6">
      <t>ハツネツ</t>
    </rPh>
    <rPh sb="9" eb="11">
      <t>ハイセン</t>
    </rPh>
    <rPh sb="11" eb="13">
      <t>オンド</t>
    </rPh>
    <rPh sb="13" eb="15">
      <t>ジョウショウ</t>
    </rPh>
    <rPh sb="15" eb="17">
      <t>ケイサン</t>
    </rPh>
    <phoneticPr fontId="7"/>
  </si>
  <si>
    <t>上面代表長</t>
    <rPh sb="0" eb="2">
      <t>ジョウメン</t>
    </rPh>
    <rPh sb="2" eb="4">
      <t>ダイヒョウ</t>
    </rPh>
    <rPh sb="4" eb="5">
      <t>チョウ</t>
    </rPh>
    <phoneticPr fontId="7"/>
  </si>
  <si>
    <t>Stop</t>
    <phoneticPr fontId="7"/>
  </si>
  <si>
    <t>筐体上面面積</t>
    <rPh sb="0" eb="2">
      <t>キョウタイ</t>
    </rPh>
    <rPh sb="2" eb="4">
      <t>ジョウメン</t>
    </rPh>
    <rPh sb="4" eb="6">
      <t>メンセキ</t>
    </rPh>
    <phoneticPr fontId="7"/>
  </si>
  <si>
    <t>表面放射率</t>
    <rPh sb="0" eb="2">
      <t>ヒョウメン</t>
    </rPh>
    <rPh sb="2" eb="4">
      <t>ホウシャ</t>
    </rPh>
    <rPh sb="4" eb="5">
      <t>リツ</t>
    </rPh>
    <phoneticPr fontId="7"/>
  </si>
  <si>
    <t>Sside</t>
    <phoneticPr fontId="7"/>
  </si>
  <si>
    <t>筐体側面面積</t>
    <rPh sb="0" eb="2">
      <t>キョウタイ</t>
    </rPh>
    <rPh sb="2" eb="4">
      <t>ソクメン</t>
    </rPh>
    <rPh sb="4" eb="6">
      <t>メンセキ</t>
    </rPh>
    <phoneticPr fontId="7"/>
  </si>
  <si>
    <t>発熱量 (W)</t>
    <rPh sb="0" eb="2">
      <t>ハツネツ</t>
    </rPh>
    <rPh sb="2" eb="3">
      <t>リョウ</t>
    </rPh>
    <phoneticPr fontId="7"/>
  </si>
  <si>
    <t>Sbot</t>
    <phoneticPr fontId="7"/>
  </si>
  <si>
    <t>筐体底面面積</t>
    <rPh sb="0" eb="2">
      <t>キョウタイ</t>
    </rPh>
    <rPh sb="2" eb="4">
      <t>テイメン</t>
    </rPh>
    <rPh sb="4" eb="6">
      <t>メンセキ</t>
    </rPh>
    <phoneticPr fontId="7"/>
  </si>
  <si>
    <r>
      <t>通風口面積　(m</t>
    </r>
    <r>
      <rPr>
        <vertAlign val="superscript"/>
        <sz val="11"/>
        <rFont val="ＭＳ Ｐゴシック"/>
        <family val="3"/>
        <charset val="128"/>
      </rPr>
      <t>2</t>
    </r>
    <r>
      <rPr>
        <sz val="11"/>
        <rFont val="ＭＳ Ｐゴシック"/>
        <family val="3"/>
        <charset val="128"/>
      </rPr>
      <t>)</t>
    </r>
    <rPh sb="0" eb="2">
      <t>ツウフウ</t>
    </rPh>
    <rPh sb="2" eb="3">
      <t>コウ</t>
    </rPh>
    <rPh sb="3" eb="5">
      <t>メンセキ</t>
    </rPh>
    <phoneticPr fontId="7"/>
  </si>
  <si>
    <t>σ</t>
    <phoneticPr fontId="7"/>
  </si>
  <si>
    <t>ステファンボルツマン定数</t>
    <rPh sb="10" eb="12">
      <t>ジョウスウ</t>
    </rPh>
    <phoneticPr fontId="7"/>
  </si>
  <si>
    <t>周囲空気温度℃</t>
    <rPh sb="0" eb="2">
      <t>シュウイ</t>
    </rPh>
    <rPh sb="2" eb="4">
      <t>クウキ</t>
    </rPh>
    <rPh sb="4" eb="6">
      <t>オンド</t>
    </rPh>
    <phoneticPr fontId="7"/>
  </si>
  <si>
    <t>煙突長</t>
    <rPh sb="0" eb="2">
      <t>エントツ</t>
    </rPh>
    <rPh sb="2" eb="3">
      <t>チョウ</t>
    </rPh>
    <phoneticPr fontId="7"/>
  </si>
  <si>
    <t>表面温度上昇ΔＴ（仮定値）</t>
    <rPh sb="0" eb="2">
      <t>ヒョウメン</t>
    </rPh>
    <rPh sb="2" eb="4">
      <t>オンド</t>
    </rPh>
    <rPh sb="4" eb="6">
      <t>ジョウショウ</t>
    </rPh>
    <rPh sb="9" eb="11">
      <t>カテイ</t>
    </rPh>
    <rPh sb="11" eb="12">
      <t>チ</t>
    </rPh>
    <phoneticPr fontId="7"/>
  </si>
  <si>
    <t>内部空気温度上昇</t>
    <rPh sb="0" eb="2">
      <t>ナイブ</t>
    </rPh>
    <rPh sb="2" eb="4">
      <t>クウキ</t>
    </rPh>
    <rPh sb="4" eb="6">
      <t>オンド</t>
    </rPh>
    <rPh sb="6" eb="8">
      <t>ジョウショウ</t>
    </rPh>
    <phoneticPr fontId="7"/>
  </si>
  <si>
    <t>周囲温度（K）</t>
    <rPh sb="0" eb="2">
      <t>シュウイ</t>
    </rPh>
    <rPh sb="2" eb="4">
      <t>オンド</t>
    </rPh>
    <phoneticPr fontId="7"/>
  </si>
  <si>
    <t>内部空気温度</t>
    <rPh sb="0" eb="2">
      <t>ナイブ</t>
    </rPh>
    <rPh sb="2" eb="4">
      <t>クウキ</t>
    </rPh>
    <rPh sb="4" eb="6">
      <t>オンド</t>
    </rPh>
    <phoneticPr fontId="7"/>
  </si>
  <si>
    <t>表面温度（K)</t>
    <rPh sb="0" eb="2">
      <t>ヒョウメン</t>
    </rPh>
    <rPh sb="2" eb="4">
      <t>オンド</t>
    </rPh>
    <phoneticPr fontId="7"/>
  </si>
  <si>
    <t>表面温度</t>
    <rPh sb="0" eb="2">
      <t>ヒョウメン</t>
    </rPh>
    <rPh sb="2" eb="4">
      <t>オンド</t>
    </rPh>
    <phoneticPr fontId="7"/>
  </si>
  <si>
    <t>熱ｺﾝﾀﾞｸﾀﾝｽ</t>
    <rPh sb="0" eb="1">
      <t>ネツ</t>
    </rPh>
    <phoneticPr fontId="7"/>
  </si>
  <si>
    <t>放熱量</t>
    <rPh sb="0" eb="1">
      <t>ホウ</t>
    </rPh>
    <rPh sb="1" eb="3">
      <t>ネツリョウ</t>
    </rPh>
    <phoneticPr fontId="7"/>
  </si>
  <si>
    <t>上面の対流熱伝達率</t>
    <rPh sb="0" eb="2">
      <t>ジョウメン</t>
    </rPh>
    <rPh sb="3" eb="5">
      <t>タイリュウ</t>
    </rPh>
    <rPh sb="5" eb="8">
      <t>ネツデンタツ</t>
    </rPh>
    <rPh sb="8" eb="9">
      <t>リツ</t>
    </rPh>
    <phoneticPr fontId="7"/>
  </si>
  <si>
    <t>側面の対流熱伝達率</t>
    <rPh sb="0" eb="2">
      <t>ソクメン</t>
    </rPh>
    <rPh sb="3" eb="5">
      <t>タイリュウ</t>
    </rPh>
    <rPh sb="5" eb="8">
      <t>ネツデンタツ</t>
    </rPh>
    <rPh sb="8" eb="9">
      <t>リツ</t>
    </rPh>
    <phoneticPr fontId="7"/>
  </si>
  <si>
    <t>底面の対流熱伝達率</t>
    <rPh sb="0" eb="2">
      <t>テイメン</t>
    </rPh>
    <rPh sb="3" eb="5">
      <t>タイリュウ</t>
    </rPh>
    <rPh sb="5" eb="8">
      <t>ネツデンタツ</t>
    </rPh>
    <rPh sb="8" eb="9">
      <t>リツ</t>
    </rPh>
    <phoneticPr fontId="7"/>
  </si>
  <si>
    <t>全面の放射熱伝達率</t>
    <rPh sb="0" eb="2">
      <t>ゼンメン</t>
    </rPh>
    <rPh sb="3" eb="5">
      <t>ホウシャ</t>
    </rPh>
    <rPh sb="5" eb="8">
      <t>ネツデンタツ</t>
    </rPh>
    <rPh sb="8" eb="9">
      <t>リツ</t>
    </rPh>
    <phoneticPr fontId="7"/>
  </si>
  <si>
    <t>換気による放熱量</t>
    <rPh sb="0" eb="2">
      <t>カンキ</t>
    </rPh>
    <rPh sb="5" eb="6">
      <t>ホウ</t>
    </rPh>
    <rPh sb="6" eb="8">
      <t>ネツリョウ</t>
    </rPh>
    <phoneticPr fontId="7"/>
  </si>
  <si>
    <t>合計放熱量</t>
    <rPh sb="0" eb="2">
      <t>ゴウケイ</t>
    </rPh>
    <rPh sb="2" eb="4">
      <t>ホウネツ</t>
    </rPh>
    <rPh sb="4" eb="5">
      <t>リョウ</t>
    </rPh>
    <phoneticPr fontId="7"/>
  </si>
  <si>
    <t>ＥＲＲ</t>
    <phoneticPr fontId="7"/>
  </si>
  <si>
    <t>筐体縦(m)</t>
    <rPh sb="0" eb="2">
      <t>キョウタイ</t>
    </rPh>
    <rPh sb="2" eb="3">
      <t>タテ</t>
    </rPh>
    <phoneticPr fontId="7"/>
  </si>
  <si>
    <t>筐体横(m)</t>
    <rPh sb="0" eb="2">
      <t>キョウタイ</t>
    </rPh>
    <rPh sb="2" eb="3">
      <t>ヨコ</t>
    </rPh>
    <phoneticPr fontId="7"/>
  </si>
  <si>
    <t>Stop</t>
    <phoneticPr fontId="7"/>
  </si>
  <si>
    <t>Sside</t>
    <phoneticPr fontId="7"/>
  </si>
  <si>
    <t>Sbot</t>
    <phoneticPr fontId="7"/>
  </si>
  <si>
    <r>
      <t>通風口面積　(m</t>
    </r>
    <r>
      <rPr>
        <vertAlign val="superscript"/>
        <sz val="11"/>
        <rFont val="ＭＳ Ｐゴシック"/>
        <family val="3"/>
        <charset val="128"/>
      </rPr>
      <t>2</t>
    </r>
    <r>
      <rPr>
        <sz val="11"/>
        <rFont val="ＭＳ Ｐゴシック"/>
        <family val="3"/>
        <charset val="128"/>
      </rPr>
      <t>)</t>
    </r>
    <rPh sb="0" eb="2">
      <t>ツウフウ</t>
    </rPh>
    <rPh sb="2" eb="3">
      <t>コウ</t>
    </rPh>
    <rPh sb="3" eb="5">
      <t>メンセキ</t>
    </rPh>
    <phoneticPr fontId="7"/>
  </si>
  <si>
    <t>σ</t>
    <phoneticPr fontId="7"/>
  </si>
  <si>
    <t>煙突高さ</t>
    <rPh sb="0" eb="2">
      <t>エントツ</t>
    </rPh>
    <rPh sb="2" eb="3">
      <t>タカ</t>
    </rPh>
    <phoneticPr fontId="7"/>
  </si>
  <si>
    <t>筐体高さの1/2としている</t>
    <rPh sb="0" eb="2">
      <t>キョウタイ</t>
    </rPh>
    <rPh sb="2" eb="3">
      <t>タカ</t>
    </rPh>
    <phoneticPr fontId="7"/>
  </si>
  <si>
    <t>ΔＴ（仮定値）</t>
    <rPh sb="3" eb="5">
      <t>カテイ</t>
    </rPh>
    <rPh sb="5" eb="6">
      <t>チ</t>
    </rPh>
    <phoneticPr fontId="7"/>
  </si>
  <si>
    <t>Ｗ</t>
    <phoneticPr fontId="7"/>
  </si>
  <si>
    <t>自然空冷筐体温度計算　(4.1.3項で解説） 伝熱基礎式の組み合わせによる計算</t>
    <rPh sb="0" eb="2">
      <t>シゼン</t>
    </rPh>
    <rPh sb="2" eb="4">
      <t>クウレイ</t>
    </rPh>
    <rPh sb="4" eb="6">
      <t>キョウタイ</t>
    </rPh>
    <rPh sb="6" eb="8">
      <t>オンド</t>
    </rPh>
    <rPh sb="8" eb="10">
      <t>ケイサン</t>
    </rPh>
    <rPh sb="17" eb="18">
      <t>コウ</t>
    </rPh>
    <rPh sb="19" eb="21">
      <t>カイセツ</t>
    </rPh>
    <phoneticPr fontId="7"/>
  </si>
  <si>
    <t>自然空冷筐体温度計算　(4.1.3項で解説）筐体温度上昇計算式（実験式）</t>
    <rPh sb="0" eb="2">
      <t>シゼン</t>
    </rPh>
    <rPh sb="2" eb="4">
      <t>クウレイ</t>
    </rPh>
    <rPh sb="4" eb="6">
      <t>キョウタイ</t>
    </rPh>
    <rPh sb="6" eb="8">
      <t>オンド</t>
    </rPh>
    <rPh sb="8" eb="10">
      <t>ケイサン</t>
    </rPh>
    <rPh sb="17" eb="18">
      <t>コウ</t>
    </rPh>
    <rPh sb="19" eb="21">
      <t>カイセツ</t>
    </rPh>
    <rPh sb="22" eb="24">
      <t>キョウタイ</t>
    </rPh>
    <rPh sb="24" eb="26">
      <t>オンド</t>
    </rPh>
    <rPh sb="26" eb="28">
      <t>ジョウショウ</t>
    </rPh>
    <rPh sb="28" eb="30">
      <t>ケイサン</t>
    </rPh>
    <rPh sb="30" eb="31">
      <t>シキ</t>
    </rPh>
    <rPh sb="32" eb="34">
      <t>ジッケン</t>
    </rPh>
    <rPh sb="34" eb="35">
      <t>シキ</t>
    </rPh>
    <phoneticPr fontId="7"/>
  </si>
  <si>
    <t>m/s</t>
    <phoneticPr fontId="7"/>
  </si>
  <si>
    <t>太陽吸収率</t>
    <rPh sb="0" eb="2">
      <t>タイヨウ</t>
    </rPh>
    <rPh sb="2" eb="4">
      <t>キュウシュウ</t>
    </rPh>
    <rPh sb="4" eb="5">
      <t>リツ</t>
    </rPh>
    <phoneticPr fontId="7"/>
  </si>
  <si>
    <r>
      <t>日射量W/m</t>
    </r>
    <r>
      <rPr>
        <b/>
        <vertAlign val="superscript"/>
        <sz val="11"/>
        <rFont val="ＭＳ Ｐゴシック"/>
        <family val="3"/>
        <charset val="128"/>
      </rPr>
      <t>2</t>
    </r>
    <rPh sb="0" eb="2">
      <t>ニッシャ</t>
    </rPh>
    <rPh sb="2" eb="3">
      <t>リョウ</t>
    </rPh>
    <phoneticPr fontId="7"/>
  </si>
  <si>
    <t>熱回路網法 筐体熱回路モデル（日射受熱）</t>
    <rPh sb="0" eb="1">
      <t>ネツ</t>
    </rPh>
    <rPh sb="1" eb="3">
      <t>カイロ</t>
    </rPh>
    <rPh sb="3" eb="4">
      <t>モウ</t>
    </rPh>
    <rPh sb="4" eb="5">
      <t>ホウ</t>
    </rPh>
    <rPh sb="6" eb="8">
      <t>キョウタイ</t>
    </rPh>
    <rPh sb="8" eb="9">
      <t>ネツ</t>
    </rPh>
    <rPh sb="9" eb="11">
      <t>カイロ</t>
    </rPh>
    <rPh sb="15" eb="17">
      <t>ニッシャ</t>
    </rPh>
    <rPh sb="17" eb="18">
      <t>ジュ</t>
    </rPh>
    <rPh sb="18" eb="19">
      <t>ネツ</t>
    </rPh>
    <phoneticPr fontId="7"/>
  </si>
  <si>
    <t>■モータ仕様入力</t>
    <rPh sb="4" eb="6">
      <t>シヨウ</t>
    </rPh>
    <rPh sb="6" eb="8">
      <t>ニュウリョク</t>
    </rPh>
    <phoneticPr fontId="59"/>
  </si>
  <si>
    <t>直径</t>
    <rPh sb="0" eb="2">
      <t>チョッケイ</t>
    </rPh>
    <phoneticPr fontId="59"/>
  </si>
  <si>
    <t>mm</t>
    <phoneticPr fontId="59"/>
  </si>
  <si>
    <t>全表面積</t>
    <rPh sb="0" eb="1">
      <t>ゼン</t>
    </rPh>
    <rPh sb="1" eb="4">
      <t>ヒョウメンセキ</t>
    </rPh>
    <phoneticPr fontId="59"/>
  </si>
  <si>
    <t>m2</t>
    <phoneticPr fontId="59"/>
  </si>
  <si>
    <t>長さ</t>
    <rPh sb="0" eb="1">
      <t>ナガ</t>
    </rPh>
    <phoneticPr fontId="59"/>
  </si>
  <si>
    <t>フランジ表面積</t>
    <rPh sb="4" eb="7">
      <t>ヒョウメンセキ</t>
    </rPh>
    <phoneticPr fontId="59"/>
  </si>
  <si>
    <t>mm2</t>
    <phoneticPr fontId="59"/>
  </si>
  <si>
    <t>発熱量</t>
    <rPh sb="0" eb="2">
      <t>ハツネツ</t>
    </rPh>
    <rPh sb="2" eb="3">
      <t>リョウ</t>
    </rPh>
    <phoneticPr fontId="59"/>
  </si>
  <si>
    <t>W</t>
    <phoneticPr fontId="59"/>
  </si>
  <si>
    <t>放射率</t>
    <rPh sb="0" eb="2">
      <t>ホウシャ</t>
    </rPh>
    <rPh sb="2" eb="3">
      <t>リツ</t>
    </rPh>
    <phoneticPr fontId="59"/>
  </si>
  <si>
    <t>■ファン仕様入力</t>
    <rPh sb="4" eb="6">
      <t>シヨウ</t>
    </rPh>
    <rPh sb="6" eb="8">
      <t>ニュウリョク</t>
    </rPh>
    <phoneticPr fontId="59"/>
  </si>
  <si>
    <t>外形寸法</t>
    <rPh sb="0" eb="2">
      <t>ガイケイ</t>
    </rPh>
    <rPh sb="2" eb="4">
      <t>スンポウ</t>
    </rPh>
    <phoneticPr fontId="59"/>
  </si>
  <si>
    <t>見かけ流路面積</t>
    <rPh sb="0" eb="1">
      <t>ミ</t>
    </rPh>
    <rPh sb="3" eb="5">
      <t>リュウロ</t>
    </rPh>
    <rPh sb="5" eb="7">
      <t>メンセキ</t>
    </rPh>
    <phoneticPr fontId="59"/>
  </si>
  <si>
    <t>ブレード穴直径</t>
    <rPh sb="4" eb="5">
      <t>アナ</t>
    </rPh>
    <rPh sb="5" eb="7">
      <t>チョッケイ</t>
    </rPh>
    <phoneticPr fontId="59"/>
  </si>
  <si>
    <t>最小流路面積</t>
    <rPh sb="0" eb="2">
      <t>サイショウ</t>
    </rPh>
    <rPh sb="2" eb="4">
      <t>リュウロ</t>
    </rPh>
    <rPh sb="4" eb="6">
      <t>メンセキ</t>
    </rPh>
    <phoneticPr fontId="59"/>
  </si>
  <si>
    <t>モータ部直径</t>
    <rPh sb="3" eb="4">
      <t>ブ</t>
    </rPh>
    <rPh sb="4" eb="6">
      <t>チョッケイ</t>
    </rPh>
    <phoneticPr fontId="59"/>
  </si>
  <si>
    <t>最大風量</t>
    <rPh sb="0" eb="2">
      <t>サイダイ</t>
    </rPh>
    <rPh sb="2" eb="4">
      <t>フウリョウ</t>
    </rPh>
    <phoneticPr fontId="59"/>
  </si>
  <si>
    <t>m3/min</t>
    <phoneticPr fontId="59"/>
  </si>
  <si>
    <t>室温</t>
    <rPh sb="0" eb="2">
      <t>シツオン</t>
    </rPh>
    <phoneticPr fontId="59"/>
  </si>
  <si>
    <t>風速計算結果</t>
    <rPh sb="0" eb="2">
      <t>フウソク</t>
    </rPh>
    <rPh sb="2" eb="4">
      <t>ケイサン</t>
    </rPh>
    <rPh sb="4" eb="6">
      <t>ケッカ</t>
    </rPh>
    <phoneticPr fontId="59"/>
  </si>
  <si>
    <t>最大風速</t>
    <rPh sb="0" eb="2">
      <t>サイダイ</t>
    </rPh>
    <rPh sb="2" eb="4">
      <t>フウソク</t>
    </rPh>
    <phoneticPr fontId="59"/>
  </si>
  <si>
    <t>m/s</t>
    <phoneticPr fontId="59"/>
  </si>
  <si>
    <t>見かけ風速</t>
    <rPh sb="0" eb="1">
      <t>ミ</t>
    </rPh>
    <rPh sb="3" eb="5">
      <t>フウソク</t>
    </rPh>
    <phoneticPr fontId="59"/>
  </si>
  <si>
    <t>温度上昇（最大風速）</t>
    <rPh sb="0" eb="2">
      <t>オンド</t>
    </rPh>
    <rPh sb="2" eb="4">
      <t>ジョウショウ</t>
    </rPh>
    <rPh sb="5" eb="7">
      <t>サイダイ</t>
    </rPh>
    <rPh sb="7" eb="9">
      <t>フウソク</t>
    </rPh>
    <phoneticPr fontId="59"/>
  </si>
  <si>
    <t>℃</t>
    <phoneticPr fontId="59"/>
  </si>
  <si>
    <t>温度上昇（見かけ風速）</t>
    <rPh sb="0" eb="2">
      <t>オンド</t>
    </rPh>
    <rPh sb="2" eb="4">
      <t>ジョウショウ</t>
    </rPh>
    <rPh sb="5" eb="6">
      <t>ミ</t>
    </rPh>
    <rPh sb="8" eb="10">
      <t>フウソク</t>
    </rPh>
    <phoneticPr fontId="59"/>
  </si>
  <si>
    <t>熱伝達率計算結果</t>
    <rPh sb="0" eb="3">
      <t>ネツデンタツ</t>
    </rPh>
    <rPh sb="3" eb="4">
      <t>リツ</t>
    </rPh>
    <rPh sb="4" eb="6">
      <t>ケイサン</t>
    </rPh>
    <rPh sb="6" eb="8">
      <t>ケッカ</t>
    </rPh>
    <phoneticPr fontId="59"/>
  </si>
  <si>
    <t>ヒルパートの式(Nu計算に使用）</t>
    <rPh sb="6" eb="7">
      <t>シキ</t>
    </rPh>
    <rPh sb="10" eb="12">
      <t>ケイサン</t>
    </rPh>
    <rPh sb="13" eb="15">
      <t>シヨウ</t>
    </rPh>
    <phoneticPr fontId="59"/>
  </si>
  <si>
    <t>モータ長さL</t>
    <rPh sb="3" eb="4">
      <t>ナガ</t>
    </rPh>
    <phoneticPr fontId="59"/>
  </si>
  <si>
    <t>m</t>
    <phoneticPr fontId="59"/>
  </si>
  <si>
    <t>Re</t>
    <phoneticPr fontId="59"/>
  </si>
  <si>
    <t>C</t>
    <phoneticPr fontId="59"/>
  </si>
  <si>
    <t>n</t>
    <phoneticPr fontId="59"/>
  </si>
  <si>
    <t>代表長 d</t>
    <rPh sb="0" eb="2">
      <t>ダイヒョウ</t>
    </rPh>
    <rPh sb="2" eb="3">
      <t>チョウ</t>
    </rPh>
    <phoneticPr fontId="59"/>
  </si>
  <si>
    <t>Re　最大</t>
    <rPh sb="3" eb="5">
      <t>サイダイ</t>
    </rPh>
    <phoneticPr fontId="59"/>
  </si>
  <si>
    <t>Re　見かけ</t>
    <rPh sb="3" eb="4">
      <t>ミ</t>
    </rPh>
    <phoneticPr fontId="59"/>
  </si>
  <si>
    <t>Nu 最大</t>
    <rPh sb="3" eb="5">
      <t>サイダイ</t>
    </rPh>
    <phoneticPr fontId="59"/>
  </si>
  <si>
    <t>Nu 見かけ</t>
    <rPh sb="3" eb="4">
      <t>ミ</t>
    </rPh>
    <phoneticPr fontId="59"/>
  </si>
  <si>
    <t>放射熱伝達率</t>
    <rPh sb="0" eb="2">
      <t>ホウシャ</t>
    </rPh>
    <rPh sb="2" eb="3">
      <t>ネツ</t>
    </rPh>
    <rPh sb="3" eb="5">
      <t>デンタツ</t>
    </rPh>
    <rPh sb="5" eb="6">
      <t>リツ</t>
    </rPh>
    <phoneticPr fontId="59"/>
  </si>
  <si>
    <t>対流熱伝達率最大</t>
    <rPh sb="0" eb="2">
      <t>タイリュウ</t>
    </rPh>
    <rPh sb="2" eb="3">
      <t>ネツ</t>
    </rPh>
    <rPh sb="3" eb="5">
      <t>デンタツ</t>
    </rPh>
    <rPh sb="5" eb="6">
      <t>リツ</t>
    </rPh>
    <rPh sb="6" eb="8">
      <t>サイダイ</t>
    </rPh>
    <phoneticPr fontId="59"/>
  </si>
  <si>
    <t>W/m2K</t>
    <phoneticPr fontId="59"/>
  </si>
  <si>
    <t>対流熱伝達率見かけ</t>
    <rPh sb="0" eb="2">
      <t>タイリュウ</t>
    </rPh>
    <rPh sb="2" eb="3">
      <t>ネツ</t>
    </rPh>
    <rPh sb="3" eb="5">
      <t>デンタツ</t>
    </rPh>
    <rPh sb="5" eb="6">
      <t>リツ</t>
    </rPh>
    <rPh sb="6" eb="7">
      <t>ミ</t>
    </rPh>
    <phoneticPr fontId="59"/>
  </si>
  <si>
    <t>参考（自然対流時）</t>
    <rPh sb="0" eb="2">
      <t>サンコウ</t>
    </rPh>
    <rPh sb="3" eb="5">
      <t>シゼン</t>
    </rPh>
    <rPh sb="5" eb="7">
      <t>タイリュウ</t>
    </rPh>
    <rPh sb="7" eb="8">
      <t>ジ</t>
    </rPh>
    <phoneticPr fontId="59"/>
  </si>
  <si>
    <t>温度上昇(自然対流時）</t>
    <rPh sb="0" eb="2">
      <t>オンド</t>
    </rPh>
    <rPh sb="2" eb="4">
      <t>ジョウショウ</t>
    </rPh>
    <rPh sb="5" eb="7">
      <t>シゼン</t>
    </rPh>
    <rPh sb="7" eb="9">
      <t>タイリュウ</t>
    </rPh>
    <rPh sb="9" eb="10">
      <t>ジ</t>
    </rPh>
    <phoneticPr fontId="59"/>
  </si>
  <si>
    <t>温度上昇（仮定）</t>
    <rPh sb="0" eb="2">
      <t>オンド</t>
    </rPh>
    <rPh sb="2" eb="4">
      <t>ジョウショウ</t>
    </rPh>
    <rPh sb="5" eb="7">
      <t>カテイ</t>
    </rPh>
    <phoneticPr fontId="59"/>
  </si>
  <si>
    <t>熱対策が必要な部品かどうかを見分けるグラフ</t>
    <rPh sb="0" eb="1">
      <t>ネツ</t>
    </rPh>
    <rPh sb="1" eb="3">
      <t>タイサク</t>
    </rPh>
    <rPh sb="4" eb="6">
      <t>ヒツヨウ</t>
    </rPh>
    <rPh sb="7" eb="9">
      <t>ブヒン</t>
    </rPh>
    <rPh sb="14" eb="16">
      <t>ミワ</t>
    </rPh>
    <phoneticPr fontId="59"/>
  </si>
  <si>
    <t>基板で対策が可能かどうかを見分けるグラフ</t>
    <rPh sb="0" eb="2">
      <t>キバン</t>
    </rPh>
    <rPh sb="3" eb="5">
      <t>タイサク</t>
    </rPh>
    <rPh sb="6" eb="8">
      <t>カノウ</t>
    </rPh>
    <rPh sb="13" eb="15">
      <t>ミワ</t>
    </rPh>
    <phoneticPr fontId="59"/>
  </si>
  <si>
    <t>放熱限界ラインの調整</t>
    <rPh sb="0" eb="2">
      <t>ホウネツ</t>
    </rPh>
    <rPh sb="2" eb="4">
      <t>ゲンカイ</t>
    </rPh>
    <rPh sb="8" eb="10">
      <t>チョウセイ</t>
    </rPh>
    <phoneticPr fontId="59"/>
  </si>
  <si>
    <t>基板熱伝導率</t>
    <rPh sb="0" eb="2">
      <t>キバン</t>
    </rPh>
    <rPh sb="2" eb="3">
      <t>ネツ</t>
    </rPh>
    <rPh sb="3" eb="6">
      <t>デンドウリツ</t>
    </rPh>
    <phoneticPr fontId="59"/>
  </si>
  <si>
    <t>部品周囲の放熱領域（㎜）</t>
    <rPh sb="0" eb="2">
      <t>ブヒン</t>
    </rPh>
    <rPh sb="2" eb="4">
      <t>シュウイ</t>
    </rPh>
    <rPh sb="5" eb="7">
      <t>ホウネツ</t>
    </rPh>
    <rPh sb="7" eb="9">
      <t>リョウイキ</t>
    </rPh>
    <phoneticPr fontId="59"/>
  </si>
  <si>
    <t>最小</t>
    <rPh sb="0" eb="2">
      <t>サイショウ</t>
    </rPh>
    <phoneticPr fontId="59"/>
  </si>
  <si>
    <t>最大</t>
    <rPh sb="0" eb="2">
      <t>サイダイ</t>
    </rPh>
    <phoneticPr fontId="59"/>
  </si>
  <si>
    <t>※色のついていないセルが入力部分です</t>
    <rPh sb="1" eb="2">
      <t>イロ</t>
    </rPh>
    <rPh sb="12" eb="14">
      <t>ニュウリョク</t>
    </rPh>
    <rPh sb="14" eb="16">
      <t>ブブン</t>
    </rPh>
    <phoneticPr fontId="59"/>
  </si>
  <si>
    <t>名称</t>
    <rPh sb="0" eb="2">
      <t>メイショウ</t>
    </rPh>
    <phoneticPr fontId="8"/>
  </si>
  <si>
    <t>許容温度</t>
    <rPh sb="0" eb="2">
      <t>キョヨウ</t>
    </rPh>
    <rPh sb="2" eb="4">
      <t>オンド</t>
    </rPh>
    <phoneticPr fontId="59"/>
  </si>
  <si>
    <t xml:space="preserve"> 外形寸法(mm)</t>
  </si>
  <si>
    <t>消費電力</t>
    <rPh sb="0" eb="2">
      <t>ショウヒ</t>
    </rPh>
    <rPh sb="2" eb="4">
      <t>デンリョク</t>
    </rPh>
    <phoneticPr fontId="8"/>
  </si>
  <si>
    <t>周長</t>
    <rPh sb="0" eb="2">
      <t>シュウチョウ</t>
    </rPh>
    <phoneticPr fontId="59"/>
  </si>
  <si>
    <t>表面積</t>
    <rPh sb="0" eb="2">
      <t>ヒョウメン</t>
    </rPh>
    <rPh sb="2" eb="3">
      <t>セキ</t>
    </rPh>
    <phoneticPr fontId="8"/>
  </si>
  <si>
    <t>熱流束</t>
    <rPh sb="0" eb="3">
      <t>ネツリュウソク</t>
    </rPh>
    <phoneticPr fontId="59"/>
  </si>
  <si>
    <t>単体
熱抵抗
K/W</t>
    <rPh sb="0" eb="2">
      <t>タンタイ</t>
    </rPh>
    <rPh sb="3" eb="4">
      <t>ネツ</t>
    </rPh>
    <rPh sb="4" eb="6">
      <t>テイコウ</t>
    </rPh>
    <phoneticPr fontId="7"/>
  </si>
  <si>
    <t>目標
熱抵抗
K/W</t>
    <rPh sb="0" eb="2">
      <t>モクヒョウ</t>
    </rPh>
    <rPh sb="3" eb="4">
      <t>ネツ</t>
    </rPh>
    <rPh sb="4" eb="6">
      <t>テイコウ</t>
    </rPh>
    <phoneticPr fontId="7"/>
  </si>
  <si>
    <t>周囲温度℃</t>
    <rPh sb="0" eb="2">
      <t>シュウイ</t>
    </rPh>
    <rPh sb="2" eb="4">
      <t>オンド</t>
    </rPh>
    <phoneticPr fontId="7"/>
  </si>
  <si>
    <t>風速[m/s]</t>
    <rPh sb="0" eb="2">
      <t>フウソク</t>
    </rPh>
    <phoneticPr fontId="59"/>
  </si>
  <si>
    <t>放射率</t>
    <rPh sb="0" eb="2">
      <t>ホウシャ</t>
    </rPh>
    <phoneticPr fontId="8"/>
  </si>
  <si>
    <r>
      <t>対流・放射熱伝達率
W/m</t>
    </r>
    <r>
      <rPr>
        <vertAlign val="superscript"/>
        <sz val="11"/>
        <rFont val="ＭＳ Ｐゴシック"/>
        <family val="3"/>
        <charset val="128"/>
      </rPr>
      <t>2</t>
    </r>
    <r>
      <rPr>
        <sz val="11"/>
        <rFont val="ＭＳ Ｐゴシック"/>
        <family val="3"/>
        <charset val="128"/>
      </rPr>
      <t>K</t>
    </r>
    <rPh sb="0" eb="2">
      <t>タイリュウ</t>
    </rPh>
    <rPh sb="3" eb="5">
      <t>ホウシャ</t>
    </rPh>
    <rPh sb="5" eb="8">
      <t>ネツデンタツ</t>
    </rPh>
    <rPh sb="8" eb="9">
      <t>リツ</t>
    </rPh>
    <phoneticPr fontId="8"/>
  </si>
  <si>
    <t>(℃)</t>
  </si>
  <si>
    <t>縦</t>
    <rPh sb="0" eb="1">
      <t>タテ</t>
    </rPh>
    <phoneticPr fontId="59"/>
  </si>
  <si>
    <t>横</t>
  </si>
  <si>
    <t>高さ</t>
  </si>
  <si>
    <t>Ｗ</t>
  </si>
  <si>
    <r>
      <t>mm</t>
    </r>
    <r>
      <rPr>
        <vertAlign val="superscript"/>
        <sz val="11"/>
        <rFont val="ＭＳ Ｐゴシック"/>
        <family val="3"/>
        <charset val="128"/>
      </rPr>
      <t>2</t>
    </r>
    <phoneticPr fontId="59"/>
  </si>
  <si>
    <r>
      <t>W/m</t>
    </r>
    <r>
      <rPr>
        <vertAlign val="superscript"/>
        <sz val="11"/>
        <rFont val="ＭＳ Ｐゴシック"/>
        <family val="3"/>
        <charset val="128"/>
      </rPr>
      <t>2</t>
    </r>
    <phoneticPr fontId="59"/>
  </si>
  <si>
    <t>単体＜目標</t>
    <rPh sb="0" eb="2">
      <t>タンタイ</t>
    </rPh>
    <rPh sb="3" eb="5">
      <t>モクヒョウ</t>
    </rPh>
    <phoneticPr fontId="59"/>
  </si>
  <si>
    <t>目標＞30</t>
    <rPh sb="0" eb="2">
      <t>モクヒョウ</t>
    </rPh>
    <phoneticPr fontId="59"/>
  </si>
  <si>
    <t>単体÷目標</t>
    <rPh sb="0" eb="2">
      <t>タンタイ</t>
    </rPh>
    <rPh sb="3" eb="5">
      <t>モクヒョウ</t>
    </rPh>
    <phoneticPr fontId="59"/>
  </si>
  <si>
    <t>対策方針</t>
    <rPh sb="0" eb="2">
      <t>タイサク</t>
    </rPh>
    <rPh sb="2" eb="4">
      <t>ホウシン</t>
    </rPh>
    <phoneticPr fontId="59"/>
  </si>
  <si>
    <t>等価熱伝導率</t>
    <rPh sb="0" eb="2">
      <t>トウカ</t>
    </rPh>
    <rPh sb="2" eb="3">
      <t>ネツ</t>
    </rPh>
    <rPh sb="3" eb="6">
      <t>デンドウリツ</t>
    </rPh>
    <phoneticPr fontId="59"/>
  </si>
  <si>
    <t>ターゲット温度上昇</t>
    <rPh sb="5" eb="7">
      <t>オンド</t>
    </rPh>
    <rPh sb="7" eb="9">
      <t>ジョウショウ</t>
    </rPh>
    <phoneticPr fontId="59"/>
  </si>
  <si>
    <t>隙間</t>
    <rPh sb="0" eb="2">
      <t>スキマ</t>
    </rPh>
    <phoneticPr fontId="59"/>
  </si>
  <si>
    <t>位置</t>
    <rPh sb="0" eb="2">
      <t>イチ</t>
    </rPh>
    <phoneticPr fontId="59"/>
  </si>
  <si>
    <t>部品L</t>
    <rPh sb="0" eb="2">
      <t>ブヒン</t>
    </rPh>
    <phoneticPr fontId="59"/>
  </si>
  <si>
    <t>周囲幅</t>
    <rPh sb="0" eb="2">
      <t>シュウイ</t>
    </rPh>
    <rPh sb="2" eb="3">
      <t>ハバ</t>
    </rPh>
    <phoneticPr fontId="59"/>
  </si>
  <si>
    <t>P表面積</t>
    <rPh sb="1" eb="3">
      <t>ヒョウメン</t>
    </rPh>
    <rPh sb="3" eb="4">
      <t>セキ</t>
    </rPh>
    <phoneticPr fontId="59"/>
  </si>
  <si>
    <t>熱伝達率</t>
    <rPh sb="0" eb="3">
      <t>ネツデンタツ</t>
    </rPh>
    <rPh sb="3" eb="4">
      <t>リツ</t>
    </rPh>
    <phoneticPr fontId="59"/>
  </si>
  <si>
    <t>熱抵抗R0</t>
    <rPh sb="0" eb="1">
      <t>ネツ</t>
    </rPh>
    <rPh sb="1" eb="3">
      <t>テイコウ</t>
    </rPh>
    <phoneticPr fontId="59"/>
  </si>
  <si>
    <t>温度上昇</t>
    <rPh sb="0" eb="2">
      <t>オンド</t>
    </rPh>
    <rPh sb="2" eb="4">
      <t>ジョウショウ</t>
    </rPh>
    <phoneticPr fontId="59"/>
  </si>
  <si>
    <t>As</t>
    <phoneticPr fontId="59"/>
  </si>
  <si>
    <t>Ap</t>
    <phoneticPr fontId="59"/>
  </si>
  <si>
    <t>λ</t>
    <phoneticPr fontId="59"/>
  </si>
  <si>
    <t>AC</t>
    <phoneticPr fontId="59"/>
  </si>
  <si>
    <t>BC</t>
    <phoneticPr fontId="59"/>
  </si>
  <si>
    <t>CC</t>
    <phoneticPr fontId="59"/>
  </si>
  <si>
    <t>Rc</t>
    <phoneticPr fontId="59"/>
  </si>
  <si>
    <t>Rt</t>
    <phoneticPr fontId="59"/>
  </si>
  <si>
    <t>ERR</t>
    <phoneticPr fontId="59"/>
  </si>
  <si>
    <t>C0</t>
    <phoneticPr fontId="59"/>
  </si>
  <si>
    <t>t</t>
    <phoneticPr fontId="59"/>
  </si>
  <si>
    <t xml:space="preserve"> 部品リスト</t>
    <rPh sb="1" eb="3">
      <t>ブヒン</t>
    </rPh>
    <phoneticPr fontId="7"/>
  </si>
  <si>
    <t>ヒートシンクの非定常モデル</t>
    <rPh sb="7" eb="10">
      <t>ヒテイジョウ</t>
    </rPh>
    <phoneticPr fontId="7"/>
  </si>
  <si>
    <t>現在時間</t>
    <phoneticPr fontId="7"/>
  </si>
  <si>
    <t>時間(s)</t>
    <phoneticPr fontId="7"/>
  </si>
  <si>
    <t>節点 1</t>
    <phoneticPr fontId="7"/>
  </si>
  <si>
    <t>節点 2</t>
    <phoneticPr fontId="7"/>
  </si>
  <si>
    <t>節点 3</t>
    <phoneticPr fontId="7"/>
  </si>
  <si>
    <t>流路直径(m)</t>
    <rPh sb="0" eb="2">
      <t>リュウロ</t>
    </rPh>
    <rPh sb="2" eb="4">
      <t>チョッケイ</t>
    </rPh>
    <phoneticPr fontId="7"/>
  </si>
  <si>
    <t>摩擦係数f</t>
    <rPh sb="0" eb="2">
      <t>マサツ</t>
    </rPh>
    <rPh sb="2" eb="4">
      <t>ケイスウ</t>
    </rPh>
    <phoneticPr fontId="7"/>
  </si>
  <si>
    <t>熱伝導率λ</t>
  </si>
  <si>
    <t>直管部流路長さ（m）</t>
    <rPh sb="0" eb="1">
      <t>ナオ</t>
    </rPh>
    <rPh sb="1" eb="2">
      <t>カン</t>
    </rPh>
    <rPh sb="2" eb="3">
      <t>ブ</t>
    </rPh>
    <rPh sb="3" eb="5">
      <t>リュウロ</t>
    </rPh>
    <rPh sb="5" eb="6">
      <t>ナガ</t>
    </rPh>
    <phoneticPr fontId="7"/>
  </si>
  <si>
    <t>入口の圧損係数</t>
    <rPh sb="0" eb="2">
      <t>イリグチ</t>
    </rPh>
    <rPh sb="3" eb="5">
      <t>アッソン</t>
    </rPh>
    <rPh sb="5" eb="7">
      <t>ケイスウ</t>
    </rPh>
    <phoneticPr fontId="7"/>
  </si>
  <si>
    <t>ベンド部流路長さ（m）</t>
    <rPh sb="3" eb="4">
      <t>ブ</t>
    </rPh>
    <rPh sb="4" eb="6">
      <t>リュウロ</t>
    </rPh>
    <rPh sb="6" eb="7">
      <t>ナガ</t>
    </rPh>
    <phoneticPr fontId="7"/>
  </si>
  <si>
    <t>■流体物性データ入力</t>
    <rPh sb="1" eb="3">
      <t>リュウタイ</t>
    </rPh>
    <rPh sb="3" eb="5">
      <t>ブッセイ</t>
    </rPh>
    <rPh sb="8" eb="10">
      <t>ニュウリョク</t>
    </rPh>
    <phoneticPr fontId="26"/>
  </si>
  <si>
    <t>総発熱量（W)</t>
    <rPh sb="0" eb="4">
      <t>ソウハツネツリョウ</t>
    </rPh>
    <rPh sb="1" eb="3">
      <t>ハツネツ</t>
    </rPh>
    <rPh sb="3" eb="4">
      <t>リョウ</t>
    </rPh>
    <phoneticPr fontId="7"/>
  </si>
  <si>
    <t>密度ρ(kg/m3)</t>
    <phoneticPr fontId="7"/>
  </si>
  <si>
    <t>流入水温(℃）</t>
    <rPh sb="0" eb="2">
      <t>リュウニュウ</t>
    </rPh>
    <rPh sb="2" eb="4">
      <t>スイオン</t>
    </rPh>
    <phoneticPr fontId="7"/>
  </si>
  <si>
    <r>
      <t>水量L</t>
    </r>
    <r>
      <rPr>
        <sz val="10"/>
        <rFont val="ＭＳ Ｐゴシック"/>
        <family val="3"/>
        <charset val="128"/>
      </rPr>
      <t>/分</t>
    </r>
    <rPh sb="0" eb="2">
      <t>スイリョウ</t>
    </rPh>
    <rPh sb="4" eb="5">
      <t>フン</t>
    </rPh>
    <phoneticPr fontId="7"/>
  </si>
  <si>
    <t>比熱</t>
    <rPh sb="0" eb="2">
      <t>ヒネツ</t>
    </rPh>
    <phoneticPr fontId="79"/>
  </si>
  <si>
    <t>動粘性係数</t>
    <rPh sb="0" eb="1">
      <t>ドウ</t>
    </rPh>
    <rPh sb="1" eb="3">
      <t>ネンセイ</t>
    </rPh>
    <rPh sb="3" eb="5">
      <t>ケイスウ</t>
    </rPh>
    <phoneticPr fontId="7"/>
  </si>
  <si>
    <t>中間パラメータ</t>
    <rPh sb="0" eb="2">
      <t>チュウカン</t>
    </rPh>
    <phoneticPr fontId="7"/>
  </si>
  <si>
    <t>レイノルズ数　Re</t>
    <rPh sb="5" eb="6">
      <t>スウ</t>
    </rPh>
    <phoneticPr fontId="7"/>
  </si>
  <si>
    <t>プラントル数　Pr</t>
    <rPh sb="5" eb="6">
      <t>スウ</t>
    </rPh>
    <phoneticPr fontId="7"/>
  </si>
  <si>
    <t>流量</t>
    <rPh sb="0" eb="2">
      <t>リュウリョウ</t>
    </rPh>
    <phoneticPr fontId="7"/>
  </si>
  <si>
    <t>■冷媒の物性値（温度依存）</t>
    <rPh sb="1" eb="3">
      <t>レイバイ</t>
    </rPh>
    <rPh sb="4" eb="7">
      <t>ブッセイチ</t>
    </rPh>
    <rPh sb="8" eb="10">
      <t>オンド</t>
    </rPh>
    <rPh sb="10" eb="12">
      <t>イゾン</t>
    </rPh>
    <phoneticPr fontId="7"/>
  </si>
  <si>
    <t>純水の物性値</t>
    <rPh sb="0" eb="2">
      <t>ジュンスイ</t>
    </rPh>
    <rPh sb="3" eb="6">
      <t>ブッセイチ</t>
    </rPh>
    <phoneticPr fontId="7"/>
  </si>
  <si>
    <t>流路断面積</t>
    <rPh sb="0" eb="2">
      <t>リュウロ</t>
    </rPh>
    <rPh sb="2" eb="5">
      <t>ダンメンセキ</t>
    </rPh>
    <phoneticPr fontId="7"/>
  </si>
  <si>
    <t>温度T</t>
    <rPh sb="0" eb="2">
      <t>オンド</t>
    </rPh>
    <phoneticPr fontId="17"/>
  </si>
  <si>
    <t>密度</t>
    <rPh sb="0" eb="2">
      <t>ミツド</t>
    </rPh>
    <phoneticPr fontId="17"/>
  </si>
  <si>
    <t>比熱</t>
    <rPh sb="0" eb="2">
      <t>ヒネツ</t>
    </rPh>
    <phoneticPr fontId="17"/>
  </si>
  <si>
    <t>動粘性係数</t>
    <rPh sb="0" eb="1">
      <t>ドウ</t>
    </rPh>
    <rPh sb="1" eb="3">
      <t>ネンセイ</t>
    </rPh>
    <rPh sb="3" eb="5">
      <t>ケイスウ</t>
    </rPh>
    <phoneticPr fontId="17"/>
  </si>
  <si>
    <t>熱伝導率</t>
    <rPh sb="0" eb="1">
      <t>ネツ</t>
    </rPh>
    <rPh sb="1" eb="4">
      <t>デンドウリツ</t>
    </rPh>
    <phoneticPr fontId="17"/>
  </si>
  <si>
    <t>熱拡散率</t>
    <rPh sb="0" eb="1">
      <t>ネツ</t>
    </rPh>
    <rPh sb="1" eb="3">
      <t>カクサン</t>
    </rPh>
    <rPh sb="3" eb="4">
      <t>リツ</t>
    </rPh>
    <phoneticPr fontId="17"/>
  </si>
  <si>
    <t>プラントル数</t>
    <rPh sb="5" eb="6">
      <t>スウ</t>
    </rPh>
    <phoneticPr fontId="17"/>
  </si>
  <si>
    <t>円管周長</t>
    <rPh sb="0" eb="2">
      <t>エンカン</t>
    </rPh>
    <rPh sb="2" eb="4">
      <t>シュウチョウ</t>
    </rPh>
    <phoneticPr fontId="7"/>
  </si>
  <si>
    <t xml:space="preserve"> ℃</t>
    <phoneticPr fontId="7"/>
  </si>
  <si>
    <r>
      <t>kg/m</t>
    </r>
    <r>
      <rPr>
        <vertAlign val="superscript"/>
        <sz val="11"/>
        <rFont val="ＭＳ Ｐゴシック"/>
        <family val="3"/>
        <charset val="128"/>
      </rPr>
      <t>3</t>
    </r>
    <phoneticPr fontId="37"/>
  </si>
  <si>
    <t>kJ/(kg･K)</t>
  </si>
  <si>
    <t>W/(m・K)</t>
    <phoneticPr fontId="65"/>
  </si>
  <si>
    <r>
      <t>m2/s×10</t>
    </r>
    <r>
      <rPr>
        <vertAlign val="superscript"/>
        <sz val="10"/>
        <rFont val="ＭＳ Ｐゴシック"/>
        <family val="3"/>
        <charset val="128"/>
      </rPr>
      <t>-6</t>
    </r>
    <phoneticPr fontId="37"/>
  </si>
  <si>
    <t>円管表面積</t>
    <rPh sb="0" eb="2">
      <t>エンカン</t>
    </rPh>
    <rPh sb="2" eb="5">
      <t>ヒョウメンセキ</t>
    </rPh>
    <phoneticPr fontId="7"/>
  </si>
  <si>
    <t>Nu</t>
    <phoneticPr fontId="7"/>
  </si>
  <si>
    <t>熱伝達率</t>
    <rPh sb="0" eb="1">
      <t>ネツ</t>
    </rPh>
    <rPh sb="1" eb="3">
      <t>デンタツ</t>
    </rPh>
    <rPh sb="3" eb="4">
      <t>リツ</t>
    </rPh>
    <phoneticPr fontId="7"/>
  </si>
  <si>
    <t>フィン間流速</t>
    <rPh sb="3" eb="4">
      <t>カン</t>
    </rPh>
    <rPh sb="4" eb="6">
      <t>リュウソク</t>
    </rPh>
    <phoneticPr fontId="7"/>
  </si>
  <si>
    <t>■温度計算結果</t>
    <rPh sb="1" eb="3">
      <t>オンド</t>
    </rPh>
    <rPh sb="3" eb="5">
      <t>ケイサン</t>
    </rPh>
    <rPh sb="5" eb="7">
      <t>ケッカ</t>
    </rPh>
    <phoneticPr fontId="7"/>
  </si>
  <si>
    <t>流体平均温度上昇</t>
    <rPh sb="0" eb="2">
      <t>リュウタイ</t>
    </rPh>
    <rPh sb="2" eb="4">
      <t>ヘイキン</t>
    </rPh>
    <rPh sb="4" eb="6">
      <t>オンド</t>
    </rPh>
    <rPh sb="6" eb="8">
      <t>ジョウショウ</t>
    </rPh>
    <phoneticPr fontId="7"/>
  </si>
  <si>
    <t>℃        流体温度</t>
    <rPh sb="9" eb="11">
      <t>リュウタイ</t>
    </rPh>
    <rPh sb="11" eb="13">
      <t>オンド</t>
    </rPh>
    <phoneticPr fontId="7"/>
  </si>
  <si>
    <t>流体-壁面温度差</t>
    <rPh sb="0" eb="2">
      <t>リュウタイ</t>
    </rPh>
    <rPh sb="3" eb="5">
      <t>ヘキメン</t>
    </rPh>
    <rPh sb="5" eb="8">
      <t>オンドサ</t>
    </rPh>
    <phoneticPr fontId="7"/>
  </si>
  <si>
    <t>℃　　　壁面温度</t>
    <rPh sb="4" eb="6">
      <t>ヘキメン</t>
    </rPh>
    <rPh sb="6" eb="8">
      <t>オンド</t>
    </rPh>
    <phoneticPr fontId="7"/>
  </si>
  <si>
    <t>壁面-熱源温度差</t>
    <rPh sb="0" eb="2">
      <t>ヘキメン</t>
    </rPh>
    <rPh sb="3" eb="5">
      <t>ネツゲン</t>
    </rPh>
    <rPh sb="5" eb="8">
      <t>オンドサ</t>
    </rPh>
    <phoneticPr fontId="7"/>
  </si>
  <si>
    <t>熱源温度</t>
    <rPh sb="0" eb="2">
      <t>ネツゲン</t>
    </rPh>
    <rPh sb="2" eb="4">
      <t>オンド</t>
    </rPh>
    <phoneticPr fontId="7"/>
  </si>
  <si>
    <t>ΔT</t>
    <phoneticPr fontId="7"/>
  </si>
  <si>
    <t>■圧損計算</t>
    <rPh sb="1" eb="3">
      <t>アッソン</t>
    </rPh>
    <rPh sb="3" eb="5">
      <t>ケイサン</t>
    </rPh>
    <phoneticPr fontId="7"/>
  </si>
  <si>
    <t>圧損箇所１</t>
    <rPh sb="0" eb="2">
      <t>アッソン</t>
    </rPh>
    <rPh sb="2" eb="4">
      <t>カショ</t>
    </rPh>
    <phoneticPr fontId="7"/>
  </si>
  <si>
    <t>圧損箇所２</t>
    <rPh sb="0" eb="2">
      <t>アッソン</t>
    </rPh>
    <rPh sb="2" eb="4">
      <t>カショ</t>
    </rPh>
    <phoneticPr fontId="7"/>
  </si>
  <si>
    <t>圧損箇所３</t>
    <rPh sb="0" eb="2">
      <t>アッソン</t>
    </rPh>
    <rPh sb="2" eb="4">
      <t>カショ</t>
    </rPh>
    <phoneticPr fontId="7"/>
  </si>
  <si>
    <t>開口率</t>
    <rPh sb="0" eb="2">
      <t>カイコウ</t>
    </rPh>
    <rPh sb="2" eb="3">
      <t>リツ</t>
    </rPh>
    <phoneticPr fontId="7"/>
  </si>
  <si>
    <t>開口箇所</t>
    <rPh sb="0" eb="2">
      <t>カイコウ</t>
    </rPh>
    <rPh sb="2" eb="4">
      <t>カショ</t>
    </rPh>
    <phoneticPr fontId="7"/>
  </si>
  <si>
    <t xml:space="preserve">  局所圧損(絞り）</t>
    <rPh sb="2" eb="4">
      <t>キョクショ</t>
    </rPh>
    <rPh sb="4" eb="6">
      <t>アッソン</t>
    </rPh>
    <rPh sb="7" eb="8">
      <t>シボ</t>
    </rPh>
    <phoneticPr fontId="7"/>
  </si>
  <si>
    <t>45°曲がり</t>
    <rPh sb="3" eb="4">
      <t>マ</t>
    </rPh>
    <phoneticPr fontId="7"/>
  </si>
  <si>
    <t>90°曲がり</t>
    <rPh sb="3" eb="4">
      <t>マ</t>
    </rPh>
    <phoneticPr fontId="7"/>
  </si>
  <si>
    <t>180°曲がり</t>
    <rPh sb="4" eb="5">
      <t>マ</t>
    </rPh>
    <phoneticPr fontId="7"/>
  </si>
  <si>
    <t>ベンド半径　　ｍ</t>
    <rPh sb="3" eb="5">
      <t>ハンケイ</t>
    </rPh>
    <phoneticPr fontId="7"/>
  </si>
  <si>
    <t>ベンド箇所</t>
    <rPh sb="3" eb="5">
      <t>カショ</t>
    </rPh>
    <phoneticPr fontId="7"/>
  </si>
  <si>
    <t>　局所圧損（ベンド）</t>
    <rPh sb="1" eb="3">
      <t>キョクショ</t>
    </rPh>
    <rPh sb="3" eb="5">
      <t>アッソン</t>
    </rPh>
    <phoneticPr fontId="7"/>
  </si>
  <si>
    <t>水冷ヒートシンク表面までの熱抵抗</t>
    <rPh sb="0" eb="2">
      <t>スイレイ</t>
    </rPh>
    <rPh sb="8" eb="10">
      <t>ヒョウメン</t>
    </rPh>
    <rPh sb="13" eb="14">
      <t>ネツ</t>
    </rPh>
    <rPh sb="14" eb="16">
      <t>テイコウ</t>
    </rPh>
    <phoneticPr fontId="7"/>
  </si>
  <si>
    <r>
      <t>m</t>
    </r>
    <r>
      <rPr>
        <vertAlign val="superscript"/>
        <sz val="11"/>
        <rFont val="ＭＳ Ｐゴシック"/>
        <family val="3"/>
        <charset val="128"/>
      </rPr>
      <t>2</t>
    </r>
    <r>
      <rPr>
        <sz val="11"/>
        <rFont val="ＭＳ Ｐゴシック"/>
        <family val="3"/>
        <charset val="128"/>
      </rPr>
      <t xml:space="preserve">/s </t>
    </r>
    <phoneticPr fontId="7"/>
  </si>
  <si>
    <t>ディッタスの式</t>
    <rPh sb="6" eb="7">
      <t>シキ</t>
    </rPh>
    <phoneticPr fontId="7"/>
  </si>
  <si>
    <t>水冷ヒートシンク摩擦圧損係数</t>
    <rPh sb="0" eb="2">
      <t>スイレイ</t>
    </rPh>
    <rPh sb="8" eb="10">
      <t>マサツ</t>
    </rPh>
    <rPh sb="10" eb="12">
      <t>アッソン</t>
    </rPh>
    <rPh sb="12" eb="14">
      <t>ケイスウ</t>
    </rPh>
    <phoneticPr fontId="7"/>
  </si>
  <si>
    <t>配管部　摩擦圧損係数</t>
    <rPh sb="0" eb="2">
      <t>ハイカン</t>
    </rPh>
    <rPh sb="2" eb="3">
      <t>ブ</t>
    </rPh>
    <rPh sb="4" eb="6">
      <t>マサツ</t>
    </rPh>
    <rPh sb="6" eb="8">
      <t>アッソン</t>
    </rPh>
    <rPh sb="8" eb="10">
      <t>ケイスウ</t>
    </rPh>
    <phoneticPr fontId="7"/>
  </si>
  <si>
    <t>配管長 m</t>
    <rPh sb="0" eb="2">
      <t>ハイカン</t>
    </rPh>
    <rPh sb="2" eb="3">
      <t>チョウ</t>
    </rPh>
    <phoneticPr fontId="7"/>
  </si>
  <si>
    <t>圧力損失 KPa</t>
    <rPh sb="0" eb="2">
      <t>アツリョク</t>
    </rPh>
    <rPh sb="2" eb="4">
      <t>ソンシツ</t>
    </rPh>
    <phoneticPr fontId="7"/>
  </si>
  <si>
    <t>※このシートでは冷媒の物性値の温度依存性を考慮して計算しているため、書籍の計算結果と少し異なります</t>
    <rPh sb="8" eb="10">
      <t>レイバイ</t>
    </rPh>
    <rPh sb="11" eb="14">
      <t>ブッセイチ</t>
    </rPh>
    <rPh sb="15" eb="17">
      <t>オンド</t>
    </rPh>
    <rPh sb="17" eb="19">
      <t>イゾン</t>
    </rPh>
    <rPh sb="19" eb="20">
      <t>セイ</t>
    </rPh>
    <rPh sb="21" eb="23">
      <t>コウリョ</t>
    </rPh>
    <rPh sb="25" eb="27">
      <t>ケイサン</t>
    </rPh>
    <rPh sb="34" eb="36">
      <t>ショセキ</t>
    </rPh>
    <rPh sb="37" eb="39">
      <t>ケイサン</t>
    </rPh>
    <rPh sb="39" eb="41">
      <t>ケッカ</t>
    </rPh>
    <rPh sb="42" eb="43">
      <t>スコ</t>
    </rPh>
    <rPh sb="44" eb="45">
      <t>コト</t>
    </rPh>
    <phoneticPr fontId="7"/>
  </si>
  <si>
    <t>太陽定数</t>
  </si>
  <si>
    <r>
      <t>(W/m</t>
    </r>
    <r>
      <rPr>
        <vertAlign val="superscript"/>
        <sz val="11"/>
        <rFont val="ＭＳ ゴシック"/>
        <family val="3"/>
        <charset val="128"/>
      </rPr>
      <t>2</t>
    </r>
    <r>
      <rPr>
        <sz val="11"/>
        <rFont val="ＭＳ ゴシック"/>
        <family val="3"/>
        <charset val="128"/>
      </rPr>
      <t>)</t>
    </r>
    <phoneticPr fontId="37"/>
  </si>
  <si>
    <t>■機器設置地域と時間/天気</t>
    <phoneticPr fontId="37"/>
  </si>
  <si>
    <t>度/ﾗｼﾞｱﾝ</t>
  </si>
  <si>
    <t xml:space="preserve">   土地の緯度（度）</t>
  </si>
  <si>
    <t>春分の日からの経過日数(日)</t>
    <rPh sb="12" eb="13">
      <t>ニチ</t>
    </rPh>
    <phoneticPr fontId="37"/>
  </si>
  <si>
    <t xml:space="preserve"> 太陽赤緯°</t>
  </si>
  <si>
    <t xml:space="preserve">     時刻  (時:24H表示）</t>
    <rPh sb="15" eb="17">
      <t>ヒョウジ</t>
    </rPh>
    <phoneticPr fontId="37"/>
  </si>
  <si>
    <t xml:space="preserve"> 時角（°）</t>
  </si>
  <si>
    <t>(正午が０、１時間１５度）</t>
  </si>
  <si>
    <t xml:space="preserve">    日射量透過率Ｐ</t>
  </si>
  <si>
    <t>（晴れ0.78,もや晴れ0.66,うす晴れ0.53)</t>
  </si>
  <si>
    <t>■機器設置方向</t>
    <rPh sb="3" eb="5">
      <t>セッチ</t>
    </rPh>
    <phoneticPr fontId="37"/>
  </si>
  <si>
    <t>南</t>
  </si>
  <si>
    <t>東</t>
    <rPh sb="0" eb="1">
      <t>ヒガシ</t>
    </rPh>
    <phoneticPr fontId="37"/>
  </si>
  <si>
    <t>北</t>
  </si>
  <si>
    <t>西</t>
    <rPh sb="0" eb="1">
      <t>ニシ</t>
    </rPh>
    <phoneticPr fontId="37"/>
  </si>
  <si>
    <t>上</t>
  </si>
  <si>
    <t>底面</t>
  </si>
  <si>
    <t xml:space="preserve"> 南壁面の方位角（度）</t>
  </si>
  <si>
    <t>幅(m)</t>
    <rPh sb="0" eb="1">
      <t>ハバ</t>
    </rPh>
    <phoneticPr fontId="37"/>
  </si>
  <si>
    <t>高さ (m)</t>
    <phoneticPr fontId="37"/>
  </si>
  <si>
    <t>奥行き (m)</t>
    <phoneticPr fontId="37"/>
  </si>
  <si>
    <t xml:space="preserve">  横、高さ、奥行き</t>
    <phoneticPr fontId="37"/>
  </si>
  <si>
    <t>屋外設置機器に使用する熱伝達率基準値</t>
    <rPh sb="15" eb="17">
      <t>キジュンチ</t>
    </rPh>
    <phoneticPr fontId="37"/>
  </si>
  <si>
    <t>条件</t>
  </si>
  <si>
    <t>各面</t>
    <rPh sb="0" eb="1">
      <t>カク</t>
    </rPh>
    <rPh sb="1" eb="2">
      <t>メン</t>
    </rPh>
    <phoneticPr fontId="37"/>
  </si>
  <si>
    <t>南面</t>
    <rPh sb="1" eb="2">
      <t>メン</t>
    </rPh>
    <phoneticPr fontId="37"/>
  </si>
  <si>
    <t>西面</t>
    <rPh sb="0" eb="1">
      <t>ニシ</t>
    </rPh>
    <phoneticPr fontId="37"/>
  </si>
  <si>
    <t>北面</t>
    <phoneticPr fontId="37"/>
  </si>
  <si>
    <t>東面</t>
    <rPh sb="0" eb="1">
      <t>ヒガシ</t>
    </rPh>
    <phoneticPr fontId="37"/>
  </si>
  <si>
    <t>上面</t>
    <phoneticPr fontId="37"/>
  </si>
  <si>
    <t>垂直面</t>
  </si>
  <si>
    <t>７～１０</t>
  </si>
  <si>
    <t xml:space="preserve">  各外壁面の太陽吸収率</t>
    <rPh sb="3" eb="4">
      <t>ガイ</t>
    </rPh>
    <rPh sb="4" eb="6">
      <t>ヘキメン</t>
    </rPh>
    <phoneticPr fontId="37"/>
  </si>
  <si>
    <t>５～７</t>
  </si>
  <si>
    <t>空気に接する面</t>
  </si>
  <si>
    <t>１０～３０</t>
  </si>
  <si>
    <t>日除け有無（有:1,無:0）</t>
    <rPh sb="0" eb="2">
      <t>ヒヨ</t>
    </rPh>
    <rPh sb="3" eb="5">
      <t>ウム</t>
    </rPh>
    <rPh sb="6" eb="7">
      <t>アリ</t>
    </rPh>
    <rPh sb="10" eb="11">
      <t>ナ</t>
    </rPh>
    <phoneticPr fontId="37"/>
  </si>
  <si>
    <t>水に接する面</t>
  </si>
  <si>
    <t>６０</t>
  </si>
  <si>
    <t>■計算結果</t>
    <rPh sb="1" eb="3">
      <t>ケイサン</t>
    </rPh>
    <rPh sb="3" eb="5">
      <t>ケッカ</t>
    </rPh>
    <phoneticPr fontId="37"/>
  </si>
  <si>
    <t>土に接する面</t>
  </si>
  <si>
    <t>１．８</t>
  </si>
  <si>
    <t>南面</t>
    <phoneticPr fontId="37"/>
  </si>
  <si>
    <t>北面</t>
    <phoneticPr fontId="37"/>
  </si>
  <si>
    <t>上面</t>
    <phoneticPr fontId="37"/>
  </si>
  <si>
    <t>底面</t>
    <phoneticPr fontId="37"/>
  </si>
  <si>
    <t>合計(W)</t>
    <rPh sb="0" eb="2">
      <t>ゴウケイ</t>
    </rPh>
    <phoneticPr fontId="37"/>
  </si>
  <si>
    <t>各面の日射受熱量（Ｗ）</t>
    <rPh sb="3" eb="5">
      <t>ニッシャ</t>
    </rPh>
    <rPh sb="5" eb="6">
      <t>ジュ</t>
    </rPh>
    <rPh sb="6" eb="7">
      <t>ネツ</t>
    </rPh>
    <phoneticPr fontId="37"/>
  </si>
  <si>
    <t xml:space="preserve">      太陽高度H(度）</t>
  </si>
  <si>
    <t>（SIN(H))</t>
  </si>
  <si>
    <t>法線面直達日射量</t>
  </si>
  <si>
    <t>水平天空輻射量</t>
  </si>
  <si>
    <t xml:space="preserve">    太陽方位角A(度）</t>
  </si>
  <si>
    <t>(度）</t>
  </si>
  <si>
    <t>COS(θ)</t>
  </si>
  <si>
    <t>直達日射量</t>
  </si>
  <si>
    <t>天空幅射量</t>
  </si>
  <si>
    <t>全日射量</t>
  </si>
  <si>
    <t>面面積</t>
  </si>
  <si>
    <t>全日射受熱</t>
  </si>
  <si>
    <t>吸収熱</t>
  </si>
  <si>
    <t xml:space="preserve">   各面の入射角 南</t>
  </si>
  <si>
    <t xml:space="preserve">       (θ)    西</t>
    <rPh sb="14" eb="15">
      <t>ニシ</t>
    </rPh>
    <phoneticPr fontId="37"/>
  </si>
  <si>
    <t xml:space="preserve">               北</t>
  </si>
  <si>
    <t xml:space="preserve">               東</t>
    <rPh sb="15" eb="16">
      <t>ヒガシ</t>
    </rPh>
    <phoneticPr fontId="37"/>
  </si>
  <si>
    <t xml:space="preserve">               上</t>
  </si>
  <si>
    <t xml:space="preserve">               底</t>
  </si>
  <si>
    <t>(W)</t>
  </si>
  <si>
    <t>合計値</t>
  </si>
  <si>
    <t>◆筐体の熱計算に使用する熱伝達率</t>
    <rPh sb="8" eb="10">
      <t>シヨウ</t>
    </rPh>
    <rPh sb="12" eb="13">
      <t>ネツ</t>
    </rPh>
    <rPh sb="13" eb="15">
      <t>デンタツ</t>
    </rPh>
    <rPh sb="15" eb="16">
      <t>リツ</t>
    </rPh>
    <phoneticPr fontId="37"/>
  </si>
  <si>
    <t>熱伝達率
使用値</t>
    <rPh sb="5" eb="7">
      <t>シヨウ</t>
    </rPh>
    <phoneticPr fontId="37"/>
  </si>
  <si>
    <t>面の位置</t>
  </si>
  <si>
    <t>日射量</t>
  </si>
  <si>
    <t>面の面積</t>
  </si>
  <si>
    <t>筐体外面熱伝達率</t>
  </si>
  <si>
    <t>筐体内面熱伝達率</t>
  </si>
  <si>
    <t>太陽吸収率</t>
  </si>
  <si>
    <t>相当外気温度上昇</t>
  </si>
  <si>
    <t>熱通過率</t>
  </si>
  <si>
    <t>熱通過率×面積</t>
  </si>
  <si>
    <t>侵入熱量</t>
  </si>
  <si>
    <t>（Ｋ）</t>
  </si>
  <si>
    <t>(W/℃)</t>
  </si>
  <si>
    <t>上面</t>
  </si>
  <si>
    <t>筐体内側熱伝達率</t>
    <rPh sb="0" eb="2">
      <t>キョウタイ</t>
    </rPh>
    <rPh sb="2" eb="4">
      <t>ウチガワ</t>
    </rPh>
    <rPh sb="4" eb="7">
      <t>ネツデンタツ</t>
    </rPh>
    <rPh sb="7" eb="8">
      <t>リツ</t>
    </rPh>
    <phoneticPr fontId="37"/>
  </si>
  <si>
    <t>水平面（熱流上向）</t>
  </si>
  <si>
    <t>南面</t>
  </si>
  <si>
    <t>水平面（熱流下向）</t>
  </si>
  <si>
    <t>北面</t>
  </si>
  <si>
    <t>筐体外側熱伝達率</t>
    <rPh sb="0" eb="2">
      <t>キョウタイ</t>
    </rPh>
    <rPh sb="2" eb="4">
      <t>ソトガワ</t>
    </rPh>
    <rPh sb="4" eb="7">
      <t>ネツデンタツ</t>
    </rPh>
    <rPh sb="7" eb="8">
      <t>リツ</t>
    </rPh>
    <phoneticPr fontId="37"/>
  </si>
  <si>
    <t>（風速0～6m/s）</t>
    <phoneticPr fontId="37"/>
  </si>
  <si>
    <t>下面</t>
  </si>
  <si>
    <t>合計</t>
  </si>
  <si>
    <t>12.2 密閉筐体の熱設計事例（基板）</t>
    <rPh sb="5" eb="7">
      <t>ミッペイ</t>
    </rPh>
    <rPh sb="7" eb="9">
      <t>キョウタイ</t>
    </rPh>
    <rPh sb="10" eb="11">
      <t>ネツ</t>
    </rPh>
    <rPh sb="11" eb="13">
      <t>セッケイ</t>
    </rPh>
    <rPh sb="13" eb="15">
      <t>ジレイ</t>
    </rPh>
    <rPh sb="16" eb="18">
      <t>キバン</t>
    </rPh>
    <phoneticPr fontId="7"/>
  </si>
  <si>
    <t>12.2 密閉筐体の熱設計事例（筐体）</t>
    <rPh sb="5" eb="7">
      <t>ミッペイ</t>
    </rPh>
    <rPh sb="7" eb="9">
      <t>キョウタイ</t>
    </rPh>
    <rPh sb="10" eb="11">
      <t>ネツ</t>
    </rPh>
    <rPh sb="11" eb="13">
      <t>セッケイ</t>
    </rPh>
    <rPh sb="13" eb="15">
      <t>ジレイ</t>
    </rPh>
    <rPh sb="16" eb="18">
      <t>キョウタイ</t>
    </rPh>
    <phoneticPr fontId="7"/>
  </si>
  <si>
    <t>部品1</t>
    <rPh sb="0" eb="2">
      <t>ブヒン</t>
    </rPh>
    <phoneticPr fontId="38"/>
  </si>
  <si>
    <t>部品2</t>
    <rPh sb="0" eb="2">
      <t>ブヒン</t>
    </rPh>
    <phoneticPr fontId="38"/>
  </si>
  <si>
    <t>部品3</t>
    <rPh sb="0" eb="2">
      <t>ブヒン</t>
    </rPh>
    <phoneticPr fontId="38"/>
  </si>
  <si>
    <t>部品4</t>
    <rPh sb="0" eb="2">
      <t>ブヒン</t>
    </rPh>
    <phoneticPr fontId="38"/>
  </si>
  <si>
    <t>部品5</t>
    <rPh sb="0" eb="2">
      <t>ブヒン</t>
    </rPh>
    <phoneticPr fontId="38"/>
  </si>
  <si>
    <t>部品6</t>
    <rPh sb="0" eb="2">
      <t>ブヒン</t>
    </rPh>
    <phoneticPr fontId="38"/>
  </si>
  <si>
    <t>部品7</t>
    <rPh sb="0" eb="2">
      <t>ブヒン</t>
    </rPh>
    <phoneticPr fontId="38"/>
  </si>
  <si>
    <t>部品8</t>
    <rPh sb="0" eb="2">
      <t>ブヒン</t>
    </rPh>
    <phoneticPr fontId="38"/>
  </si>
  <si>
    <t>部品9</t>
    <rPh sb="0" eb="2">
      <t>ブヒン</t>
    </rPh>
    <phoneticPr fontId="38"/>
  </si>
  <si>
    <t>部品10</t>
    <rPh sb="0" eb="2">
      <t>ブヒン</t>
    </rPh>
    <phoneticPr fontId="38"/>
  </si>
  <si>
    <t>部品11</t>
    <rPh sb="0" eb="2">
      <t>ブヒン</t>
    </rPh>
    <phoneticPr fontId="38"/>
  </si>
  <si>
    <t>部品12</t>
    <rPh sb="0" eb="2">
      <t>ブヒン</t>
    </rPh>
    <phoneticPr fontId="38"/>
  </si>
  <si>
    <t>CPU</t>
    <phoneticPr fontId="7"/>
  </si>
  <si>
    <t>部品1</t>
  </si>
  <si>
    <t>部品2</t>
  </si>
  <si>
    <t>部品3</t>
  </si>
  <si>
    <t>部品4</t>
  </si>
  <si>
    <t>部品5</t>
  </si>
  <si>
    <t>電源IC1</t>
    <phoneticPr fontId="7"/>
  </si>
  <si>
    <t>電源IC2</t>
    <phoneticPr fontId="7"/>
  </si>
  <si>
    <t>電源IC3</t>
    <phoneticPr fontId="7"/>
  </si>
  <si>
    <t>部品A</t>
    <rPh sb="0" eb="2">
      <t>ブヒン</t>
    </rPh>
    <phoneticPr fontId="38"/>
  </si>
  <si>
    <t>部品B</t>
    <rPh sb="0" eb="2">
      <t>ブヒン</t>
    </rPh>
    <phoneticPr fontId="38"/>
  </si>
  <si>
    <t>部品6</t>
  </si>
  <si>
    <t>部品7</t>
  </si>
  <si>
    <t>部品8</t>
  </si>
  <si>
    <t>部品9</t>
  </si>
  <si>
    <t>部品10</t>
  </si>
  <si>
    <t>部品11</t>
  </si>
  <si>
    <t>部品12</t>
  </si>
  <si>
    <t>部品13</t>
  </si>
  <si>
    <t>UNIT1</t>
  </si>
  <si>
    <t>UNIT2</t>
  </si>
  <si>
    <t>第4章</t>
    <rPh sb="0" eb="1">
      <t>ダイ</t>
    </rPh>
    <rPh sb="2" eb="3">
      <t>ショウ</t>
    </rPh>
    <phoneticPr fontId="7"/>
  </si>
  <si>
    <t>第６章</t>
    <rPh sb="0" eb="1">
      <t>ダイ</t>
    </rPh>
    <rPh sb="2" eb="3">
      <t>ショウ</t>
    </rPh>
    <phoneticPr fontId="7"/>
  </si>
  <si>
    <t>上</t>
    <rPh sb="0" eb="1">
      <t>ウエ</t>
    </rPh>
    <phoneticPr fontId="7"/>
  </si>
  <si>
    <t>南</t>
    <rPh sb="0" eb="1">
      <t>ミナミ</t>
    </rPh>
    <phoneticPr fontId="7"/>
  </si>
  <si>
    <t>東</t>
    <rPh sb="0" eb="1">
      <t>ヒガシ</t>
    </rPh>
    <phoneticPr fontId="7"/>
  </si>
  <si>
    <t>熱回路網法 筐体熱回路モデル（4.1.4項）で解説</t>
    <rPh sb="0" eb="1">
      <t>ネツ</t>
    </rPh>
    <rPh sb="1" eb="3">
      <t>カイロ</t>
    </rPh>
    <rPh sb="3" eb="4">
      <t>モウ</t>
    </rPh>
    <rPh sb="4" eb="5">
      <t>ホウ</t>
    </rPh>
    <rPh sb="6" eb="8">
      <t>キョウタイ</t>
    </rPh>
    <rPh sb="8" eb="9">
      <t>ネツ</t>
    </rPh>
    <rPh sb="9" eb="11">
      <t>カイロ</t>
    </rPh>
    <rPh sb="20" eb="21">
      <t>コウ</t>
    </rPh>
    <rPh sb="23" eb="25">
      <t>カイセツ</t>
    </rPh>
    <phoneticPr fontId="7"/>
  </si>
  <si>
    <t>屋外設置筐体の日射受熱量(6.4.1項)</t>
    <rPh sb="18" eb="19">
      <t>コウ</t>
    </rPh>
    <phoneticPr fontId="7"/>
  </si>
  <si>
    <t>(春分/秋分日０、±２５度）</t>
    <phoneticPr fontId="7"/>
  </si>
  <si>
    <r>
      <t>(W/m</t>
    </r>
    <r>
      <rPr>
        <vertAlign val="superscript"/>
        <sz val="11"/>
        <color theme="0"/>
        <rFont val="ＭＳ ゴシック"/>
        <family val="3"/>
        <charset val="128"/>
      </rPr>
      <t>2</t>
    </r>
    <r>
      <rPr>
        <sz val="11"/>
        <color theme="0"/>
        <rFont val="ＭＳ ゴシック"/>
        <family val="3"/>
        <charset val="128"/>
      </rPr>
      <t>)</t>
    </r>
  </si>
  <si>
    <r>
      <t>(m</t>
    </r>
    <r>
      <rPr>
        <vertAlign val="superscript"/>
        <sz val="11"/>
        <color theme="0"/>
        <rFont val="ＭＳ ゴシック"/>
        <family val="3"/>
        <charset val="128"/>
      </rPr>
      <t>2</t>
    </r>
    <r>
      <rPr>
        <sz val="11"/>
        <color theme="0"/>
        <rFont val="ＭＳ ゴシック"/>
        <family val="3"/>
        <charset val="128"/>
      </rPr>
      <t>)</t>
    </r>
  </si>
  <si>
    <r>
      <t>熱伝達率
(W/m</t>
    </r>
    <r>
      <rPr>
        <vertAlign val="superscript"/>
        <sz val="9"/>
        <color theme="0"/>
        <rFont val="ＭＳ ゴシック"/>
        <family val="3"/>
        <charset val="128"/>
      </rPr>
      <t>2</t>
    </r>
    <r>
      <rPr>
        <sz val="9"/>
        <color theme="0"/>
        <rFont val="ＭＳ ゴシック"/>
        <family val="3"/>
        <charset val="128"/>
      </rPr>
      <t>℃)</t>
    </r>
    <phoneticPr fontId="37"/>
  </si>
  <si>
    <r>
      <t>(W/m</t>
    </r>
    <r>
      <rPr>
        <vertAlign val="superscript"/>
        <sz val="11"/>
        <color theme="0"/>
        <rFont val="ＭＳ ゴシック"/>
        <family val="3"/>
        <charset val="128"/>
      </rPr>
      <t>2</t>
    </r>
    <r>
      <rPr>
        <sz val="11"/>
        <color theme="0"/>
        <rFont val="ＭＳ ゴシック"/>
        <family val="3"/>
        <charset val="128"/>
      </rPr>
      <t>K)</t>
    </r>
  </si>
  <si>
    <t>■筐体寸法</t>
    <rPh sb="1" eb="3">
      <t>キョウタイ</t>
    </rPh>
    <rPh sb="3" eb="5">
      <t>スンポウ</t>
    </rPh>
    <phoneticPr fontId="37"/>
  </si>
  <si>
    <t>北</t>
    <rPh sb="0" eb="1">
      <t>キタ</t>
    </rPh>
    <phoneticPr fontId="7"/>
  </si>
  <si>
    <t>西</t>
    <rPh sb="0" eb="1">
      <t>ニシ</t>
    </rPh>
    <phoneticPr fontId="7"/>
  </si>
  <si>
    <t>モータ強制空冷（ファン吹付）計算(7.4.2項）</t>
    <rPh sb="3" eb="5">
      <t>キョウセイ</t>
    </rPh>
    <rPh sb="5" eb="7">
      <t>クウレイ</t>
    </rPh>
    <rPh sb="11" eb="13">
      <t>フキツケ</t>
    </rPh>
    <rPh sb="14" eb="16">
      <t>ケイサン</t>
    </rPh>
    <rPh sb="22" eb="23">
      <t>コウ</t>
    </rPh>
    <phoneticPr fontId="59"/>
  </si>
  <si>
    <t>第７章</t>
    <rPh sb="0" eb="1">
      <t>ダイ</t>
    </rPh>
    <rPh sb="2" eb="3">
      <t>ショウ</t>
    </rPh>
    <phoneticPr fontId="7"/>
  </si>
  <si>
    <t>サーマルビア熱回路モデル(8.5.2）</t>
    <rPh sb="6" eb="7">
      <t>ネツ</t>
    </rPh>
    <rPh sb="7" eb="9">
      <t>カイロ</t>
    </rPh>
    <phoneticPr fontId="7"/>
  </si>
  <si>
    <r>
      <t>m</t>
    </r>
    <r>
      <rPr>
        <vertAlign val="superscript"/>
        <sz val="11"/>
        <rFont val="ＭＳ Ｐゴシック"/>
        <family val="3"/>
        <charset val="128"/>
      </rPr>
      <t>3</t>
    </r>
    <r>
      <rPr>
        <sz val="11"/>
        <rFont val="ＭＳ Ｐゴシック"/>
        <family val="3"/>
        <charset val="128"/>
      </rPr>
      <t>/s</t>
    </r>
    <phoneticPr fontId="7"/>
  </si>
  <si>
    <r>
      <t>m</t>
    </r>
    <r>
      <rPr>
        <vertAlign val="superscript"/>
        <sz val="11"/>
        <rFont val="ＭＳ Ｐゴシック"/>
        <family val="3"/>
        <charset val="128"/>
      </rPr>
      <t>2</t>
    </r>
    <phoneticPr fontId="7"/>
  </si>
  <si>
    <r>
      <t>W/m</t>
    </r>
    <r>
      <rPr>
        <vertAlign val="superscript"/>
        <sz val="11"/>
        <rFont val="ＭＳ Ｐゴシック"/>
        <family val="3"/>
        <charset val="128"/>
      </rPr>
      <t>2</t>
    </r>
    <r>
      <rPr>
        <sz val="11"/>
        <rFont val="ＭＳ Ｐゴシック"/>
        <family val="3"/>
        <charset val="128"/>
      </rPr>
      <t>K</t>
    </r>
    <phoneticPr fontId="7"/>
  </si>
  <si>
    <t>水冷ヒートシンク</t>
    <rPh sb="0" eb="2">
      <t>スイレイ</t>
    </rPh>
    <phoneticPr fontId="7"/>
  </si>
  <si>
    <t>第８章</t>
    <rPh sb="0" eb="1">
      <t>ダイ</t>
    </rPh>
    <rPh sb="2" eb="3">
      <t>ショウ</t>
    </rPh>
    <phoneticPr fontId="7"/>
  </si>
  <si>
    <t>第１０章</t>
    <rPh sb="0" eb="1">
      <t>ダイ</t>
    </rPh>
    <rPh sb="3" eb="4">
      <t>ショウ</t>
    </rPh>
    <phoneticPr fontId="7"/>
  </si>
  <si>
    <t>第１１章</t>
    <rPh sb="0" eb="1">
      <t>ダイ</t>
    </rPh>
    <rPh sb="3" eb="4">
      <t>ショウ</t>
    </rPh>
    <phoneticPr fontId="7"/>
  </si>
  <si>
    <t>第１２章</t>
    <rPh sb="0" eb="1">
      <t>ダイ</t>
    </rPh>
    <rPh sb="3" eb="4">
      <t>ショウ</t>
    </rPh>
    <phoneticPr fontId="7"/>
  </si>
  <si>
    <t>熱計算Excelシート　メニュー</t>
    <rPh sb="0" eb="1">
      <t>ネツ</t>
    </rPh>
    <rPh sb="1" eb="3">
      <t>ケイサン</t>
    </rPh>
    <phoneticPr fontId="7"/>
  </si>
  <si>
    <t>プリント基板の等価熱伝導率計算シート</t>
    <rPh sb="4" eb="6">
      <t>キバン</t>
    </rPh>
    <rPh sb="7" eb="9">
      <t>トウカ</t>
    </rPh>
    <rPh sb="9" eb="10">
      <t>ネツ</t>
    </rPh>
    <rPh sb="10" eb="13">
      <t>デンドウリツ</t>
    </rPh>
    <rPh sb="13" eb="15">
      <t>ケイサン</t>
    </rPh>
    <phoneticPr fontId="7"/>
  </si>
  <si>
    <t>viaエリア幅(mm)</t>
    <rPh sb="6" eb="7">
      <t>ハバ</t>
    </rPh>
    <phoneticPr fontId="37"/>
  </si>
  <si>
    <t>viaエリア奥行き(mm)</t>
    <rPh sb="6" eb="8">
      <t>オクユ</t>
    </rPh>
    <phoneticPr fontId="37"/>
  </si>
  <si>
    <t>材料の熱伝導率</t>
  </si>
  <si>
    <t>層厚さ</t>
  </si>
  <si>
    <t>銅箔残存率</t>
    <phoneticPr fontId="37"/>
  </si>
  <si>
    <t>本数</t>
    <rPh sb="0" eb="2">
      <t>ホンスウ</t>
    </rPh>
    <phoneticPr fontId="37"/>
  </si>
  <si>
    <t>ビア内径</t>
    <rPh sb="2" eb="4">
      <t>ナイケイ</t>
    </rPh>
    <phoneticPr fontId="37"/>
  </si>
  <si>
    <t>ﾒｯｷ厚</t>
    <rPh sb="3" eb="4">
      <t>アツ</t>
    </rPh>
    <phoneticPr fontId="37"/>
  </si>
  <si>
    <t>ﾒｯｷ熱伝導率</t>
    <rPh sb="3" eb="4">
      <t>ネツ</t>
    </rPh>
    <rPh sb="4" eb="7">
      <t>デンドウリツ</t>
    </rPh>
    <phoneticPr fontId="37"/>
  </si>
  <si>
    <t>(W/mK)</t>
    <phoneticPr fontId="37"/>
  </si>
  <si>
    <t>(mm)</t>
  </si>
  <si>
    <t>(ﾍﾞﾀ=1,なし=0)</t>
  </si>
  <si>
    <t>(本)</t>
    <rPh sb="1" eb="2">
      <t>ホン</t>
    </rPh>
    <phoneticPr fontId="37"/>
  </si>
  <si>
    <t xml:space="preserve">(mm)  </t>
  </si>
  <si>
    <t>(mm)</t>
    <phoneticPr fontId="37"/>
  </si>
  <si>
    <t>１層目</t>
  </si>
  <si>
    <t>-</t>
    <phoneticPr fontId="37"/>
  </si>
  <si>
    <t xml:space="preserve">   1-2層間</t>
  </si>
  <si>
    <t>２層目</t>
  </si>
  <si>
    <t xml:space="preserve">   2-3層間</t>
  </si>
  <si>
    <t>面方向等価熱伝導率(W/mK)</t>
    <phoneticPr fontId="7"/>
  </si>
  <si>
    <t>３層目</t>
  </si>
  <si>
    <t xml:space="preserve">   3-4層間</t>
  </si>
  <si>
    <t>４層目</t>
  </si>
  <si>
    <t>厚み方向等価熱伝導率(W/m℃)</t>
    <phoneticPr fontId="37"/>
  </si>
  <si>
    <t xml:space="preserve">   4-5層間</t>
  </si>
  <si>
    <t>５層目</t>
  </si>
  <si>
    <t xml:space="preserve">   5-6層間</t>
  </si>
  <si>
    <t>６層目</t>
  </si>
  <si>
    <t>ト－タル板厚</t>
  </si>
  <si>
    <t>ビア</t>
    <phoneticPr fontId="37"/>
  </si>
  <si>
    <t>計算領域断面積</t>
    <rPh sb="0" eb="2">
      <t>ケイサン</t>
    </rPh>
    <rPh sb="2" eb="4">
      <t>リョウイキ</t>
    </rPh>
    <rPh sb="4" eb="7">
      <t>ダンメンセキ</t>
    </rPh>
    <phoneticPr fontId="37"/>
  </si>
  <si>
    <t>A</t>
    <phoneticPr fontId="37"/>
  </si>
  <si>
    <t>λ</t>
    <phoneticPr fontId="37"/>
  </si>
  <si>
    <t>Aλ/t</t>
    <phoneticPr fontId="37"/>
  </si>
  <si>
    <t>R</t>
    <phoneticPr fontId="37"/>
  </si>
  <si>
    <t>ビア以外の抵抗</t>
    <rPh sb="2" eb="4">
      <t>イガイ</t>
    </rPh>
    <rPh sb="5" eb="7">
      <t>テイコウ</t>
    </rPh>
    <phoneticPr fontId="37"/>
  </si>
  <si>
    <t>合成COND</t>
    <rPh sb="0" eb="2">
      <t>ゴウセイ</t>
    </rPh>
    <phoneticPr fontId="37"/>
  </si>
  <si>
    <t>合成R</t>
    <rPh sb="0" eb="2">
      <t>ゴウセイ</t>
    </rPh>
    <phoneticPr fontId="37"/>
  </si>
  <si>
    <t>K/W</t>
    <phoneticPr fontId="37"/>
  </si>
  <si>
    <t>作成：国峰尚樹</t>
    <rPh sb="0" eb="2">
      <t>サクセイ</t>
    </rPh>
    <rPh sb="3" eb="5">
      <t>クニミネ</t>
    </rPh>
    <rPh sb="5" eb="7">
      <t>ナオキ</t>
    </rPh>
    <phoneticPr fontId="7"/>
  </si>
  <si>
    <t>刻み</t>
    <rPh sb="0" eb="1">
      <t>キザ</t>
    </rPh>
    <phoneticPr fontId="7"/>
  </si>
  <si>
    <t>面方向</t>
    <rPh sb="0" eb="1">
      <t>メン</t>
    </rPh>
    <rPh sb="1" eb="3">
      <t>ホウコウ</t>
    </rPh>
    <phoneticPr fontId="7"/>
  </si>
  <si>
    <t>厚み方向</t>
    <rPh sb="0" eb="1">
      <t>アツ</t>
    </rPh>
    <rPh sb="2" eb="4">
      <t>ホウコウ</t>
    </rPh>
    <phoneticPr fontId="7"/>
  </si>
  <si>
    <t>2018年8月31日　修正</t>
    <rPh sb="4" eb="5">
      <t>ネン</t>
    </rPh>
    <rPh sb="6" eb="7">
      <t>ガツ</t>
    </rPh>
    <rPh sb="9" eb="10">
      <t>ニチ</t>
    </rPh>
    <rPh sb="11" eb="13">
      <t>シュウセイ</t>
    </rPh>
    <phoneticPr fontId="7"/>
  </si>
</sst>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76" formatCode="&quot;¥&quot;&quot;¥&quot;&quot;¥&quot;&quot;¥&quot;&quot;¥&quot;&quot;¥&quot;&quot;¥&quot;&quot;¥&quot;&quot;¥&quot;&quot;¥&quot;&quot;¥&quot;&quot;¥&quot;&quot;¥&quot;&quot;¥&quot;&quot;¥&quot;&quot;¥&quot;&quot;¥&quot;&quot;¥&quot;&quot;¥&quot;&quot;¥&quot;\$#,##0.00_);[Red]&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
    <numFmt numFmtId="177" formatCode="0.000_ "/>
    <numFmt numFmtId="178" formatCode="0.00_ "/>
    <numFmt numFmtId="179" formatCode="0.0"/>
    <numFmt numFmtId="180" formatCode="0.000"/>
    <numFmt numFmtId="181" formatCode="0.000_);[Red]\(0.000\)"/>
    <numFmt numFmtId="182" formatCode="0.0000_ "/>
    <numFmt numFmtId="183" formatCode="0.00000000_ "/>
    <numFmt numFmtId="184" formatCode="0.000E+00"/>
    <numFmt numFmtId="185" formatCode="0.000000_ "/>
    <numFmt numFmtId="186" formatCode="0.0000"/>
    <numFmt numFmtId="187" formatCode="0.0_ "/>
  </numFmts>
  <fonts count="110">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1"/>
      <name val="明朝"/>
      <family val="3"/>
      <charset val="128"/>
    </font>
    <font>
      <sz val="9"/>
      <name val="Times New Roman"/>
      <family val="1"/>
    </font>
    <font>
      <b/>
      <sz val="12"/>
      <name val="Arial"/>
      <family val="2"/>
    </font>
    <font>
      <sz val="10"/>
      <name val="Arial"/>
      <family val="2"/>
    </font>
    <font>
      <sz val="8"/>
      <color indexed="16"/>
      <name val="Century Schoolbook"/>
      <family val="1"/>
    </font>
    <font>
      <b/>
      <i/>
      <sz val="10"/>
      <name val="Times New Roman"/>
      <family val="1"/>
    </font>
    <font>
      <b/>
      <sz val="9"/>
      <name val="Times New Roman"/>
      <family val="1"/>
    </font>
    <font>
      <sz val="8"/>
      <name val="Arial"/>
      <family val="2"/>
    </font>
    <font>
      <sz val="18"/>
      <color indexed="12"/>
      <name val="ＭＳ Ｐゴシック"/>
      <family val="3"/>
      <charset val="128"/>
    </font>
    <font>
      <sz val="6"/>
      <name val="ＭＳ ゴシック"/>
      <family val="3"/>
      <charset val="128"/>
    </font>
    <font>
      <sz val="9"/>
      <color indexed="81"/>
      <name val="ＭＳ Ｐゴシック"/>
      <family val="3"/>
      <charset val="128"/>
    </font>
    <font>
      <b/>
      <sz val="11"/>
      <name val="ＭＳ Ｐゴシック"/>
      <family val="3"/>
      <charset val="128"/>
    </font>
    <font>
      <sz val="10"/>
      <name val="ＭＳ Ｐゴシック"/>
      <family val="3"/>
      <charset val="128"/>
    </font>
    <font>
      <sz val="18"/>
      <color rgb="FF0000FF"/>
      <name val="ＭＳ Ｐゴシック"/>
      <family val="3"/>
      <charset val="128"/>
    </font>
    <font>
      <sz val="11"/>
      <name val="ＭＳ ゴシック"/>
      <family val="3"/>
      <charset val="128"/>
    </font>
    <font>
      <sz val="10"/>
      <name val="ＭＳ ゴシック"/>
      <family val="3"/>
      <charset val="128"/>
    </font>
    <font>
      <sz val="9"/>
      <name val="ＭＳ Ｐゴシック"/>
      <family val="3"/>
      <charset val="128"/>
    </font>
    <font>
      <sz val="8"/>
      <name val="ＭＳ Ｐゴシック"/>
      <family val="3"/>
      <charset val="128"/>
    </font>
    <font>
      <vertAlign val="superscript"/>
      <sz val="11"/>
      <name val="ＭＳ Ｐゴシック"/>
      <family val="3"/>
      <charset val="128"/>
    </font>
    <font>
      <sz val="11"/>
      <name val="ＭＳ Ｐゴシック"/>
      <family val="3"/>
      <charset val="128"/>
    </font>
    <font>
      <sz val="11"/>
      <color theme="1"/>
      <name val="ＭＳ Ｐゴシック"/>
      <family val="3"/>
      <charset val="128"/>
      <scheme val="minor"/>
    </font>
    <font>
      <sz val="11"/>
      <name val="Times New Roman"/>
      <family val="1"/>
    </font>
    <font>
      <sz val="11"/>
      <name val="ＭＳ Ｐ明朝"/>
      <family val="1"/>
      <charset val="128"/>
    </font>
    <font>
      <sz val="11"/>
      <name val="Traditional Arabic"/>
      <family val="1"/>
    </font>
    <font>
      <vertAlign val="superscript"/>
      <sz val="11"/>
      <name val="Times New Roman"/>
      <family val="1"/>
    </font>
    <font>
      <sz val="14"/>
      <name val="ＭＳ Ｐゴシック"/>
      <family val="3"/>
      <charset val="128"/>
    </font>
    <font>
      <sz val="11"/>
      <color indexed="10"/>
      <name val="ＭＳ Ｐゴシック"/>
      <family val="3"/>
      <charset val="128"/>
    </font>
    <font>
      <sz val="11"/>
      <color indexed="12"/>
      <name val="ＭＳ Ｐゴシック"/>
      <family val="3"/>
      <charset val="128"/>
    </font>
    <font>
      <b/>
      <sz val="11"/>
      <color indexed="10"/>
      <name val="ＭＳ Ｐゴシック"/>
      <family val="3"/>
      <charset val="128"/>
    </font>
    <font>
      <sz val="6"/>
      <name val="ＭＳ Ｐ明朝"/>
      <family val="1"/>
      <charset val="128"/>
    </font>
    <font>
      <vertAlign val="superscript"/>
      <sz val="9"/>
      <name val="ＭＳ Ｐゴシック"/>
      <family val="3"/>
      <charset val="128"/>
    </font>
    <font>
      <sz val="16"/>
      <color indexed="12"/>
      <name val="ＭＳ Ｐゴシック"/>
      <family val="3"/>
      <charset val="128"/>
    </font>
    <font>
      <sz val="11"/>
      <color indexed="8"/>
      <name val="ＭＳ Ｐゴシック"/>
      <family val="3"/>
      <charset val="128"/>
    </font>
    <font>
      <sz val="11"/>
      <color indexed="9"/>
      <name val="ＭＳ Ｐゴシック"/>
      <family val="3"/>
      <charset val="128"/>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color indexed="20"/>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4"/>
      <color indexed="12"/>
      <name val="ＭＳ Ｐゴシック"/>
      <family val="3"/>
      <charset val="128"/>
    </font>
    <font>
      <b/>
      <sz val="11"/>
      <color rgb="FF0000FF"/>
      <name val="ＭＳ Ｐゴシック"/>
      <family val="3"/>
      <charset val="128"/>
    </font>
    <font>
      <b/>
      <sz val="11"/>
      <color rgb="FFFF0000"/>
      <name val="ＭＳ Ｐゴシック"/>
      <family val="3"/>
      <charset val="128"/>
    </font>
    <font>
      <b/>
      <vertAlign val="superscript"/>
      <sz val="11"/>
      <name val="ＭＳ Ｐゴシック"/>
      <family val="3"/>
      <charset val="128"/>
    </font>
    <font>
      <sz val="14"/>
      <color theme="1"/>
      <name val="ＭＳ Ｐゴシック"/>
      <family val="2"/>
      <charset val="128"/>
      <scheme val="minor"/>
    </font>
    <font>
      <sz val="6"/>
      <name val="ＭＳ Ｐゴシック"/>
      <family val="2"/>
      <charset val="128"/>
      <scheme val="minor"/>
    </font>
    <font>
      <b/>
      <sz val="11"/>
      <color rgb="FF0000FF"/>
      <name val="ＭＳ Ｐゴシック"/>
      <family val="3"/>
      <charset val="128"/>
      <scheme val="minor"/>
    </font>
    <font>
      <b/>
      <sz val="11"/>
      <color rgb="FFFF0000"/>
      <name val="ＭＳ Ｐゴシック"/>
      <family val="3"/>
      <charset val="128"/>
      <scheme val="minor"/>
    </font>
    <font>
      <b/>
      <sz val="11"/>
      <color theme="1"/>
      <name val="ＭＳ Ｐゴシック"/>
      <family val="3"/>
      <charset val="128"/>
      <scheme val="minor"/>
    </font>
    <font>
      <sz val="11"/>
      <color rgb="FFFF0000"/>
      <name val="ＭＳ Ｐゴシック"/>
      <family val="2"/>
      <charset val="128"/>
      <scheme val="minor"/>
    </font>
    <font>
      <b/>
      <sz val="14"/>
      <color rgb="FF0000FF"/>
      <name val="ＭＳ Ｐゴシック"/>
      <family val="3"/>
      <charset val="128"/>
      <scheme val="minor"/>
    </font>
    <font>
      <sz val="6"/>
      <name val="明朝"/>
      <family val="3"/>
      <charset val="128"/>
    </font>
    <font>
      <sz val="11"/>
      <name val="ＭＳ Ｐゴシック"/>
      <family val="3"/>
      <charset val="128"/>
      <scheme val="minor"/>
    </font>
    <font>
      <b/>
      <sz val="9"/>
      <color indexed="81"/>
      <name val="ＭＳ Ｐゴシック"/>
      <family val="3"/>
      <charset val="128"/>
    </font>
    <font>
      <sz val="11"/>
      <color rgb="FFFF0000"/>
      <name val="ＭＳ Ｐゴシック"/>
      <family val="3"/>
      <charset val="128"/>
      <scheme val="minor"/>
    </font>
    <font>
      <b/>
      <sz val="11"/>
      <color rgb="FF0070C0"/>
      <name val="ＭＳ Ｐゴシック"/>
      <family val="3"/>
      <charset val="128"/>
      <scheme val="minor"/>
    </font>
    <font>
      <sz val="16"/>
      <color indexed="12"/>
      <name val="ＭＳ ゴシック"/>
      <family val="3"/>
      <charset val="128"/>
    </font>
    <font>
      <sz val="16"/>
      <name val="ＭＳ ゴシック"/>
      <family val="3"/>
      <charset val="128"/>
    </font>
    <font>
      <sz val="11"/>
      <color rgb="FF0000FF"/>
      <name val="ＭＳ Ｐゴシック"/>
      <family val="3"/>
      <charset val="128"/>
    </font>
    <font>
      <sz val="11"/>
      <name val="Arial"/>
      <family val="2"/>
    </font>
    <font>
      <sz val="10"/>
      <color rgb="FF000000"/>
      <name val="ＭＳ Ｐゴシック"/>
      <family val="3"/>
      <charset val="128"/>
    </font>
    <font>
      <sz val="10"/>
      <color theme="1"/>
      <name val="ＭＳ Ｐゴシック"/>
      <family val="3"/>
      <charset val="128"/>
      <scheme val="minor"/>
    </font>
    <font>
      <sz val="8"/>
      <color theme="1"/>
      <name val="ＭＳ Ｐゴシック"/>
      <family val="3"/>
      <charset val="128"/>
      <scheme val="minor"/>
    </font>
    <font>
      <sz val="11"/>
      <color rgb="FF000000"/>
      <name val="ＭＳ Ｐゴシック"/>
      <family val="3"/>
      <charset val="128"/>
    </font>
    <font>
      <sz val="10"/>
      <color rgb="FFFF0000"/>
      <name val="ＭＳ Ｐゴシック"/>
      <family val="3"/>
      <charset val="128"/>
    </font>
    <font>
      <sz val="10"/>
      <color indexed="8"/>
      <name val="ＭＳ Ｐゴシック"/>
      <family val="3"/>
      <charset val="128"/>
    </font>
    <font>
      <vertAlign val="superscript"/>
      <sz val="10"/>
      <name val="ＭＳ Ｐゴシック"/>
      <family val="3"/>
      <charset val="128"/>
    </font>
    <font>
      <sz val="11"/>
      <color theme="0" tint="-0.499984740745262"/>
      <name val="ＭＳ Ｐゴシック"/>
      <family val="3"/>
      <charset val="128"/>
    </font>
    <font>
      <b/>
      <sz val="11"/>
      <name val="ＭＳ ゴシック"/>
      <family val="3"/>
      <charset val="128"/>
    </font>
    <font>
      <vertAlign val="superscript"/>
      <sz val="11"/>
      <name val="ＭＳ ゴシック"/>
      <family val="3"/>
      <charset val="128"/>
    </font>
    <font>
      <sz val="12"/>
      <color indexed="10"/>
      <name val="ＭＳ ゴシック"/>
      <family val="3"/>
      <charset val="128"/>
    </font>
    <font>
      <sz val="11"/>
      <color indexed="9"/>
      <name val="ＭＳ ゴシック"/>
      <family val="3"/>
      <charset val="128"/>
    </font>
    <font>
      <b/>
      <sz val="12"/>
      <name val="ＭＳ ゴシック"/>
      <family val="3"/>
      <charset val="128"/>
    </font>
    <font>
      <sz val="10"/>
      <color indexed="9"/>
      <name val="ＭＳ ゴシック"/>
      <family val="3"/>
      <charset val="128"/>
    </font>
    <font>
      <sz val="12"/>
      <name val="ＭＳ ゴシック"/>
      <family val="3"/>
      <charset val="128"/>
    </font>
    <font>
      <b/>
      <sz val="12"/>
      <color indexed="10"/>
      <name val="ＭＳ ゴシック"/>
      <family val="3"/>
      <charset val="128"/>
    </font>
    <font>
      <b/>
      <sz val="11"/>
      <color indexed="10"/>
      <name val="ＭＳ ゴシック"/>
      <family val="3"/>
      <charset val="128"/>
    </font>
    <font>
      <sz val="11"/>
      <color indexed="10"/>
      <name val="ＭＳ ゴシック"/>
      <family val="3"/>
      <charset val="128"/>
    </font>
    <font>
      <sz val="11"/>
      <color indexed="10"/>
      <name val="明朝"/>
      <family val="3"/>
      <charset val="128"/>
    </font>
    <font>
      <sz val="11"/>
      <color indexed="9"/>
      <name val="明朝"/>
      <family val="3"/>
      <charset val="128"/>
    </font>
    <font>
      <sz val="10"/>
      <color indexed="81"/>
      <name val="ＭＳ Ｐゴシック"/>
      <family val="3"/>
      <charset val="128"/>
    </font>
    <font>
      <sz val="11"/>
      <color rgb="FF0000FF"/>
      <name val="ＭＳ ゴシック"/>
      <family val="3"/>
      <charset val="128"/>
    </font>
    <font>
      <sz val="11"/>
      <color rgb="FF0000FF"/>
      <name val="明朝"/>
      <family val="3"/>
      <charset val="128"/>
    </font>
    <font>
      <sz val="20"/>
      <color rgb="FF0000FF"/>
      <name val="ＭＳ ゴシック"/>
      <family val="3"/>
      <charset val="128"/>
    </font>
    <font>
      <sz val="11"/>
      <color theme="0"/>
      <name val="ＭＳ ゴシック"/>
      <family val="3"/>
      <charset val="128"/>
    </font>
    <font>
      <sz val="11"/>
      <color theme="0"/>
      <name val="明朝"/>
      <family val="3"/>
      <charset val="128"/>
    </font>
    <font>
      <sz val="10"/>
      <color theme="0"/>
      <name val="ＭＳ ゴシック"/>
      <family val="3"/>
      <charset val="128"/>
    </font>
    <font>
      <vertAlign val="superscript"/>
      <sz val="11"/>
      <color theme="0"/>
      <name val="ＭＳ ゴシック"/>
      <family val="3"/>
      <charset val="128"/>
    </font>
    <font>
      <sz val="12"/>
      <color theme="0"/>
      <name val="ＭＳ ゴシック"/>
      <family val="3"/>
      <charset val="128"/>
    </font>
    <font>
      <b/>
      <sz val="11"/>
      <color theme="0"/>
      <name val="ＭＳ ゴシック"/>
      <family val="3"/>
      <charset val="128"/>
    </font>
    <font>
      <sz val="9"/>
      <color theme="0"/>
      <name val="ＭＳ ゴシック"/>
      <family val="3"/>
      <charset val="128"/>
    </font>
    <font>
      <vertAlign val="superscript"/>
      <sz val="9"/>
      <color theme="0"/>
      <name val="ＭＳ ゴシック"/>
      <family val="3"/>
      <charset val="128"/>
    </font>
    <font>
      <b/>
      <sz val="18"/>
      <color rgb="FF0000FF"/>
      <name val="ＭＳ Ｐゴシック"/>
      <family val="3"/>
      <charset val="128"/>
    </font>
    <font>
      <sz val="18"/>
      <color indexed="12"/>
      <name val="ＭＳ ゴシック"/>
      <family val="3"/>
      <charset val="128"/>
    </font>
    <font>
      <b/>
      <sz val="14"/>
      <name val="ＭＳ Ｐゴシック"/>
      <family val="3"/>
      <charset val="128"/>
    </font>
    <font>
      <sz val="9"/>
      <color indexed="81"/>
      <name val="MS P ゴシック"/>
      <family val="3"/>
      <charset val="128"/>
    </font>
  </fonts>
  <fills count="38">
    <fill>
      <patternFill patternType="none"/>
    </fill>
    <fill>
      <patternFill patternType="gray125"/>
    </fill>
    <fill>
      <patternFill patternType="solid">
        <fgColor indexed="41"/>
        <bgColor indexed="64"/>
      </patternFill>
    </fill>
    <fill>
      <patternFill patternType="solid">
        <fgColor indexed="42"/>
        <bgColor indexed="64"/>
      </patternFill>
    </fill>
    <fill>
      <patternFill patternType="solid">
        <fgColor indexed="11"/>
        <bgColor indexed="64"/>
      </patternFill>
    </fill>
    <fill>
      <patternFill patternType="solid">
        <fgColor rgb="FF99FFCC"/>
        <bgColor indexed="64"/>
      </patternFill>
    </fill>
    <fill>
      <patternFill patternType="solid">
        <fgColor rgb="FFFFFFCC"/>
        <bgColor indexed="64"/>
      </patternFill>
    </fill>
    <fill>
      <patternFill patternType="solid">
        <fgColor indexed="13"/>
        <bgColor indexed="64"/>
      </patternFill>
    </fill>
    <fill>
      <patternFill patternType="solid">
        <fgColor indexed="27"/>
        <bgColor indexed="64"/>
      </patternFill>
    </fill>
    <fill>
      <patternFill patternType="solid">
        <fgColor indexed="44"/>
        <bgColor indexed="64"/>
      </patternFill>
    </fill>
    <fill>
      <patternFill patternType="solid">
        <fgColor indexed="26"/>
        <bgColor indexed="64"/>
      </patternFill>
    </fill>
    <fill>
      <patternFill patternType="solid">
        <fgColor indexed="4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55"/>
      </patternFill>
    </fill>
    <fill>
      <patternFill patternType="solid">
        <fgColor indexed="46"/>
      </patternFill>
    </fill>
    <fill>
      <patternFill patternType="solid">
        <fgColor indexed="9"/>
      </patternFill>
    </fill>
    <fill>
      <patternFill patternType="solid">
        <fgColor rgb="FFCCFFFF"/>
        <bgColor indexed="64"/>
      </patternFill>
    </fill>
    <fill>
      <patternFill patternType="solid">
        <fgColor rgb="FFFFFF00"/>
        <bgColor indexed="64"/>
      </patternFill>
    </fill>
    <fill>
      <patternFill patternType="solid">
        <fgColor theme="0"/>
        <bgColor indexed="64"/>
      </patternFill>
    </fill>
    <fill>
      <patternFill patternType="solid">
        <fgColor rgb="FF99FF33"/>
        <bgColor indexed="64"/>
      </patternFill>
    </fill>
    <fill>
      <patternFill patternType="solid">
        <fgColor rgb="FFCCFFCC"/>
        <bgColor indexed="64"/>
      </patternFill>
    </fill>
    <fill>
      <patternFill patternType="solid">
        <fgColor theme="3" tint="0.79998168889431442"/>
        <bgColor indexed="64"/>
      </patternFill>
    </fill>
    <fill>
      <patternFill patternType="solid">
        <fgColor rgb="FFE9FDF3"/>
        <bgColor indexed="64"/>
      </patternFill>
    </fill>
    <fill>
      <patternFill patternType="solid">
        <fgColor rgb="FFFEE6E6"/>
        <bgColor indexed="64"/>
      </patternFill>
    </fill>
    <fill>
      <patternFill patternType="solid">
        <fgColor indexed="17"/>
        <bgColor indexed="64"/>
      </patternFill>
    </fill>
    <fill>
      <patternFill patternType="solid">
        <fgColor indexed="9"/>
        <bgColor indexed="64"/>
      </patternFill>
    </fill>
  </fills>
  <borders count="100">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diagonal/>
    </border>
    <border>
      <left/>
      <right/>
      <top style="medium">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bottom/>
      <diagonal/>
    </border>
    <border>
      <left style="thin">
        <color indexed="64"/>
      </left>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style="thin">
        <color indexed="23"/>
      </left>
      <right style="thin">
        <color indexed="23"/>
      </right>
      <top style="thin">
        <color indexed="23"/>
      </top>
      <bottom style="thin">
        <color indexed="2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style="thin">
        <color indexed="64"/>
      </bottom>
      <diagonal/>
    </border>
    <border>
      <left style="thin">
        <color indexed="64"/>
      </left>
      <right/>
      <top style="medium">
        <color indexed="64"/>
      </top>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style="thin">
        <color indexed="64"/>
      </left>
      <right/>
      <top style="thin">
        <color indexed="64"/>
      </top>
      <bottom/>
      <diagonal/>
    </border>
    <border>
      <left/>
      <right style="medium">
        <color indexed="64"/>
      </right>
      <top style="medium">
        <color indexed="64"/>
      </top>
      <bottom style="thin">
        <color indexed="64"/>
      </bottom>
      <diagonal/>
    </border>
    <border>
      <left/>
      <right style="thin">
        <color indexed="64"/>
      </right>
      <top/>
      <bottom/>
      <diagonal/>
    </border>
    <border>
      <left style="thin">
        <color indexed="64"/>
      </left>
      <right style="medium">
        <color indexed="64"/>
      </right>
      <top/>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right style="medium">
        <color indexed="64"/>
      </right>
      <top style="medium">
        <color indexed="64"/>
      </top>
      <bottom/>
      <diagonal/>
    </border>
    <border>
      <left style="thin">
        <color indexed="64"/>
      </left>
      <right style="double">
        <color indexed="10"/>
      </right>
      <top style="thin">
        <color indexed="64"/>
      </top>
      <bottom style="thin">
        <color indexed="34"/>
      </bottom>
      <diagonal/>
    </border>
    <border>
      <left style="double">
        <color indexed="10"/>
      </left>
      <right style="double">
        <color indexed="10"/>
      </right>
      <top style="double">
        <color indexed="10"/>
      </top>
      <bottom style="double">
        <color indexed="10"/>
      </bottom>
      <diagonal/>
    </border>
    <border>
      <left style="thin">
        <color indexed="64"/>
      </left>
      <right style="double">
        <color indexed="10"/>
      </right>
      <top style="thin">
        <color indexed="34"/>
      </top>
      <bottom style="thin">
        <color indexed="34"/>
      </bottom>
      <diagonal/>
    </border>
    <border>
      <left style="thin">
        <color indexed="64"/>
      </left>
      <right style="double">
        <color indexed="10"/>
      </right>
      <top style="thin">
        <color indexed="34"/>
      </top>
      <bottom style="thin">
        <color indexed="64"/>
      </bottom>
      <diagonal/>
    </border>
    <border>
      <left style="thin">
        <color indexed="64"/>
      </left>
      <right style="double">
        <color indexed="10"/>
      </right>
      <top style="thin">
        <color indexed="64"/>
      </top>
      <bottom style="thin">
        <color indexed="64"/>
      </bottom>
      <diagonal/>
    </border>
    <border>
      <left style="medium">
        <color indexed="12"/>
      </left>
      <right style="medium">
        <color indexed="12"/>
      </right>
      <top style="medium">
        <color indexed="12"/>
      </top>
      <bottom style="medium">
        <color indexed="12"/>
      </bottom>
      <diagonal/>
    </border>
    <border>
      <left/>
      <right style="medium">
        <color indexed="12"/>
      </right>
      <top/>
      <bottom/>
      <diagonal/>
    </border>
    <border>
      <left style="thin">
        <color indexed="64"/>
      </left>
      <right style="thin">
        <color indexed="64"/>
      </right>
      <top style="thin">
        <color indexed="64"/>
      </top>
      <bottom style="double">
        <color indexed="10"/>
      </bottom>
      <diagonal/>
    </border>
    <border>
      <left style="double">
        <color indexed="10"/>
      </left>
      <right style="double">
        <color indexed="10"/>
      </right>
      <top style="double">
        <color indexed="10"/>
      </top>
      <bottom/>
      <diagonal/>
    </border>
    <border>
      <left style="double">
        <color indexed="10"/>
      </left>
      <right style="medium">
        <color indexed="64"/>
      </right>
      <top style="double">
        <color indexed="10"/>
      </top>
      <bottom style="double">
        <color indexed="10"/>
      </bottom>
      <diagonal/>
    </border>
    <border>
      <left/>
      <right style="medium">
        <color indexed="64"/>
      </right>
      <top/>
      <bottom/>
      <diagonal/>
    </border>
    <border>
      <left style="medium">
        <color indexed="64"/>
      </left>
      <right style="double">
        <color indexed="10"/>
      </right>
      <top style="double">
        <color indexed="10"/>
      </top>
      <bottom style="double">
        <color indexed="10"/>
      </bottom>
      <diagonal/>
    </border>
    <border>
      <left style="medium">
        <color indexed="64"/>
      </left>
      <right style="double">
        <color indexed="10"/>
      </right>
      <top style="double">
        <color indexed="10"/>
      </top>
      <bottom/>
      <diagonal/>
    </border>
    <border>
      <left style="double">
        <color indexed="10"/>
      </left>
      <right style="medium">
        <color indexed="64"/>
      </right>
      <top style="double">
        <color indexed="10"/>
      </top>
      <bottom/>
      <diagonal/>
    </border>
    <border>
      <left style="medium">
        <color indexed="64"/>
      </left>
      <right style="double">
        <color indexed="10"/>
      </right>
      <top style="thin">
        <color indexed="64"/>
      </top>
      <bottom style="medium">
        <color indexed="64"/>
      </bottom>
      <diagonal/>
    </border>
    <border>
      <left style="double">
        <color indexed="10"/>
      </left>
      <right style="double">
        <color indexed="10"/>
      </right>
      <top style="double">
        <color indexed="10"/>
      </top>
      <bottom style="medium">
        <color indexed="64"/>
      </bottom>
      <diagonal/>
    </border>
    <border>
      <left style="double">
        <color indexed="10"/>
      </left>
      <right style="double">
        <color indexed="10"/>
      </right>
      <top/>
      <bottom style="double">
        <color indexed="10"/>
      </bottom>
      <diagonal/>
    </border>
    <border>
      <left style="double">
        <color indexed="10"/>
      </left>
      <right style="medium">
        <color indexed="64"/>
      </right>
      <top/>
      <bottom style="double">
        <color indexed="10"/>
      </bottom>
      <diagonal/>
    </border>
    <border>
      <left style="medium">
        <color indexed="64"/>
      </left>
      <right style="double">
        <color indexed="10"/>
      </right>
      <top/>
      <bottom style="double">
        <color indexed="10"/>
      </bottom>
      <diagonal/>
    </border>
    <border>
      <left style="medium">
        <color indexed="64"/>
      </left>
      <right style="double">
        <color indexed="10"/>
      </right>
      <top style="thin">
        <color indexed="64"/>
      </top>
      <bottom style="thin">
        <color indexed="64"/>
      </bottom>
      <diagonal/>
    </border>
    <border>
      <left style="double">
        <color indexed="10"/>
      </left>
      <right style="medium">
        <color indexed="64"/>
      </right>
      <top style="double">
        <color indexed="10"/>
      </top>
      <bottom style="medium">
        <color indexed="64"/>
      </bottom>
      <diagonal/>
    </border>
    <border>
      <left/>
      <right style="medium">
        <color indexed="64"/>
      </right>
      <top/>
      <bottom style="medium">
        <color indexed="64"/>
      </bottom>
      <diagonal/>
    </border>
  </borders>
  <cellStyleXfs count="169">
    <xf numFmtId="0" fontId="0" fillId="0" borderId="0">
      <alignment vertical="center"/>
    </xf>
    <xf numFmtId="176" fontId="8" fillId="0" borderId="0" applyFill="0" applyBorder="0" applyAlignment="0"/>
    <xf numFmtId="0" fontId="9" fillId="0" borderId="0">
      <alignment horizontal="left"/>
    </xf>
    <xf numFmtId="0" fontId="10" fillId="0" borderId="1" applyNumberFormat="0" applyAlignment="0" applyProtection="0">
      <alignment horizontal="left" vertical="center"/>
    </xf>
    <xf numFmtId="0" fontId="10" fillId="0" borderId="2">
      <alignment horizontal="left" vertical="center"/>
    </xf>
    <xf numFmtId="0" fontId="11" fillId="0" borderId="0"/>
    <xf numFmtId="4" fontId="9" fillId="0" borderId="0">
      <alignment horizontal="right"/>
    </xf>
    <xf numFmtId="4" fontId="12" fillId="0" borderId="0">
      <alignment horizontal="right"/>
    </xf>
    <xf numFmtId="0" fontId="13" fillId="0" borderId="0">
      <alignment horizontal="left"/>
    </xf>
    <xf numFmtId="0" fontId="15" fillId="0" borderId="0"/>
    <xf numFmtId="0" fontId="14" fillId="0" borderId="0">
      <alignment horizontal="center"/>
    </xf>
    <xf numFmtId="0" fontId="8" fillId="0" borderId="0"/>
    <xf numFmtId="0" fontId="27" fillId="0" borderId="0">
      <alignment vertical="center"/>
    </xf>
    <xf numFmtId="0" fontId="28" fillId="0" borderId="0">
      <alignment vertical="center"/>
    </xf>
    <xf numFmtId="0" fontId="27" fillId="0" borderId="0"/>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3" borderId="0" applyNumberFormat="0" applyBorder="0" applyAlignment="0" applyProtection="0">
      <alignment vertical="center"/>
    </xf>
    <xf numFmtId="0" fontId="40" fillId="13" borderId="0" applyNumberFormat="0" applyBorder="0" applyAlignment="0" applyProtection="0">
      <alignment vertical="center"/>
    </xf>
    <xf numFmtId="0" fontId="40" fillId="14" borderId="0" applyNumberFormat="0" applyBorder="0" applyAlignment="0" applyProtection="0">
      <alignment vertical="center"/>
    </xf>
    <xf numFmtId="0" fontId="40" fillId="14" borderId="0" applyNumberFormat="0" applyBorder="0" applyAlignment="0" applyProtection="0">
      <alignment vertical="center"/>
    </xf>
    <xf numFmtId="0" fontId="40" fillId="15" borderId="0" applyNumberFormat="0" applyBorder="0" applyAlignment="0" applyProtection="0">
      <alignment vertical="center"/>
    </xf>
    <xf numFmtId="0" fontId="40" fillId="15" borderId="0" applyNumberFormat="0" applyBorder="0" applyAlignment="0" applyProtection="0">
      <alignment vertical="center"/>
    </xf>
    <xf numFmtId="0" fontId="40" fillId="16" borderId="0" applyNumberFormat="0" applyBorder="0" applyAlignment="0" applyProtection="0">
      <alignment vertical="center"/>
    </xf>
    <xf numFmtId="0" fontId="40" fillId="16" borderId="0" applyNumberFormat="0" applyBorder="0" applyAlignment="0" applyProtection="0">
      <alignment vertical="center"/>
    </xf>
    <xf numFmtId="0" fontId="40" fillId="14" borderId="0" applyNumberFormat="0" applyBorder="0" applyAlignment="0" applyProtection="0">
      <alignment vertical="center"/>
    </xf>
    <xf numFmtId="0" fontId="40" fillId="14" borderId="0" applyNumberFormat="0" applyBorder="0" applyAlignment="0" applyProtection="0">
      <alignment vertical="center"/>
    </xf>
    <xf numFmtId="0" fontId="40" fillId="16" borderId="0" applyNumberFormat="0" applyBorder="0" applyAlignment="0" applyProtection="0">
      <alignment vertical="center"/>
    </xf>
    <xf numFmtId="0" fontId="40" fillId="16" borderId="0" applyNumberFormat="0" applyBorder="0" applyAlignment="0" applyProtection="0">
      <alignment vertical="center"/>
    </xf>
    <xf numFmtId="0" fontId="40" fillId="13" borderId="0" applyNumberFormat="0" applyBorder="0" applyAlignment="0" applyProtection="0">
      <alignment vertical="center"/>
    </xf>
    <xf numFmtId="0" fontId="40" fillId="13" borderId="0" applyNumberFormat="0" applyBorder="0" applyAlignment="0" applyProtection="0">
      <alignment vertical="center"/>
    </xf>
    <xf numFmtId="0" fontId="40" fillId="17" borderId="0" applyNumberFormat="0" applyBorder="0" applyAlignment="0" applyProtection="0">
      <alignment vertical="center"/>
    </xf>
    <xf numFmtId="0" fontId="40" fillId="17" borderId="0" applyNumberFormat="0" applyBorder="0" applyAlignment="0" applyProtection="0">
      <alignment vertical="center"/>
    </xf>
    <xf numFmtId="0" fontId="40" fillId="18" borderId="0" applyNumberFormat="0" applyBorder="0" applyAlignment="0" applyProtection="0">
      <alignment vertical="center"/>
    </xf>
    <xf numFmtId="0" fontId="40" fillId="18" borderId="0" applyNumberFormat="0" applyBorder="0" applyAlignment="0" applyProtection="0">
      <alignment vertical="center"/>
    </xf>
    <xf numFmtId="0" fontId="40" fillId="16" borderId="0" applyNumberFormat="0" applyBorder="0" applyAlignment="0" applyProtection="0">
      <alignment vertical="center"/>
    </xf>
    <xf numFmtId="0" fontId="40" fillId="16" borderId="0" applyNumberFormat="0" applyBorder="0" applyAlignment="0" applyProtection="0">
      <alignment vertical="center"/>
    </xf>
    <xf numFmtId="0" fontId="40" fillId="14" borderId="0" applyNumberFormat="0" applyBorder="0" applyAlignment="0" applyProtection="0">
      <alignment vertical="center"/>
    </xf>
    <xf numFmtId="0" fontId="40" fillId="14" borderId="0" applyNumberFormat="0" applyBorder="0" applyAlignment="0" applyProtection="0">
      <alignment vertical="center"/>
    </xf>
    <xf numFmtId="0" fontId="41" fillId="16" borderId="0" applyNumberFormat="0" applyBorder="0" applyAlignment="0" applyProtection="0">
      <alignment vertical="center"/>
    </xf>
    <xf numFmtId="0" fontId="41" fillId="16" borderId="0" applyNumberFormat="0" applyBorder="0" applyAlignment="0" applyProtection="0">
      <alignment vertical="center"/>
    </xf>
    <xf numFmtId="0" fontId="41" fillId="19" borderId="0" applyNumberFormat="0" applyBorder="0" applyAlignment="0" applyProtection="0">
      <alignment vertical="center"/>
    </xf>
    <xf numFmtId="0" fontId="41" fillId="19" borderId="0" applyNumberFormat="0" applyBorder="0" applyAlignment="0" applyProtection="0">
      <alignment vertical="center"/>
    </xf>
    <xf numFmtId="0" fontId="41" fillId="20" borderId="0" applyNumberFormat="0" applyBorder="0" applyAlignment="0" applyProtection="0">
      <alignment vertical="center"/>
    </xf>
    <xf numFmtId="0" fontId="41" fillId="20" borderId="0" applyNumberFormat="0" applyBorder="0" applyAlignment="0" applyProtection="0">
      <alignment vertical="center"/>
    </xf>
    <xf numFmtId="0" fontId="41" fillId="18" borderId="0" applyNumberFormat="0" applyBorder="0" applyAlignment="0" applyProtection="0">
      <alignment vertical="center"/>
    </xf>
    <xf numFmtId="0" fontId="41" fillId="18" borderId="0" applyNumberFormat="0" applyBorder="0" applyAlignment="0" applyProtection="0">
      <alignment vertical="center"/>
    </xf>
    <xf numFmtId="0" fontId="41" fillId="16" borderId="0" applyNumberFormat="0" applyBorder="0" applyAlignment="0" applyProtection="0">
      <alignment vertical="center"/>
    </xf>
    <xf numFmtId="0" fontId="41" fillId="16" borderId="0" applyNumberFormat="0" applyBorder="0" applyAlignment="0" applyProtection="0">
      <alignment vertical="center"/>
    </xf>
    <xf numFmtId="0" fontId="41" fillId="13" borderId="0" applyNumberFormat="0" applyBorder="0" applyAlignment="0" applyProtection="0">
      <alignment vertical="center"/>
    </xf>
    <xf numFmtId="0" fontId="41" fillId="13" borderId="0" applyNumberFormat="0" applyBorder="0" applyAlignment="0" applyProtection="0">
      <alignment vertical="center"/>
    </xf>
    <xf numFmtId="0" fontId="10" fillId="0" borderId="2">
      <alignment horizontal="left" vertical="center"/>
    </xf>
    <xf numFmtId="0" fontId="10" fillId="0" borderId="2">
      <alignment horizontal="left" vertical="center"/>
    </xf>
    <xf numFmtId="0" fontId="10" fillId="0" borderId="2">
      <alignment horizontal="left" vertical="center"/>
    </xf>
    <xf numFmtId="0" fontId="10" fillId="0" borderId="2">
      <alignment horizontal="left" vertical="center"/>
    </xf>
    <xf numFmtId="0" fontId="10" fillId="0" borderId="2">
      <alignment horizontal="left" vertical="center"/>
    </xf>
    <xf numFmtId="0" fontId="41" fillId="21" borderId="0" applyNumberFormat="0" applyBorder="0" applyAlignment="0" applyProtection="0">
      <alignment vertical="center"/>
    </xf>
    <xf numFmtId="0" fontId="41" fillId="21" borderId="0" applyNumberFormat="0" applyBorder="0" applyAlignment="0" applyProtection="0">
      <alignment vertical="center"/>
    </xf>
    <xf numFmtId="0" fontId="41" fillId="19" borderId="0" applyNumberFormat="0" applyBorder="0" applyAlignment="0" applyProtection="0">
      <alignment vertical="center"/>
    </xf>
    <xf numFmtId="0" fontId="41" fillId="19" borderId="0" applyNumberFormat="0" applyBorder="0" applyAlignment="0" applyProtection="0">
      <alignment vertical="center"/>
    </xf>
    <xf numFmtId="0" fontId="41" fillId="20" borderId="0" applyNumberFormat="0" applyBorder="0" applyAlignment="0" applyProtection="0">
      <alignment vertical="center"/>
    </xf>
    <xf numFmtId="0" fontId="41" fillId="20" borderId="0" applyNumberFormat="0" applyBorder="0" applyAlignment="0" applyProtection="0">
      <alignment vertical="center"/>
    </xf>
    <xf numFmtId="0" fontId="41" fillId="22" borderId="0" applyNumberFormat="0" applyBorder="0" applyAlignment="0" applyProtection="0">
      <alignment vertical="center"/>
    </xf>
    <xf numFmtId="0" fontId="41" fillId="22" borderId="0" applyNumberFormat="0" applyBorder="0" applyAlignment="0" applyProtection="0">
      <alignment vertical="center"/>
    </xf>
    <xf numFmtId="0" fontId="41" fillId="23" borderId="0" applyNumberFormat="0" applyBorder="0" applyAlignment="0" applyProtection="0">
      <alignment vertical="center"/>
    </xf>
    <xf numFmtId="0" fontId="41" fillId="23" borderId="0" applyNumberFormat="0" applyBorder="0" applyAlignment="0" applyProtection="0">
      <alignment vertical="center"/>
    </xf>
    <xf numFmtId="0" fontId="41" fillId="24" borderId="0" applyNumberFormat="0" applyBorder="0" applyAlignment="0" applyProtection="0">
      <alignment vertical="center"/>
    </xf>
    <xf numFmtId="0" fontId="41" fillId="24" borderId="0" applyNumberFormat="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3" fillId="25" borderId="37" applyNumberFormat="0" applyAlignment="0" applyProtection="0">
      <alignment vertical="center"/>
    </xf>
    <xf numFmtId="0" fontId="43" fillId="25" borderId="37" applyNumberFormat="0" applyAlignment="0" applyProtection="0">
      <alignment vertical="center"/>
    </xf>
    <xf numFmtId="0" fontId="44" fillId="17" borderId="0" applyNumberFormat="0" applyBorder="0" applyAlignment="0" applyProtection="0">
      <alignment vertical="center"/>
    </xf>
    <xf numFmtId="0" fontId="44" fillId="17" borderId="0" applyNumberFormat="0" applyBorder="0" applyAlignment="0" applyProtection="0">
      <alignment vertical="center"/>
    </xf>
    <xf numFmtId="0" fontId="22" fillId="14" borderId="38" applyNumberFormat="0" applyFont="0" applyAlignment="0" applyProtection="0">
      <alignment vertical="center"/>
    </xf>
    <xf numFmtId="0" fontId="22" fillId="14" borderId="38" applyNumberFormat="0" applyFont="0" applyAlignment="0" applyProtection="0">
      <alignment vertical="center"/>
    </xf>
    <xf numFmtId="0" fontId="22" fillId="14" borderId="38" applyNumberFormat="0" applyFont="0" applyAlignment="0" applyProtection="0">
      <alignment vertical="center"/>
    </xf>
    <xf numFmtId="0" fontId="22" fillId="14" borderId="38" applyNumberFormat="0" applyFont="0" applyAlignment="0" applyProtection="0">
      <alignment vertical="center"/>
    </xf>
    <xf numFmtId="0" fontId="22" fillId="14" borderId="38" applyNumberFormat="0" applyFont="0" applyAlignment="0" applyProtection="0">
      <alignment vertical="center"/>
    </xf>
    <xf numFmtId="0" fontId="22" fillId="14" borderId="38" applyNumberFormat="0" applyFont="0" applyAlignment="0" applyProtection="0">
      <alignment vertical="center"/>
    </xf>
    <xf numFmtId="0" fontId="22" fillId="14" borderId="38" applyNumberFormat="0" applyFont="0" applyAlignment="0" applyProtection="0">
      <alignment vertical="center"/>
    </xf>
    <xf numFmtId="0" fontId="22" fillId="14" borderId="38" applyNumberFormat="0" applyFont="0" applyAlignment="0" applyProtection="0">
      <alignment vertical="center"/>
    </xf>
    <xf numFmtId="0" fontId="22" fillId="14" borderId="38" applyNumberFormat="0" applyFont="0" applyAlignment="0" applyProtection="0">
      <alignment vertical="center"/>
    </xf>
    <xf numFmtId="0" fontId="22" fillId="14" borderId="38" applyNumberFormat="0" applyFont="0" applyAlignment="0" applyProtection="0">
      <alignment vertical="center"/>
    </xf>
    <xf numFmtId="0" fontId="22" fillId="14" borderId="38" applyNumberFormat="0" applyFont="0" applyAlignment="0" applyProtection="0">
      <alignment vertical="center"/>
    </xf>
    <xf numFmtId="0" fontId="34" fillId="0" borderId="39" applyNumberFormat="0" applyFill="0" applyAlignment="0" applyProtection="0">
      <alignment vertical="center"/>
    </xf>
    <xf numFmtId="0" fontId="34" fillId="0" borderId="39" applyNumberFormat="0" applyFill="0" applyAlignment="0" applyProtection="0">
      <alignment vertical="center"/>
    </xf>
    <xf numFmtId="0" fontId="45" fillId="26" borderId="0" applyNumberFormat="0" applyBorder="0" applyAlignment="0" applyProtection="0">
      <alignment vertical="center"/>
    </xf>
    <xf numFmtId="0" fontId="45" fillId="26" borderId="0" applyNumberFormat="0" applyBorder="0" applyAlignment="0" applyProtection="0">
      <alignment vertical="center"/>
    </xf>
    <xf numFmtId="0" fontId="36" fillId="27" borderId="40" applyNumberFormat="0" applyAlignment="0" applyProtection="0">
      <alignment vertical="center"/>
    </xf>
    <xf numFmtId="0" fontId="36" fillId="27" borderId="40" applyNumberFormat="0" applyAlignment="0" applyProtection="0">
      <alignment vertical="center"/>
    </xf>
    <xf numFmtId="0" fontId="36" fillId="27" borderId="40" applyNumberFormat="0" applyAlignment="0" applyProtection="0">
      <alignment vertical="center"/>
    </xf>
    <xf numFmtId="0" fontId="36" fillId="27" borderId="40" applyNumberFormat="0" applyAlignment="0" applyProtection="0">
      <alignment vertical="center"/>
    </xf>
    <xf numFmtId="0" fontId="36" fillId="27" borderId="40" applyNumberFormat="0" applyAlignment="0" applyProtection="0">
      <alignment vertical="center"/>
    </xf>
    <xf numFmtId="0" fontId="36" fillId="27" borderId="40" applyNumberFormat="0" applyAlignment="0" applyProtection="0">
      <alignment vertical="center"/>
    </xf>
    <xf numFmtId="0" fontId="36" fillId="27" borderId="40" applyNumberFormat="0" applyAlignment="0" applyProtection="0">
      <alignment vertical="center"/>
    </xf>
    <xf numFmtId="0" fontId="36" fillId="27" borderId="40" applyNumberFormat="0" applyAlignment="0" applyProtection="0">
      <alignment vertical="center"/>
    </xf>
    <xf numFmtId="0" fontId="36" fillId="27" borderId="40" applyNumberFormat="0" applyAlignment="0" applyProtection="0">
      <alignment vertical="center"/>
    </xf>
    <xf numFmtId="0" fontId="36" fillId="27" borderId="40" applyNumberFormat="0" applyAlignment="0" applyProtection="0">
      <alignment vertical="center"/>
    </xf>
    <xf numFmtId="0" fontId="36" fillId="27" borderId="40" applyNumberFormat="0" applyAlignment="0" applyProtection="0">
      <alignment vertical="center"/>
    </xf>
    <xf numFmtId="0" fontId="34"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46" fillId="0" borderId="41" applyNumberFormat="0" applyFill="0" applyAlignment="0" applyProtection="0">
      <alignment vertical="center"/>
    </xf>
    <xf numFmtId="0" fontId="46" fillId="0" borderId="41" applyNumberFormat="0" applyFill="0" applyAlignment="0" applyProtection="0">
      <alignment vertical="center"/>
    </xf>
    <xf numFmtId="0" fontId="47" fillId="0" borderId="42" applyNumberFormat="0" applyFill="0" applyAlignment="0" applyProtection="0">
      <alignment vertical="center"/>
    </xf>
    <xf numFmtId="0" fontId="47" fillId="0" borderId="42" applyNumberFormat="0" applyFill="0" applyAlignment="0" applyProtection="0">
      <alignment vertical="center"/>
    </xf>
    <xf numFmtId="0" fontId="48" fillId="0" borderId="43" applyNumberFormat="0" applyFill="0" applyAlignment="0" applyProtection="0">
      <alignment vertical="center"/>
    </xf>
    <xf numFmtId="0" fontId="48" fillId="0" borderId="43" applyNumberFormat="0" applyFill="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9" fillId="0" borderId="44" applyNumberFormat="0" applyFill="0" applyAlignment="0" applyProtection="0">
      <alignment vertical="center"/>
    </xf>
    <xf numFmtId="0" fontId="49" fillId="0" borderId="44" applyNumberFormat="0" applyFill="0" applyAlignment="0" applyProtection="0">
      <alignment vertical="center"/>
    </xf>
    <xf numFmtId="0" fontId="49" fillId="0" borderId="44" applyNumberFormat="0" applyFill="0" applyAlignment="0" applyProtection="0">
      <alignment vertical="center"/>
    </xf>
    <xf numFmtId="0" fontId="49" fillId="0" borderId="44" applyNumberFormat="0" applyFill="0" applyAlignment="0" applyProtection="0">
      <alignment vertical="center"/>
    </xf>
    <xf numFmtId="0" fontId="49" fillId="0" borderId="44" applyNumberFormat="0" applyFill="0" applyAlignment="0" applyProtection="0">
      <alignment vertical="center"/>
    </xf>
    <xf numFmtId="0" fontId="49" fillId="0" borderId="44" applyNumberFormat="0" applyFill="0" applyAlignment="0" applyProtection="0">
      <alignment vertical="center"/>
    </xf>
    <xf numFmtId="0" fontId="49" fillId="0" borderId="44" applyNumberFormat="0" applyFill="0" applyAlignment="0" applyProtection="0">
      <alignment vertical="center"/>
    </xf>
    <xf numFmtId="0" fontId="49" fillId="0" borderId="44" applyNumberFormat="0" applyFill="0" applyAlignment="0" applyProtection="0">
      <alignment vertical="center"/>
    </xf>
    <xf numFmtId="0" fontId="49" fillId="0" borderId="44" applyNumberFormat="0" applyFill="0" applyAlignment="0" applyProtection="0">
      <alignment vertical="center"/>
    </xf>
    <xf numFmtId="0" fontId="49" fillId="0" borderId="44" applyNumberFormat="0" applyFill="0" applyAlignment="0" applyProtection="0">
      <alignment vertical="center"/>
    </xf>
    <xf numFmtId="0" fontId="49" fillId="0" borderId="44" applyNumberFormat="0" applyFill="0" applyAlignment="0" applyProtection="0">
      <alignment vertical="center"/>
    </xf>
    <xf numFmtId="0" fontId="50" fillId="27" borderId="45" applyNumberFormat="0" applyAlignment="0" applyProtection="0">
      <alignment vertical="center"/>
    </xf>
    <xf numFmtId="0" fontId="50" fillId="27" borderId="45" applyNumberFormat="0" applyAlignment="0" applyProtection="0">
      <alignment vertical="center"/>
    </xf>
    <xf numFmtId="0" fontId="50" fillId="27" borderId="45" applyNumberFormat="0" applyAlignment="0" applyProtection="0">
      <alignment vertical="center"/>
    </xf>
    <xf numFmtId="0" fontId="50" fillId="27" borderId="45" applyNumberFormat="0" applyAlignment="0" applyProtection="0">
      <alignment vertical="center"/>
    </xf>
    <xf numFmtId="0" fontId="50" fillId="27" borderId="45" applyNumberFormat="0" applyAlignment="0" applyProtection="0">
      <alignment vertical="center"/>
    </xf>
    <xf numFmtId="0" fontId="50" fillId="27" borderId="45" applyNumberFormat="0" applyAlignment="0" applyProtection="0">
      <alignment vertical="center"/>
    </xf>
    <xf numFmtId="0" fontId="50" fillId="27" borderId="45" applyNumberFormat="0" applyAlignment="0" applyProtection="0">
      <alignment vertical="center"/>
    </xf>
    <xf numFmtId="0" fontId="50" fillId="27" borderId="45" applyNumberFormat="0" applyAlignment="0" applyProtection="0">
      <alignment vertical="center"/>
    </xf>
    <xf numFmtId="0" fontId="50" fillId="27" borderId="45" applyNumberFormat="0" applyAlignment="0" applyProtection="0">
      <alignment vertical="center"/>
    </xf>
    <xf numFmtId="0" fontId="50" fillId="27" borderId="45" applyNumberFormat="0" applyAlignment="0" applyProtection="0">
      <alignment vertical="center"/>
    </xf>
    <xf numFmtId="0" fontId="50" fillId="27" borderId="45" applyNumberFormat="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17" borderId="40" applyNumberFormat="0" applyAlignment="0" applyProtection="0">
      <alignment vertical="center"/>
    </xf>
    <xf numFmtId="0" fontId="52" fillId="17" borderId="40" applyNumberFormat="0" applyAlignment="0" applyProtection="0">
      <alignment vertical="center"/>
    </xf>
    <xf numFmtId="0" fontId="52" fillId="17" borderId="40" applyNumberFormat="0" applyAlignment="0" applyProtection="0">
      <alignment vertical="center"/>
    </xf>
    <xf numFmtId="0" fontId="52" fillId="17" borderId="40" applyNumberFormat="0" applyAlignment="0" applyProtection="0">
      <alignment vertical="center"/>
    </xf>
    <xf numFmtId="0" fontId="52" fillId="17" borderId="40" applyNumberFormat="0" applyAlignment="0" applyProtection="0">
      <alignment vertical="center"/>
    </xf>
    <xf numFmtId="0" fontId="52" fillId="17" borderId="40" applyNumberFormat="0" applyAlignment="0" applyProtection="0">
      <alignment vertical="center"/>
    </xf>
    <xf numFmtId="0" fontId="52" fillId="17" borderId="40" applyNumberFormat="0" applyAlignment="0" applyProtection="0">
      <alignment vertical="center"/>
    </xf>
    <xf numFmtId="0" fontId="52" fillId="17" borderId="40" applyNumberFormat="0" applyAlignment="0" applyProtection="0">
      <alignment vertical="center"/>
    </xf>
    <xf numFmtId="0" fontId="52" fillId="17" borderId="40" applyNumberFormat="0" applyAlignment="0" applyProtection="0">
      <alignment vertical="center"/>
    </xf>
    <xf numFmtId="0" fontId="52" fillId="17" borderId="40" applyNumberFormat="0" applyAlignment="0" applyProtection="0">
      <alignment vertical="center"/>
    </xf>
    <xf numFmtId="0" fontId="52" fillId="17" borderId="40" applyNumberFormat="0" applyAlignment="0" applyProtection="0">
      <alignment vertical="center"/>
    </xf>
    <xf numFmtId="0" fontId="22" fillId="0" borderId="0"/>
    <xf numFmtId="0" fontId="8" fillId="0" borderId="0"/>
    <xf numFmtId="0" fontId="6" fillId="0" borderId="0">
      <alignment vertical="center"/>
    </xf>
    <xf numFmtId="0" fontId="8" fillId="0" borderId="0"/>
    <xf numFmtId="0" fontId="8" fillId="0" borderId="0"/>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8" fillId="0" borderId="0"/>
    <xf numFmtId="0" fontId="6" fillId="0" borderId="0">
      <alignment vertical="center"/>
    </xf>
    <xf numFmtId="0" fontId="6" fillId="0" borderId="0">
      <alignment vertical="center"/>
    </xf>
    <xf numFmtId="0" fontId="53" fillId="16" borderId="0" applyNumberFormat="0" applyBorder="0" applyAlignment="0" applyProtection="0">
      <alignment vertical="center"/>
    </xf>
    <xf numFmtId="0" fontId="53" fillId="16" borderId="0" applyNumberFormat="0" applyBorder="0" applyAlignment="0" applyProtection="0">
      <alignment vertical="center"/>
    </xf>
    <xf numFmtId="0" fontId="5" fillId="0" borderId="0">
      <alignment vertical="center"/>
    </xf>
    <xf numFmtId="0" fontId="4" fillId="0" borderId="0">
      <alignment vertical="center"/>
    </xf>
    <xf numFmtId="0" fontId="22" fillId="0" borderId="0"/>
    <xf numFmtId="0" fontId="28" fillId="0" borderId="0">
      <alignment vertical="center"/>
    </xf>
    <xf numFmtId="0" fontId="27" fillId="0" borderId="0"/>
    <xf numFmtId="0" fontId="22" fillId="0" borderId="0"/>
  </cellStyleXfs>
  <cellXfs count="658">
    <xf numFmtId="0" fontId="0" fillId="0" borderId="0" xfId="0">
      <alignment vertical="center"/>
    </xf>
    <xf numFmtId="3" fontId="0" fillId="0" borderId="0" xfId="0" applyNumberFormat="1">
      <alignment vertical="center"/>
    </xf>
    <xf numFmtId="0" fontId="0" fillId="2" borderId="3" xfId="0" applyFill="1" applyBorder="1">
      <alignment vertical="center"/>
    </xf>
    <xf numFmtId="0" fontId="0" fillId="2" borderId="4" xfId="0" applyFill="1" applyBorder="1">
      <alignment vertical="center"/>
    </xf>
    <xf numFmtId="0" fontId="0" fillId="2" borderId="1" xfId="0" applyFill="1" applyBorder="1">
      <alignment vertical="center"/>
    </xf>
    <xf numFmtId="0" fontId="0" fillId="2" borderId="5" xfId="0" applyFill="1" applyBorder="1">
      <alignment vertical="center"/>
    </xf>
    <xf numFmtId="0" fontId="0" fillId="3" borderId="3" xfId="0" applyFill="1" applyBorder="1">
      <alignment vertical="center"/>
    </xf>
    <xf numFmtId="0" fontId="0" fillId="3" borderId="4" xfId="0" applyFill="1" applyBorder="1">
      <alignment vertical="center"/>
    </xf>
    <xf numFmtId="0" fontId="0" fillId="3" borderId="6" xfId="0" applyFill="1" applyBorder="1">
      <alignment vertical="center"/>
    </xf>
    <xf numFmtId="0" fontId="0" fillId="0" borderId="0" xfId="0" applyNumberFormat="1">
      <alignment vertical="center"/>
    </xf>
    <xf numFmtId="0" fontId="16" fillId="0" borderId="0" xfId="0" applyFont="1">
      <alignment vertical="center"/>
    </xf>
    <xf numFmtId="0" fontId="0" fillId="2" borderId="7" xfId="0" applyFont="1" applyFill="1" applyBorder="1" applyAlignment="1">
      <alignment horizontal="center" vertical="center"/>
    </xf>
    <xf numFmtId="0" fontId="0" fillId="2" borderId="8" xfId="0" applyFont="1" applyFill="1" applyBorder="1" applyAlignment="1">
      <alignment horizontal="center" vertical="center"/>
    </xf>
    <xf numFmtId="0" fontId="0" fillId="2" borderId="8" xfId="0" applyFont="1" applyFill="1" applyBorder="1" applyAlignment="1">
      <alignment horizontal="center" vertical="center" wrapText="1"/>
    </xf>
    <xf numFmtId="0" fontId="0" fillId="4" borderId="8" xfId="0" applyNumberFormat="1" applyFont="1" applyFill="1" applyBorder="1" applyAlignment="1">
      <alignment horizontal="center" vertical="center" wrapText="1"/>
    </xf>
    <xf numFmtId="0" fontId="0" fillId="4" borderId="9" xfId="0" applyNumberFormat="1" applyFont="1" applyFill="1" applyBorder="1" applyAlignment="1">
      <alignment horizontal="center" vertical="center" wrapText="1"/>
    </xf>
    <xf numFmtId="0" fontId="0" fillId="0" borderId="10" xfId="0" applyBorder="1">
      <alignment vertical="center"/>
    </xf>
    <xf numFmtId="0" fontId="0" fillId="0" borderId="11" xfId="0" applyBorder="1">
      <alignment vertical="center"/>
    </xf>
    <xf numFmtId="3" fontId="0" fillId="0" borderId="11" xfId="0" applyNumberFormat="1" applyBorder="1">
      <alignment vertical="center"/>
    </xf>
    <xf numFmtId="0" fontId="0" fillId="3" borderId="3" xfId="0" applyFill="1" applyBorder="1" applyAlignment="1">
      <alignment horizontal="center" vertical="center"/>
    </xf>
    <xf numFmtId="0" fontId="0" fillId="3" borderId="12" xfId="0" applyFill="1" applyBorder="1" applyAlignment="1">
      <alignment horizontal="center" vertical="center"/>
    </xf>
    <xf numFmtId="0" fontId="0" fillId="4" borderId="12" xfId="0" applyNumberFormat="1" applyFill="1" applyBorder="1" applyAlignment="1">
      <alignment horizontal="center" vertical="center" wrapText="1"/>
    </xf>
    <xf numFmtId="0" fontId="0" fillId="4" borderId="5" xfId="0" applyNumberFormat="1" applyFill="1" applyBorder="1" applyAlignment="1">
      <alignment horizontal="center" vertical="center" wrapText="1"/>
    </xf>
    <xf numFmtId="0" fontId="0" fillId="2" borderId="3" xfId="0" applyFont="1" applyFill="1" applyBorder="1">
      <alignment vertical="center"/>
    </xf>
    <xf numFmtId="0" fontId="0" fillId="2" borderId="4" xfId="0" applyFont="1" applyFill="1" applyBorder="1">
      <alignment vertical="center"/>
    </xf>
    <xf numFmtId="0" fontId="0" fillId="2" borderId="1" xfId="0" applyFont="1" applyFill="1" applyBorder="1">
      <alignment vertical="center"/>
    </xf>
    <xf numFmtId="0" fontId="0" fillId="2" borderId="5" xfId="0" applyFont="1" applyFill="1" applyBorder="1">
      <alignment vertical="center"/>
    </xf>
    <xf numFmtId="0" fontId="0" fillId="0" borderId="0" xfId="0" applyFont="1">
      <alignment vertical="center"/>
    </xf>
    <xf numFmtId="3" fontId="0" fillId="0" borderId="0" xfId="0" applyNumberFormat="1" applyFont="1">
      <alignment vertical="center"/>
    </xf>
    <xf numFmtId="0" fontId="0" fillId="3" borderId="3" xfId="0" applyFont="1" applyFill="1" applyBorder="1">
      <alignment vertical="center"/>
    </xf>
    <xf numFmtId="0" fontId="0" fillId="3" borderId="4" xfId="0" applyFont="1" applyFill="1" applyBorder="1">
      <alignment vertical="center"/>
    </xf>
    <xf numFmtId="0" fontId="0" fillId="3" borderId="6" xfId="0" applyFont="1" applyFill="1" applyBorder="1">
      <alignment vertical="center"/>
    </xf>
    <xf numFmtId="0" fontId="0" fillId="0" borderId="0" xfId="0" applyNumberFormat="1" applyFont="1">
      <alignment vertical="center"/>
    </xf>
    <xf numFmtId="0" fontId="0" fillId="0" borderId="0" xfId="0" applyNumberFormat="1" applyAlignment="1"/>
    <xf numFmtId="0" fontId="0" fillId="0" borderId="0" xfId="0" applyFill="1" applyBorder="1" applyAlignment="1"/>
    <xf numFmtId="0" fontId="0" fillId="0" borderId="0" xfId="0" applyNumberFormat="1" applyFill="1" applyBorder="1" applyAlignment="1"/>
    <xf numFmtId="0" fontId="0" fillId="0" borderId="0" xfId="0" applyAlignment="1"/>
    <xf numFmtId="0" fontId="0" fillId="0" borderId="0" xfId="0" applyFill="1" applyAlignment="1"/>
    <xf numFmtId="0" fontId="0" fillId="0" borderId="0" xfId="0" applyNumberFormat="1" applyFill="1" applyAlignment="1"/>
    <xf numFmtId="177" fontId="0" fillId="0" borderId="0" xfId="0" applyNumberFormat="1" applyFill="1" applyBorder="1" applyAlignment="1"/>
    <xf numFmtId="0" fontId="0" fillId="0" borderId="13" xfId="0" applyNumberFormat="1" applyFill="1" applyBorder="1" applyAlignment="1"/>
    <xf numFmtId="0" fontId="0" fillId="3" borderId="1" xfId="0" applyFill="1" applyBorder="1">
      <alignment vertical="center"/>
    </xf>
    <xf numFmtId="0" fontId="0" fillId="0" borderId="0" xfId="0" applyFill="1" applyBorder="1">
      <alignment vertical="center"/>
    </xf>
    <xf numFmtId="0" fontId="0" fillId="3" borderId="14" xfId="0" applyFill="1" applyBorder="1">
      <alignment vertical="center"/>
    </xf>
    <xf numFmtId="0" fontId="0" fillId="0" borderId="0" xfId="0" applyFont="1" applyFill="1" applyBorder="1">
      <alignment vertical="center"/>
    </xf>
    <xf numFmtId="0" fontId="21" fillId="0" borderId="0" xfId="0" applyFont="1">
      <alignment vertical="center"/>
    </xf>
    <xf numFmtId="0" fontId="0" fillId="0" borderId="0" xfId="0" applyAlignment="1">
      <alignment vertical="center"/>
    </xf>
    <xf numFmtId="0" fontId="19" fillId="0" borderId="0" xfId="0" applyFont="1" applyFill="1" applyBorder="1">
      <alignment vertical="center"/>
    </xf>
    <xf numFmtId="0" fontId="22" fillId="0" borderId="0" xfId="0" applyNumberFormat="1" applyFont="1" applyFill="1" applyAlignment="1"/>
    <xf numFmtId="0" fontId="22" fillId="0" borderId="0" xfId="0" applyNumberFormat="1" applyFont="1" applyFill="1" applyBorder="1" applyAlignment="1"/>
    <xf numFmtId="0" fontId="19" fillId="0" borderId="0" xfId="0" applyFont="1" applyFill="1" applyAlignment="1"/>
    <xf numFmtId="0" fontId="0" fillId="5" borderId="15" xfId="0" applyFill="1" applyBorder="1">
      <alignment vertical="center"/>
    </xf>
    <xf numFmtId="0" fontId="0" fillId="0" borderId="17" xfId="0" applyFill="1" applyBorder="1" applyAlignment="1"/>
    <xf numFmtId="0" fontId="0" fillId="0" borderId="0" xfId="0" applyBorder="1" applyAlignment="1"/>
    <xf numFmtId="0" fontId="0" fillId="5" borderId="18" xfId="0" applyFill="1" applyBorder="1">
      <alignment vertical="center"/>
    </xf>
    <xf numFmtId="0" fontId="0" fillId="0" borderId="19" xfId="0" applyFill="1" applyBorder="1" applyAlignment="1"/>
    <xf numFmtId="0" fontId="0" fillId="0" borderId="19" xfId="0" applyBorder="1">
      <alignment vertical="center"/>
    </xf>
    <xf numFmtId="0" fontId="0" fillId="0" borderId="0" xfId="0" applyBorder="1">
      <alignment vertical="center"/>
    </xf>
    <xf numFmtId="0" fontId="0" fillId="5" borderId="10" xfId="0" applyFill="1" applyBorder="1" applyAlignment="1"/>
    <xf numFmtId="0" fontId="0" fillId="0" borderId="20" xfId="0" applyFill="1" applyBorder="1" applyAlignment="1"/>
    <xf numFmtId="0" fontId="23" fillId="0" borderId="0" xfId="0" applyFont="1" applyAlignment="1" applyProtection="1">
      <protection hidden="1"/>
    </xf>
    <xf numFmtId="0" fontId="20" fillId="0" borderId="0" xfId="0" applyFont="1" applyBorder="1">
      <alignment vertical="center"/>
    </xf>
    <xf numFmtId="0" fontId="0" fillId="0" borderId="13" xfId="0" applyNumberFormat="1" applyBorder="1">
      <alignment vertical="center"/>
    </xf>
    <xf numFmtId="0" fontId="0" fillId="0" borderId="20" xfId="0" applyBorder="1">
      <alignment vertical="center"/>
    </xf>
    <xf numFmtId="178" fontId="0" fillId="0" borderId="0" xfId="0" applyNumberFormat="1">
      <alignment vertical="center"/>
    </xf>
    <xf numFmtId="0" fontId="0" fillId="2" borderId="7" xfId="0" applyFill="1" applyBorder="1">
      <alignment vertical="center"/>
    </xf>
    <xf numFmtId="0" fontId="0" fillId="2" borderId="21" xfId="0" applyFill="1" applyBorder="1">
      <alignment vertical="center"/>
    </xf>
    <xf numFmtId="0" fontId="0" fillId="2" borderId="22" xfId="0" applyFill="1" applyBorder="1">
      <alignment vertical="center"/>
    </xf>
    <xf numFmtId="0" fontId="0" fillId="2" borderId="9" xfId="0" applyFill="1" applyBorder="1">
      <alignment vertical="center"/>
    </xf>
    <xf numFmtId="0" fontId="22" fillId="0" borderId="0" xfId="0" applyFont="1" applyFill="1" applyAlignment="1"/>
    <xf numFmtId="0" fontId="0" fillId="0" borderId="13" xfId="0" applyBorder="1">
      <alignment vertical="center"/>
    </xf>
    <xf numFmtId="0" fontId="29" fillId="0" borderId="0" xfId="0" applyFont="1" applyFill="1" applyAlignment="1"/>
    <xf numFmtId="0" fontId="29" fillId="0" borderId="0" xfId="0" applyFont="1">
      <alignment vertical="center"/>
    </xf>
    <xf numFmtId="0" fontId="29" fillId="0" borderId="0" xfId="0" applyFont="1" applyFill="1" applyBorder="1" applyAlignment="1"/>
    <xf numFmtId="0" fontId="24" fillId="0" borderId="0" xfId="0" applyFont="1">
      <alignment vertical="center"/>
    </xf>
    <xf numFmtId="0" fontId="24" fillId="0" borderId="0" xfId="0" applyNumberFormat="1" applyFont="1" applyAlignment="1"/>
    <xf numFmtId="0" fontId="24" fillId="0" borderId="0" xfId="0" applyNumberFormat="1" applyFont="1">
      <alignment vertical="center"/>
    </xf>
    <xf numFmtId="0" fontId="0" fillId="0" borderId="0" xfId="0" applyNumberFormat="1" applyFill="1" applyBorder="1" applyAlignment="1">
      <alignment vertical="center"/>
    </xf>
    <xf numFmtId="0" fontId="0" fillId="0" borderId="0" xfId="0" applyNumberFormat="1" applyAlignment="1">
      <alignment vertical="center"/>
    </xf>
    <xf numFmtId="0" fontId="31" fillId="0" borderId="0" xfId="0" applyFont="1" applyFill="1" applyAlignment="1">
      <alignment vertical="center"/>
    </xf>
    <xf numFmtId="0" fontId="0" fillId="0" borderId="0" xfId="0" applyFill="1" applyBorder="1" applyAlignment="1">
      <alignment vertical="center"/>
    </xf>
    <xf numFmtId="0" fontId="0" fillId="0" borderId="0" xfId="0" applyFill="1" applyAlignment="1">
      <alignment vertical="center"/>
    </xf>
    <xf numFmtId="0" fontId="24" fillId="6" borderId="13" xfId="0" applyFont="1" applyFill="1" applyBorder="1" applyAlignment="1">
      <alignment vertical="center"/>
    </xf>
    <xf numFmtId="0" fontId="24" fillId="6" borderId="13" xfId="0" applyFont="1" applyFill="1" applyBorder="1" applyAlignment="1"/>
    <xf numFmtId="0" fontId="24" fillId="6" borderId="13" xfId="0" applyFont="1" applyFill="1" applyBorder="1">
      <alignment vertical="center"/>
    </xf>
    <xf numFmtId="0" fontId="24" fillId="6" borderId="13" xfId="0" applyFont="1" applyFill="1" applyBorder="1" applyAlignment="1">
      <alignment horizontal="left"/>
    </xf>
    <xf numFmtId="0" fontId="30" fillId="0" borderId="0" xfId="0" applyFont="1" applyFill="1" applyAlignment="1"/>
    <xf numFmtId="0" fontId="0" fillId="0" borderId="0" xfId="0" applyBorder="1" applyAlignment="1">
      <alignment horizontal="center" vertical="center"/>
    </xf>
    <xf numFmtId="0" fontId="22" fillId="0" borderId="11" xfId="0" applyNumberFormat="1" applyFont="1" applyBorder="1" applyAlignment="1">
      <alignment horizontal="center"/>
    </xf>
    <xf numFmtId="0" fontId="33" fillId="0" borderId="0" xfId="0" applyFont="1">
      <alignment vertical="center"/>
    </xf>
    <xf numFmtId="0" fontId="0" fillId="0" borderId="13" xfId="0" applyNumberFormat="1" applyFill="1" applyBorder="1" applyAlignment="1">
      <alignment vertical="center"/>
    </xf>
    <xf numFmtId="0" fontId="22" fillId="0" borderId="13" xfId="0" applyNumberFormat="1" applyFont="1" applyFill="1" applyBorder="1" applyAlignment="1"/>
    <xf numFmtId="0" fontId="34" fillId="0" borderId="5" xfId="0" applyFont="1" applyBorder="1">
      <alignment vertical="center"/>
    </xf>
    <xf numFmtId="0" fontId="0" fillId="0" borderId="3" xfId="0" applyBorder="1">
      <alignment vertical="center"/>
    </xf>
    <xf numFmtId="0" fontId="34" fillId="7" borderId="24" xfId="0" applyFont="1" applyFill="1" applyBorder="1">
      <alignment vertical="center"/>
    </xf>
    <xf numFmtId="0" fontId="0" fillId="8" borderId="13" xfId="0" applyFont="1" applyFill="1" applyBorder="1">
      <alignment vertical="center"/>
    </xf>
    <xf numFmtId="0" fontId="20" fillId="8" borderId="13" xfId="0" applyFont="1" applyFill="1" applyBorder="1">
      <alignment vertical="center"/>
    </xf>
    <xf numFmtId="0" fontId="0" fillId="3" borderId="25" xfId="0" applyNumberFormat="1" applyFont="1" applyFill="1" applyBorder="1">
      <alignment vertical="center"/>
    </xf>
    <xf numFmtId="0" fontId="0" fillId="9" borderId="26" xfId="0" applyFill="1" applyBorder="1">
      <alignment vertical="center"/>
    </xf>
    <xf numFmtId="0" fontId="0" fillId="2" borderId="10" xfId="0" applyFill="1" applyBorder="1">
      <alignment vertical="center"/>
    </xf>
    <xf numFmtId="0" fontId="0" fillId="3" borderId="27" xfId="0" applyNumberFormat="1" applyFont="1" applyFill="1" applyBorder="1">
      <alignment vertical="center"/>
    </xf>
    <xf numFmtId="0" fontId="0" fillId="2" borderId="15" xfId="0" applyFill="1" applyBorder="1">
      <alignment vertical="center"/>
    </xf>
    <xf numFmtId="0" fontId="0" fillId="0" borderId="2" xfId="0" applyFont="1" applyFill="1" applyBorder="1">
      <alignment vertical="center"/>
    </xf>
    <xf numFmtId="0" fontId="20" fillId="0" borderId="2" xfId="0" applyFont="1" applyFill="1" applyBorder="1">
      <alignment vertical="center"/>
    </xf>
    <xf numFmtId="0" fontId="0" fillId="9" borderId="28" xfId="0" applyFill="1" applyBorder="1">
      <alignment vertical="center"/>
    </xf>
    <xf numFmtId="0" fontId="20" fillId="8" borderId="13" xfId="14" applyFont="1" applyFill="1" applyBorder="1" applyAlignment="1" applyProtection="1">
      <alignment horizontal="left"/>
      <protection hidden="1"/>
    </xf>
    <xf numFmtId="0" fontId="0" fillId="3" borderId="29" xfId="0" applyNumberFormat="1" applyFont="1" applyFill="1" applyBorder="1">
      <alignment vertical="center"/>
    </xf>
    <xf numFmtId="0" fontId="0" fillId="2" borderId="18" xfId="0" applyFill="1" applyBorder="1">
      <alignment vertical="center"/>
    </xf>
    <xf numFmtId="0" fontId="35" fillId="0" borderId="0" xfId="0" applyNumberFormat="1" applyFont="1" applyFill="1" applyBorder="1">
      <alignment vertical="center"/>
    </xf>
    <xf numFmtId="11" fontId="0" fillId="0" borderId="0" xfId="0" applyNumberFormat="1" applyBorder="1">
      <alignment vertical="center"/>
    </xf>
    <xf numFmtId="0" fontId="20" fillId="0" borderId="30" xfId="14" applyFont="1" applyFill="1" applyBorder="1" applyAlignment="1" applyProtection="1">
      <alignment horizontal="left"/>
      <protection hidden="1"/>
    </xf>
    <xf numFmtId="0" fontId="36" fillId="0" borderId="0" xfId="0" applyFont="1" applyFill="1" applyBorder="1">
      <alignment vertical="center"/>
    </xf>
    <xf numFmtId="0" fontId="0" fillId="3" borderId="29" xfId="0" applyFont="1" applyFill="1" applyBorder="1">
      <alignment vertical="center"/>
    </xf>
    <xf numFmtId="0" fontId="22" fillId="0" borderId="13" xfId="14" applyFont="1" applyFill="1" applyBorder="1" applyProtection="1">
      <protection locked="0"/>
    </xf>
    <xf numFmtId="0" fontId="24" fillId="8" borderId="26" xfId="14" applyFont="1" applyFill="1" applyBorder="1" applyAlignment="1" applyProtection="1">
      <alignment horizontal="center"/>
      <protection hidden="1"/>
    </xf>
    <xf numFmtId="0" fontId="0" fillId="9" borderId="31" xfId="0" applyFill="1" applyBorder="1">
      <alignment vertical="center"/>
    </xf>
    <xf numFmtId="0" fontId="0" fillId="3" borderId="25" xfId="0" applyFont="1" applyFill="1" applyBorder="1">
      <alignment vertical="center"/>
    </xf>
    <xf numFmtId="11" fontId="0" fillId="0" borderId="13" xfId="0" applyNumberFormat="1" applyBorder="1">
      <alignment vertical="center"/>
    </xf>
    <xf numFmtId="11" fontId="0" fillId="0" borderId="32" xfId="0" applyNumberFormat="1" applyBorder="1">
      <alignment vertical="center"/>
    </xf>
    <xf numFmtId="11" fontId="0" fillId="0" borderId="33" xfId="0" applyNumberFormat="1" applyBorder="1">
      <alignment vertical="center"/>
    </xf>
    <xf numFmtId="11" fontId="0" fillId="0" borderId="23" xfId="0" applyNumberFormat="1" applyBorder="1">
      <alignment vertical="center"/>
    </xf>
    <xf numFmtId="0" fontId="0" fillId="3" borderId="27" xfId="0" applyFont="1" applyFill="1" applyBorder="1">
      <alignment vertical="center"/>
    </xf>
    <xf numFmtId="0" fontId="0" fillId="9" borderId="34" xfId="0" applyFill="1" applyBorder="1">
      <alignment vertical="center"/>
    </xf>
    <xf numFmtId="0" fontId="0" fillId="2" borderId="35" xfId="0" applyFill="1" applyBorder="1">
      <alignment vertical="center"/>
    </xf>
    <xf numFmtId="0" fontId="0" fillId="0" borderId="36" xfId="0" applyBorder="1">
      <alignment vertical="center"/>
    </xf>
    <xf numFmtId="0" fontId="35" fillId="0" borderId="0" xfId="0" applyFont="1">
      <alignment vertical="center"/>
    </xf>
    <xf numFmtId="0" fontId="39" fillId="0" borderId="0" xfId="0" applyFont="1">
      <alignment vertical="center"/>
    </xf>
    <xf numFmtId="0" fontId="54" fillId="0" borderId="0" xfId="0" applyFont="1">
      <alignment vertical="center"/>
    </xf>
    <xf numFmtId="0" fontId="0" fillId="2" borderId="46" xfId="0" applyFill="1" applyBorder="1">
      <alignment vertical="center"/>
    </xf>
    <xf numFmtId="0" fontId="0" fillId="0" borderId="27" xfId="0" applyBorder="1">
      <alignment vertical="center"/>
    </xf>
    <xf numFmtId="0" fontId="0" fillId="2" borderId="47" xfId="0" applyFill="1" applyBorder="1">
      <alignment vertical="center"/>
    </xf>
    <xf numFmtId="0" fontId="0" fillId="0" borderId="29" xfId="0" applyBorder="1">
      <alignment vertical="center"/>
    </xf>
    <xf numFmtId="0" fontId="0" fillId="10" borderId="15" xfId="0" applyFill="1" applyBorder="1">
      <alignment vertical="center"/>
    </xf>
    <xf numFmtId="0" fontId="0" fillId="0" borderId="17" xfId="0" applyBorder="1">
      <alignment vertical="center"/>
    </xf>
    <xf numFmtId="0" fontId="0" fillId="10" borderId="18" xfId="0" applyFill="1" applyBorder="1">
      <alignment vertical="center"/>
    </xf>
    <xf numFmtId="0" fontId="0" fillId="10" borderId="48" xfId="0" applyFill="1" applyBorder="1">
      <alignment vertical="center"/>
    </xf>
    <xf numFmtId="11" fontId="0" fillId="0" borderId="49" xfId="0" applyNumberFormat="1" applyBorder="1">
      <alignment vertical="center"/>
    </xf>
    <xf numFmtId="0" fontId="0" fillId="2" borderId="50" xfId="0" applyFill="1" applyBorder="1">
      <alignment vertical="center"/>
    </xf>
    <xf numFmtId="0" fontId="0" fillId="0" borderId="25" xfId="0" applyBorder="1">
      <alignment vertical="center"/>
    </xf>
    <xf numFmtId="0" fontId="0" fillId="10" borderId="14" xfId="0" applyFill="1" applyBorder="1">
      <alignment vertical="center"/>
    </xf>
    <xf numFmtId="0" fontId="0" fillId="0" borderId="14" xfId="0" applyFill="1" applyBorder="1">
      <alignment vertical="center"/>
    </xf>
    <xf numFmtId="0" fontId="0" fillId="7" borderId="26" xfId="0" applyFill="1" applyBorder="1">
      <alignment vertical="center"/>
    </xf>
    <xf numFmtId="0" fontId="0" fillId="0" borderId="0" xfId="0" applyFill="1">
      <alignment vertical="center"/>
    </xf>
    <xf numFmtId="0" fontId="0" fillId="7" borderId="13" xfId="0" applyFill="1" applyBorder="1">
      <alignment vertical="center"/>
    </xf>
    <xf numFmtId="0" fontId="35" fillId="0" borderId="13" xfId="0" applyNumberFormat="1" applyFont="1" applyBorder="1">
      <alignment vertical="center"/>
    </xf>
    <xf numFmtId="0" fontId="0" fillId="0" borderId="0" xfId="0" applyNumberFormat="1" applyBorder="1">
      <alignment vertical="center"/>
    </xf>
    <xf numFmtId="0" fontId="0" fillId="10" borderId="51" xfId="0" applyFill="1" applyBorder="1">
      <alignment vertical="center"/>
    </xf>
    <xf numFmtId="0" fontId="0" fillId="10" borderId="32" xfId="0" applyFill="1" applyBorder="1">
      <alignment vertical="center"/>
    </xf>
    <xf numFmtId="11" fontId="0" fillId="0" borderId="19" xfId="0" applyNumberFormat="1" applyBorder="1">
      <alignment vertical="center"/>
    </xf>
    <xf numFmtId="0" fontId="0" fillId="11" borderId="52" xfId="0" applyFill="1" applyBorder="1">
      <alignment vertical="center"/>
    </xf>
    <xf numFmtId="178" fontId="36" fillId="0" borderId="14" xfId="0" applyNumberFormat="1" applyFont="1" applyBorder="1">
      <alignment vertical="center"/>
    </xf>
    <xf numFmtId="177" fontId="0" fillId="0" borderId="15" xfId="0" applyNumberFormat="1" applyBorder="1">
      <alignment vertical="center"/>
    </xf>
    <xf numFmtId="177" fontId="0" fillId="0" borderId="16" xfId="0" applyNumberFormat="1" applyBorder="1">
      <alignment vertical="center"/>
    </xf>
    <xf numFmtId="177" fontId="0" fillId="0" borderId="17" xfId="0" applyNumberFormat="1" applyBorder="1">
      <alignment vertical="center"/>
    </xf>
    <xf numFmtId="177" fontId="0" fillId="0" borderId="18" xfId="0" applyNumberFormat="1" applyBorder="1">
      <alignment vertical="center"/>
    </xf>
    <xf numFmtId="177" fontId="0" fillId="0" borderId="13" xfId="0" applyNumberFormat="1" applyBorder="1">
      <alignment vertical="center"/>
    </xf>
    <xf numFmtId="177" fontId="0" fillId="0" borderId="19" xfId="0" applyNumberFormat="1" applyBorder="1">
      <alignment vertical="center"/>
    </xf>
    <xf numFmtId="177" fontId="0" fillId="0" borderId="10" xfId="0" applyNumberFormat="1" applyBorder="1">
      <alignment vertical="center"/>
    </xf>
    <xf numFmtId="177" fontId="0" fillId="0" borderId="11" xfId="0" applyNumberFormat="1" applyBorder="1">
      <alignment vertical="center"/>
    </xf>
    <xf numFmtId="177" fontId="34" fillId="0" borderId="20" xfId="0" applyNumberFormat="1" applyFont="1" applyBorder="1">
      <alignment vertical="center"/>
    </xf>
    <xf numFmtId="178" fontId="36" fillId="0" borderId="27" xfId="0" applyNumberFormat="1" applyFont="1" applyBorder="1">
      <alignment vertical="center"/>
    </xf>
    <xf numFmtId="178" fontId="55" fillId="0" borderId="29" xfId="0" applyNumberFormat="1" applyFont="1" applyBorder="1">
      <alignment vertical="center"/>
    </xf>
    <xf numFmtId="178" fontId="55" fillId="0" borderId="25" xfId="0" applyNumberFormat="1" applyFont="1" applyBorder="1">
      <alignment vertical="center"/>
    </xf>
    <xf numFmtId="177" fontId="0" fillId="0" borderId="0" xfId="0" applyNumberFormat="1" applyAlignment="1"/>
    <xf numFmtId="177" fontId="56" fillId="0" borderId="0" xfId="0" applyNumberFormat="1" applyFont="1" applyAlignment="1"/>
    <xf numFmtId="0" fontId="0" fillId="5" borderId="18" xfId="0" applyFill="1" applyBorder="1" applyAlignment="1"/>
    <xf numFmtId="0" fontId="58" fillId="0" borderId="0" xfId="163" applyFont="1">
      <alignment vertical="center"/>
    </xf>
    <xf numFmtId="0" fontId="5" fillId="0" borderId="0" xfId="163" applyNumberFormat="1">
      <alignment vertical="center"/>
    </xf>
    <xf numFmtId="0" fontId="5" fillId="0" borderId="0" xfId="163">
      <alignment vertical="center"/>
    </xf>
    <xf numFmtId="0" fontId="60" fillId="0" borderId="0" xfId="163" applyFont="1">
      <alignment vertical="center"/>
    </xf>
    <xf numFmtId="0" fontId="5" fillId="28" borderId="15" xfId="163" applyFill="1" applyBorder="1">
      <alignment vertical="center"/>
    </xf>
    <xf numFmtId="0" fontId="5" fillId="0" borderId="17" xfId="163" applyNumberFormat="1" applyBorder="1">
      <alignment vertical="center"/>
    </xf>
    <xf numFmtId="0" fontId="5" fillId="0" borderId="13" xfId="163" applyBorder="1">
      <alignment vertical="center"/>
    </xf>
    <xf numFmtId="0" fontId="5" fillId="28" borderId="18" xfId="163" applyFill="1" applyBorder="1">
      <alignment vertical="center"/>
    </xf>
    <xf numFmtId="0" fontId="5" fillId="0" borderId="19" xfId="163" applyNumberFormat="1" applyBorder="1">
      <alignment vertical="center"/>
    </xf>
    <xf numFmtId="0" fontId="5" fillId="28" borderId="10" xfId="163" applyFill="1" applyBorder="1">
      <alignment vertical="center"/>
    </xf>
    <xf numFmtId="0" fontId="5" fillId="0" borderId="20" xfId="163" applyNumberFormat="1" applyBorder="1">
      <alignment vertical="center"/>
    </xf>
    <xf numFmtId="0" fontId="5" fillId="28" borderId="3" xfId="163" applyFill="1" applyBorder="1">
      <alignment vertical="center"/>
    </xf>
    <xf numFmtId="0" fontId="5" fillId="0" borderId="5" xfId="163" applyNumberFormat="1" applyBorder="1">
      <alignment vertical="center"/>
    </xf>
    <xf numFmtId="0" fontId="5" fillId="29" borderId="15" xfId="163" applyFill="1" applyBorder="1">
      <alignment vertical="center"/>
    </xf>
    <xf numFmtId="177" fontId="61" fillId="0" borderId="17" xfId="163" applyNumberFormat="1" applyFont="1" applyBorder="1">
      <alignment vertical="center"/>
    </xf>
    <xf numFmtId="0" fontId="5" fillId="29" borderId="10" xfId="163" applyFill="1" applyBorder="1">
      <alignment vertical="center"/>
    </xf>
    <xf numFmtId="177" fontId="61" fillId="0" borderId="20" xfId="163" applyNumberFormat="1" applyFont="1" applyBorder="1">
      <alignment vertical="center"/>
    </xf>
    <xf numFmtId="0" fontId="5" fillId="30" borderId="0" xfId="163" applyFill="1" applyBorder="1">
      <alignment vertical="center"/>
    </xf>
    <xf numFmtId="177" fontId="61" fillId="0" borderId="0" xfId="163" applyNumberFormat="1" applyFont="1" applyBorder="1">
      <alignment vertical="center"/>
    </xf>
    <xf numFmtId="178" fontId="61" fillId="0" borderId="17" xfId="163" applyNumberFormat="1" applyFont="1" applyBorder="1">
      <alignment vertical="center"/>
    </xf>
    <xf numFmtId="178" fontId="61" fillId="0" borderId="20" xfId="163" applyNumberFormat="1" applyFont="1" applyBorder="1">
      <alignment vertical="center"/>
    </xf>
    <xf numFmtId="0" fontId="5" fillId="0" borderId="13" xfId="163" applyNumberFormat="1" applyBorder="1">
      <alignment vertical="center"/>
    </xf>
    <xf numFmtId="0" fontId="5" fillId="0" borderId="13" xfId="163" applyBorder="1" applyAlignment="1">
      <alignment horizontal="center" vertical="center"/>
    </xf>
    <xf numFmtId="178" fontId="5" fillId="0" borderId="13" xfId="163" applyNumberFormat="1" applyBorder="1">
      <alignment vertical="center"/>
    </xf>
    <xf numFmtId="178" fontId="62" fillId="0" borderId="13" xfId="163" applyNumberFormat="1" applyFont="1" applyBorder="1">
      <alignment vertical="center"/>
    </xf>
    <xf numFmtId="178" fontId="5" fillId="0" borderId="0" xfId="163" applyNumberFormat="1">
      <alignment vertical="center"/>
    </xf>
    <xf numFmtId="0" fontId="5" fillId="0" borderId="36" xfId="163" applyBorder="1">
      <alignment vertical="center"/>
    </xf>
    <xf numFmtId="178" fontId="5" fillId="0" borderId="36" xfId="163" applyNumberFormat="1" applyBorder="1">
      <alignment vertical="center"/>
    </xf>
    <xf numFmtId="0" fontId="5" fillId="29" borderId="3" xfId="163" applyFont="1" applyFill="1" applyBorder="1">
      <alignment vertical="center"/>
    </xf>
    <xf numFmtId="178" fontId="61" fillId="0" borderId="5" xfId="163" applyNumberFormat="1" applyFont="1" applyBorder="1">
      <alignment vertical="center"/>
    </xf>
    <xf numFmtId="0" fontId="61" fillId="0" borderId="0" xfId="163" applyFont="1">
      <alignment vertical="center"/>
    </xf>
    <xf numFmtId="0" fontId="20" fillId="0" borderId="15" xfId="0" applyFont="1" applyFill="1" applyBorder="1" applyAlignment="1"/>
    <xf numFmtId="0" fontId="20" fillId="0" borderId="10" xfId="0" applyNumberFormat="1" applyFont="1" applyFill="1" applyBorder="1" applyAlignment="1"/>
    <xf numFmtId="0" fontId="0" fillId="0" borderId="20" xfId="0" applyNumberFormat="1" applyFill="1" applyBorder="1" applyAlignment="1"/>
    <xf numFmtId="0" fontId="4" fillId="0" borderId="0" xfId="164">
      <alignment vertical="center"/>
    </xf>
    <xf numFmtId="0" fontId="64" fillId="0" borderId="0" xfId="164" applyFont="1">
      <alignment vertical="center"/>
    </xf>
    <xf numFmtId="0" fontId="4" fillId="0" borderId="13" xfId="164" applyBorder="1" applyProtection="1">
      <alignment vertical="center"/>
      <protection locked="0"/>
    </xf>
    <xf numFmtId="0" fontId="4" fillId="0" borderId="26" xfId="164" applyBorder="1" applyProtection="1">
      <alignment vertical="center"/>
      <protection locked="0"/>
    </xf>
    <xf numFmtId="0" fontId="4" fillId="0" borderId="32" xfId="164" applyBorder="1" applyProtection="1">
      <alignment vertical="center"/>
      <protection locked="0"/>
    </xf>
    <xf numFmtId="0" fontId="4" fillId="0" borderId="13" xfId="164" applyBorder="1" applyAlignment="1" applyProtection="1">
      <alignment horizontal="right" vertical="center"/>
      <protection locked="0"/>
    </xf>
    <xf numFmtId="0" fontId="60" fillId="0" borderId="0" xfId="164" applyFont="1">
      <alignment vertical="center"/>
    </xf>
    <xf numFmtId="0" fontId="27" fillId="2" borderId="53" xfId="165" applyFont="1" applyFill="1" applyBorder="1" applyAlignment="1" applyProtection="1">
      <alignment horizontal="center" vertical="center"/>
      <protection locked="0"/>
    </xf>
    <xf numFmtId="0" fontId="27" fillId="2" borderId="21" xfId="165" applyFont="1" applyFill="1" applyBorder="1" applyAlignment="1" applyProtection="1">
      <alignment horizontal="center" vertical="center" wrapText="1"/>
      <protection locked="0"/>
    </xf>
    <xf numFmtId="0" fontId="27" fillId="2" borderId="17" xfId="165" applyFont="1" applyFill="1" applyBorder="1" applyAlignment="1" applyProtection="1">
      <alignment horizontal="center" vertical="center" wrapText="1"/>
      <protection locked="0"/>
    </xf>
    <xf numFmtId="0" fontId="27" fillId="2" borderId="7" xfId="165" applyFont="1" applyFill="1" applyBorder="1" applyAlignment="1" applyProtection="1">
      <alignment horizontal="center" vertical="center"/>
      <protection locked="0"/>
    </xf>
    <xf numFmtId="0" fontId="27" fillId="2" borderId="22" xfId="165" applyFont="1" applyFill="1" applyBorder="1" applyAlignment="1" applyProtection="1">
      <alignment horizontal="center" vertical="center"/>
      <protection locked="0"/>
    </xf>
    <xf numFmtId="0" fontId="27" fillId="2" borderId="55" xfId="165" applyFont="1" applyFill="1" applyBorder="1" applyAlignment="1" applyProtection="1">
      <alignment horizontal="center" vertical="center"/>
      <protection locked="0"/>
    </xf>
    <xf numFmtId="0" fontId="27" fillId="32" borderId="22" xfId="12" applyFill="1" applyBorder="1" applyAlignment="1" applyProtection="1">
      <alignment horizontal="center" vertical="center"/>
      <protection locked="0"/>
    </xf>
    <xf numFmtId="0" fontId="27" fillId="0" borderId="55" xfId="12" applyBorder="1" applyAlignment="1" applyProtection="1">
      <alignment horizontal="center" vertical="center"/>
      <protection locked="0"/>
    </xf>
    <xf numFmtId="0" fontId="4" fillId="32" borderId="3" xfId="164" applyFill="1" applyBorder="1" applyAlignment="1" applyProtection="1">
      <alignment horizontal="center" vertical="center"/>
      <protection locked="0"/>
    </xf>
    <xf numFmtId="0" fontId="4" fillId="0" borderId="5" xfId="164" applyBorder="1" applyAlignment="1" applyProtection="1">
      <alignment horizontal="center" vertical="center"/>
      <protection locked="0"/>
    </xf>
    <xf numFmtId="0" fontId="33" fillId="0" borderId="0" xfId="165" applyFont="1" applyFill="1" applyBorder="1" applyAlignment="1" applyProtection="1">
      <alignment horizontal="center" vertical="center"/>
    </xf>
    <xf numFmtId="0" fontId="27" fillId="2" borderId="56" xfId="165" applyFont="1" applyFill="1" applyBorder="1" applyAlignment="1" applyProtection="1">
      <alignment horizontal="center" vertical="center"/>
      <protection locked="0"/>
    </xf>
    <xf numFmtId="0" fontId="27" fillId="2" borderId="57" xfId="165" applyFont="1" applyFill="1" applyBorder="1" applyAlignment="1" applyProtection="1">
      <alignment horizontal="center" vertical="center"/>
      <protection locked="0"/>
    </xf>
    <xf numFmtId="0" fontId="27" fillId="2" borderId="52" xfId="165" applyFont="1" applyFill="1" applyBorder="1" applyAlignment="1" applyProtection="1">
      <alignment horizontal="center" vertical="center"/>
      <protection locked="0"/>
    </xf>
    <xf numFmtId="0" fontId="27" fillId="2" borderId="58" xfId="165" applyFont="1" applyFill="1" applyBorder="1" applyAlignment="1" applyProtection="1">
      <alignment horizontal="center" vertical="center"/>
      <protection locked="0"/>
    </xf>
    <xf numFmtId="0" fontId="27" fillId="2" borderId="59" xfId="165" applyFont="1" applyFill="1" applyBorder="1" applyAlignment="1" applyProtection="1">
      <alignment horizontal="center" vertical="center"/>
      <protection locked="0"/>
    </xf>
    <xf numFmtId="0" fontId="27" fillId="2" borderId="60" xfId="165" applyFont="1" applyFill="1" applyBorder="1" applyAlignment="1" applyProtection="1">
      <alignment horizontal="center" vertical="center"/>
      <protection locked="0"/>
    </xf>
    <xf numFmtId="0" fontId="27" fillId="2" borderId="61" xfId="165" applyFont="1" applyFill="1" applyBorder="1" applyAlignment="1" applyProtection="1">
      <alignment horizontal="center" vertical="center"/>
      <protection locked="0"/>
    </xf>
    <xf numFmtId="0" fontId="27" fillId="33" borderId="4" xfId="12" applyFill="1" applyBorder="1" applyProtection="1">
      <alignment vertical="center"/>
      <protection locked="0"/>
    </xf>
    <xf numFmtId="0" fontId="27" fillId="33" borderId="5" xfId="12" applyFill="1" applyBorder="1" applyProtection="1">
      <alignment vertical="center"/>
      <protection locked="0"/>
    </xf>
    <xf numFmtId="0" fontId="27" fillId="33" borderId="59" xfId="12" applyFill="1" applyBorder="1" applyProtection="1">
      <alignment vertical="center"/>
      <protection locked="0"/>
    </xf>
    <xf numFmtId="0" fontId="19" fillId="33" borderId="62" xfId="12" applyFont="1" applyFill="1" applyBorder="1" applyAlignment="1" applyProtection="1">
      <alignment horizontal="center" vertical="center"/>
      <protection locked="0"/>
    </xf>
    <xf numFmtId="0" fontId="27" fillId="0" borderId="0" xfId="165" applyFont="1" applyFill="1" applyBorder="1" applyAlignment="1" applyProtection="1">
      <alignment horizontal="center" vertical="center"/>
    </xf>
    <xf numFmtId="0" fontId="27" fillId="0" borderId="27" xfId="164" applyFont="1" applyFill="1" applyBorder="1" applyAlignment="1" applyProtection="1">
      <alignment horizontal="center"/>
      <protection locked="0"/>
    </xf>
    <xf numFmtId="0" fontId="27" fillId="0" borderId="23" xfId="165" applyNumberFormat="1" applyFont="1" applyBorder="1" applyAlignment="1" applyProtection="1">
      <alignment horizontal="center"/>
      <protection locked="0"/>
    </xf>
    <xf numFmtId="0" fontId="27" fillId="0" borderId="33" xfId="165" applyNumberFormat="1" applyFont="1" applyBorder="1" applyAlignment="1" applyProtection="1">
      <alignment horizontal="center"/>
      <protection locked="0"/>
    </xf>
    <xf numFmtId="0" fontId="27" fillId="30" borderId="64" xfId="165" applyNumberFormat="1" applyFont="1" applyFill="1" applyBorder="1" applyAlignment="1" applyProtection="1">
      <alignment horizontal="center"/>
      <protection locked="0"/>
    </xf>
    <xf numFmtId="0" fontId="27" fillId="0" borderId="29" xfId="164" applyFont="1" applyFill="1" applyBorder="1" applyAlignment="1" applyProtection="1">
      <alignment horizontal="center"/>
      <protection locked="0"/>
    </xf>
    <xf numFmtId="0" fontId="27" fillId="0" borderId="13" xfId="165" applyNumberFormat="1" applyFont="1" applyBorder="1" applyAlignment="1" applyProtection="1">
      <alignment horizontal="center"/>
      <protection locked="0"/>
    </xf>
    <xf numFmtId="0" fontId="27" fillId="30" borderId="47" xfId="165" applyNumberFormat="1" applyFont="1" applyFill="1" applyBorder="1" applyAlignment="1" applyProtection="1">
      <alignment horizontal="center"/>
      <protection locked="0"/>
    </xf>
    <xf numFmtId="0" fontId="27" fillId="0" borderId="0" xfId="164" applyFont="1" applyFill="1" applyBorder="1" applyAlignment="1" applyProtection="1">
      <alignment horizontal="center"/>
      <protection locked="0"/>
    </xf>
    <xf numFmtId="180" fontId="4" fillId="0" borderId="0" xfId="164" applyNumberFormat="1">
      <alignment vertical="center"/>
    </xf>
    <xf numFmtId="0" fontId="56" fillId="0" borderId="0" xfId="12" applyFont="1">
      <alignment vertical="center"/>
    </xf>
    <xf numFmtId="0" fontId="27" fillId="0" borderId="0" xfId="12">
      <alignment vertical="center"/>
    </xf>
    <xf numFmtId="0" fontId="27" fillId="0" borderId="36" xfId="165" applyNumberFormat="1" applyFont="1" applyBorder="1" applyAlignment="1" applyProtection="1">
      <alignment horizontal="center"/>
      <protection locked="0"/>
    </xf>
    <xf numFmtId="0" fontId="27" fillId="0" borderId="66" xfId="164" applyFont="1" applyFill="1" applyBorder="1" applyAlignment="1" applyProtection="1">
      <alignment horizontal="center"/>
      <protection locked="0"/>
    </xf>
    <xf numFmtId="0" fontId="27" fillId="0" borderId="49" xfId="165" applyNumberFormat="1" applyFont="1" applyBorder="1" applyAlignment="1" applyProtection="1">
      <alignment horizontal="center"/>
      <protection locked="0"/>
    </xf>
    <xf numFmtId="0" fontId="27" fillId="30" borderId="67" xfId="165" applyNumberFormat="1" applyFont="1" applyFill="1" applyBorder="1" applyAlignment="1" applyProtection="1">
      <alignment horizontal="center"/>
      <protection locked="0"/>
    </xf>
    <xf numFmtId="181" fontId="4" fillId="0" borderId="0" xfId="164" applyNumberFormat="1">
      <alignment vertical="center"/>
    </xf>
    <xf numFmtId="0" fontId="27" fillId="0" borderId="32" xfId="165" applyNumberFormat="1" applyFont="1" applyBorder="1" applyAlignment="1" applyProtection="1">
      <alignment horizontal="center"/>
      <protection locked="0"/>
    </xf>
    <xf numFmtId="0" fontId="27" fillId="0" borderId="19" xfId="165" applyNumberFormat="1" applyFont="1" applyBorder="1" applyAlignment="1" applyProtection="1">
      <alignment horizontal="center"/>
      <protection locked="0"/>
    </xf>
    <xf numFmtId="0" fontId="27" fillId="0" borderId="25" xfId="164" applyFont="1" applyFill="1" applyBorder="1" applyAlignment="1" applyProtection="1">
      <alignment horizontal="center"/>
      <protection locked="0"/>
    </xf>
    <xf numFmtId="0" fontId="27" fillId="0" borderId="52" xfId="165" applyNumberFormat="1" applyFont="1" applyBorder="1" applyAlignment="1" applyProtection="1">
      <alignment horizontal="center"/>
      <protection locked="0"/>
    </xf>
    <xf numFmtId="0" fontId="27" fillId="0" borderId="11" xfId="165" applyNumberFormat="1" applyFont="1" applyBorder="1" applyAlignment="1" applyProtection="1">
      <alignment horizontal="center"/>
      <protection locked="0"/>
    </xf>
    <xf numFmtId="0" fontId="27" fillId="0" borderId="20" xfId="165" applyNumberFormat="1" applyFont="1" applyBorder="1" applyAlignment="1" applyProtection="1">
      <alignment horizontal="center"/>
      <protection locked="0"/>
    </xf>
    <xf numFmtId="0" fontId="27" fillId="30" borderId="50" xfId="165" applyNumberFormat="1" applyFont="1" applyFill="1" applyBorder="1" applyAlignment="1" applyProtection="1">
      <alignment horizontal="center"/>
      <protection locked="0"/>
    </xf>
    <xf numFmtId="0" fontId="4" fillId="0" borderId="0" xfId="164" applyProtection="1">
      <alignment vertical="center"/>
      <protection locked="0"/>
    </xf>
    <xf numFmtId="0" fontId="27" fillId="0" borderId="22" xfId="165" applyNumberFormat="1" applyFont="1" applyFill="1" applyBorder="1" applyAlignment="1" applyProtection="1">
      <alignment horizontal="center"/>
      <protection locked="0"/>
    </xf>
    <xf numFmtId="1" fontId="66" fillId="0" borderId="0" xfId="164" applyNumberFormat="1" applyFont="1" applyFill="1" applyBorder="1" applyAlignment="1" applyProtection="1">
      <alignment horizontal="center" vertical="center"/>
      <protection locked="0"/>
    </xf>
    <xf numFmtId="0" fontId="27" fillId="0" borderId="0" xfId="165" applyNumberFormat="1" applyFont="1" applyFill="1" applyBorder="1" applyAlignment="1" applyProtection="1">
      <alignment horizontal="center"/>
      <protection locked="0"/>
    </xf>
    <xf numFmtId="0" fontId="4" fillId="0" borderId="0" xfId="164" applyBorder="1" applyProtection="1">
      <alignment vertical="center"/>
      <protection locked="0"/>
    </xf>
    <xf numFmtId="0" fontId="4" fillId="0" borderId="0" xfId="164" applyBorder="1">
      <alignment vertical="center"/>
    </xf>
    <xf numFmtId="0" fontId="27" fillId="0" borderId="0" xfId="165" applyNumberFormat="1" applyFont="1" applyBorder="1" applyAlignment="1" applyProtection="1">
      <alignment horizontal="left"/>
      <protection locked="0"/>
    </xf>
    <xf numFmtId="0" fontId="27" fillId="0" borderId="0" xfId="165" applyNumberFormat="1" applyFont="1" applyBorder="1" applyAlignment="1" applyProtection="1">
      <alignment horizontal="center"/>
      <protection locked="0"/>
    </xf>
    <xf numFmtId="0" fontId="27" fillId="0" borderId="0" xfId="165" applyNumberFormat="1" applyFont="1" applyBorder="1" applyAlignment="1" applyProtection="1">
      <alignment horizontal="center" vertical="center"/>
      <protection locked="0"/>
    </xf>
    <xf numFmtId="0" fontId="63" fillId="0" borderId="0" xfId="164" applyFont="1">
      <alignment vertical="center"/>
    </xf>
    <xf numFmtId="0" fontId="61" fillId="0" borderId="14" xfId="164" applyFont="1" applyBorder="1">
      <alignment vertical="center"/>
    </xf>
    <xf numFmtId="0" fontId="61" fillId="0" borderId="56" xfId="164" applyFont="1" applyBorder="1">
      <alignment vertical="center"/>
    </xf>
    <xf numFmtId="0" fontId="61" fillId="0" borderId="0" xfId="164" applyFont="1">
      <alignment vertical="center"/>
    </xf>
    <xf numFmtId="0" fontId="68" fillId="0" borderId="0" xfId="164" applyFont="1">
      <alignment vertical="center"/>
    </xf>
    <xf numFmtId="0" fontId="4" fillId="0" borderId="0" xfId="164" applyNumberFormat="1">
      <alignment vertical="center"/>
    </xf>
    <xf numFmtId="0" fontId="69" fillId="0" borderId="0" xfId="164" applyFont="1">
      <alignment vertical="center"/>
    </xf>
    <xf numFmtId="0" fontId="4" fillId="29" borderId="0" xfId="164" applyFill="1">
      <alignment vertical="center"/>
    </xf>
    <xf numFmtId="0" fontId="62" fillId="0" borderId="0" xfId="164" applyFont="1">
      <alignment vertical="center"/>
    </xf>
    <xf numFmtId="0" fontId="27" fillId="0" borderId="68" xfId="165" applyNumberFormat="1" applyFont="1" applyBorder="1" applyAlignment="1" applyProtection="1">
      <alignment horizontal="center"/>
      <protection locked="0"/>
    </xf>
    <xf numFmtId="0" fontId="27" fillId="0" borderId="18" xfId="165" applyNumberFormat="1" applyFont="1" applyBorder="1" applyAlignment="1" applyProtection="1">
      <alignment horizontal="center"/>
      <protection locked="0"/>
    </xf>
    <xf numFmtId="0" fontId="66" fillId="34" borderId="35" xfId="164" applyFont="1" applyFill="1" applyBorder="1" applyAlignment="1" applyProtection="1">
      <alignment horizontal="center" vertical="center"/>
      <protection locked="0"/>
    </xf>
    <xf numFmtId="0" fontId="27" fillId="34" borderId="33" xfId="165" applyNumberFormat="1" applyFont="1" applyFill="1" applyBorder="1" applyAlignment="1" applyProtection="1">
      <alignment horizontal="center"/>
      <protection locked="0"/>
    </xf>
    <xf numFmtId="1" fontId="66" fillId="34" borderId="34" xfId="164" applyNumberFormat="1" applyFont="1" applyFill="1" applyBorder="1" applyAlignment="1" applyProtection="1">
      <alignment horizontal="center" vertical="center"/>
      <protection locked="0"/>
    </xf>
    <xf numFmtId="0" fontId="66" fillId="34" borderId="18" xfId="164" applyFont="1" applyFill="1" applyBorder="1" applyAlignment="1" applyProtection="1">
      <alignment horizontal="center" vertical="center"/>
      <protection locked="0"/>
    </xf>
    <xf numFmtId="0" fontId="27" fillId="34" borderId="13" xfId="165" applyNumberFormat="1" applyFont="1" applyFill="1" applyBorder="1" applyAlignment="1" applyProtection="1">
      <alignment horizontal="center"/>
      <protection locked="0"/>
    </xf>
    <xf numFmtId="1" fontId="66" fillId="34" borderId="26" xfId="164" applyNumberFormat="1" applyFont="1" applyFill="1" applyBorder="1" applyAlignment="1" applyProtection="1">
      <alignment horizontal="center" vertical="center"/>
      <protection locked="0"/>
    </xf>
    <xf numFmtId="0" fontId="66" fillId="34" borderId="10" xfId="164" applyFont="1" applyFill="1" applyBorder="1" applyAlignment="1" applyProtection="1">
      <alignment horizontal="center" vertical="center"/>
      <protection locked="0"/>
    </xf>
    <xf numFmtId="0" fontId="27" fillId="34" borderId="11" xfId="165" applyNumberFormat="1" applyFont="1" applyFill="1" applyBorder="1" applyAlignment="1" applyProtection="1">
      <alignment horizontal="center"/>
      <protection locked="0"/>
    </xf>
    <xf numFmtId="1" fontId="66" fillId="34" borderId="28" xfId="164" applyNumberFormat="1" applyFont="1" applyFill="1" applyBorder="1" applyAlignment="1" applyProtection="1">
      <alignment horizontal="center" vertical="center"/>
      <protection locked="0"/>
    </xf>
    <xf numFmtId="0" fontId="27" fillId="34" borderId="23" xfId="12" applyFill="1" applyBorder="1" applyAlignment="1" applyProtection="1">
      <alignment horizontal="center" vertical="center"/>
      <protection locked="0"/>
    </xf>
    <xf numFmtId="0" fontId="27" fillId="34" borderId="63" xfId="12" applyFill="1" applyBorder="1" applyAlignment="1" applyProtection="1">
      <alignment horizontal="center" vertical="center"/>
      <protection locked="0"/>
    </xf>
    <xf numFmtId="179" fontId="4" fillId="34" borderId="35" xfId="164" applyNumberFormat="1" applyFill="1" applyBorder="1" applyAlignment="1" applyProtection="1">
      <alignment horizontal="center" vertical="center"/>
      <protection locked="0"/>
    </xf>
    <xf numFmtId="0" fontId="60" fillId="34" borderId="63" xfId="164" applyFont="1" applyFill="1" applyBorder="1" applyProtection="1">
      <alignment vertical="center"/>
      <protection locked="0"/>
    </xf>
    <xf numFmtId="0" fontId="27" fillId="34" borderId="32" xfId="12" applyFill="1" applyBorder="1" applyAlignment="1" applyProtection="1">
      <alignment horizontal="center" vertical="center"/>
      <protection locked="0"/>
    </xf>
    <xf numFmtId="0" fontId="27" fillId="34" borderId="19" xfId="12" applyFill="1" applyBorder="1" applyAlignment="1" applyProtection="1">
      <alignment horizontal="center" vertical="center"/>
      <protection locked="0"/>
    </xf>
    <xf numFmtId="179" fontId="4" fillId="34" borderId="18" xfId="164" applyNumberFormat="1" applyFill="1" applyBorder="1" applyAlignment="1" applyProtection="1">
      <alignment horizontal="center" vertical="center"/>
      <protection locked="0"/>
    </xf>
    <xf numFmtId="0" fontId="60" fillId="34" borderId="19" xfId="164" applyFont="1" applyFill="1" applyBorder="1" applyProtection="1">
      <alignment vertical="center"/>
      <protection locked="0"/>
    </xf>
    <xf numFmtId="0" fontId="27" fillId="34" borderId="52" xfId="12" applyFill="1" applyBorder="1" applyAlignment="1" applyProtection="1">
      <alignment horizontal="center" vertical="center"/>
      <protection locked="0"/>
    </xf>
    <xf numFmtId="0" fontId="27" fillId="34" borderId="20" xfId="12" applyFill="1" applyBorder="1" applyAlignment="1" applyProtection="1">
      <alignment horizontal="center" vertical="center"/>
      <protection locked="0"/>
    </xf>
    <xf numFmtId="179" fontId="4" fillId="34" borderId="10" xfId="164" applyNumberFormat="1" applyFill="1" applyBorder="1" applyAlignment="1" applyProtection="1">
      <alignment horizontal="center" vertical="center"/>
      <protection locked="0"/>
    </xf>
    <xf numFmtId="0" fontId="60" fillId="34" borderId="20" xfId="164" applyFont="1" applyFill="1" applyBorder="1" applyProtection="1">
      <alignment vertical="center"/>
      <protection locked="0"/>
    </xf>
    <xf numFmtId="2" fontId="27" fillId="34" borderId="65" xfId="12" applyNumberFormat="1" applyFill="1" applyBorder="1" applyProtection="1">
      <alignment vertical="center"/>
      <protection locked="0"/>
    </xf>
    <xf numFmtId="2" fontId="27" fillId="34" borderId="56" xfId="12" applyNumberFormat="1" applyFill="1" applyBorder="1" applyProtection="1">
      <alignment vertical="center"/>
      <protection locked="0"/>
    </xf>
    <xf numFmtId="0" fontId="3" fillId="0" borderId="0" xfId="164" applyFont="1">
      <alignment vertical="center"/>
    </xf>
    <xf numFmtId="177" fontId="27" fillId="35" borderId="35" xfId="12" applyNumberFormat="1" applyFont="1" applyFill="1" applyBorder="1" applyAlignment="1" applyProtection="1">
      <alignment horizontal="center" vertical="center"/>
      <protection locked="0"/>
    </xf>
    <xf numFmtId="177" fontId="27" fillId="35" borderId="63" xfId="12" applyNumberFormat="1" applyFont="1" applyFill="1" applyBorder="1" applyAlignment="1" applyProtection="1">
      <alignment horizontal="center" vertical="center"/>
      <protection locked="0"/>
    </xf>
    <xf numFmtId="177" fontId="27" fillId="35" borderId="18" xfId="12" applyNumberFormat="1" applyFont="1" applyFill="1" applyBorder="1" applyAlignment="1" applyProtection="1">
      <alignment horizontal="center" vertical="center"/>
      <protection locked="0"/>
    </xf>
    <xf numFmtId="177" fontId="27" fillId="35" borderId="19" xfId="12" applyNumberFormat="1" applyFont="1" applyFill="1" applyBorder="1" applyAlignment="1" applyProtection="1">
      <alignment horizontal="center" vertical="center"/>
      <protection locked="0"/>
    </xf>
    <xf numFmtId="177" fontId="27" fillId="35" borderId="10" xfId="12" applyNumberFormat="1" applyFont="1" applyFill="1" applyBorder="1" applyAlignment="1" applyProtection="1">
      <alignment horizontal="center" vertical="center"/>
      <protection locked="0"/>
    </xf>
    <xf numFmtId="177" fontId="27" fillId="35" borderId="20" xfId="12" applyNumberFormat="1" applyFont="1" applyFill="1" applyBorder="1" applyAlignment="1" applyProtection="1">
      <alignment horizontal="center" vertical="center"/>
      <protection locked="0"/>
    </xf>
    <xf numFmtId="0" fontId="0" fillId="0" borderId="0" xfId="0" applyNumberFormat="1" applyFont="1" applyAlignment="1">
      <alignment vertical="center"/>
    </xf>
    <xf numFmtId="0" fontId="70" fillId="0" borderId="0" xfId="0" applyFont="1">
      <alignment vertical="center"/>
    </xf>
    <xf numFmtId="0" fontId="71" fillId="0" borderId="0" xfId="0" applyFont="1">
      <alignment vertical="center"/>
    </xf>
    <xf numFmtId="0" fontId="72" fillId="0" borderId="0" xfId="0" applyFont="1">
      <alignment vertical="center"/>
    </xf>
    <xf numFmtId="0" fontId="0" fillId="2" borderId="27" xfId="0" applyFill="1" applyBorder="1">
      <alignment vertical="center"/>
    </xf>
    <xf numFmtId="0" fontId="20" fillId="2" borderId="69" xfId="0" applyFont="1" applyFill="1" applyBorder="1">
      <alignment vertical="center"/>
    </xf>
    <xf numFmtId="0" fontId="0" fillId="0" borderId="69" xfId="0" applyBorder="1">
      <alignment vertical="center"/>
    </xf>
    <xf numFmtId="0" fontId="24" fillId="0" borderId="0" xfId="0" applyFont="1" applyFill="1" applyBorder="1">
      <alignment vertical="center"/>
    </xf>
    <xf numFmtId="0" fontId="0" fillId="2" borderId="29" xfId="0" applyFill="1" applyBorder="1">
      <alignment vertical="center"/>
    </xf>
    <xf numFmtId="0" fontId="20" fillId="2" borderId="58" xfId="0" applyFont="1" applyFill="1" applyBorder="1">
      <alignment vertical="center"/>
    </xf>
    <xf numFmtId="0" fontId="0" fillId="0" borderId="58" xfId="0" applyBorder="1">
      <alignment vertical="center"/>
    </xf>
    <xf numFmtId="0" fontId="78" fillId="0" borderId="70" xfId="0" applyFont="1" applyFill="1" applyBorder="1">
      <alignment vertical="center"/>
    </xf>
    <xf numFmtId="0" fontId="0" fillId="0" borderId="71" xfId="0" applyBorder="1">
      <alignment vertical="center"/>
    </xf>
    <xf numFmtId="0" fontId="20" fillId="28" borderId="51" xfId="0" applyFont="1" applyFill="1" applyBorder="1">
      <alignment vertical="center"/>
    </xf>
    <xf numFmtId="0" fontId="0" fillId="0" borderId="17" xfId="0" applyFont="1" applyBorder="1">
      <alignment vertical="center"/>
    </xf>
    <xf numFmtId="0" fontId="0" fillId="0" borderId="0" xfId="0" applyNumberFormat="1" applyFill="1" applyBorder="1">
      <alignment vertical="center"/>
    </xf>
    <xf numFmtId="0" fontId="20" fillId="28" borderId="32" xfId="0" applyFont="1" applyFill="1" applyBorder="1">
      <alignment vertical="center"/>
    </xf>
    <xf numFmtId="0" fontId="0" fillId="0" borderId="19" xfId="0" applyFont="1" applyBorder="1">
      <alignment vertical="center"/>
    </xf>
    <xf numFmtId="0" fontId="20" fillId="28" borderId="57" xfId="0" applyFont="1" applyFill="1" applyBorder="1">
      <alignment vertical="center"/>
    </xf>
    <xf numFmtId="0" fontId="0" fillId="0" borderId="62" xfId="0" applyFont="1" applyBorder="1">
      <alignment vertical="center"/>
    </xf>
    <xf numFmtId="182" fontId="0" fillId="0" borderId="0" xfId="0" applyNumberFormat="1">
      <alignment vertical="center"/>
    </xf>
    <xf numFmtId="0" fontId="0" fillId="0" borderId="1" xfId="0" applyFill="1" applyBorder="1">
      <alignment vertical="center"/>
    </xf>
    <xf numFmtId="0" fontId="20" fillId="6" borderId="27" xfId="0" applyFont="1" applyFill="1" applyBorder="1">
      <alignment vertical="center"/>
    </xf>
    <xf numFmtId="0" fontId="0" fillId="0" borderId="69" xfId="0" applyFont="1" applyBorder="1">
      <alignment vertical="center"/>
    </xf>
    <xf numFmtId="0" fontId="20" fillId="6" borderId="29" xfId="0" applyFont="1" applyFill="1" applyBorder="1">
      <alignment vertical="center"/>
    </xf>
    <xf numFmtId="178" fontId="0" fillId="0" borderId="72" xfId="0" applyNumberFormat="1" applyFill="1" applyBorder="1">
      <alignment vertical="center"/>
    </xf>
    <xf numFmtId="0" fontId="20" fillId="0" borderId="0" xfId="0" applyFont="1">
      <alignment vertical="center"/>
    </xf>
    <xf numFmtId="0" fontId="0" fillId="0" borderId="72" xfId="0" applyBorder="1">
      <alignment vertical="center"/>
    </xf>
    <xf numFmtId="0" fontId="72" fillId="0" borderId="60" xfId="0" applyFont="1" applyFill="1" applyBorder="1">
      <alignment vertical="center"/>
    </xf>
    <xf numFmtId="0" fontId="0" fillId="0" borderId="60" xfId="0" applyFill="1" applyBorder="1">
      <alignment vertical="center"/>
    </xf>
    <xf numFmtId="0" fontId="0" fillId="6" borderId="29" xfId="0" applyFill="1" applyBorder="1">
      <alignment vertical="center"/>
    </xf>
    <xf numFmtId="0" fontId="27" fillId="10" borderId="73" xfId="0" applyFont="1" applyFill="1" applyBorder="1" applyAlignment="1"/>
    <xf numFmtId="0" fontId="27" fillId="10" borderId="30" xfId="0" applyFont="1" applyFill="1" applyBorder="1" applyAlignment="1"/>
    <xf numFmtId="0" fontId="27" fillId="10" borderId="8" xfId="0" applyFont="1" applyFill="1" applyBorder="1" applyAlignment="1"/>
    <xf numFmtId="0" fontId="27" fillId="10" borderId="9" xfId="0" applyFont="1" applyFill="1" applyBorder="1" applyAlignment="1"/>
    <xf numFmtId="0" fontId="24" fillId="10" borderId="8" xfId="0" applyFont="1" applyFill="1" applyBorder="1" applyAlignment="1"/>
    <xf numFmtId="0" fontId="24" fillId="10" borderId="9" xfId="0" applyFont="1" applyFill="1" applyBorder="1" applyAlignment="1">
      <alignment horizontal="center"/>
    </xf>
    <xf numFmtId="0" fontId="0" fillId="10" borderId="35" xfId="0" applyFont="1" applyFill="1" applyBorder="1" applyAlignment="1">
      <alignment horizontal="center"/>
    </xf>
    <xf numFmtId="0" fontId="27" fillId="10" borderId="33" xfId="0" applyFont="1" applyFill="1" applyBorder="1" applyAlignment="1">
      <alignment horizontal="center"/>
    </xf>
    <xf numFmtId="0" fontId="0" fillId="10" borderId="33" xfId="0" applyFont="1" applyFill="1" applyBorder="1" applyAlignment="1">
      <alignment horizontal="center"/>
    </xf>
    <xf numFmtId="0" fontId="27" fillId="10" borderId="63" xfId="0" applyFont="1" applyFill="1" applyBorder="1" applyAlignment="1">
      <alignment horizontal="center"/>
    </xf>
    <xf numFmtId="0" fontId="20" fillId="10" borderId="33" xfId="0" applyFont="1" applyFill="1" applyBorder="1" applyAlignment="1">
      <alignment horizontal="center"/>
    </xf>
    <xf numFmtId="0" fontId="20" fillId="10" borderId="63" xfId="0" applyFont="1" applyFill="1" applyBorder="1" applyAlignment="1">
      <alignment horizontal="center"/>
    </xf>
    <xf numFmtId="0" fontId="20" fillId="0" borderId="18" xfId="0" applyFont="1" applyBorder="1">
      <alignment vertical="center"/>
    </xf>
    <xf numFmtId="0" fontId="20" fillId="0" borderId="13" xfId="0" applyFont="1" applyBorder="1">
      <alignment vertical="center"/>
    </xf>
    <xf numFmtId="184" fontId="20" fillId="0" borderId="13" xfId="0" applyNumberFormat="1" applyFont="1" applyBorder="1">
      <alignment vertical="center"/>
    </xf>
    <xf numFmtId="0" fontId="20" fillId="0" borderId="19" xfId="0" applyFont="1" applyBorder="1">
      <alignment vertical="center"/>
    </xf>
    <xf numFmtId="0" fontId="27" fillId="0" borderId="13" xfId="0" applyFont="1" applyBorder="1" applyAlignment="1"/>
    <xf numFmtId="178" fontId="0" fillId="0" borderId="19" xfId="0" applyNumberFormat="1" applyBorder="1" applyAlignment="1"/>
    <xf numFmtId="0" fontId="0" fillId="0" borderId="72" xfId="0" applyNumberFormat="1" applyBorder="1">
      <alignment vertical="center"/>
    </xf>
    <xf numFmtId="0" fontId="0" fillId="0" borderId="74" xfId="0" applyBorder="1">
      <alignment vertical="center"/>
    </xf>
    <xf numFmtId="0" fontId="20" fillId="0" borderId="18" xfId="0" applyFont="1" applyFill="1" applyBorder="1">
      <alignment vertical="center"/>
    </xf>
    <xf numFmtId="182" fontId="19" fillId="0" borderId="0" xfId="0" applyNumberFormat="1" applyFont="1" applyFill="1" applyBorder="1">
      <alignment vertical="center"/>
    </xf>
    <xf numFmtId="0" fontId="0" fillId="0" borderId="74" xfId="0" applyFill="1" applyBorder="1">
      <alignment vertical="center"/>
    </xf>
    <xf numFmtId="0" fontId="20" fillId="0" borderId="0" xfId="0" applyFont="1" applyBorder="1" applyAlignment="1">
      <alignment horizontal="right" vertical="center"/>
    </xf>
    <xf numFmtId="0" fontId="0" fillId="6" borderId="25" xfId="0" applyFill="1" applyBorder="1">
      <alignment vertical="center"/>
    </xf>
    <xf numFmtId="0" fontId="27" fillId="0" borderId="0" xfId="0" applyFont="1" applyFill="1" applyBorder="1" applyAlignment="1">
      <alignment horizontal="center"/>
    </xf>
    <xf numFmtId="0" fontId="72" fillId="0" borderId="60" xfId="0" applyFont="1" applyFill="1" applyBorder="1" applyAlignment="1">
      <alignment vertical="center"/>
    </xf>
    <xf numFmtId="0" fontId="0" fillId="0" borderId="0" xfId="0" applyBorder="1" applyAlignment="1">
      <alignment horizontal="right" vertical="center"/>
    </xf>
    <xf numFmtId="0" fontId="0" fillId="6" borderId="35" xfId="0" applyFill="1" applyBorder="1">
      <alignment vertical="center"/>
    </xf>
    <xf numFmtId="178" fontId="56" fillId="0" borderId="17" xfId="0" applyNumberFormat="1" applyFont="1" applyBorder="1">
      <alignment vertical="center"/>
    </xf>
    <xf numFmtId="178" fontId="56" fillId="0" borderId="13" xfId="0" applyNumberFormat="1" applyFont="1" applyBorder="1">
      <alignment vertical="center"/>
    </xf>
    <xf numFmtId="0" fontId="0" fillId="6" borderId="18" xfId="0" applyFill="1" applyBorder="1" applyAlignment="1">
      <alignment vertical="center" wrapText="1"/>
    </xf>
    <xf numFmtId="178" fontId="56" fillId="0" borderId="19" xfId="0" applyNumberFormat="1" applyFont="1" applyBorder="1">
      <alignment vertical="center"/>
    </xf>
    <xf numFmtId="178" fontId="56" fillId="0" borderId="19" xfId="0" applyNumberFormat="1" applyFont="1" applyFill="1" applyBorder="1">
      <alignment vertical="center"/>
    </xf>
    <xf numFmtId="0" fontId="56" fillId="6" borderId="10" xfId="0" applyFont="1" applyFill="1" applyBorder="1" applyAlignment="1">
      <alignment vertical="center" wrapText="1"/>
    </xf>
    <xf numFmtId="178" fontId="56" fillId="0" borderId="20" xfId="0" applyNumberFormat="1" applyFont="1" applyBorder="1">
      <alignment vertical="center"/>
    </xf>
    <xf numFmtId="0" fontId="0" fillId="0" borderId="0" xfId="0" applyAlignment="1">
      <alignment horizontal="right" vertical="center"/>
    </xf>
    <xf numFmtId="0" fontId="20" fillId="0" borderId="10" xfId="0" applyFont="1" applyFill="1" applyBorder="1">
      <alignment vertical="center"/>
    </xf>
    <xf numFmtId="0" fontId="20" fillId="0" borderId="11" xfId="0" applyFont="1" applyBorder="1">
      <alignment vertical="center"/>
    </xf>
    <xf numFmtId="0" fontId="20" fillId="0" borderId="20" xfId="0" applyFont="1" applyBorder="1">
      <alignment vertical="center"/>
    </xf>
    <xf numFmtId="0" fontId="27" fillId="0" borderId="11" xfId="0" applyFont="1" applyBorder="1" applyAlignment="1"/>
    <xf numFmtId="178" fontId="0" fillId="0" borderId="20" xfId="0" applyNumberFormat="1" applyBorder="1" applyAlignment="1"/>
    <xf numFmtId="0" fontId="24" fillId="0" borderId="0" xfId="0" applyFont="1" applyAlignment="1">
      <alignment horizontal="center"/>
    </xf>
    <xf numFmtId="0" fontId="0" fillId="6" borderId="3" xfId="0" applyFill="1" applyBorder="1">
      <alignment vertical="center"/>
    </xf>
    <xf numFmtId="0" fontId="0" fillId="0" borderId="5" xfId="0" applyFont="1" applyFill="1" applyBorder="1">
      <alignment vertical="center"/>
    </xf>
    <xf numFmtId="0" fontId="0" fillId="6" borderId="46" xfId="0" applyFill="1" applyBorder="1">
      <alignment vertical="center"/>
    </xf>
    <xf numFmtId="0" fontId="0" fillId="0" borderId="27" xfId="0" applyFill="1" applyBorder="1">
      <alignment vertical="center"/>
    </xf>
    <xf numFmtId="0" fontId="0" fillId="0" borderId="46" xfId="0" applyFill="1" applyBorder="1">
      <alignment vertical="center"/>
    </xf>
    <xf numFmtId="0" fontId="0" fillId="6" borderId="50" xfId="0" applyFill="1" applyBorder="1">
      <alignment vertical="center"/>
    </xf>
    <xf numFmtId="0" fontId="0" fillId="0" borderId="56" xfId="0" applyFill="1" applyBorder="1">
      <alignment vertical="center"/>
    </xf>
    <xf numFmtId="0" fontId="0" fillId="0" borderId="75" xfId="0" applyFill="1" applyBorder="1">
      <alignment vertical="center"/>
    </xf>
    <xf numFmtId="0" fontId="81" fillId="6" borderId="16" xfId="0" applyFont="1" applyFill="1" applyBorder="1">
      <alignment vertical="center"/>
    </xf>
    <xf numFmtId="0" fontId="81" fillId="0" borderId="16" xfId="0" applyFont="1" applyFill="1" applyBorder="1">
      <alignment vertical="center"/>
    </xf>
    <xf numFmtId="0" fontId="81" fillId="0" borderId="0" xfId="0" applyFont="1" applyFill="1" applyBorder="1">
      <alignment vertical="center"/>
    </xf>
    <xf numFmtId="0" fontId="0" fillId="0" borderId="12" xfId="0" applyBorder="1">
      <alignment vertical="center"/>
    </xf>
    <xf numFmtId="0" fontId="0" fillId="0" borderId="5" xfId="0" applyBorder="1">
      <alignment vertical="center"/>
    </xf>
    <xf numFmtId="0" fontId="0" fillId="6" borderId="59" xfId="0" applyFill="1" applyBorder="1">
      <alignment vertical="center"/>
    </xf>
    <xf numFmtId="0" fontId="0" fillId="0" borderId="76" xfId="0" applyFill="1" applyBorder="1">
      <alignment vertical="center"/>
    </xf>
    <xf numFmtId="0" fontId="0" fillId="0" borderId="62" xfId="0" applyFill="1" applyBorder="1">
      <alignment vertical="center"/>
    </xf>
    <xf numFmtId="0" fontId="81" fillId="6" borderId="33" xfId="0" applyFont="1" applyFill="1" applyBorder="1">
      <alignment vertical="center"/>
    </xf>
    <xf numFmtId="0" fontId="81" fillId="0" borderId="33" xfId="0" applyFont="1" applyFill="1" applyBorder="1">
      <alignment vertical="center"/>
    </xf>
    <xf numFmtId="0" fontId="56" fillId="6" borderId="3" xfId="0" applyFont="1" applyFill="1" applyBorder="1">
      <alignment vertical="center"/>
    </xf>
    <xf numFmtId="0" fontId="55" fillId="0" borderId="5" xfId="0" applyFont="1" applyFill="1" applyBorder="1">
      <alignment vertical="center"/>
    </xf>
    <xf numFmtId="0" fontId="20" fillId="0" borderId="0" xfId="0" applyFont="1" applyFill="1" applyBorder="1">
      <alignment vertical="center"/>
    </xf>
    <xf numFmtId="0" fontId="55" fillId="0" borderId="0" xfId="0" applyFont="1" applyFill="1" applyBorder="1">
      <alignment vertical="center"/>
    </xf>
    <xf numFmtId="0" fontId="56" fillId="0" borderId="0" xfId="0" applyFont="1" applyFill="1" applyBorder="1">
      <alignment vertical="center"/>
    </xf>
    <xf numFmtId="0" fontId="20" fillId="2" borderId="25" xfId="0" applyFont="1" applyFill="1" applyBorder="1">
      <alignment vertical="center"/>
    </xf>
    <xf numFmtId="0" fontId="72" fillId="0" borderId="0" xfId="0" applyFont="1" applyBorder="1">
      <alignment vertical="center"/>
    </xf>
    <xf numFmtId="0" fontId="73" fillId="0" borderId="0" xfId="0" applyFont="1" applyBorder="1" applyAlignment="1">
      <alignment vertical="top" wrapText="1"/>
    </xf>
    <xf numFmtId="0" fontId="74" fillId="0" borderId="0" xfId="0" applyFont="1" applyBorder="1" applyAlignment="1">
      <alignment horizontal="center" vertical="center" wrapText="1" readingOrder="1"/>
    </xf>
    <xf numFmtId="0" fontId="75" fillId="0" borderId="0" xfId="0" applyFont="1" applyBorder="1" applyAlignment="1">
      <alignment horizontal="center" vertical="center" wrapText="1" readingOrder="1"/>
    </xf>
    <xf numFmtId="0" fontId="76" fillId="0" borderId="0" xfId="0" applyFont="1" applyBorder="1" applyAlignment="1">
      <alignment horizontal="center" vertical="center" wrapText="1" readingOrder="1"/>
    </xf>
    <xf numFmtId="0" fontId="77" fillId="0" borderId="0" xfId="0" applyFont="1" applyBorder="1" applyAlignment="1">
      <alignment horizontal="left" vertical="center" wrapText="1" readingOrder="1"/>
    </xf>
    <xf numFmtId="0" fontId="77" fillId="0" borderId="0" xfId="0" applyFont="1" applyBorder="1" applyAlignment="1">
      <alignment horizontal="center" vertical="center" wrapText="1" readingOrder="1"/>
    </xf>
    <xf numFmtId="182" fontId="75" fillId="0" borderId="0" xfId="0" applyNumberFormat="1" applyFont="1" applyBorder="1">
      <alignment vertical="center"/>
    </xf>
    <xf numFmtId="183" fontId="0" fillId="0" borderId="0" xfId="0" applyNumberFormat="1" applyBorder="1">
      <alignment vertical="center"/>
    </xf>
    <xf numFmtId="182" fontId="0" fillId="0" borderId="0" xfId="0" applyNumberFormat="1" applyBorder="1">
      <alignment vertical="center"/>
    </xf>
    <xf numFmtId="0" fontId="0" fillId="6" borderId="3" xfId="0" applyFill="1" applyBorder="1" applyAlignment="1">
      <alignment vertical="center" wrapText="1"/>
    </xf>
    <xf numFmtId="0" fontId="22" fillId="0" borderId="0" xfId="146" applyFont="1" applyAlignment="1" applyProtection="1">
      <alignment vertical="center"/>
      <protection locked="0" hidden="1"/>
    </xf>
    <xf numFmtId="0" fontId="22" fillId="0" borderId="0" xfId="146" applyFont="1" applyAlignment="1">
      <alignment vertical="center"/>
    </xf>
    <xf numFmtId="0" fontId="8" fillId="0" borderId="0" xfId="146" applyAlignment="1">
      <alignment vertical="center"/>
    </xf>
    <xf numFmtId="0" fontId="22" fillId="0" borderId="7" xfId="146" applyFont="1" applyBorder="1" applyAlignment="1" applyProtection="1">
      <alignment horizontal="center" vertical="center"/>
      <protection hidden="1"/>
    </xf>
    <xf numFmtId="0" fontId="82" fillId="3" borderId="8" xfId="146" applyFont="1" applyFill="1" applyBorder="1" applyAlignment="1" applyProtection="1">
      <alignment vertical="center"/>
      <protection locked="0" hidden="1"/>
    </xf>
    <xf numFmtId="0" fontId="22" fillId="0" borderId="77" xfId="146" applyFont="1" applyBorder="1" applyAlignment="1" applyProtection="1">
      <alignment vertical="center"/>
      <protection locked="0" hidden="1"/>
    </xf>
    <xf numFmtId="0" fontId="84" fillId="0" borderId="0" xfId="146" applyFont="1" applyAlignment="1" applyProtection="1">
      <alignment vertical="center"/>
      <protection hidden="1"/>
    </xf>
    <xf numFmtId="0" fontId="85" fillId="0" borderId="22" xfId="146" applyFont="1" applyBorder="1" applyAlignment="1" applyProtection="1">
      <alignment horizontal="center" vertical="center"/>
      <protection hidden="1"/>
    </xf>
    <xf numFmtId="0" fontId="85" fillId="0" borderId="22" xfId="146" applyFont="1" applyBorder="1" applyAlignment="1" applyProtection="1">
      <alignment vertical="center"/>
      <protection hidden="1"/>
    </xf>
    <xf numFmtId="0" fontId="22" fillId="0" borderId="22" xfId="146" applyFont="1" applyBorder="1" applyAlignment="1" applyProtection="1">
      <alignment vertical="center"/>
      <protection hidden="1"/>
    </xf>
    <xf numFmtId="0" fontId="85" fillId="36" borderId="78" xfId="146" applyFont="1" applyFill="1" applyBorder="1" applyAlignment="1" applyProtection="1">
      <alignment horizontal="right" vertical="center"/>
      <protection hidden="1"/>
    </xf>
    <xf numFmtId="0" fontId="86" fillId="3" borderId="79" xfId="146" applyFont="1" applyFill="1" applyBorder="1" applyAlignment="1" applyProtection="1">
      <alignment horizontal="center" vertical="center"/>
      <protection locked="0"/>
    </xf>
    <xf numFmtId="0" fontId="87" fillId="36" borderId="80" xfId="146" applyFont="1" applyFill="1" applyBorder="1" applyAlignment="1" applyProtection="1">
      <alignment horizontal="right" vertical="center"/>
      <protection hidden="1"/>
    </xf>
    <xf numFmtId="0" fontId="85" fillId="0" borderId="0" xfId="146" applyFont="1" applyAlignment="1" applyProtection="1">
      <alignment vertical="center"/>
      <protection locked="0" hidden="1"/>
    </xf>
    <xf numFmtId="0" fontId="85" fillId="36" borderId="80" xfId="146" applyFont="1" applyFill="1" applyBorder="1" applyAlignment="1" applyProtection="1">
      <alignment horizontal="right" vertical="center"/>
      <protection hidden="1"/>
    </xf>
    <xf numFmtId="0" fontId="85" fillId="36" borderId="81" xfId="146" applyFont="1" applyFill="1" applyBorder="1" applyAlignment="1" applyProtection="1">
      <alignment horizontal="right" vertical="center"/>
      <protection hidden="1"/>
    </xf>
    <xf numFmtId="0" fontId="86" fillId="3" borderId="79" xfId="146" applyNumberFormat="1" applyFont="1" applyFill="1" applyBorder="1" applyAlignment="1" applyProtection="1">
      <alignment horizontal="center" vertical="center"/>
      <protection locked="0"/>
    </xf>
    <xf numFmtId="0" fontId="22" fillId="0" borderId="0" xfId="146" applyFont="1" applyAlignment="1" applyProtection="1">
      <alignment vertical="center"/>
      <protection hidden="1"/>
    </xf>
    <xf numFmtId="0" fontId="88" fillId="0" borderId="13" xfId="146" applyFont="1" applyBorder="1" applyAlignment="1" applyProtection="1">
      <alignment horizontal="center" vertical="center"/>
      <protection hidden="1"/>
    </xf>
    <xf numFmtId="0" fontId="85" fillId="36" borderId="82" xfId="146" applyFont="1" applyFill="1" applyBorder="1" applyAlignment="1" applyProtection="1">
      <alignment horizontal="right" vertical="center"/>
      <protection hidden="1"/>
    </xf>
    <xf numFmtId="0" fontId="88" fillId="0" borderId="13" xfId="146" applyFont="1" applyFill="1" applyBorder="1" applyAlignment="1" applyProtection="1">
      <alignment horizontal="center" vertical="center"/>
      <protection locked="0"/>
    </xf>
    <xf numFmtId="0" fontId="22" fillId="0" borderId="0" xfId="146" applyFont="1" applyAlignment="1" applyProtection="1">
      <alignment horizontal="center"/>
      <protection hidden="1"/>
    </xf>
    <xf numFmtId="0" fontId="22" fillId="0" borderId="0" xfId="146" applyFont="1" applyAlignment="1" applyProtection="1">
      <protection hidden="1"/>
    </xf>
    <xf numFmtId="0" fontId="8" fillId="0" borderId="0" xfId="146" applyFont="1" applyAlignment="1" applyProtection="1">
      <alignment vertical="center"/>
      <protection locked="0" hidden="1"/>
    </xf>
    <xf numFmtId="0" fontId="8" fillId="0" borderId="0" xfId="146" applyAlignment="1" applyProtection="1">
      <alignment vertical="center"/>
      <protection locked="0" hidden="1"/>
    </xf>
    <xf numFmtId="0" fontId="8" fillId="0" borderId="0" xfId="146" applyFont="1" applyAlignment="1">
      <alignment vertical="center"/>
    </xf>
    <xf numFmtId="0" fontId="22" fillId="0" borderId="0" xfId="146" applyFont="1" applyFill="1" applyAlignment="1" applyProtection="1">
      <alignment horizontal="right"/>
      <protection hidden="1"/>
    </xf>
    <xf numFmtId="0" fontId="22" fillId="0" borderId="33" xfId="146" applyFont="1" applyFill="1" applyBorder="1" applyAlignment="1" applyProtection="1">
      <alignment horizontal="center"/>
      <protection hidden="1"/>
    </xf>
    <xf numFmtId="0" fontId="22" fillId="0" borderId="13" xfId="146" applyFont="1" applyFill="1" applyBorder="1" applyAlignment="1" applyProtection="1">
      <alignment horizontal="center"/>
      <protection hidden="1"/>
    </xf>
    <xf numFmtId="0" fontId="85" fillId="36" borderId="0" xfId="146" applyFont="1" applyFill="1" applyBorder="1" applyAlignment="1" applyProtection="1">
      <alignment horizontal="right" vertical="center"/>
      <protection hidden="1"/>
    </xf>
    <xf numFmtId="0" fontId="89" fillId="10" borderId="83" xfId="146" applyFont="1" applyFill="1" applyBorder="1" applyAlignment="1" applyProtection="1">
      <alignment horizontal="center" vertical="center"/>
      <protection locked="0" hidden="1"/>
    </xf>
    <xf numFmtId="0" fontId="22" fillId="37" borderId="83" xfId="146" applyFont="1" applyFill="1" applyBorder="1" applyAlignment="1" applyProtection="1">
      <alignment horizontal="center" vertical="center"/>
      <protection hidden="1"/>
    </xf>
    <xf numFmtId="0" fontId="22" fillId="0" borderId="83" xfId="146" applyFont="1" applyBorder="1" applyAlignment="1" applyProtection="1">
      <alignment vertical="center"/>
      <protection hidden="1"/>
    </xf>
    <xf numFmtId="0" fontId="22" fillId="0" borderId="84" xfId="146" applyFont="1" applyBorder="1" applyAlignment="1" applyProtection="1">
      <alignment horizontal="right" vertical="center"/>
      <protection hidden="1"/>
    </xf>
    <xf numFmtId="186" fontId="89" fillId="10" borderId="83" xfId="146" applyNumberFormat="1" applyFont="1" applyFill="1" applyBorder="1" applyAlignment="1" applyProtection="1">
      <alignment horizontal="center" vertical="center"/>
      <protection locked="0" hidden="1"/>
    </xf>
    <xf numFmtId="180" fontId="90" fillId="11" borderId="83" xfId="146" applyNumberFormat="1" applyFont="1" applyFill="1" applyBorder="1" applyAlignment="1" applyProtection="1">
      <alignment vertical="center"/>
      <protection locked="0" hidden="1"/>
    </xf>
    <xf numFmtId="0" fontId="92" fillId="0" borderId="0" xfId="146" applyFont="1" applyProtection="1">
      <protection locked="0" hidden="1"/>
    </xf>
    <xf numFmtId="0" fontId="8" fillId="0" borderId="0" xfId="146"/>
    <xf numFmtId="0" fontId="8" fillId="0" borderId="0" xfId="146" applyAlignment="1">
      <alignment wrapText="1"/>
    </xf>
    <xf numFmtId="0" fontId="92" fillId="0" borderId="0" xfId="146" applyFont="1"/>
    <xf numFmtId="0" fontId="85" fillId="0" borderId="0" xfId="146" applyFont="1" applyFill="1" applyBorder="1" applyProtection="1">
      <protection hidden="1"/>
    </xf>
    <xf numFmtId="0" fontId="85" fillId="0" borderId="0" xfId="146" applyFont="1" applyAlignment="1" applyProtection="1">
      <alignment wrapText="1"/>
      <protection locked="0" hidden="1"/>
    </xf>
    <xf numFmtId="49" fontId="85" fillId="0" borderId="0" xfId="146" applyNumberFormat="1" applyFont="1" applyAlignment="1" applyProtection="1">
      <alignment wrapText="1"/>
      <protection locked="0" hidden="1"/>
    </xf>
    <xf numFmtId="0" fontId="85" fillId="0" borderId="0" xfId="146" applyFont="1" applyProtection="1">
      <protection locked="0" hidden="1"/>
    </xf>
    <xf numFmtId="0" fontId="93" fillId="0" borderId="0" xfId="146" applyFont="1" applyFill="1" applyBorder="1" applyAlignment="1" applyProtection="1">
      <alignment wrapText="1"/>
      <protection locked="0" hidden="1"/>
    </xf>
    <xf numFmtId="49" fontId="85" fillId="0" borderId="0" xfId="146" applyNumberFormat="1" applyFont="1" applyProtection="1">
      <protection locked="0" hidden="1"/>
    </xf>
    <xf numFmtId="0" fontId="93" fillId="0" borderId="0" xfId="146" applyFont="1" applyProtection="1">
      <protection locked="0" hidden="1"/>
    </xf>
    <xf numFmtId="0" fontId="8" fillId="0" borderId="0" xfId="146" applyProtection="1">
      <protection locked="0" hidden="1"/>
    </xf>
    <xf numFmtId="0" fontId="22" fillId="0" borderId="0" xfId="146" applyFont="1" applyProtection="1">
      <protection locked="0" hidden="1"/>
    </xf>
    <xf numFmtId="49" fontId="92" fillId="0" borderId="0" xfId="146" applyNumberFormat="1" applyFont="1" applyProtection="1">
      <protection locked="0" hidden="1"/>
    </xf>
    <xf numFmtId="0" fontId="92" fillId="0" borderId="0" xfId="146" applyFont="1" applyBorder="1" applyProtection="1">
      <protection locked="0" hidden="1"/>
    </xf>
    <xf numFmtId="0" fontId="93" fillId="0" borderId="0" xfId="146" applyFont="1" applyBorder="1" applyProtection="1">
      <protection locked="0" hidden="1"/>
    </xf>
    <xf numFmtId="0" fontId="8" fillId="0" borderId="0" xfId="146" applyBorder="1" applyProtection="1">
      <protection locked="0" hidden="1"/>
    </xf>
    <xf numFmtId="2" fontId="8" fillId="0" borderId="0" xfId="146" applyNumberFormat="1" applyBorder="1" applyProtection="1">
      <protection locked="0" hidden="1"/>
    </xf>
    <xf numFmtId="0" fontId="92" fillId="0" borderId="0" xfId="146" applyFont="1" applyProtection="1">
      <protection hidden="1"/>
    </xf>
    <xf numFmtId="49" fontId="92" fillId="0" borderId="0" xfId="146" applyNumberFormat="1" applyFont="1" applyProtection="1">
      <protection hidden="1"/>
    </xf>
    <xf numFmtId="0" fontId="92" fillId="0" borderId="0" xfId="146" applyFont="1" applyBorder="1" applyProtection="1">
      <protection hidden="1"/>
    </xf>
    <xf numFmtId="0" fontId="93" fillId="0" borderId="0" xfId="146" applyFont="1" applyBorder="1" applyProtection="1">
      <protection hidden="1"/>
    </xf>
    <xf numFmtId="0" fontId="8" fillId="0" borderId="0" xfId="146" applyBorder="1"/>
    <xf numFmtId="2" fontId="8" fillId="0" borderId="0" xfId="146" applyNumberFormat="1" applyBorder="1"/>
    <xf numFmtId="49" fontId="92" fillId="0" borderId="0" xfId="146" applyNumberFormat="1" applyFont="1"/>
    <xf numFmtId="49" fontId="8" fillId="0" borderId="0" xfId="146" applyNumberFormat="1"/>
    <xf numFmtId="0" fontId="85" fillId="0" borderId="0" xfId="146" applyFont="1" applyFill="1" applyBorder="1" applyAlignment="1" applyProtection="1">
      <alignment horizontal="center" vertical="center"/>
      <protection locked="0"/>
    </xf>
    <xf numFmtId="0" fontId="22" fillId="0" borderId="0" xfId="146" applyFont="1" applyBorder="1" applyAlignment="1" applyProtection="1">
      <alignment horizontal="center" vertical="center"/>
      <protection hidden="1"/>
    </xf>
    <xf numFmtId="0" fontId="23" fillId="0" borderId="0" xfId="146" applyFont="1" applyBorder="1" applyAlignment="1" applyProtection="1">
      <alignment vertical="center"/>
      <protection hidden="1"/>
    </xf>
    <xf numFmtId="49" fontId="23" fillId="0" borderId="0" xfId="146" applyNumberFormat="1" applyFont="1" applyBorder="1" applyAlignment="1" applyProtection="1">
      <alignment horizontal="center" vertical="center"/>
      <protection hidden="1"/>
    </xf>
    <xf numFmtId="0" fontId="86" fillId="0" borderId="0" xfId="146" applyFont="1" applyFill="1" applyBorder="1" applyAlignment="1" applyProtection="1">
      <alignment horizontal="center" vertical="center"/>
      <protection locked="0"/>
    </xf>
    <xf numFmtId="0" fontId="95" fillId="0" borderId="0" xfId="146" applyFont="1" applyFill="1" applyProtection="1">
      <protection locked="0" hidden="1"/>
    </xf>
    <xf numFmtId="0" fontId="95" fillId="0" borderId="0" xfId="146" applyFont="1" applyFill="1"/>
    <xf numFmtId="0" fontId="96" fillId="0" borderId="0" xfId="146" applyFont="1" applyFill="1"/>
    <xf numFmtId="0" fontId="97" fillId="0" borderId="0" xfId="146" applyFont="1" applyFill="1" applyProtection="1">
      <protection locked="0" hidden="1"/>
    </xf>
    <xf numFmtId="185" fontId="0" fillId="0" borderId="0" xfId="0" applyNumberFormat="1" applyBorder="1">
      <alignment vertical="center"/>
    </xf>
    <xf numFmtId="0" fontId="27" fillId="0" borderId="16" xfId="167" applyBorder="1"/>
    <xf numFmtId="0" fontId="27" fillId="0" borderId="13" xfId="167" applyBorder="1"/>
    <xf numFmtId="0" fontId="27" fillId="0" borderId="13" xfId="167" applyFill="1" applyBorder="1"/>
    <xf numFmtId="0" fontId="27" fillId="0" borderId="30" xfId="167" applyFill="1" applyBorder="1"/>
    <xf numFmtId="0" fontId="27" fillId="0" borderId="51" xfId="167" applyBorder="1"/>
    <xf numFmtId="0" fontId="27" fillId="0" borderId="32" xfId="167" applyBorder="1"/>
    <xf numFmtId="0" fontId="27" fillId="0" borderId="27" xfId="167" applyFont="1" applyBorder="1"/>
    <xf numFmtId="0" fontId="27" fillId="0" borderId="29" xfId="167" applyFont="1" applyBorder="1"/>
    <xf numFmtId="0" fontId="27" fillId="0" borderId="29" xfId="167" applyBorder="1"/>
    <xf numFmtId="0" fontId="27" fillId="0" borderId="29" xfId="167" applyFill="1" applyBorder="1"/>
    <xf numFmtId="0" fontId="27" fillId="0" borderId="65" xfId="164" applyFont="1" applyFill="1" applyBorder="1" applyAlignment="1" applyProtection="1">
      <alignment horizontal="center"/>
      <protection locked="0"/>
    </xf>
    <xf numFmtId="0" fontId="27" fillId="0" borderId="30" xfId="165" applyNumberFormat="1" applyFont="1" applyBorder="1" applyAlignment="1" applyProtection="1">
      <alignment horizontal="center"/>
      <protection locked="0"/>
    </xf>
    <xf numFmtId="0" fontId="27" fillId="0" borderId="19" xfId="167" applyBorder="1"/>
    <xf numFmtId="178" fontId="27" fillId="35" borderId="35" xfId="12" applyNumberFormat="1" applyFont="1" applyFill="1" applyBorder="1" applyAlignment="1" applyProtection="1">
      <alignment horizontal="center" vertical="center"/>
      <protection locked="0"/>
    </xf>
    <xf numFmtId="178" fontId="27" fillId="35" borderId="63" xfId="12" applyNumberFormat="1" applyFont="1" applyFill="1" applyBorder="1" applyAlignment="1" applyProtection="1">
      <alignment horizontal="center" vertical="center"/>
      <protection locked="0"/>
    </xf>
    <xf numFmtId="178" fontId="27" fillId="35" borderId="18" xfId="12" applyNumberFormat="1" applyFont="1" applyFill="1" applyBorder="1" applyAlignment="1" applyProtection="1">
      <alignment horizontal="center" vertical="center"/>
      <protection locked="0"/>
    </xf>
    <xf numFmtId="178" fontId="27" fillId="35" borderId="19" xfId="12" applyNumberFormat="1" applyFont="1" applyFill="1" applyBorder="1" applyAlignment="1" applyProtection="1">
      <alignment horizontal="center" vertical="center"/>
      <protection locked="0"/>
    </xf>
    <xf numFmtId="178" fontId="27" fillId="35" borderId="10" xfId="12" applyNumberFormat="1" applyFont="1" applyFill="1" applyBorder="1" applyAlignment="1" applyProtection="1">
      <alignment horizontal="center" vertical="center"/>
      <protection locked="0"/>
    </xf>
    <xf numFmtId="178" fontId="27" fillId="35" borderId="20" xfId="12" applyNumberFormat="1" applyFont="1" applyFill="1" applyBorder="1" applyAlignment="1" applyProtection="1">
      <alignment horizontal="center" vertical="center"/>
      <protection locked="0"/>
    </xf>
    <xf numFmtId="0" fontId="27" fillId="0" borderId="51" xfId="167" applyBorder="1" applyAlignment="1">
      <alignment horizontal="right"/>
    </xf>
    <xf numFmtId="0" fontId="27" fillId="0" borderId="16" xfId="167" applyBorder="1" applyAlignment="1">
      <alignment horizontal="right"/>
    </xf>
    <xf numFmtId="0" fontId="27" fillId="0" borderId="32" xfId="167" applyBorder="1" applyAlignment="1">
      <alignment horizontal="right"/>
    </xf>
    <xf numFmtId="0" fontId="27" fillId="0" borderId="13" xfId="167" applyBorder="1" applyAlignment="1">
      <alignment horizontal="right"/>
    </xf>
    <xf numFmtId="0" fontId="27" fillId="0" borderId="13" xfId="167" applyFill="1" applyBorder="1" applyAlignment="1">
      <alignment horizontal="right"/>
    </xf>
    <xf numFmtId="0" fontId="27" fillId="0" borderId="30" xfId="167" applyFill="1" applyBorder="1" applyAlignment="1">
      <alignment horizontal="right"/>
    </xf>
    <xf numFmtId="0" fontId="27" fillId="0" borderId="19" xfId="167" applyBorder="1" applyAlignment="1">
      <alignment horizontal="right"/>
    </xf>
    <xf numFmtId="0" fontId="27" fillId="0" borderId="23" xfId="165" applyNumberFormat="1" applyFont="1" applyBorder="1" applyAlignment="1" applyProtection="1">
      <alignment horizontal="right"/>
      <protection locked="0"/>
    </xf>
    <xf numFmtId="0" fontId="27" fillId="0" borderId="33" xfId="165" applyNumberFormat="1" applyFont="1" applyBorder="1" applyAlignment="1" applyProtection="1">
      <alignment horizontal="right"/>
      <protection locked="0"/>
    </xf>
    <xf numFmtId="0" fontId="27" fillId="0" borderId="30" xfId="165" applyNumberFormat="1" applyFont="1" applyBorder="1" applyAlignment="1" applyProtection="1">
      <alignment horizontal="right"/>
      <protection locked="0"/>
    </xf>
    <xf numFmtId="0" fontId="27" fillId="0" borderId="13" xfId="165" applyNumberFormat="1" applyFont="1" applyBorder="1" applyAlignment="1" applyProtection="1">
      <alignment horizontal="right"/>
      <protection locked="0"/>
    </xf>
    <xf numFmtId="0" fontId="27" fillId="0" borderId="18" xfId="165" applyNumberFormat="1" applyFont="1" applyBorder="1" applyAlignment="1" applyProtection="1">
      <alignment horizontal="right"/>
      <protection locked="0"/>
    </xf>
    <xf numFmtId="0" fontId="27" fillId="0" borderId="36" xfId="165" applyNumberFormat="1" applyFont="1" applyBorder="1" applyAlignment="1" applyProtection="1">
      <alignment horizontal="right"/>
      <protection locked="0"/>
    </xf>
    <xf numFmtId="0" fontId="27" fillId="0" borderId="68" xfId="165" applyNumberFormat="1" applyFont="1" applyBorder="1" applyAlignment="1" applyProtection="1">
      <alignment horizontal="right"/>
      <protection locked="0"/>
    </xf>
    <xf numFmtId="0" fontId="27" fillId="0" borderId="27" xfId="167" applyFont="1" applyBorder="1" applyAlignment="1">
      <alignment horizontal="left"/>
    </xf>
    <xf numFmtId="0" fontId="27" fillId="0" borderId="29" xfId="167" applyFont="1" applyBorder="1" applyAlignment="1">
      <alignment horizontal="left"/>
    </xf>
    <xf numFmtId="0" fontId="27" fillId="0" borderId="29" xfId="167" applyBorder="1" applyAlignment="1">
      <alignment horizontal="left"/>
    </xf>
    <xf numFmtId="0" fontId="27" fillId="0" borderId="29" xfId="167" applyFill="1" applyBorder="1" applyAlignment="1">
      <alignment horizontal="left"/>
    </xf>
    <xf numFmtId="0" fontId="27" fillId="0" borderId="65" xfId="164" applyFont="1" applyFill="1" applyBorder="1" applyAlignment="1" applyProtection="1">
      <alignment horizontal="left"/>
      <protection locked="0"/>
    </xf>
    <xf numFmtId="0" fontId="27" fillId="0" borderId="29" xfId="164" applyFont="1" applyFill="1" applyBorder="1" applyAlignment="1" applyProtection="1">
      <alignment horizontal="left"/>
      <protection locked="0"/>
    </xf>
    <xf numFmtId="0" fontId="27" fillId="0" borderId="66" xfId="164" applyFont="1" applyFill="1" applyBorder="1" applyAlignment="1" applyProtection="1">
      <alignment horizontal="left"/>
      <protection locked="0"/>
    </xf>
    <xf numFmtId="0" fontId="27" fillId="0" borderId="25" xfId="164" applyFont="1" applyFill="1" applyBorder="1" applyAlignment="1" applyProtection="1">
      <alignment horizontal="left"/>
      <protection locked="0"/>
    </xf>
    <xf numFmtId="187" fontId="27" fillId="35" borderId="35" xfId="12" applyNumberFormat="1" applyFont="1" applyFill="1" applyBorder="1" applyAlignment="1" applyProtection="1">
      <alignment horizontal="center" vertical="center"/>
      <protection locked="0"/>
    </xf>
    <xf numFmtId="187" fontId="27" fillId="35" borderId="18" xfId="12" applyNumberFormat="1" applyFont="1" applyFill="1" applyBorder="1" applyAlignment="1" applyProtection="1">
      <alignment horizontal="center" vertical="center"/>
      <protection locked="0"/>
    </xf>
    <xf numFmtId="187" fontId="27" fillId="35" borderId="63" xfId="12" applyNumberFormat="1" applyFont="1" applyFill="1" applyBorder="1" applyAlignment="1" applyProtection="1">
      <alignment horizontal="center" vertical="center"/>
      <protection locked="0"/>
    </xf>
    <xf numFmtId="187" fontId="27" fillId="35" borderId="19" xfId="12" applyNumberFormat="1" applyFont="1" applyFill="1" applyBorder="1" applyAlignment="1" applyProtection="1">
      <alignment horizontal="center" vertical="center"/>
      <protection locked="0"/>
    </xf>
    <xf numFmtId="0" fontId="0" fillId="3" borderId="1" xfId="0" applyFont="1" applyFill="1" applyBorder="1">
      <alignment vertical="center"/>
    </xf>
    <xf numFmtId="0" fontId="19" fillId="29" borderId="13" xfId="0" applyFont="1" applyFill="1" applyBorder="1">
      <alignment vertical="center"/>
    </xf>
    <xf numFmtId="0" fontId="22" fillId="0" borderId="13" xfId="146" applyFont="1" applyBorder="1" applyAlignment="1" applyProtection="1">
      <alignment vertical="center"/>
      <protection hidden="1"/>
    </xf>
    <xf numFmtId="0" fontId="88" fillId="0" borderId="13" xfId="146" applyFont="1" applyBorder="1" applyAlignment="1" applyProtection="1">
      <alignment vertical="center"/>
      <protection hidden="1"/>
    </xf>
    <xf numFmtId="0" fontId="22" fillId="0" borderId="32" xfId="146" applyFont="1" applyBorder="1" applyAlignment="1" applyProtection="1">
      <alignment vertical="center"/>
      <protection hidden="1"/>
    </xf>
    <xf numFmtId="0" fontId="98" fillId="0" borderId="0" xfId="146" quotePrefix="1" applyFont="1" applyAlignment="1" applyProtection="1">
      <alignment vertical="center"/>
      <protection locked="0" hidden="1"/>
    </xf>
    <xf numFmtId="0" fontId="98" fillId="0" borderId="0" xfId="146" applyFont="1" applyAlignment="1" applyProtection="1">
      <alignment vertical="center"/>
      <protection locked="0" hidden="1"/>
    </xf>
    <xf numFmtId="0" fontId="99" fillId="0" borderId="0" xfId="146" applyFont="1" applyAlignment="1">
      <alignment vertical="center"/>
    </xf>
    <xf numFmtId="0" fontId="98" fillId="0" borderId="0" xfId="146" applyFont="1" applyAlignment="1">
      <alignment vertical="center"/>
    </xf>
    <xf numFmtId="0" fontId="98" fillId="0" borderId="0" xfId="146" applyFont="1" applyProtection="1">
      <protection locked="0" hidden="1"/>
    </xf>
    <xf numFmtId="0" fontId="99" fillId="0" borderId="0" xfId="146" applyFont="1" applyProtection="1">
      <protection locked="0" hidden="1"/>
    </xf>
    <xf numFmtId="0" fontId="98" fillId="0" borderId="0" xfId="146" applyFont="1"/>
    <xf numFmtId="0" fontId="99" fillId="0" borderId="0" xfId="146" applyFont="1"/>
    <xf numFmtId="0" fontId="98" fillId="0" borderId="0" xfId="146" applyFont="1" applyFill="1" applyBorder="1" applyProtection="1">
      <protection locked="0" hidden="1"/>
    </xf>
    <xf numFmtId="0" fontId="98" fillId="0" borderId="0" xfId="146" applyFont="1" applyBorder="1" applyProtection="1">
      <protection locked="0" hidden="1"/>
    </xf>
    <xf numFmtId="0" fontId="98" fillId="0" borderId="0" xfId="146" applyFont="1" applyProtection="1">
      <protection hidden="1"/>
    </xf>
    <xf numFmtId="0" fontId="100" fillId="0" borderId="0" xfId="146" applyFont="1" applyFill="1" applyBorder="1" applyAlignment="1" applyProtection="1">
      <alignment horizontal="center" vertical="center"/>
      <protection locked="0" hidden="1"/>
    </xf>
    <xf numFmtId="0" fontId="99" fillId="0" borderId="0" xfId="146" applyFont="1" applyFill="1" applyBorder="1" applyProtection="1">
      <protection locked="0" hidden="1"/>
    </xf>
    <xf numFmtId="0" fontId="98" fillId="0" borderId="0" xfId="146" applyFont="1" applyFill="1" applyBorder="1" applyProtection="1">
      <protection hidden="1"/>
    </xf>
    <xf numFmtId="0" fontId="102" fillId="0" borderId="0" xfId="146" applyFont="1" applyFill="1" applyBorder="1" applyProtection="1">
      <protection locked="0" hidden="1"/>
    </xf>
    <xf numFmtId="0" fontId="98" fillId="0" borderId="0" xfId="146" applyNumberFormat="1" applyFont="1" applyFill="1" applyBorder="1" applyProtection="1">
      <protection locked="0" hidden="1"/>
    </xf>
    <xf numFmtId="49" fontId="98" fillId="0" borderId="0" xfId="146" applyNumberFormat="1" applyFont="1" applyFill="1" applyBorder="1" applyProtection="1">
      <protection locked="0" hidden="1"/>
    </xf>
    <xf numFmtId="0" fontId="103" fillId="0" borderId="0" xfId="146" applyFont="1" applyFill="1" applyBorder="1" applyAlignment="1" applyProtection="1">
      <alignment horizontal="left" wrapText="1"/>
      <protection locked="0" hidden="1"/>
    </xf>
    <xf numFmtId="0" fontId="98" fillId="0" borderId="0" xfId="146" applyFont="1" applyFill="1" applyBorder="1" applyAlignment="1" applyProtection="1">
      <alignment vertical="top" wrapText="1"/>
      <protection locked="0" hidden="1"/>
    </xf>
    <xf numFmtId="49" fontId="98" fillId="0" borderId="0" xfId="146" applyNumberFormat="1" applyFont="1" applyFill="1" applyBorder="1" applyAlignment="1" applyProtection="1">
      <alignment vertical="top" wrapText="1"/>
      <protection locked="0" hidden="1"/>
    </xf>
    <xf numFmtId="0" fontId="98" fillId="0" borderId="0" xfId="146" applyFont="1" applyAlignment="1">
      <alignment wrapText="1"/>
    </xf>
    <xf numFmtId="0" fontId="99" fillId="0" borderId="0" xfId="146" applyFont="1" applyAlignment="1">
      <alignment wrapText="1"/>
    </xf>
    <xf numFmtId="0" fontId="98" fillId="0" borderId="0" xfId="146" applyFont="1" applyFill="1" applyBorder="1" applyAlignment="1" applyProtection="1">
      <alignment vertical="center"/>
      <protection locked="0" hidden="1"/>
    </xf>
    <xf numFmtId="0" fontId="98" fillId="0" borderId="0" xfId="146" applyFont="1" applyFill="1" applyBorder="1" applyAlignment="1" applyProtection="1">
      <alignment horizontal="center" vertical="center"/>
      <protection locked="0" hidden="1"/>
    </xf>
    <xf numFmtId="49" fontId="104" fillId="0" borderId="0" xfId="146" applyNumberFormat="1" applyFont="1" applyFill="1" applyBorder="1" applyAlignment="1" applyProtection="1">
      <alignment horizontal="center" vertical="center" wrapText="1"/>
      <protection locked="0" hidden="1"/>
    </xf>
    <xf numFmtId="0" fontId="103" fillId="0" borderId="0" xfId="146" applyFont="1" applyFill="1" applyBorder="1" applyProtection="1">
      <protection locked="0" hidden="1"/>
    </xf>
    <xf numFmtId="0" fontId="98" fillId="0" borderId="0" xfId="146" applyFont="1" applyFill="1" applyBorder="1" applyAlignment="1" applyProtection="1">
      <alignment horizontal="center"/>
      <protection locked="0" hidden="1"/>
    </xf>
    <xf numFmtId="49" fontId="98" fillId="0" borderId="0" xfId="146" applyNumberFormat="1" applyFont="1" applyFill="1" applyBorder="1" applyAlignment="1" applyProtection="1">
      <alignment horizontal="center"/>
      <protection locked="0" hidden="1"/>
    </xf>
    <xf numFmtId="0" fontId="100" fillId="0" borderId="0" xfId="146" applyFont="1" applyFill="1" applyBorder="1" applyAlignment="1" applyProtection="1">
      <alignment vertical="center"/>
      <protection locked="0" hidden="1"/>
    </xf>
    <xf numFmtId="49" fontId="100" fillId="0" borderId="0" xfId="146" applyNumberFormat="1" applyFont="1" applyFill="1" applyBorder="1" applyAlignment="1" applyProtection="1">
      <alignment horizontal="center" vertical="center"/>
      <protection locked="0" hidden="1"/>
    </xf>
    <xf numFmtId="0" fontId="102" fillId="0" borderId="0" xfId="146" applyFont="1" applyFill="1" applyBorder="1" applyAlignment="1" applyProtection="1">
      <alignment horizontal="center"/>
      <protection locked="0" hidden="1"/>
    </xf>
    <xf numFmtId="0" fontId="98" fillId="0" borderId="0" xfId="146" applyNumberFormat="1" applyFont="1" applyFill="1" applyBorder="1" applyAlignment="1" applyProtection="1">
      <alignment horizontal="right"/>
      <protection locked="0" hidden="1"/>
    </xf>
    <xf numFmtId="0" fontId="102" fillId="0" borderId="0" xfId="146" applyFont="1" applyFill="1" applyBorder="1" applyAlignment="1" applyProtection="1">
      <alignment horizontal="left"/>
      <protection locked="0" hidden="1"/>
    </xf>
    <xf numFmtId="49" fontId="98" fillId="0" borderId="0" xfId="146" applyNumberFormat="1" applyFont="1" applyFill="1" applyBorder="1" applyAlignment="1" applyProtection="1">
      <alignment horizontal="left"/>
      <protection locked="0" hidden="1"/>
    </xf>
    <xf numFmtId="0" fontId="22" fillId="0" borderId="85" xfId="146" applyFont="1" applyFill="1" applyBorder="1" applyAlignment="1" applyProtection="1">
      <alignment horizontal="center"/>
      <protection hidden="1"/>
    </xf>
    <xf numFmtId="0" fontId="0" fillId="0" borderId="27" xfId="0" applyFont="1" applyBorder="1">
      <alignment vertical="center"/>
    </xf>
    <xf numFmtId="0" fontId="0" fillId="0" borderId="29" xfId="0" applyFont="1" applyBorder="1">
      <alignment vertical="center"/>
    </xf>
    <xf numFmtId="185" fontId="0" fillId="0" borderId="25" xfId="0" applyNumberFormat="1" applyFont="1" applyBorder="1">
      <alignment vertical="center"/>
    </xf>
    <xf numFmtId="0" fontId="0" fillId="0" borderId="29" xfId="0" applyNumberFormat="1" applyFont="1" applyFill="1" applyBorder="1">
      <alignment vertical="center"/>
    </xf>
    <xf numFmtId="0" fontId="0" fillId="0" borderId="65" xfId="0" applyFont="1" applyBorder="1">
      <alignment vertical="center"/>
    </xf>
    <xf numFmtId="0" fontId="106" fillId="0" borderId="0" xfId="0" applyFont="1">
      <alignment vertical="center"/>
    </xf>
    <xf numFmtId="0" fontId="22" fillId="0" borderId="0" xfId="11" applyFont="1"/>
    <xf numFmtId="0" fontId="107" fillId="0" borderId="0" xfId="11" applyFont="1"/>
    <xf numFmtId="0" fontId="22" fillId="0" borderId="0" xfId="11" applyFont="1" applyProtection="1">
      <protection locked="0" hidden="1"/>
    </xf>
    <xf numFmtId="0" fontId="22" fillId="0" borderId="0" xfId="11" applyFont="1" applyProtection="1">
      <protection hidden="1"/>
    </xf>
    <xf numFmtId="0" fontId="22" fillId="0" borderId="0" xfId="11" applyFont="1" applyAlignment="1" applyProtection="1">
      <alignment horizontal="right"/>
      <protection locked="0" hidden="1"/>
    </xf>
    <xf numFmtId="0" fontId="22" fillId="0" borderId="0" xfId="11" applyFont="1" applyAlignment="1">
      <alignment horizontal="right"/>
    </xf>
    <xf numFmtId="0" fontId="88" fillId="2" borderId="86" xfId="11" applyFont="1" applyFill="1" applyBorder="1" applyProtection="1">
      <protection locked="0"/>
    </xf>
    <xf numFmtId="0" fontId="88" fillId="0" borderId="0" xfId="11" applyFont="1" applyProtection="1">
      <protection locked="0" hidden="1"/>
    </xf>
    <xf numFmtId="0" fontId="22" fillId="0" borderId="7" xfId="11" applyFont="1" applyBorder="1" applyProtection="1">
      <protection locked="0" hidden="1"/>
    </xf>
    <xf numFmtId="0" fontId="22" fillId="0" borderId="16" xfId="11" applyFont="1" applyBorder="1" applyAlignment="1" applyProtection="1">
      <alignment horizontal="center"/>
      <protection hidden="1"/>
    </xf>
    <xf numFmtId="0" fontId="22" fillId="0" borderId="17" xfId="11" applyFont="1" applyBorder="1" applyAlignment="1" applyProtection="1">
      <alignment horizontal="center"/>
      <protection hidden="1"/>
    </xf>
    <xf numFmtId="0" fontId="22" fillId="0" borderId="15" xfId="11" applyFont="1" applyBorder="1" applyAlignment="1">
      <alignment horizontal="center"/>
    </xf>
    <xf numFmtId="0" fontId="22" fillId="0" borderId="16" xfId="168" applyFont="1" applyFill="1" applyBorder="1" applyAlignment="1" applyProtection="1">
      <alignment horizontal="center"/>
      <protection hidden="1"/>
    </xf>
    <xf numFmtId="0" fontId="22" fillId="0" borderId="16" xfId="11" applyFont="1" applyBorder="1" applyAlignment="1" applyProtection="1">
      <alignment horizontal="center"/>
      <protection locked="0" hidden="1"/>
    </xf>
    <xf numFmtId="0" fontId="22" fillId="0" borderId="17" xfId="11" applyFont="1" applyBorder="1" applyAlignment="1" applyProtection="1">
      <alignment horizontal="left"/>
      <protection locked="0" hidden="1"/>
    </xf>
    <xf numFmtId="0" fontId="22" fillId="0" borderId="35" xfId="11" applyFont="1" applyBorder="1" applyProtection="1">
      <protection locked="0" hidden="1"/>
    </xf>
    <xf numFmtId="0" fontId="22" fillId="0" borderId="13" xfId="11" applyFont="1" applyBorder="1" applyAlignment="1" applyProtection="1">
      <alignment horizontal="center"/>
      <protection hidden="1"/>
    </xf>
    <xf numFmtId="0" fontId="22" fillId="0" borderId="19" xfId="11" applyFont="1" applyBorder="1" applyAlignment="1" applyProtection="1">
      <alignment horizontal="center"/>
      <protection hidden="1"/>
    </xf>
    <xf numFmtId="0" fontId="22" fillId="0" borderId="18" xfId="11" applyFont="1" applyBorder="1" applyAlignment="1">
      <alignment horizontal="center"/>
    </xf>
    <xf numFmtId="0" fontId="22" fillId="0" borderId="13" xfId="11" applyFont="1" applyBorder="1" applyAlignment="1" applyProtection="1">
      <alignment horizontal="center"/>
      <protection locked="0" hidden="1"/>
    </xf>
    <xf numFmtId="0" fontId="22" fillId="0" borderId="18" xfId="11" applyFont="1" applyBorder="1" applyProtection="1">
      <protection hidden="1"/>
    </xf>
    <xf numFmtId="0" fontId="88" fillId="3" borderId="79" xfId="11" applyFont="1" applyFill="1" applyBorder="1" applyProtection="1">
      <protection locked="0"/>
    </xf>
    <xf numFmtId="0" fontId="88" fillId="3" borderId="87" xfId="11" applyFont="1" applyFill="1" applyBorder="1" applyProtection="1">
      <protection locked="0"/>
    </xf>
    <xf numFmtId="0" fontId="22" fillId="0" borderId="0" xfId="11" applyFont="1" applyProtection="1">
      <protection locked="0"/>
    </xf>
    <xf numFmtId="0" fontId="22" fillId="0" borderId="74" xfId="11" applyFont="1" applyBorder="1" applyAlignment="1" applyProtection="1">
      <alignment horizontal="center"/>
      <protection locked="0"/>
    </xf>
    <xf numFmtId="0" fontId="22" fillId="0" borderId="0" xfId="11" applyFont="1" applyBorder="1" applyAlignment="1" applyProtection="1">
      <alignment horizontal="center"/>
      <protection locked="0"/>
    </xf>
    <xf numFmtId="0" fontId="22" fillId="0" borderId="88" xfId="11" applyFont="1" applyBorder="1" applyAlignment="1" applyProtection="1">
      <alignment horizontal="center"/>
      <protection locked="0"/>
    </xf>
    <xf numFmtId="0" fontId="88" fillId="3" borderId="87" xfId="11" applyFont="1" applyFill="1" applyBorder="1" applyAlignment="1" applyProtection="1">
      <alignment horizontal="center"/>
      <protection locked="0"/>
    </xf>
    <xf numFmtId="0" fontId="88" fillId="3" borderId="89" xfId="11" applyFont="1" applyFill="1" applyBorder="1" applyProtection="1">
      <protection locked="0"/>
    </xf>
    <xf numFmtId="0" fontId="22" fillId="0" borderId="0" xfId="11" applyFont="1" applyAlignment="1" applyProtection="1">
      <alignment vertical="center"/>
      <protection hidden="1"/>
    </xf>
    <xf numFmtId="178" fontId="89" fillId="10" borderId="83" xfId="11" applyNumberFormat="1" applyFont="1" applyFill="1" applyBorder="1" applyProtection="1">
      <protection hidden="1"/>
    </xf>
    <xf numFmtId="0" fontId="89" fillId="10" borderId="83" xfId="11" applyFont="1" applyFill="1" applyBorder="1" applyProtection="1">
      <protection hidden="1"/>
    </xf>
    <xf numFmtId="0" fontId="88" fillId="3" borderId="90" xfId="11" applyFont="1" applyFill="1" applyBorder="1" applyProtection="1">
      <protection locked="0"/>
    </xf>
    <xf numFmtId="0" fontId="88" fillId="3" borderId="86" xfId="11" applyFont="1" applyFill="1" applyBorder="1" applyProtection="1">
      <protection locked="0"/>
    </xf>
    <xf numFmtId="0" fontId="88" fillId="3" borderId="91" xfId="11" applyFont="1" applyFill="1" applyBorder="1" applyProtection="1">
      <protection locked="0"/>
    </xf>
    <xf numFmtId="0" fontId="22" fillId="0" borderId="92" xfId="11" applyFont="1" applyBorder="1" applyProtection="1">
      <protection hidden="1"/>
    </xf>
    <xf numFmtId="0" fontId="88" fillId="3" borderId="93" xfId="11" applyFont="1" applyFill="1" applyBorder="1" applyProtection="1">
      <protection locked="0"/>
    </xf>
    <xf numFmtId="0" fontId="22" fillId="0" borderId="22" xfId="11" applyFont="1" applyBorder="1" applyAlignment="1" applyProtection="1">
      <alignment horizontal="center"/>
      <protection locked="0"/>
    </xf>
    <xf numFmtId="0" fontId="22" fillId="0" borderId="64" xfId="11" applyFont="1" applyBorder="1" applyProtection="1">
      <protection hidden="1"/>
    </xf>
    <xf numFmtId="0" fontId="88" fillId="3" borderId="94" xfId="11" applyFont="1" applyFill="1" applyBorder="1" applyProtection="1">
      <protection locked="0"/>
    </xf>
    <xf numFmtId="0" fontId="88" fillId="3" borderId="95" xfId="11" applyFont="1" applyFill="1" applyBorder="1" applyAlignment="1" applyProtection="1">
      <alignment horizontal="center"/>
      <protection locked="0"/>
    </xf>
    <xf numFmtId="0" fontId="88" fillId="3" borderId="96" xfId="11" applyFont="1" applyFill="1" applyBorder="1" applyProtection="1">
      <protection locked="0"/>
    </xf>
    <xf numFmtId="0" fontId="88" fillId="3" borderId="95" xfId="11" applyFont="1" applyFill="1" applyBorder="1" applyProtection="1">
      <protection locked="0"/>
    </xf>
    <xf numFmtId="0" fontId="22" fillId="0" borderId="47" xfId="11" applyFont="1" applyBorder="1" applyProtection="1">
      <protection hidden="1"/>
    </xf>
    <xf numFmtId="0" fontId="22" fillId="0" borderId="97" xfId="11" applyFont="1" applyBorder="1" applyProtection="1">
      <protection hidden="1"/>
    </xf>
    <xf numFmtId="0" fontId="88" fillId="3" borderId="98" xfId="11" applyFont="1" applyFill="1" applyBorder="1" applyProtection="1">
      <protection locked="0"/>
    </xf>
    <xf numFmtId="0" fontId="22" fillId="0" borderId="75" xfId="11" applyFont="1" applyBorder="1" applyAlignment="1" applyProtection="1">
      <alignment horizontal="center"/>
      <protection locked="0"/>
    </xf>
    <xf numFmtId="0" fontId="22" fillId="0" borderId="60" xfId="11" applyFont="1" applyBorder="1" applyAlignment="1" applyProtection="1">
      <alignment horizontal="center"/>
      <protection locked="0"/>
    </xf>
    <xf numFmtId="0" fontId="22" fillId="0" borderId="99" xfId="11" applyFont="1" applyBorder="1" applyAlignment="1" applyProtection="1">
      <alignment horizontal="center"/>
      <protection locked="0"/>
    </xf>
    <xf numFmtId="0" fontId="22" fillId="0" borderId="50" xfId="11" applyFont="1" applyBorder="1" applyProtection="1">
      <protection hidden="1"/>
    </xf>
    <xf numFmtId="0" fontId="88" fillId="0" borderId="0" xfId="11" applyFont="1" applyProtection="1">
      <protection locked="0"/>
    </xf>
    <xf numFmtId="0" fontId="86" fillId="0" borderId="0" xfId="11" applyFont="1" applyProtection="1">
      <protection locked="0"/>
    </xf>
    <xf numFmtId="0" fontId="91" fillId="0" borderId="0" xfId="11" applyFont="1" applyBorder="1" applyProtection="1">
      <protection locked="0" hidden="1"/>
    </xf>
    <xf numFmtId="0" fontId="91" fillId="0" borderId="0" xfId="11" applyFont="1" applyProtection="1">
      <protection locked="0" hidden="1"/>
    </xf>
    <xf numFmtId="0" fontId="91" fillId="0" borderId="0" xfId="11" applyFont="1"/>
    <xf numFmtId="0" fontId="91" fillId="0" borderId="0" xfId="11" applyFont="1" applyBorder="1"/>
    <xf numFmtId="0" fontId="91" fillId="0" borderId="0" xfId="11" applyFont="1" applyFill="1" applyBorder="1" applyProtection="1">
      <protection locked="0" hidden="1"/>
    </xf>
    <xf numFmtId="0" fontId="91" fillId="0" borderId="0" xfId="11" applyFont="1" applyFill="1" applyBorder="1"/>
    <xf numFmtId="0" fontId="91" fillId="0" borderId="0" xfId="11" applyFont="1" applyBorder="1" applyAlignment="1" applyProtection="1">
      <alignment horizontal="right"/>
      <protection locked="0" hidden="1"/>
    </xf>
    <xf numFmtId="0" fontId="84" fillId="0" borderId="0" xfId="168" applyFont="1" applyFill="1" applyBorder="1" applyProtection="1">
      <protection locked="0"/>
    </xf>
    <xf numFmtId="0" fontId="91" fillId="0" borderId="0" xfId="168" applyFont="1" applyFill="1" applyBorder="1" applyAlignment="1" applyProtection="1">
      <alignment horizontal="right"/>
      <protection hidden="1"/>
    </xf>
    <xf numFmtId="0" fontId="91" fillId="0" borderId="0" xfId="11" quotePrefix="1" applyFont="1"/>
    <xf numFmtId="0" fontId="8" fillId="0" borderId="0" xfId="11"/>
    <xf numFmtId="0" fontId="108" fillId="0" borderId="0" xfId="0" applyFont="1">
      <alignment vertical="center"/>
    </xf>
    <xf numFmtId="0" fontId="19" fillId="0" borderId="0" xfId="0" applyFont="1">
      <alignment vertical="center"/>
    </xf>
    <xf numFmtId="178" fontId="36" fillId="0" borderId="13" xfId="0" applyNumberFormat="1" applyFont="1" applyBorder="1">
      <alignment vertical="center"/>
    </xf>
    <xf numFmtId="178" fontId="0" fillId="0" borderId="13" xfId="0" applyNumberFormat="1" applyBorder="1">
      <alignment vertical="center"/>
    </xf>
    <xf numFmtId="0" fontId="2" fillId="0" borderId="0" xfId="164" applyFont="1">
      <alignment vertical="center"/>
    </xf>
    <xf numFmtId="0" fontId="1" fillId="0" borderId="0" xfId="164" applyFont="1">
      <alignment vertical="center"/>
    </xf>
    <xf numFmtId="0" fontId="0" fillId="7" borderId="1" xfId="0" applyFill="1" applyBorder="1" applyAlignment="1">
      <alignment vertical="center"/>
    </xf>
    <xf numFmtId="0" fontId="0" fillId="7" borderId="6" xfId="0" applyFill="1" applyBorder="1" applyAlignment="1">
      <alignment vertical="center"/>
    </xf>
    <xf numFmtId="0" fontId="0" fillId="0" borderId="0" xfId="0" applyAlignment="1">
      <alignment horizontal="center" vertical="center"/>
    </xf>
    <xf numFmtId="0" fontId="27" fillId="2" borderId="31" xfId="165" applyFont="1" applyFill="1" applyBorder="1" applyAlignment="1" applyProtection="1">
      <alignment horizontal="center" vertical="center"/>
      <protection locked="0"/>
    </xf>
    <xf numFmtId="0" fontId="27" fillId="2" borderId="54" xfId="165" applyFont="1" applyFill="1" applyBorder="1" applyAlignment="1" applyProtection="1">
      <alignment horizontal="center" vertical="center"/>
      <protection locked="0"/>
    </xf>
    <xf numFmtId="0" fontId="27" fillId="2" borderId="51" xfId="165" applyFont="1" applyFill="1" applyBorder="1" applyAlignment="1" applyProtection="1">
      <alignment horizontal="center" vertical="center"/>
      <protection locked="0"/>
    </xf>
    <xf numFmtId="0" fontId="27" fillId="31" borderId="7" xfId="165" applyFont="1" applyFill="1" applyBorder="1" applyAlignment="1" applyProtection="1">
      <alignment horizontal="center" vertical="center" wrapText="1"/>
      <protection locked="0"/>
    </xf>
    <xf numFmtId="0" fontId="27" fillId="31" borderId="59" xfId="165" applyFont="1" applyFill="1" applyBorder="1" applyAlignment="1" applyProtection="1">
      <alignment horizontal="center" vertical="center" wrapText="1"/>
      <protection locked="0"/>
    </xf>
    <xf numFmtId="0" fontId="27" fillId="31" borderId="9" xfId="165" applyFont="1" applyFill="1" applyBorder="1" applyAlignment="1" applyProtection="1">
      <alignment horizontal="center" vertical="center" wrapText="1"/>
      <protection locked="0"/>
    </xf>
    <xf numFmtId="0" fontId="27" fillId="31" borderId="62" xfId="165" applyFont="1" applyFill="1" applyBorder="1" applyAlignment="1" applyProtection="1">
      <alignment horizontal="center" vertical="center" wrapText="1"/>
      <protection locked="0"/>
    </xf>
    <xf numFmtId="0" fontId="27" fillId="2" borderId="54" xfId="165" applyFont="1" applyFill="1" applyBorder="1" applyAlignment="1" applyProtection="1">
      <alignment horizontal="center" vertical="center" wrapText="1"/>
      <protection locked="0"/>
    </xf>
    <xf numFmtId="0" fontId="27" fillId="2" borderId="50" xfId="12" applyFont="1" applyFill="1" applyBorder="1" applyAlignment="1" applyProtection="1">
      <alignment horizontal="center" vertical="center" wrapText="1"/>
      <protection locked="0"/>
    </xf>
    <xf numFmtId="0" fontId="27" fillId="2" borderId="27" xfId="165" applyFont="1" applyFill="1" applyBorder="1" applyAlignment="1" applyProtection="1">
      <alignment horizontal="center" vertical="center" wrapText="1"/>
      <protection locked="0"/>
    </xf>
    <xf numFmtId="0" fontId="27" fillId="2" borderId="25" xfId="12" applyFont="1" applyFill="1" applyBorder="1" applyAlignment="1" applyProtection="1">
      <alignment horizontal="center" vertical="center" wrapText="1"/>
      <protection locked="0"/>
    </xf>
  </cellXfs>
  <cellStyles count="169">
    <cellStyle name="20% - アクセント 1 2" xfId="15"/>
    <cellStyle name="20% - アクセント 1 3" xfId="16"/>
    <cellStyle name="20% - アクセント 2 2" xfId="17"/>
    <cellStyle name="20% - アクセント 2 3" xfId="18"/>
    <cellStyle name="20% - アクセント 3 2" xfId="19"/>
    <cellStyle name="20% - アクセント 3 3" xfId="20"/>
    <cellStyle name="20% - アクセント 4 2" xfId="21"/>
    <cellStyle name="20% - アクセント 4 3" xfId="22"/>
    <cellStyle name="20% - アクセント 5 2" xfId="23"/>
    <cellStyle name="20% - アクセント 5 3" xfId="24"/>
    <cellStyle name="20% - アクセント 6 2" xfId="25"/>
    <cellStyle name="20% - アクセント 6 3" xfId="26"/>
    <cellStyle name="40% - アクセント 1 2" xfId="27"/>
    <cellStyle name="40% - アクセント 1 3" xfId="28"/>
    <cellStyle name="40% - アクセント 2 2" xfId="29"/>
    <cellStyle name="40% - アクセント 2 3" xfId="30"/>
    <cellStyle name="40% - アクセント 3 2" xfId="31"/>
    <cellStyle name="40% - アクセント 3 3" xfId="32"/>
    <cellStyle name="40% - アクセント 4 2" xfId="33"/>
    <cellStyle name="40% - アクセント 4 3" xfId="34"/>
    <cellStyle name="40% - アクセント 5 2" xfId="35"/>
    <cellStyle name="40% - アクセント 5 3" xfId="36"/>
    <cellStyle name="40% - アクセント 6 2" xfId="37"/>
    <cellStyle name="40% - アクセント 6 3" xfId="38"/>
    <cellStyle name="60% - アクセント 1 2" xfId="39"/>
    <cellStyle name="60% - アクセント 1 3" xfId="40"/>
    <cellStyle name="60% - アクセント 2 2" xfId="41"/>
    <cellStyle name="60% - アクセント 2 3" xfId="42"/>
    <cellStyle name="60% - アクセント 3 2" xfId="43"/>
    <cellStyle name="60% - アクセント 3 3" xfId="44"/>
    <cellStyle name="60% - アクセント 4 2" xfId="45"/>
    <cellStyle name="60% - アクセント 4 3" xfId="46"/>
    <cellStyle name="60% - アクセント 5 2" xfId="47"/>
    <cellStyle name="60% - アクセント 5 3" xfId="48"/>
    <cellStyle name="60% - アクセント 6 2" xfId="49"/>
    <cellStyle name="60% - アクセント 6 3" xfId="50"/>
    <cellStyle name="Calc Currency (0)" xfId="1"/>
    <cellStyle name="entry" xfId="2"/>
    <cellStyle name="Header1" xfId="3"/>
    <cellStyle name="Header2" xfId="4"/>
    <cellStyle name="Header2 2" xfId="51"/>
    <cellStyle name="Header2 3" xfId="52"/>
    <cellStyle name="Header2 4" xfId="53"/>
    <cellStyle name="Header2 5" xfId="54"/>
    <cellStyle name="Header2 6" xfId="55"/>
    <cellStyle name="Normal_#18-Internet" xfId="5"/>
    <cellStyle name="price" xfId="6"/>
    <cellStyle name="revised" xfId="7"/>
    <cellStyle name="section" xfId="8"/>
    <cellStyle name="Standard_3312" xfId="9"/>
    <cellStyle name="title" xfId="10"/>
    <cellStyle name="アクセント 1 2" xfId="56"/>
    <cellStyle name="アクセント 1 3" xfId="57"/>
    <cellStyle name="アクセント 2 2" xfId="58"/>
    <cellStyle name="アクセント 2 3" xfId="59"/>
    <cellStyle name="アクセント 3 2" xfId="60"/>
    <cellStyle name="アクセント 3 3" xfId="61"/>
    <cellStyle name="アクセント 4 2" xfId="62"/>
    <cellStyle name="アクセント 4 3" xfId="63"/>
    <cellStyle name="アクセント 5 2" xfId="64"/>
    <cellStyle name="アクセント 5 3" xfId="65"/>
    <cellStyle name="アクセント 6 2" xfId="66"/>
    <cellStyle name="アクセント 6 3" xfId="67"/>
    <cellStyle name="タイトル 2" xfId="68"/>
    <cellStyle name="タイトル 3" xfId="69"/>
    <cellStyle name="チェック セル 2" xfId="70"/>
    <cellStyle name="チェック セル 3" xfId="71"/>
    <cellStyle name="どちらでもない 2" xfId="72"/>
    <cellStyle name="どちらでもない 3" xfId="73"/>
    <cellStyle name="メモ 2" xfId="74"/>
    <cellStyle name="メモ 2 2" xfId="75"/>
    <cellStyle name="メモ 2 3" xfId="76"/>
    <cellStyle name="メモ 2 4" xfId="77"/>
    <cellStyle name="メモ 2 5" xfId="78"/>
    <cellStyle name="メモ 2 6" xfId="79"/>
    <cellStyle name="メモ 3" xfId="80"/>
    <cellStyle name="メモ 4" xfId="81"/>
    <cellStyle name="メモ 5" xfId="82"/>
    <cellStyle name="メモ 6" xfId="83"/>
    <cellStyle name="メモ 7" xfId="84"/>
    <cellStyle name="リンク セル 2" xfId="85"/>
    <cellStyle name="リンク セル 3" xfId="86"/>
    <cellStyle name="悪い 2" xfId="87"/>
    <cellStyle name="悪い 3" xfId="88"/>
    <cellStyle name="計算 2" xfId="89"/>
    <cellStyle name="計算 2 2" xfId="90"/>
    <cellStyle name="計算 2 3" xfId="91"/>
    <cellStyle name="計算 2 4" xfId="92"/>
    <cellStyle name="計算 2 5" xfId="93"/>
    <cellStyle name="計算 2 6" xfId="94"/>
    <cellStyle name="計算 3" xfId="95"/>
    <cellStyle name="計算 4" xfId="96"/>
    <cellStyle name="計算 5" xfId="97"/>
    <cellStyle name="計算 6" xfId="98"/>
    <cellStyle name="計算 7" xfId="99"/>
    <cellStyle name="警告文 2" xfId="100"/>
    <cellStyle name="警告文 3" xfId="101"/>
    <cellStyle name="見出し 1 2" xfId="102"/>
    <cellStyle name="見出し 1 3" xfId="103"/>
    <cellStyle name="見出し 2 2" xfId="104"/>
    <cellStyle name="見出し 2 3" xfId="105"/>
    <cellStyle name="見出し 3 2" xfId="106"/>
    <cellStyle name="見出し 3 3" xfId="107"/>
    <cellStyle name="見出し 4 2" xfId="108"/>
    <cellStyle name="見出し 4 3" xfId="109"/>
    <cellStyle name="集計 2" xfId="110"/>
    <cellStyle name="集計 2 2" xfId="111"/>
    <cellStyle name="集計 2 3" xfId="112"/>
    <cellStyle name="集計 2 4" xfId="113"/>
    <cellStyle name="集計 2 5" xfId="114"/>
    <cellStyle name="集計 2 6" xfId="115"/>
    <cellStyle name="集計 3" xfId="116"/>
    <cellStyle name="集計 4" xfId="117"/>
    <cellStyle name="集計 5" xfId="118"/>
    <cellStyle name="集計 6" xfId="119"/>
    <cellStyle name="集計 7" xfId="120"/>
    <cellStyle name="出力 2" xfId="121"/>
    <cellStyle name="出力 2 2" xfId="122"/>
    <cellStyle name="出力 2 3" xfId="123"/>
    <cellStyle name="出力 2 4" xfId="124"/>
    <cellStyle name="出力 2 5" xfId="125"/>
    <cellStyle name="出力 2 6" xfId="126"/>
    <cellStyle name="出力 3" xfId="127"/>
    <cellStyle name="出力 4" xfId="128"/>
    <cellStyle name="出力 5" xfId="129"/>
    <cellStyle name="出力 6" xfId="130"/>
    <cellStyle name="出力 7" xfId="131"/>
    <cellStyle name="説明文 2" xfId="132"/>
    <cellStyle name="説明文 3" xfId="133"/>
    <cellStyle name="入力 2" xfId="134"/>
    <cellStyle name="入力 2 2" xfId="135"/>
    <cellStyle name="入力 2 3" xfId="136"/>
    <cellStyle name="入力 2 4" xfId="137"/>
    <cellStyle name="入力 2 5" xfId="138"/>
    <cellStyle name="入力 2 6" xfId="139"/>
    <cellStyle name="入力 3" xfId="140"/>
    <cellStyle name="入力 4" xfId="141"/>
    <cellStyle name="入力 5" xfId="142"/>
    <cellStyle name="入力 6" xfId="143"/>
    <cellStyle name="入力 7" xfId="144"/>
    <cellStyle name="標準" xfId="0" builtinId="0"/>
    <cellStyle name="標準 10" xfId="145"/>
    <cellStyle name="標準 11" xfId="146"/>
    <cellStyle name="標準 12" xfId="147"/>
    <cellStyle name="標準 13" xfId="164"/>
    <cellStyle name="標準 2" xfId="11"/>
    <cellStyle name="標準 2 2" xfId="148"/>
    <cellStyle name="標準 3" xfId="12"/>
    <cellStyle name="標準 3 2" xfId="166"/>
    <cellStyle name="標準 4" xfId="13"/>
    <cellStyle name="標準 5" xfId="149"/>
    <cellStyle name="標準 5 2" xfId="163"/>
    <cellStyle name="標準 6" xfId="150"/>
    <cellStyle name="標準 6 2" xfId="151"/>
    <cellStyle name="標準 6 2 2" xfId="152"/>
    <cellStyle name="標準 6 3" xfId="153"/>
    <cellStyle name="標準 7" xfId="154"/>
    <cellStyle name="標準 7 2" xfId="155"/>
    <cellStyle name="標準 7 2 2" xfId="156"/>
    <cellStyle name="標準 7 3" xfId="157"/>
    <cellStyle name="標準 8" xfId="158"/>
    <cellStyle name="標準 9" xfId="159"/>
    <cellStyle name="標準 9 2" xfId="160"/>
    <cellStyle name="標準_熱設入2" xfId="165"/>
    <cellStyle name="標準_部品温度マージン一括計算" xfId="167"/>
    <cellStyle name="標準_部品専用heatflownet34" xfId="168"/>
    <cellStyle name="標準_放熱フィン" xfId="14"/>
    <cellStyle name="良い 2" xfId="161"/>
    <cellStyle name="良い 3" xfId="162"/>
  </cellStyles>
  <dxfs count="0"/>
  <tableStyles count="0" defaultTableStyle="TableStyleMedium9" defaultPivotStyle="PivotStyleLight16"/>
  <colors>
    <mruColors>
      <color rgb="FF0000FF"/>
      <color rgb="FF00FF00"/>
      <color rgb="FF00FFFF"/>
      <color rgb="FFCCFFFF"/>
      <color rgb="FFFEE6E6"/>
      <color rgb="FFFED2D2"/>
      <color rgb="FFE9FDF3"/>
      <color rgb="FF0D0D0D"/>
      <color rgb="FF66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'ヒートシンクの非定常計算(10.8)'!$A$17:$A$77</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numCache>
            </c:numRef>
          </c:xVal>
          <c:yVal>
            <c:numRef>
              <c:f>'ヒートシンクの非定常計算(10.8)'!$B$17:$B$77</c:f>
              <c:numCache>
                <c:formatCode>General</c:formatCode>
                <c:ptCount val="61"/>
                <c:pt idx="0">
                  <c:v>0</c:v>
                </c:pt>
                <c:pt idx="1">
                  <c:v>0.65847790300113962</c:v>
                </c:pt>
                <c:pt idx="2">
                  <c:v>1.2514384487452517</c:v>
                </c:pt>
                <c:pt idx="3">
                  <c:v>1.7884854821882323</c:v>
                </c:pt>
                <c:pt idx="4">
                  <c:v>2.2777823525414198</c:v>
                </c:pt>
                <c:pt idx="5">
                  <c:v>2.7262682110230116</c:v>
                </c:pt>
                <c:pt idx="6">
                  <c:v>3.1398418287465524</c:v>
                </c:pt>
                <c:pt idx="7">
                  <c:v>3.5235178120233397</c:v>
                </c:pt>
                <c:pt idx="8">
                  <c:v>3.8815593599685063</c:v>
                </c:pt>
                <c:pt idx="9">
                  <c:v>4.2175910868909892</c:v>
                </c:pt>
                <c:pt idx="10">
                  <c:v>4.5346949030009895</c:v>
                </c:pt>
                <c:pt idx="11">
                  <c:v>4.8354914974501941</c:v>
                </c:pt>
                <c:pt idx="12">
                  <c:v>5.1222095857027901</c:v>
                </c:pt>
                <c:pt idx="13">
                  <c:v>5.3967447585829271</c:v>
                </c:pt>
                <c:pt idx="14">
                  <c:v>5.6607094944427523</c:v>
                </c:pt>
                <c:pt idx="15">
                  <c:v>5.915475661423824</c:v>
                </c:pt>
                <c:pt idx="16">
                  <c:v>6.1622106375223424</c:v>
                </c:pt>
                <c:pt idx="17">
                  <c:v>6.4019080068281333</c:v>
                </c:pt>
                <c:pt idx="18">
                  <c:v>6.6354136463955085</c:v>
                </c:pt>
                <c:pt idx="19">
                  <c:v>6.8634478959025396</c:v>
                </c:pt>
                <c:pt idx="20">
                  <c:v>7.0866243983189428</c:v>
                </c:pt>
                <c:pt idx="21">
                  <c:v>7.3054661114737591</c:v>
                </c:pt>
                <c:pt idx="22">
                  <c:v>7.5204189153488272</c:v>
                </c:pt>
                <c:pt idx="23">
                  <c:v>7.7318631761308385</c:v>
                </c:pt>
                <c:pt idx="24">
                  <c:v>7.9401235738409692</c:v>
                </c:pt>
                <c:pt idx="25">
                  <c:v>8.1454774542881818</c:v>
                </c:pt>
                <c:pt idx="26">
                  <c:v>8.3481619269378591</c:v>
                </c:pt>
                <c:pt idx="27">
                  <c:v>8.5483798970125235</c:v>
                </c:pt>
                <c:pt idx="28">
                  <c:v>8.7463051918632004</c:v>
                </c:pt>
                <c:pt idx="29">
                  <c:v>8.9420869176180506</c:v>
                </c:pt>
                <c:pt idx="30">
                  <c:v>9.135853161691772</c:v>
                </c:pt>
                <c:pt idx="31">
                  <c:v>9.3277141393828575</c:v>
                </c:pt>
                <c:pt idx="32">
                  <c:v>9.5177648680357478</c:v>
                </c:pt>
                <c:pt idx="33">
                  <c:v>9.7060874397097034</c:v>
                </c:pt>
                <c:pt idx="34">
                  <c:v>9.8927529526434324</c:v>
                </c:pt>
                <c:pt idx="35">
                  <c:v>10.077823152751279</c:v>
                </c:pt>
                <c:pt idx="36">
                  <c:v>10.261351828693085</c:v>
                </c:pt>
                <c:pt idx="37">
                  <c:v>10.443385997521386</c:v>
                </c:pt>
                <c:pt idx="38">
                  <c:v>10.623966912353065</c:v>
                </c:pt>
                <c:pt idx="39">
                  <c:v>10.803130918790369</c:v>
                </c:pt>
                <c:pt idx="40">
                  <c:v>10.980910182803065</c:v>
                </c:pt>
                <c:pt idx="41">
                  <c:v>11.157333309373143</c:v>
                </c:pt>
                <c:pt idx="42">
                  <c:v>11.332425868305004</c:v>
                </c:pt>
                <c:pt idx="43">
                  <c:v>11.506210841141023</c:v>
                </c:pt>
                <c:pt idx="44">
                  <c:v>11.678709001029132</c:v>
                </c:pt>
                <c:pt idx="45">
                  <c:v>11.849939235610085</c:v>
                </c:pt>
                <c:pt idx="46">
                  <c:v>12.019918821480337</c:v>
                </c:pt>
                <c:pt idx="47">
                  <c:v>12.188663657501657</c:v>
                </c:pt>
                <c:pt idx="48">
                  <c:v>12.356188463136737</c:v>
                </c:pt>
                <c:pt idx="49">
                  <c:v>12.522506947062197</c:v>
                </c:pt>
                <c:pt idx="50">
                  <c:v>12.687631950521792</c:v>
                </c:pt>
                <c:pt idx="51">
                  <c:v>12.851575569212486</c:v>
                </c:pt>
                <c:pt idx="52">
                  <c:v>13.014349256926552</c:v>
                </c:pt>
                <c:pt idx="53">
                  <c:v>13.175963913688888</c:v>
                </c:pt>
                <c:pt idx="54">
                  <c:v>13.336429960717311</c:v>
                </c:pt>
                <c:pt idx="55">
                  <c:v>13.495757404184211</c:v>
                </c:pt>
                <c:pt idx="56">
                  <c:v>13.653955889460715</c:v>
                </c:pt>
                <c:pt idx="57">
                  <c:v>13.811034747272178</c:v>
                </c:pt>
                <c:pt idx="58">
                  <c:v>13.967003032979196</c:v>
                </c:pt>
                <c:pt idx="59">
                  <c:v>14.121869560016053</c:v>
                </c:pt>
                <c:pt idx="60">
                  <c:v>14.275642928363547</c:v>
                </c:pt>
              </c:numCache>
            </c:numRef>
          </c:yVal>
          <c:smooth val="0"/>
          <c:extLst xmlns:c16r2="http://schemas.microsoft.com/office/drawing/2015/06/chart">
            <c:ext xmlns:c16="http://schemas.microsoft.com/office/drawing/2014/chart" uri="{C3380CC4-5D6E-409C-BE32-E72D297353CC}">
              <c16:uniqueId val="{00000000-5920-4247-9FD3-DC683228A72B}"/>
            </c:ext>
          </c:extLst>
        </c:ser>
        <c:ser>
          <c:idx val="1"/>
          <c:order val="1"/>
          <c:spPr>
            <a:ln w="19050" cap="rnd">
              <a:solidFill>
                <a:schemeClr val="accent2"/>
              </a:solidFill>
              <a:round/>
            </a:ln>
            <a:effectLst/>
          </c:spPr>
          <c:marker>
            <c:symbol val="none"/>
          </c:marker>
          <c:xVal>
            <c:numRef>
              <c:f>'ヒートシンクの非定常計算(10.8)'!$A$17:$A$77</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numCache>
            </c:numRef>
          </c:xVal>
          <c:yVal>
            <c:numRef>
              <c:f>'ヒートシンクの非定常計算(10.8)'!$C$17:$C$77</c:f>
              <c:numCache>
                <c:formatCode>General</c:formatCode>
                <c:ptCount val="61"/>
                <c:pt idx="0">
                  <c:v>0</c:v>
                </c:pt>
                <c:pt idx="1">
                  <c:v>3.165759149043941E-2</c:v>
                </c:pt>
                <c:pt idx="2">
                  <c:v>8.9996502017205007E-2</c:v>
                </c:pt>
                <c:pt idx="3">
                  <c:v>0.17078927508295436</c:v>
                </c:pt>
                <c:pt idx="4">
                  <c:v>0.27044481462342906</c:v>
                </c:pt>
                <c:pt idx="5">
                  <c:v>0.38591281623279911</c:v>
                </c:pt>
                <c:pt idx="6">
                  <c:v>0.51460254937064498</c:v>
                </c:pt>
                <c:pt idx="7">
                  <c:v>0.65431383556192213</c:v>
                </c:pt>
                <c:pt idx="8">
                  <c:v>0.80317839120106627</c:v>
                </c:pt>
                <c:pt idx="9">
                  <c:v>0.95960997857845609</c:v>
                </c:pt>
                <c:pt idx="10">
                  <c:v>1.1222620424585927</c:v>
                </c:pt>
                <c:pt idx="11">
                  <c:v>1.2899917081557026</c:v>
                </c:pt>
                <c:pt idx="12">
                  <c:v>1.4618291858439694</c:v>
                </c:pt>
                <c:pt idx="13">
                  <c:v>1.6369517692848428</c:v>
                </c:pt>
                <c:pt idx="14">
                  <c:v>1.8146617390589266</c:v>
                </c:pt>
                <c:pt idx="15">
                  <c:v>1.9943675839893649</c:v>
                </c:pt>
                <c:pt idx="16">
                  <c:v>2.1755680424862449</c:v>
                </c:pt>
                <c:pt idx="17">
                  <c:v>2.357838540363391</c:v>
                </c:pt>
                <c:pt idx="18">
                  <c:v>2.5408196652652872</c:v>
                </c:pt>
                <c:pt idx="19">
                  <c:v>2.7242073718799125</c:v>
                </c:pt>
                <c:pt idx="20">
                  <c:v>2.9077446580367901</c:v>
                </c:pt>
                <c:pt idx="21">
                  <c:v>3.0912144908170602</c:v>
                </c:pt>
                <c:pt idx="22">
                  <c:v>3.2744337949693851</c:v>
                </c:pt>
                <c:pt idx="23">
                  <c:v>3.4572483441120569</c:v>
                </c:pt>
                <c:pt idx="24">
                  <c:v>3.639528419155639</c:v>
                </c:pt>
                <c:pt idx="25">
                  <c:v>3.8211651187374378</c:v>
                </c:pt>
                <c:pt idx="26">
                  <c:v>4.0020672237592141</c:v>
                </c:pt>
                <c:pt idx="27">
                  <c:v>4.1821585328217852</c:v>
                </c:pt>
                <c:pt idx="28">
                  <c:v>4.3613755978447211</c:v>
                </c:pt>
                <c:pt idx="29">
                  <c:v>4.5396657997776249</c:v>
                </c:pt>
                <c:pt idx="30">
                  <c:v>4.7169857133333286</c:v>
                </c:pt>
                <c:pt idx="31">
                  <c:v>4.8932997173421198</c:v>
                </c:pt>
                <c:pt idx="32">
                  <c:v>5.068578813843331</c:v>
                </c:pt>
                <c:pt idx="33">
                  <c:v>5.2427996245691828</c:v>
                </c:pt>
                <c:pt idx="34">
                  <c:v>5.4159435381826651</c:v>
                </c:pt>
                <c:pt idx="35">
                  <c:v>5.5879959856313235</c:v>
                </c:pt>
                <c:pt idx="36">
                  <c:v>5.7589458243782232</c:v>
                </c:pt>
                <c:pt idx="37">
                  <c:v>5.9287848151603155</c:v>
                </c:pt>
                <c:pt idx="38">
                  <c:v>6.0975071773795797</c:v>
                </c:pt>
                <c:pt idx="39">
                  <c:v>6.265109211318757</c:v>
                </c:pt>
                <c:pt idx="40">
                  <c:v>6.431588977146669</c:v>
                </c:pt>
                <c:pt idx="41">
                  <c:v>6.5969460221849934</c:v>
                </c:pt>
                <c:pt idx="42">
                  <c:v>6.7611811491889853</c:v>
                </c:pt>
                <c:pt idx="43">
                  <c:v>6.9242962194829403</c:v>
                </c:pt>
                <c:pt idx="44">
                  <c:v>7.0862939857160949</c:v>
                </c:pt>
                <c:pt idx="45">
                  <c:v>7.2471779497906521</c:v>
                </c:pt>
                <c:pt idx="46">
                  <c:v>7.4069522421815925</c:v>
                </c:pt>
                <c:pt idx="47">
                  <c:v>7.5656215194356191</c:v>
                </c:pt>
                <c:pt idx="48">
                  <c:v>7.7231908771189843</c:v>
                </c:pt>
                <c:pt idx="49">
                  <c:v>7.8796657758939572</c:v>
                </c:pt>
                <c:pt idx="50">
                  <c:v>8.0350519787520849</c:v>
                </c:pt>
                <c:pt idx="51">
                  <c:v>8.1893554977285277</c:v>
                </c:pt>
                <c:pt idx="52">
                  <c:v>8.3425825486733505</c:v>
                </c:pt>
                <c:pt idx="53">
                  <c:v>8.4947395128695469</c:v>
                </c:pt>
                <c:pt idx="54">
                  <c:v>8.6458329044692519</c:v>
                </c:pt>
                <c:pt idx="55">
                  <c:v>8.7958693428741146</c:v>
                </c:pt>
                <c:pt idx="56">
                  <c:v>8.9448555293169889</c:v>
                </c:pt>
                <c:pt idx="57">
                  <c:v>9.0927982270137111</c:v>
                </c:pt>
                <c:pt idx="58">
                  <c:v>9.2397042443484594</c:v>
                </c:pt>
                <c:pt idx="59">
                  <c:v>9.3855804206368187</c:v>
                </c:pt>
                <c:pt idx="60">
                  <c:v>9.5304336140790955</c:v>
                </c:pt>
              </c:numCache>
            </c:numRef>
          </c:yVal>
          <c:smooth val="0"/>
          <c:extLst xmlns:c16r2="http://schemas.microsoft.com/office/drawing/2015/06/chart">
            <c:ext xmlns:c16="http://schemas.microsoft.com/office/drawing/2014/chart" uri="{C3380CC4-5D6E-409C-BE32-E72D297353CC}">
              <c16:uniqueId val="{00000001-5920-4247-9FD3-DC683228A72B}"/>
            </c:ext>
          </c:extLst>
        </c:ser>
        <c:dLbls>
          <c:showLegendKey val="0"/>
          <c:showVal val="0"/>
          <c:showCatName val="0"/>
          <c:showSerName val="0"/>
          <c:showPercent val="0"/>
          <c:showBubbleSize val="0"/>
        </c:dLbls>
        <c:axId val="124045696"/>
        <c:axId val="124046088"/>
      </c:scatterChart>
      <c:valAx>
        <c:axId val="1240456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4046088"/>
        <c:crosses val="autoZero"/>
        <c:crossBetween val="midCat"/>
      </c:valAx>
      <c:valAx>
        <c:axId val="124046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404569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scatterChart>
        <c:scatterStyle val="lineMarker"/>
        <c:varyColors val="0"/>
        <c:ser>
          <c:idx val="0"/>
          <c:order val="0"/>
          <c:spPr>
            <a:ln w="28575">
              <a:noFill/>
            </a:ln>
          </c:spPr>
          <c:marker>
            <c:symbol val="diamond"/>
            <c:size val="11"/>
            <c:spPr>
              <a:solidFill>
                <a:srgbClr val="FF0000"/>
              </a:solidFill>
              <a:ln>
                <a:solidFill>
                  <a:schemeClr val="tx1"/>
                </a:solidFill>
              </a:ln>
            </c:spPr>
          </c:marker>
          <c:xVal>
            <c:numRef>
              <c:f>【事例1】危険部品判断シート!$J$38:$J$55</c:f>
              <c:numCache>
                <c:formatCode>0.00_ </c:formatCode>
                <c:ptCount val="18"/>
                <c:pt idx="0">
                  <c:v>688.86112450635903</c:v>
                </c:pt>
                <c:pt idx="1">
                  <c:v>87.176664164653886</c:v>
                </c:pt>
                <c:pt idx="2">
                  <c:v>130.69640926265262</c:v>
                </c:pt>
                <c:pt idx="3">
                  <c:v>813.47049314025003</c:v>
                </c:pt>
                <c:pt idx="4">
                  <c:v>758.46245294847859</c:v>
                </c:pt>
                <c:pt idx="5">
                  <c:v>162.35586134414569</c:v>
                </c:pt>
                <c:pt idx="6">
                  <c:v>371.89553259926481</c:v>
                </c:pt>
                <c:pt idx="7">
                  <c:v>1181.2153974657119</c:v>
                </c:pt>
                <c:pt idx="8">
                  <c:v>121.26133471625401</c:v>
                </c:pt>
                <c:pt idx="9">
                  <c:v>396.93045137911776</c:v>
                </c:pt>
                <c:pt idx="10">
                  <c:v>203.67750717324361</c:v>
                </c:pt>
                <c:pt idx="11">
                  <c:v>143.76241785286476</c:v>
                </c:pt>
              </c:numCache>
            </c:numRef>
          </c:xVal>
          <c:yVal>
            <c:numRef>
              <c:f>【事例1】危険部品判断シート!$K$38:$K$55</c:f>
              <c:numCache>
                <c:formatCode>0.00_ </c:formatCode>
                <c:ptCount val="18"/>
                <c:pt idx="0">
                  <c:v>153.59257377600787</c:v>
                </c:pt>
                <c:pt idx="1">
                  <c:v>15.359257377600787</c:v>
                </c:pt>
                <c:pt idx="2">
                  <c:v>18.069714561883281</c:v>
                </c:pt>
                <c:pt idx="3">
                  <c:v>219.4179625371541</c:v>
                </c:pt>
                <c:pt idx="4">
                  <c:v>191.99071722000983</c:v>
                </c:pt>
                <c:pt idx="5">
                  <c:v>18.069714561883281</c:v>
                </c:pt>
                <c:pt idx="6">
                  <c:v>102.39504918400526</c:v>
                </c:pt>
                <c:pt idx="7">
                  <c:v>153.59257377600787</c:v>
                </c:pt>
                <c:pt idx="8">
                  <c:v>13.355875980522425</c:v>
                </c:pt>
                <c:pt idx="9">
                  <c:v>161.67639344842934</c:v>
                </c:pt>
                <c:pt idx="10">
                  <c:v>61.43702951040315</c:v>
                </c:pt>
                <c:pt idx="11">
                  <c:v>25.598762296001315</c:v>
                </c:pt>
              </c:numCache>
            </c:numRef>
          </c:yVal>
          <c:smooth val="0"/>
          <c:extLst xmlns:c16r2="http://schemas.microsoft.com/office/drawing/2015/06/chart">
            <c:ext xmlns:c16="http://schemas.microsoft.com/office/drawing/2014/chart" uri="{C3380CC4-5D6E-409C-BE32-E72D297353CC}">
              <c16:uniqueId val="{00000000-D230-458C-A71F-6A90EE326B75}"/>
            </c:ext>
          </c:extLst>
        </c:ser>
        <c:ser>
          <c:idx val="1"/>
          <c:order val="1"/>
          <c:spPr>
            <a:ln w="19050">
              <a:solidFill>
                <a:schemeClr val="tx1"/>
              </a:solidFill>
            </a:ln>
          </c:spPr>
          <c:marker>
            <c:symbol val="none"/>
          </c:marker>
          <c:xVal>
            <c:numRef>
              <c:f>'LEEの式 (2)'!$B$43:$B$44</c:f>
              <c:numCache>
                <c:formatCode>General</c:formatCode>
                <c:ptCount val="2"/>
                <c:pt idx="0">
                  <c:v>0.1</c:v>
                </c:pt>
                <c:pt idx="1">
                  <c:v>1000</c:v>
                </c:pt>
              </c:numCache>
            </c:numRef>
          </c:xVal>
          <c:yVal>
            <c:numRef>
              <c:f>'LEEの式 (2)'!$C$43:$C$44</c:f>
              <c:numCache>
                <c:formatCode>General</c:formatCode>
                <c:ptCount val="2"/>
                <c:pt idx="0">
                  <c:v>0.1</c:v>
                </c:pt>
                <c:pt idx="1">
                  <c:v>1000</c:v>
                </c:pt>
              </c:numCache>
            </c:numRef>
          </c:yVal>
          <c:smooth val="0"/>
          <c:extLst xmlns:c16r2="http://schemas.microsoft.com/office/drawing/2015/06/chart">
            <c:ext xmlns:c16="http://schemas.microsoft.com/office/drawing/2014/chart" uri="{C3380CC4-5D6E-409C-BE32-E72D297353CC}">
              <c16:uniqueId val="{00000001-D230-458C-A71F-6A90EE326B75}"/>
            </c:ext>
          </c:extLst>
        </c:ser>
        <c:dLbls>
          <c:showLegendKey val="0"/>
          <c:showVal val="0"/>
          <c:showCatName val="0"/>
          <c:showSerName val="0"/>
          <c:showPercent val="0"/>
          <c:showBubbleSize val="0"/>
        </c:dLbls>
        <c:axId val="124042952"/>
        <c:axId val="124042560"/>
      </c:scatterChart>
      <c:valAx>
        <c:axId val="124042952"/>
        <c:scaling>
          <c:logBase val="10"/>
          <c:orientation val="minMax"/>
        </c:scaling>
        <c:delete val="0"/>
        <c:axPos val="b"/>
        <c:minorGridlines>
          <c:spPr>
            <a:ln>
              <a:solidFill>
                <a:sysClr val="windowText" lastClr="000000"/>
              </a:solidFill>
            </a:ln>
          </c:spPr>
        </c:minorGridlines>
        <c:title>
          <c:tx>
            <c:rich>
              <a:bodyPr/>
              <a:lstStyle/>
              <a:p>
                <a:pPr>
                  <a:defRPr sz="1200" b="0"/>
                </a:pPr>
                <a:r>
                  <a:rPr lang="ja-JP" altLang="en-US" sz="1200" b="0"/>
                  <a:t>部品の単体熱抵抗（℃</a:t>
                </a:r>
                <a:r>
                  <a:rPr lang="en-US" altLang="ja-JP" sz="1200" b="0"/>
                  <a:t>/</a:t>
                </a:r>
                <a:r>
                  <a:rPr lang="ja-JP" altLang="en-US" sz="1200" b="0"/>
                  <a:t>Ｗ）</a:t>
                </a:r>
              </a:p>
            </c:rich>
          </c:tx>
          <c:overlay val="0"/>
        </c:title>
        <c:numFmt formatCode="General" sourceLinked="0"/>
        <c:majorTickMark val="out"/>
        <c:minorTickMark val="none"/>
        <c:tickLblPos val="nextTo"/>
        <c:crossAx val="124042560"/>
        <c:crossesAt val="0.1"/>
        <c:crossBetween val="midCat"/>
      </c:valAx>
      <c:valAx>
        <c:axId val="124042560"/>
        <c:scaling>
          <c:logBase val="10"/>
          <c:orientation val="minMax"/>
        </c:scaling>
        <c:delete val="0"/>
        <c:axPos val="l"/>
        <c:minorGridlines>
          <c:spPr>
            <a:ln>
              <a:solidFill>
                <a:schemeClr val="tx1"/>
              </a:solidFill>
            </a:ln>
          </c:spPr>
        </c:minorGridlines>
        <c:title>
          <c:tx>
            <c:rich>
              <a:bodyPr rot="-5400000" vert="horz"/>
              <a:lstStyle/>
              <a:p>
                <a:pPr>
                  <a:defRPr sz="1200" b="0"/>
                </a:pPr>
                <a:r>
                  <a:rPr lang="ja-JP" altLang="en-US" sz="1200" b="0"/>
                  <a:t>目標熱抵抗（℃</a:t>
                </a:r>
                <a:r>
                  <a:rPr lang="en-US" altLang="ja-JP" sz="1200" b="0"/>
                  <a:t>/</a:t>
                </a:r>
                <a:r>
                  <a:rPr lang="ja-JP" altLang="en-US" sz="1200" b="0"/>
                  <a:t>Ｗ）</a:t>
                </a:r>
              </a:p>
            </c:rich>
          </c:tx>
          <c:overlay val="0"/>
        </c:title>
        <c:numFmt formatCode="General" sourceLinked="0"/>
        <c:majorTickMark val="out"/>
        <c:minorTickMark val="none"/>
        <c:tickLblPos val="nextTo"/>
        <c:crossAx val="124042952"/>
        <c:crossesAt val="0.1"/>
        <c:crossBetween val="midCat"/>
      </c:valAx>
      <c:spPr>
        <a:ln w="19050">
          <a:solidFill>
            <a:sysClr val="windowText" lastClr="000000"/>
          </a:solidFill>
        </a:ln>
      </c:spPr>
    </c:plotArea>
    <c:plotVisOnly val="1"/>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a:solidFill>
                <a:sysClr val="windowText" lastClr="000000"/>
              </a:solidFill>
            </a:ln>
          </c:spPr>
          <c:marker>
            <c:symbol val="none"/>
          </c:marker>
          <c:xVal>
            <c:numRef>
              <c:f>'LEEの式 (2)'!$G$6:$G$30</c:f>
              <c:numCache>
                <c:formatCode>General</c:formatCode>
                <c:ptCount val="25"/>
                <c:pt idx="0">
                  <c:v>8</c:v>
                </c:pt>
                <c:pt idx="1">
                  <c:v>16</c:v>
                </c:pt>
                <c:pt idx="2">
                  <c:v>24</c:v>
                </c:pt>
                <c:pt idx="3">
                  <c:v>32</c:v>
                </c:pt>
                <c:pt idx="4">
                  <c:v>40</c:v>
                </c:pt>
                <c:pt idx="5">
                  <c:v>48</c:v>
                </c:pt>
                <c:pt idx="6">
                  <c:v>56</c:v>
                </c:pt>
                <c:pt idx="7">
                  <c:v>64</c:v>
                </c:pt>
                <c:pt idx="8">
                  <c:v>72.000000000000014</c:v>
                </c:pt>
                <c:pt idx="9">
                  <c:v>80.000000000000014</c:v>
                </c:pt>
                <c:pt idx="10">
                  <c:v>88.000000000000028</c:v>
                </c:pt>
                <c:pt idx="11">
                  <c:v>96.000000000000028</c:v>
                </c:pt>
                <c:pt idx="12">
                  <c:v>104.00000000000004</c:v>
                </c:pt>
                <c:pt idx="13">
                  <c:v>112.00000000000004</c:v>
                </c:pt>
                <c:pt idx="14">
                  <c:v>120.00000000000006</c:v>
                </c:pt>
                <c:pt idx="15">
                  <c:v>128.00000000000006</c:v>
                </c:pt>
                <c:pt idx="16">
                  <c:v>136.00000000000006</c:v>
                </c:pt>
                <c:pt idx="17">
                  <c:v>144.00000000000009</c:v>
                </c:pt>
                <c:pt idx="18">
                  <c:v>152.00000000000009</c:v>
                </c:pt>
                <c:pt idx="19">
                  <c:v>160.00000000000009</c:v>
                </c:pt>
                <c:pt idx="20">
                  <c:v>168.00000000000009</c:v>
                </c:pt>
                <c:pt idx="21">
                  <c:v>176.00000000000011</c:v>
                </c:pt>
                <c:pt idx="22">
                  <c:v>184.00000000000011</c:v>
                </c:pt>
                <c:pt idx="23">
                  <c:v>192.00000000000011</c:v>
                </c:pt>
                <c:pt idx="24">
                  <c:v>200.00000000000011</c:v>
                </c:pt>
              </c:numCache>
            </c:numRef>
          </c:xVal>
          <c:yVal>
            <c:numRef>
              <c:f>'LEEの式 (2)'!$W$6:$W$30</c:f>
              <c:numCache>
                <c:formatCode>General</c:formatCode>
                <c:ptCount val="25"/>
                <c:pt idx="0">
                  <c:v>213.16477273349497</c:v>
                </c:pt>
                <c:pt idx="1">
                  <c:v>158.12001301835247</c:v>
                </c:pt>
                <c:pt idx="2">
                  <c:v>122.25775896166103</c:v>
                </c:pt>
                <c:pt idx="3">
                  <c:v>96.555971157362706</c:v>
                </c:pt>
                <c:pt idx="4">
                  <c:v>79.133957552016525</c:v>
                </c:pt>
                <c:pt idx="5">
                  <c:v>66.136397871383821</c:v>
                </c:pt>
                <c:pt idx="6">
                  <c:v>56.162478213936637</c:v>
                </c:pt>
                <c:pt idx="7">
                  <c:v>48.331290726222853</c:v>
                </c:pt>
                <c:pt idx="8">
                  <c:v>42.063723384248398</c:v>
                </c:pt>
                <c:pt idx="9">
                  <c:v>36.965358237220492</c:v>
                </c:pt>
                <c:pt idx="10">
                  <c:v>32.759581792899262</c:v>
                </c:pt>
                <c:pt idx="11">
                  <c:v>29.247518011780588</c:v>
                </c:pt>
                <c:pt idx="12">
                  <c:v>26.283083531791696</c:v>
                </c:pt>
                <c:pt idx="13">
                  <c:v>23.756945481310602</c:v>
                </c:pt>
                <c:pt idx="14">
                  <c:v>21.585912967686809</c:v>
                </c:pt>
                <c:pt idx="15">
                  <c:v>19.705749059768351</c:v>
                </c:pt>
                <c:pt idx="16">
                  <c:v>18.066194689936296</c:v>
                </c:pt>
                <c:pt idx="17">
                  <c:v>16.627457284523626</c:v>
                </c:pt>
                <c:pt idx="18">
                  <c:v>15.35769005938961</c:v>
                </c:pt>
                <c:pt idx="19">
                  <c:v>14.231154191325018</c:v>
                </c:pt>
                <c:pt idx="20">
                  <c:v>13.22685985068931</c:v>
                </c:pt>
                <c:pt idx="21">
                  <c:v>12.327548311584733</c:v>
                </c:pt>
                <c:pt idx="22">
                  <c:v>11.518920488046284</c:v>
                </c:pt>
                <c:pt idx="23">
                  <c:v>10.789045854962028</c:v>
                </c:pt>
                <c:pt idx="24">
                  <c:v>10.127905011593088</c:v>
                </c:pt>
              </c:numCache>
            </c:numRef>
          </c:yVal>
          <c:smooth val="0"/>
          <c:extLst xmlns:c16r2="http://schemas.microsoft.com/office/drawing/2015/06/chart">
            <c:ext xmlns:c16="http://schemas.microsoft.com/office/drawing/2014/chart" uri="{C3380CC4-5D6E-409C-BE32-E72D297353CC}">
              <c16:uniqueId val="{00000000-3C33-4CBB-B1A0-C6F0C7F14249}"/>
            </c:ext>
          </c:extLst>
        </c:ser>
        <c:ser>
          <c:idx val="1"/>
          <c:order val="1"/>
          <c:spPr>
            <a:ln>
              <a:solidFill>
                <a:srgbClr val="0000FF"/>
              </a:solidFill>
              <a:prstDash val="sysDash"/>
            </a:ln>
          </c:spPr>
          <c:marker>
            <c:symbol val="none"/>
          </c:marker>
          <c:xVal>
            <c:numRef>
              <c:f>'LEEの式 (2)'!$G$34:$G$58</c:f>
              <c:numCache>
                <c:formatCode>General</c:formatCode>
                <c:ptCount val="25"/>
                <c:pt idx="0">
                  <c:v>8</c:v>
                </c:pt>
                <c:pt idx="1">
                  <c:v>16</c:v>
                </c:pt>
                <c:pt idx="2">
                  <c:v>24</c:v>
                </c:pt>
                <c:pt idx="3">
                  <c:v>32</c:v>
                </c:pt>
                <c:pt idx="4">
                  <c:v>40</c:v>
                </c:pt>
                <c:pt idx="5">
                  <c:v>48</c:v>
                </c:pt>
                <c:pt idx="6">
                  <c:v>56</c:v>
                </c:pt>
                <c:pt idx="7">
                  <c:v>64</c:v>
                </c:pt>
                <c:pt idx="8">
                  <c:v>72.000000000000014</c:v>
                </c:pt>
                <c:pt idx="9">
                  <c:v>80.000000000000014</c:v>
                </c:pt>
                <c:pt idx="10">
                  <c:v>88.000000000000028</c:v>
                </c:pt>
                <c:pt idx="11">
                  <c:v>96.000000000000028</c:v>
                </c:pt>
                <c:pt idx="12">
                  <c:v>104.00000000000004</c:v>
                </c:pt>
                <c:pt idx="13">
                  <c:v>112.00000000000004</c:v>
                </c:pt>
                <c:pt idx="14">
                  <c:v>120.00000000000006</c:v>
                </c:pt>
                <c:pt idx="15">
                  <c:v>128.00000000000006</c:v>
                </c:pt>
                <c:pt idx="16">
                  <c:v>136.00000000000006</c:v>
                </c:pt>
                <c:pt idx="17">
                  <c:v>144.00000000000009</c:v>
                </c:pt>
                <c:pt idx="18">
                  <c:v>152.00000000000009</c:v>
                </c:pt>
                <c:pt idx="19">
                  <c:v>160.00000000000009</c:v>
                </c:pt>
                <c:pt idx="20">
                  <c:v>168.00000000000009</c:v>
                </c:pt>
                <c:pt idx="21">
                  <c:v>176.00000000000011</c:v>
                </c:pt>
                <c:pt idx="22">
                  <c:v>184.00000000000011</c:v>
                </c:pt>
                <c:pt idx="23">
                  <c:v>192.00000000000011</c:v>
                </c:pt>
                <c:pt idx="24">
                  <c:v>200.00000000000011</c:v>
                </c:pt>
              </c:numCache>
            </c:numRef>
          </c:xVal>
          <c:yVal>
            <c:numRef>
              <c:f>'LEEの式 (2)'!$W$34:$W$58</c:f>
              <c:numCache>
                <c:formatCode>General</c:formatCode>
                <c:ptCount val="25"/>
                <c:pt idx="0">
                  <c:v>80.785949354597705</c:v>
                </c:pt>
                <c:pt idx="1">
                  <c:v>64.163153531617425</c:v>
                </c:pt>
                <c:pt idx="2">
                  <c:v>53.889569477121661</c:v>
                </c:pt>
                <c:pt idx="3">
                  <c:v>46.301173459402293</c:v>
                </c:pt>
                <c:pt idx="4">
                  <c:v>40.370504731097029</c:v>
                </c:pt>
                <c:pt idx="5">
                  <c:v>35.592953049438364</c:v>
                </c:pt>
                <c:pt idx="6">
                  <c:v>31.664921163541052</c:v>
                </c:pt>
                <c:pt idx="7">
                  <c:v>28.385043856451539</c:v>
                </c:pt>
                <c:pt idx="8">
                  <c:v>25.611982566757991</c:v>
                </c:pt>
                <c:pt idx="9">
                  <c:v>23.24273575834507</c:v>
                </c:pt>
                <c:pt idx="10">
                  <c:v>21.200160353568762</c:v>
                </c:pt>
                <c:pt idx="11">
                  <c:v>19.425239687059047</c:v>
                </c:pt>
                <c:pt idx="12">
                  <c:v>17.872037129659756</c:v>
                </c:pt>
                <c:pt idx="13">
                  <c:v>16.504273519884023</c:v>
                </c:pt>
                <c:pt idx="14">
                  <c:v>15.292935725602032</c:v>
                </c:pt>
                <c:pt idx="15">
                  <c:v>14.21456512348519</c:v>
                </c:pt>
                <c:pt idx="16">
                  <c:v>13.250008046288109</c:v>
                </c:pt>
                <c:pt idx="17">
                  <c:v>12.383487911435415</c:v>
                </c:pt>
                <c:pt idx="18">
                  <c:v>11.601906010250923</c:v>
                </c:pt>
                <c:pt idx="19">
                  <c:v>10.894307734026542</c:v>
                </c:pt>
                <c:pt idx="20">
                  <c:v>10.251470353510092</c:v>
                </c:pt>
                <c:pt idx="21">
                  <c:v>9.6655813347558741</c:v>
                </c:pt>
                <c:pt idx="22">
                  <c:v>9.129984916608457</c:v>
                </c:pt>
                <c:pt idx="23">
                  <c:v>8.6389807256334219</c:v>
                </c:pt>
                <c:pt idx="24">
                  <c:v>8.1876624604532093</c:v>
                </c:pt>
              </c:numCache>
            </c:numRef>
          </c:yVal>
          <c:smooth val="0"/>
          <c:extLst xmlns:c16r2="http://schemas.microsoft.com/office/drawing/2015/06/chart">
            <c:ext xmlns:c16="http://schemas.microsoft.com/office/drawing/2014/chart" uri="{C3380CC4-5D6E-409C-BE32-E72D297353CC}">
              <c16:uniqueId val="{00000001-3C33-4CBB-B1A0-C6F0C7F14249}"/>
            </c:ext>
          </c:extLst>
        </c:ser>
        <c:ser>
          <c:idx val="2"/>
          <c:order val="2"/>
          <c:spPr>
            <a:ln>
              <a:solidFill>
                <a:srgbClr val="008000"/>
              </a:solidFill>
              <a:prstDash val="dash"/>
            </a:ln>
          </c:spPr>
          <c:marker>
            <c:symbol val="none"/>
          </c:marker>
          <c:xVal>
            <c:numRef>
              <c:f>'LEEの式 (2)'!$G$62:$G$86</c:f>
              <c:numCache>
                <c:formatCode>General</c:formatCode>
                <c:ptCount val="25"/>
                <c:pt idx="0">
                  <c:v>8</c:v>
                </c:pt>
                <c:pt idx="1">
                  <c:v>16</c:v>
                </c:pt>
                <c:pt idx="2">
                  <c:v>24</c:v>
                </c:pt>
                <c:pt idx="3">
                  <c:v>32</c:v>
                </c:pt>
                <c:pt idx="4">
                  <c:v>40</c:v>
                </c:pt>
                <c:pt idx="5">
                  <c:v>48</c:v>
                </c:pt>
                <c:pt idx="6">
                  <c:v>56</c:v>
                </c:pt>
                <c:pt idx="7">
                  <c:v>64</c:v>
                </c:pt>
                <c:pt idx="8">
                  <c:v>72.000000000000014</c:v>
                </c:pt>
                <c:pt idx="9">
                  <c:v>80.000000000000014</c:v>
                </c:pt>
                <c:pt idx="10">
                  <c:v>88.000000000000028</c:v>
                </c:pt>
                <c:pt idx="11">
                  <c:v>96.000000000000028</c:v>
                </c:pt>
                <c:pt idx="12">
                  <c:v>104.00000000000004</c:v>
                </c:pt>
                <c:pt idx="13">
                  <c:v>112.00000000000004</c:v>
                </c:pt>
                <c:pt idx="14">
                  <c:v>120.00000000000006</c:v>
                </c:pt>
                <c:pt idx="15">
                  <c:v>128.00000000000006</c:v>
                </c:pt>
                <c:pt idx="16">
                  <c:v>136.00000000000006</c:v>
                </c:pt>
                <c:pt idx="17">
                  <c:v>144.00000000000009</c:v>
                </c:pt>
                <c:pt idx="18">
                  <c:v>152.00000000000009</c:v>
                </c:pt>
                <c:pt idx="19">
                  <c:v>160.00000000000009</c:v>
                </c:pt>
                <c:pt idx="20">
                  <c:v>168.00000000000009</c:v>
                </c:pt>
                <c:pt idx="21">
                  <c:v>176.00000000000011</c:v>
                </c:pt>
                <c:pt idx="22">
                  <c:v>184.00000000000011</c:v>
                </c:pt>
                <c:pt idx="23">
                  <c:v>192.00000000000011</c:v>
                </c:pt>
                <c:pt idx="24">
                  <c:v>200.00000000000011</c:v>
                </c:pt>
              </c:numCache>
            </c:numRef>
          </c:xVal>
          <c:yVal>
            <c:numRef>
              <c:f>'LEEの式 (2)'!$W$62:$W$86</c:f>
              <c:numCache>
                <c:formatCode>General</c:formatCode>
                <c:ptCount val="25"/>
                <c:pt idx="0">
                  <c:v>49.981157904660357</c:v>
                </c:pt>
                <c:pt idx="1">
                  <c:v>39.935513927889652</c:v>
                </c:pt>
                <c:pt idx="2">
                  <c:v>34.315512311579873</c:v>
                </c:pt>
                <c:pt idx="3">
                  <c:v>30.216041580699752</c:v>
                </c:pt>
                <c:pt idx="4">
                  <c:v>26.980976364530118</c:v>
                </c:pt>
                <c:pt idx="5">
                  <c:v>24.32838065122781</c:v>
                </c:pt>
                <c:pt idx="6">
                  <c:v>22.101567077482486</c:v>
                </c:pt>
                <c:pt idx="7">
                  <c:v>20.201193800556471</c:v>
                </c:pt>
                <c:pt idx="8">
                  <c:v>18.559118867181773</c:v>
                </c:pt>
                <c:pt idx="9">
                  <c:v>17.126107094303137</c:v>
                </c:pt>
                <c:pt idx="10">
                  <c:v>15.865250160066807</c:v>
                </c:pt>
                <c:pt idx="11">
                  <c:v>14.748110365259461</c:v>
                </c:pt>
                <c:pt idx="12">
                  <c:v>13.752304598954662</c:v>
                </c:pt>
                <c:pt idx="13">
                  <c:v>12.859911510768018</c:v>
                </c:pt>
                <c:pt idx="14">
                  <c:v>12.056378600255055</c:v>
                </c:pt>
                <c:pt idx="15">
                  <c:v>11.329747917541244</c:v>
                </c:pt>
                <c:pt idx="16">
                  <c:v>10.670092950113933</c:v>
                </c:pt>
                <c:pt idx="17">
                  <c:v>10.069100096970612</c:v>
                </c:pt>
                <c:pt idx="18">
                  <c:v>9.5197518499763394</c:v>
                </c:pt>
                <c:pt idx="19">
                  <c:v>9.0160831771049281</c:v>
                </c:pt>
                <c:pt idx="20">
                  <c:v>8.5529916343865509</c:v>
                </c:pt>
                <c:pt idx="21">
                  <c:v>8.1260875877622283</c:v>
                </c:pt>
                <c:pt idx="22">
                  <c:v>7.7315748244353184</c:v>
                </c:pt>
                <c:pt idx="23">
                  <c:v>7.3661544911139432</c:v>
                </c:pt>
                <c:pt idx="24">
                  <c:v>7.0269471464681859</c:v>
                </c:pt>
              </c:numCache>
            </c:numRef>
          </c:yVal>
          <c:smooth val="0"/>
          <c:extLst xmlns:c16r2="http://schemas.microsoft.com/office/drawing/2015/06/chart">
            <c:ext xmlns:c16="http://schemas.microsoft.com/office/drawing/2014/chart" uri="{C3380CC4-5D6E-409C-BE32-E72D297353CC}">
              <c16:uniqueId val="{00000002-3C33-4CBB-B1A0-C6F0C7F14249}"/>
            </c:ext>
          </c:extLst>
        </c:ser>
        <c:ser>
          <c:idx val="3"/>
          <c:order val="3"/>
          <c:spPr>
            <a:ln w="38100">
              <a:solidFill>
                <a:sysClr val="windowText" lastClr="000000"/>
              </a:solidFill>
              <a:prstDash val="sysDot"/>
            </a:ln>
          </c:spPr>
          <c:marker>
            <c:symbol val="none"/>
          </c:marker>
          <c:xVal>
            <c:numRef>
              <c:f>'LEEの式 (2)'!$G$90:$G$114</c:f>
              <c:numCache>
                <c:formatCode>General</c:formatCode>
                <c:ptCount val="25"/>
                <c:pt idx="0">
                  <c:v>8</c:v>
                </c:pt>
                <c:pt idx="1">
                  <c:v>16</c:v>
                </c:pt>
                <c:pt idx="2">
                  <c:v>24</c:v>
                </c:pt>
                <c:pt idx="3">
                  <c:v>32</c:v>
                </c:pt>
                <c:pt idx="4">
                  <c:v>40</c:v>
                </c:pt>
                <c:pt idx="5">
                  <c:v>48</c:v>
                </c:pt>
                <c:pt idx="6">
                  <c:v>56</c:v>
                </c:pt>
                <c:pt idx="7">
                  <c:v>64</c:v>
                </c:pt>
                <c:pt idx="8">
                  <c:v>72.000000000000014</c:v>
                </c:pt>
                <c:pt idx="9">
                  <c:v>80.000000000000014</c:v>
                </c:pt>
                <c:pt idx="10">
                  <c:v>88.000000000000028</c:v>
                </c:pt>
                <c:pt idx="11">
                  <c:v>96.000000000000028</c:v>
                </c:pt>
                <c:pt idx="12">
                  <c:v>104.00000000000004</c:v>
                </c:pt>
                <c:pt idx="13">
                  <c:v>112.00000000000004</c:v>
                </c:pt>
                <c:pt idx="14">
                  <c:v>120.00000000000006</c:v>
                </c:pt>
                <c:pt idx="15">
                  <c:v>128.00000000000006</c:v>
                </c:pt>
                <c:pt idx="16">
                  <c:v>136.00000000000006</c:v>
                </c:pt>
                <c:pt idx="17">
                  <c:v>144.00000000000009</c:v>
                </c:pt>
                <c:pt idx="18">
                  <c:v>152.00000000000009</c:v>
                </c:pt>
                <c:pt idx="19">
                  <c:v>160.00000000000009</c:v>
                </c:pt>
                <c:pt idx="20">
                  <c:v>168.00000000000009</c:v>
                </c:pt>
                <c:pt idx="21">
                  <c:v>176.00000000000011</c:v>
                </c:pt>
                <c:pt idx="22">
                  <c:v>184.00000000000011</c:v>
                </c:pt>
                <c:pt idx="23">
                  <c:v>192.00000000000011</c:v>
                </c:pt>
                <c:pt idx="24">
                  <c:v>200.00000000000011</c:v>
                </c:pt>
              </c:numCache>
            </c:numRef>
          </c:xVal>
          <c:yVal>
            <c:numRef>
              <c:f>'LEEの式 (2)'!$W$90:$W$114</c:f>
              <c:numCache>
                <c:formatCode>General</c:formatCode>
                <c:ptCount val="25"/>
                <c:pt idx="0">
                  <c:v>38.269663705668762</c:v>
                </c:pt>
                <c:pt idx="1">
                  <c:v>30.38746447684078</c:v>
                </c:pt>
                <c:pt idx="2">
                  <c:v>26.294059396054443</c:v>
                </c:pt>
                <c:pt idx="3">
                  <c:v>23.368191551640784</c:v>
                </c:pt>
                <c:pt idx="4">
                  <c:v>21.073456302191104</c:v>
                </c:pt>
                <c:pt idx="5">
                  <c:v>19.192105276896037</c:v>
                </c:pt>
                <c:pt idx="6">
                  <c:v>17.607570242366958</c:v>
                </c:pt>
                <c:pt idx="7">
                  <c:v>16.248040273280662</c:v>
                </c:pt>
                <c:pt idx="8">
                  <c:v>15.065388075084268</c:v>
                </c:pt>
                <c:pt idx="9">
                  <c:v>14.025479584238713</c:v>
                </c:pt>
                <c:pt idx="10">
                  <c:v>13.103092319591655</c:v>
                </c:pt>
                <c:pt idx="11">
                  <c:v>12.278998619101454</c:v>
                </c:pt>
                <c:pt idx="12">
                  <c:v>11.538176559241277</c:v>
                </c:pt>
                <c:pt idx="13">
                  <c:v>10.868654861668348</c:v>
                </c:pt>
                <c:pt idx="14">
                  <c:v>10.260735915211963</c:v>
                </c:pt>
                <c:pt idx="15">
                  <c:v>9.7064552558928465</c:v>
                </c:pt>
                <c:pt idx="16">
                  <c:v>9.1991948130846453</c:v>
                </c:pt>
                <c:pt idx="17">
                  <c:v>8.7333994923134295</c:v>
                </c:pt>
                <c:pt idx="18">
                  <c:v>8.3043651840535624</c:v>
                </c:pt>
                <c:pt idx="19">
                  <c:v>7.9080773566346636</c:v>
                </c:pt>
                <c:pt idx="20">
                  <c:v>7.5410862410359911</c:v>
                </c:pt>
                <c:pt idx="21">
                  <c:v>7.2004089842844285</c:v>
                </c:pt>
                <c:pt idx="22">
                  <c:v>6.8834520100363488</c:v>
                </c:pt>
                <c:pt idx="23">
                  <c:v>6.5879487444526328</c:v>
                </c:pt>
                <c:pt idx="24">
                  <c:v>6.3119091804864453</c:v>
                </c:pt>
              </c:numCache>
            </c:numRef>
          </c:yVal>
          <c:smooth val="0"/>
          <c:extLst xmlns:c16r2="http://schemas.microsoft.com/office/drawing/2015/06/chart">
            <c:ext xmlns:c16="http://schemas.microsoft.com/office/drawing/2014/chart" uri="{C3380CC4-5D6E-409C-BE32-E72D297353CC}">
              <c16:uniqueId val="{00000003-3C33-4CBB-B1A0-C6F0C7F14249}"/>
            </c:ext>
          </c:extLst>
        </c:ser>
        <c:ser>
          <c:idx val="4"/>
          <c:order val="4"/>
          <c:spPr>
            <a:ln>
              <a:noFill/>
            </a:ln>
          </c:spPr>
          <c:marker>
            <c:symbol val="diamond"/>
            <c:size val="9"/>
            <c:spPr>
              <a:solidFill>
                <a:srgbClr val="FF0000"/>
              </a:solidFill>
              <a:ln>
                <a:solidFill>
                  <a:schemeClr val="tx1"/>
                </a:solidFill>
              </a:ln>
            </c:spPr>
          </c:marker>
          <c:xVal>
            <c:numRef>
              <c:f>【事例1】危険部品判断シート!$G$38:$G$57</c:f>
              <c:numCache>
                <c:formatCode>General</c:formatCode>
                <c:ptCount val="20"/>
                <c:pt idx="0">
                  <c:v>19.8</c:v>
                </c:pt>
                <c:pt idx="1">
                  <c:v>68</c:v>
                </c:pt>
                <c:pt idx="2">
                  <c:v>52</c:v>
                </c:pt>
                <c:pt idx="3">
                  <c:v>17.700000000000003</c:v>
                </c:pt>
                <c:pt idx="4">
                  <c:v>19</c:v>
                </c:pt>
                <c:pt idx="5">
                  <c:v>38.5</c:v>
                </c:pt>
                <c:pt idx="6">
                  <c:v>26.4</c:v>
                </c:pt>
                <c:pt idx="7">
                  <c:v>14.2</c:v>
                </c:pt>
                <c:pt idx="8">
                  <c:v>55.4</c:v>
                </c:pt>
                <c:pt idx="9">
                  <c:v>26</c:v>
                </c:pt>
                <c:pt idx="10">
                  <c:v>36</c:v>
                </c:pt>
                <c:pt idx="11">
                  <c:v>45.400000000000006</c:v>
                </c:pt>
              </c:numCache>
            </c:numRef>
          </c:xVal>
          <c:yVal>
            <c:numRef>
              <c:f>【事例1】危険部品判断シート!$K$38:$K$57</c:f>
              <c:numCache>
                <c:formatCode>0.00_ </c:formatCode>
                <c:ptCount val="20"/>
                <c:pt idx="0">
                  <c:v>153.59257377600787</c:v>
                </c:pt>
                <c:pt idx="1">
                  <c:v>15.359257377600787</c:v>
                </c:pt>
                <c:pt idx="2">
                  <c:v>18.069714561883281</c:v>
                </c:pt>
                <c:pt idx="3">
                  <c:v>219.4179625371541</c:v>
                </c:pt>
                <c:pt idx="4">
                  <c:v>191.99071722000983</c:v>
                </c:pt>
                <c:pt idx="5">
                  <c:v>18.069714561883281</c:v>
                </c:pt>
                <c:pt idx="6">
                  <c:v>102.39504918400526</c:v>
                </c:pt>
                <c:pt idx="7">
                  <c:v>153.59257377600787</c:v>
                </c:pt>
                <c:pt idx="8">
                  <c:v>13.355875980522425</c:v>
                </c:pt>
                <c:pt idx="9">
                  <c:v>161.67639344842934</c:v>
                </c:pt>
                <c:pt idx="10">
                  <c:v>61.43702951040315</c:v>
                </c:pt>
                <c:pt idx="11">
                  <c:v>25.598762296001315</c:v>
                </c:pt>
              </c:numCache>
            </c:numRef>
          </c:yVal>
          <c:smooth val="0"/>
          <c:extLst xmlns:c16r2="http://schemas.microsoft.com/office/drawing/2015/06/chart">
            <c:ext xmlns:c16="http://schemas.microsoft.com/office/drawing/2014/chart" uri="{C3380CC4-5D6E-409C-BE32-E72D297353CC}">
              <c16:uniqueId val="{00000004-3C33-4CBB-B1A0-C6F0C7F14249}"/>
            </c:ext>
          </c:extLst>
        </c:ser>
        <c:dLbls>
          <c:showLegendKey val="0"/>
          <c:showVal val="0"/>
          <c:showCatName val="0"/>
          <c:showSerName val="0"/>
          <c:showPercent val="0"/>
          <c:showBubbleSize val="0"/>
        </c:dLbls>
        <c:axId val="124044520"/>
        <c:axId val="124043736"/>
      </c:scatterChart>
      <c:valAx>
        <c:axId val="124044520"/>
        <c:scaling>
          <c:orientation val="minMax"/>
          <c:max val="200"/>
        </c:scaling>
        <c:delete val="0"/>
        <c:axPos val="b"/>
        <c:majorGridlines>
          <c:spPr>
            <a:ln>
              <a:solidFill>
                <a:schemeClr val="tx1"/>
              </a:solidFill>
            </a:ln>
          </c:spPr>
        </c:majorGridlines>
        <c:minorGridlines>
          <c:spPr>
            <a:ln>
              <a:solidFill>
                <a:schemeClr val="tx1">
                  <a:lumMod val="50000"/>
                  <a:lumOff val="50000"/>
                </a:schemeClr>
              </a:solidFill>
            </a:ln>
          </c:spPr>
        </c:minorGridlines>
        <c:numFmt formatCode="General" sourceLinked="1"/>
        <c:majorTickMark val="out"/>
        <c:minorTickMark val="none"/>
        <c:tickLblPos val="nextTo"/>
        <c:spPr>
          <a:ln>
            <a:solidFill>
              <a:sysClr val="windowText" lastClr="000000"/>
            </a:solidFill>
          </a:ln>
        </c:spPr>
        <c:txPr>
          <a:bodyPr/>
          <a:lstStyle/>
          <a:p>
            <a:pPr>
              <a:defRPr sz="1100"/>
            </a:pPr>
            <a:endParaRPr lang="ja-JP"/>
          </a:p>
        </c:txPr>
        <c:crossAx val="124043736"/>
        <c:crossesAt val="0.1"/>
        <c:crossBetween val="midCat"/>
        <c:majorUnit val="50"/>
      </c:valAx>
      <c:valAx>
        <c:axId val="124043736"/>
        <c:scaling>
          <c:logBase val="10"/>
          <c:orientation val="minMax"/>
        </c:scaling>
        <c:delete val="0"/>
        <c:axPos val="l"/>
        <c:majorGridlines/>
        <c:minorGridlines>
          <c:spPr>
            <a:ln>
              <a:solidFill>
                <a:schemeClr val="tx1">
                  <a:lumMod val="50000"/>
                  <a:lumOff val="50000"/>
                </a:schemeClr>
              </a:solidFill>
            </a:ln>
          </c:spPr>
        </c:minorGridlines>
        <c:numFmt formatCode="General" sourceLinked="1"/>
        <c:majorTickMark val="out"/>
        <c:minorTickMark val="none"/>
        <c:tickLblPos val="nextTo"/>
        <c:spPr>
          <a:ln>
            <a:solidFill>
              <a:sysClr val="windowText" lastClr="000000"/>
            </a:solidFill>
          </a:ln>
        </c:spPr>
        <c:txPr>
          <a:bodyPr/>
          <a:lstStyle/>
          <a:p>
            <a:pPr>
              <a:defRPr sz="1050"/>
            </a:pPr>
            <a:endParaRPr lang="ja-JP"/>
          </a:p>
        </c:txPr>
        <c:crossAx val="124044520"/>
        <c:crosses val="autoZero"/>
        <c:crossBetween val="midCat"/>
      </c:valAx>
      <c:spPr>
        <a:ln w="19050">
          <a:solidFill>
            <a:sysClr val="windowText" lastClr="000000"/>
          </a:solidFill>
        </a:ln>
      </c:spPr>
    </c:plotArea>
    <c:plotVisOnly val="1"/>
    <c:dispBlanksAs val="gap"/>
    <c:showDLblsOverMax val="0"/>
  </c:chart>
  <c:spPr>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scatterChart>
        <c:scatterStyle val="lineMarker"/>
        <c:varyColors val="0"/>
        <c:ser>
          <c:idx val="0"/>
          <c:order val="0"/>
          <c:spPr>
            <a:ln w="28575">
              <a:noFill/>
            </a:ln>
          </c:spPr>
          <c:marker>
            <c:symbol val="diamond"/>
            <c:size val="11"/>
            <c:spPr>
              <a:solidFill>
                <a:srgbClr val="FF0000"/>
              </a:solidFill>
              <a:ln>
                <a:solidFill>
                  <a:schemeClr val="tx1"/>
                </a:solidFill>
              </a:ln>
            </c:spPr>
          </c:marker>
          <c:xVal>
            <c:numRef>
              <c:f>【事例2】危険部品判断シート!$J$38:$J$55</c:f>
              <c:numCache>
                <c:formatCode>0.000_ </c:formatCode>
                <c:ptCount val="18"/>
                <c:pt idx="0">
                  <c:v>22.037193242350156</c:v>
                </c:pt>
                <c:pt idx="1">
                  <c:v>96.122787602888266</c:v>
                </c:pt>
                <c:pt idx="2">
                  <c:v>133.39244003683345</c:v>
                </c:pt>
                <c:pt idx="3">
                  <c:v>240.28158888082476</c:v>
                </c:pt>
                <c:pt idx="4">
                  <c:v>51.074244853729731</c:v>
                </c:pt>
                <c:pt idx="5">
                  <c:v>50.377282703272058</c:v>
                </c:pt>
                <c:pt idx="6">
                  <c:v>32.228445875376188</c:v>
                </c:pt>
                <c:pt idx="7">
                  <c:v>78.997430975533405</c:v>
                </c:pt>
                <c:pt idx="8">
                  <c:v>78.997430975533405</c:v>
                </c:pt>
              </c:numCache>
            </c:numRef>
          </c:xVal>
          <c:yVal>
            <c:numRef>
              <c:f>【事例2】危険部品判断シート!$K$38:$K$55</c:f>
              <c:numCache>
                <c:formatCode>0.000_ </c:formatCode>
                <c:ptCount val="18"/>
                <c:pt idx="0">
                  <c:v>5.4121431099294615</c:v>
                </c:pt>
                <c:pt idx="1">
                  <c:v>16.482435834785178</c:v>
                </c:pt>
                <c:pt idx="2">
                  <c:v>60.435598060878988</c:v>
                </c:pt>
                <c:pt idx="3">
                  <c:v>90.653397091318482</c:v>
                </c:pt>
                <c:pt idx="4">
                  <c:v>60.435598060878988</c:v>
                </c:pt>
                <c:pt idx="5">
                  <c:v>45.326698545659241</c:v>
                </c:pt>
                <c:pt idx="6">
                  <c:v>8.0580797414505323</c:v>
                </c:pt>
                <c:pt idx="7">
                  <c:v>90.653397091318482</c:v>
                </c:pt>
                <c:pt idx="8">
                  <c:v>181.30679418263696</c:v>
                </c:pt>
              </c:numCache>
            </c:numRef>
          </c:yVal>
          <c:smooth val="0"/>
          <c:extLst xmlns:c16r2="http://schemas.microsoft.com/office/drawing/2015/06/chart">
            <c:ext xmlns:c16="http://schemas.microsoft.com/office/drawing/2014/chart" uri="{C3380CC4-5D6E-409C-BE32-E72D297353CC}">
              <c16:uniqueId val="{00000000-EFED-4E1D-A00D-6A1AE4703304}"/>
            </c:ext>
          </c:extLst>
        </c:ser>
        <c:ser>
          <c:idx val="1"/>
          <c:order val="1"/>
          <c:spPr>
            <a:ln w="19050">
              <a:solidFill>
                <a:schemeClr val="tx1"/>
              </a:solidFill>
            </a:ln>
          </c:spPr>
          <c:marker>
            <c:symbol val="none"/>
          </c:marker>
          <c:xVal>
            <c:numRef>
              <c:f>'LEEの式 (3)'!$B$43:$B$44</c:f>
              <c:numCache>
                <c:formatCode>General</c:formatCode>
                <c:ptCount val="2"/>
                <c:pt idx="0">
                  <c:v>0.1</c:v>
                </c:pt>
                <c:pt idx="1">
                  <c:v>1000</c:v>
                </c:pt>
              </c:numCache>
            </c:numRef>
          </c:xVal>
          <c:yVal>
            <c:numRef>
              <c:f>'LEEの式 (3)'!$C$43:$C$44</c:f>
              <c:numCache>
                <c:formatCode>General</c:formatCode>
                <c:ptCount val="2"/>
                <c:pt idx="0">
                  <c:v>0.1</c:v>
                </c:pt>
                <c:pt idx="1">
                  <c:v>1000</c:v>
                </c:pt>
              </c:numCache>
            </c:numRef>
          </c:yVal>
          <c:smooth val="0"/>
          <c:extLst xmlns:c16r2="http://schemas.microsoft.com/office/drawing/2015/06/chart">
            <c:ext xmlns:c16="http://schemas.microsoft.com/office/drawing/2014/chart" uri="{C3380CC4-5D6E-409C-BE32-E72D297353CC}">
              <c16:uniqueId val="{00000001-EFED-4E1D-A00D-6A1AE4703304}"/>
            </c:ext>
          </c:extLst>
        </c:ser>
        <c:dLbls>
          <c:showLegendKey val="0"/>
          <c:showVal val="0"/>
          <c:showCatName val="0"/>
          <c:showSerName val="0"/>
          <c:showPercent val="0"/>
          <c:showBubbleSize val="0"/>
        </c:dLbls>
        <c:axId val="421609064"/>
        <c:axId val="421602792"/>
      </c:scatterChart>
      <c:valAx>
        <c:axId val="421609064"/>
        <c:scaling>
          <c:logBase val="10"/>
          <c:orientation val="minMax"/>
        </c:scaling>
        <c:delete val="0"/>
        <c:axPos val="b"/>
        <c:minorGridlines>
          <c:spPr>
            <a:ln>
              <a:solidFill>
                <a:sysClr val="windowText" lastClr="000000"/>
              </a:solidFill>
            </a:ln>
          </c:spPr>
        </c:minorGridlines>
        <c:title>
          <c:tx>
            <c:rich>
              <a:bodyPr/>
              <a:lstStyle/>
              <a:p>
                <a:pPr>
                  <a:defRPr sz="1200" b="0"/>
                </a:pPr>
                <a:r>
                  <a:rPr lang="ja-JP" altLang="en-US" sz="1200" b="0"/>
                  <a:t>部品の単体熱抵抗（℃</a:t>
                </a:r>
                <a:r>
                  <a:rPr lang="en-US" altLang="ja-JP" sz="1200" b="0"/>
                  <a:t>/</a:t>
                </a:r>
                <a:r>
                  <a:rPr lang="ja-JP" altLang="en-US" sz="1200" b="0"/>
                  <a:t>Ｗ）</a:t>
                </a:r>
              </a:p>
            </c:rich>
          </c:tx>
          <c:overlay val="0"/>
        </c:title>
        <c:numFmt formatCode="General" sourceLinked="0"/>
        <c:majorTickMark val="out"/>
        <c:minorTickMark val="none"/>
        <c:tickLblPos val="nextTo"/>
        <c:crossAx val="421602792"/>
        <c:crossesAt val="0.1"/>
        <c:crossBetween val="midCat"/>
      </c:valAx>
      <c:valAx>
        <c:axId val="421602792"/>
        <c:scaling>
          <c:logBase val="10"/>
          <c:orientation val="minMax"/>
        </c:scaling>
        <c:delete val="0"/>
        <c:axPos val="l"/>
        <c:minorGridlines>
          <c:spPr>
            <a:ln>
              <a:solidFill>
                <a:schemeClr val="tx1"/>
              </a:solidFill>
            </a:ln>
          </c:spPr>
        </c:minorGridlines>
        <c:title>
          <c:tx>
            <c:rich>
              <a:bodyPr rot="-5400000" vert="horz"/>
              <a:lstStyle/>
              <a:p>
                <a:pPr>
                  <a:defRPr sz="1200" b="0"/>
                </a:pPr>
                <a:r>
                  <a:rPr lang="ja-JP" altLang="en-US" sz="1200" b="0"/>
                  <a:t>目標熱抵抗（℃</a:t>
                </a:r>
                <a:r>
                  <a:rPr lang="en-US" altLang="ja-JP" sz="1200" b="0"/>
                  <a:t>/</a:t>
                </a:r>
                <a:r>
                  <a:rPr lang="ja-JP" altLang="en-US" sz="1200" b="0"/>
                  <a:t>Ｗ）</a:t>
                </a:r>
              </a:p>
            </c:rich>
          </c:tx>
          <c:overlay val="0"/>
        </c:title>
        <c:numFmt formatCode="General" sourceLinked="0"/>
        <c:majorTickMark val="out"/>
        <c:minorTickMark val="none"/>
        <c:tickLblPos val="nextTo"/>
        <c:crossAx val="421609064"/>
        <c:crossesAt val="0.1"/>
        <c:crossBetween val="midCat"/>
      </c:valAx>
      <c:spPr>
        <a:ln w="19050">
          <a:solidFill>
            <a:sysClr val="windowText" lastClr="000000"/>
          </a:solidFill>
        </a:ln>
      </c:spPr>
    </c:plotArea>
    <c:plotVisOnly val="1"/>
    <c:dispBlanksAs val="gap"/>
    <c:showDLblsOverMax val="0"/>
  </c:chart>
  <c:spPr>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a:solidFill>
                <a:sysClr val="windowText" lastClr="000000"/>
              </a:solidFill>
            </a:ln>
          </c:spPr>
          <c:marker>
            <c:symbol val="none"/>
          </c:marker>
          <c:xVal>
            <c:numRef>
              <c:f>'LEEの式 (3)'!$G$6:$G$30</c:f>
              <c:numCache>
                <c:formatCode>General</c:formatCode>
                <c:ptCount val="25"/>
                <c:pt idx="0">
                  <c:v>8</c:v>
                </c:pt>
                <c:pt idx="1">
                  <c:v>16</c:v>
                </c:pt>
                <c:pt idx="2">
                  <c:v>24</c:v>
                </c:pt>
                <c:pt idx="3">
                  <c:v>32</c:v>
                </c:pt>
                <c:pt idx="4">
                  <c:v>40</c:v>
                </c:pt>
                <c:pt idx="5">
                  <c:v>48</c:v>
                </c:pt>
                <c:pt idx="6">
                  <c:v>56</c:v>
                </c:pt>
                <c:pt idx="7">
                  <c:v>64</c:v>
                </c:pt>
                <c:pt idx="8">
                  <c:v>72.000000000000014</c:v>
                </c:pt>
                <c:pt idx="9">
                  <c:v>80.000000000000014</c:v>
                </c:pt>
                <c:pt idx="10">
                  <c:v>88.000000000000028</c:v>
                </c:pt>
                <c:pt idx="11">
                  <c:v>96.000000000000028</c:v>
                </c:pt>
                <c:pt idx="12">
                  <c:v>104.00000000000004</c:v>
                </c:pt>
                <c:pt idx="13">
                  <c:v>112.00000000000004</c:v>
                </c:pt>
                <c:pt idx="14">
                  <c:v>120.00000000000006</c:v>
                </c:pt>
                <c:pt idx="15">
                  <c:v>128.00000000000006</c:v>
                </c:pt>
                <c:pt idx="16">
                  <c:v>136.00000000000006</c:v>
                </c:pt>
                <c:pt idx="17">
                  <c:v>144.00000000000009</c:v>
                </c:pt>
                <c:pt idx="18">
                  <c:v>152.00000000000009</c:v>
                </c:pt>
                <c:pt idx="19">
                  <c:v>160.00000000000009</c:v>
                </c:pt>
                <c:pt idx="20">
                  <c:v>168.00000000000009</c:v>
                </c:pt>
                <c:pt idx="21">
                  <c:v>176.00000000000011</c:v>
                </c:pt>
                <c:pt idx="22">
                  <c:v>184.00000000000011</c:v>
                </c:pt>
                <c:pt idx="23">
                  <c:v>192.00000000000011</c:v>
                </c:pt>
                <c:pt idx="24">
                  <c:v>200.00000000000011</c:v>
                </c:pt>
              </c:numCache>
            </c:numRef>
          </c:xVal>
          <c:yVal>
            <c:numRef>
              <c:f>'LEEの式 (3)'!$W$6:$W$30</c:f>
              <c:numCache>
                <c:formatCode>General</c:formatCode>
                <c:ptCount val="25"/>
                <c:pt idx="0">
                  <c:v>217.31050126293349</c:v>
                </c:pt>
                <c:pt idx="1">
                  <c:v>159.34092853293942</c:v>
                </c:pt>
                <c:pt idx="2">
                  <c:v>123.2872761944535</c:v>
                </c:pt>
                <c:pt idx="3">
                  <c:v>98.609300046729558</c:v>
                </c:pt>
                <c:pt idx="4">
                  <c:v>80.843218287360756</c:v>
                </c:pt>
                <c:pt idx="5">
                  <c:v>67.583940054705579</c:v>
                </c:pt>
                <c:pt idx="6">
                  <c:v>57.405952596102892</c:v>
                </c:pt>
                <c:pt idx="7">
                  <c:v>49.412335188563453</c:v>
                </c:pt>
                <c:pt idx="8">
                  <c:v>43.013206376580385</c:v>
                </c:pt>
                <c:pt idx="9">
                  <c:v>37.806678017720614</c:v>
                </c:pt>
                <c:pt idx="10">
                  <c:v>33.510816430589486</c:v>
                </c:pt>
                <c:pt idx="11">
                  <c:v>29.922869228903277</c:v>
                </c:pt>
                <c:pt idx="12">
                  <c:v>26.893871932131869</c:v>
                </c:pt>
                <c:pt idx="13">
                  <c:v>24.312312394661266</c:v>
                </c:pt>
                <c:pt idx="14">
                  <c:v>22.093325478764243</c:v>
                </c:pt>
                <c:pt idx="15">
                  <c:v>20.171369993046312</c:v>
                </c:pt>
                <c:pt idx="16">
                  <c:v>18.495158052300848</c:v>
                </c:pt>
                <c:pt idx="17">
                  <c:v>17.024076314905301</c:v>
                </c:pt>
                <c:pt idx="18">
                  <c:v>15.725616449072103</c:v>
                </c:pt>
                <c:pt idx="19">
                  <c:v>14.573501398250734</c:v>
                </c:pt>
                <c:pt idx="20">
                  <c:v>13.546299652545857</c:v>
                </c:pt>
                <c:pt idx="21">
                  <c:v>12.626387165849705</c:v>
                </c:pt>
                <c:pt idx="22">
                  <c:v>11.7991604814199</c:v>
                </c:pt>
                <c:pt idx="23">
                  <c:v>11.052433768413401</c:v>
                </c:pt>
                <c:pt idx="24">
                  <c:v>10.37597213134989</c:v>
                </c:pt>
              </c:numCache>
            </c:numRef>
          </c:yVal>
          <c:smooth val="0"/>
          <c:extLst xmlns:c16r2="http://schemas.microsoft.com/office/drawing/2015/06/chart">
            <c:ext xmlns:c16="http://schemas.microsoft.com/office/drawing/2014/chart" uri="{C3380CC4-5D6E-409C-BE32-E72D297353CC}">
              <c16:uniqueId val="{00000000-9DED-42A1-ACEB-9E454125668D}"/>
            </c:ext>
          </c:extLst>
        </c:ser>
        <c:ser>
          <c:idx val="1"/>
          <c:order val="1"/>
          <c:spPr>
            <a:ln>
              <a:solidFill>
                <a:srgbClr val="0000FF"/>
              </a:solidFill>
              <a:prstDash val="sysDash"/>
            </a:ln>
          </c:spPr>
          <c:marker>
            <c:symbol val="none"/>
          </c:marker>
          <c:xVal>
            <c:numRef>
              <c:f>'LEEの式 (3)'!$G$34:$G$58</c:f>
              <c:numCache>
                <c:formatCode>General</c:formatCode>
                <c:ptCount val="25"/>
                <c:pt idx="0">
                  <c:v>8</c:v>
                </c:pt>
                <c:pt idx="1">
                  <c:v>16</c:v>
                </c:pt>
                <c:pt idx="2">
                  <c:v>24</c:v>
                </c:pt>
                <c:pt idx="3">
                  <c:v>32</c:v>
                </c:pt>
                <c:pt idx="4">
                  <c:v>40</c:v>
                </c:pt>
                <c:pt idx="5">
                  <c:v>48</c:v>
                </c:pt>
                <c:pt idx="6">
                  <c:v>56</c:v>
                </c:pt>
                <c:pt idx="7">
                  <c:v>64</c:v>
                </c:pt>
                <c:pt idx="8">
                  <c:v>72.000000000000014</c:v>
                </c:pt>
                <c:pt idx="9">
                  <c:v>80.000000000000014</c:v>
                </c:pt>
                <c:pt idx="10">
                  <c:v>88.000000000000028</c:v>
                </c:pt>
                <c:pt idx="11">
                  <c:v>96.000000000000028</c:v>
                </c:pt>
                <c:pt idx="12">
                  <c:v>104.00000000000004</c:v>
                </c:pt>
                <c:pt idx="13">
                  <c:v>112.00000000000004</c:v>
                </c:pt>
                <c:pt idx="14">
                  <c:v>120.00000000000006</c:v>
                </c:pt>
                <c:pt idx="15">
                  <c:v>128.00000000000006</c:v>
                </c:pt>
                <c:pt idx="16">
                  <c:v>136.00000000000006</c:v>
                </c:pt>
                <c:pt idx="17">
                  <c:v>144.00000000000009</c:v>
                </c:pt>
                <c:pt idx="18">
                  <c:v>152.00000000000009</c:v>
                </c:pt>
                <c:pt idx="19">
                  <c:v>160.00000000000009</c:v>
                </c:pt>
                <c:pt idx="20">
                  <c:v>168.00000000000009</c:v>
                </c:pt>
                <c:pt idx="21">
                  <c:v>176.00000000000011</c:v>
                </c:pt>
                <c:pt idx="22">
                  <c:v>184.00000000000011</c:v>
                </c:pt>
                <c:pt idx="23">
                  <c:v>192.00000000000011</c:v>
                </c:pt>
                <c:pt idx="24">
                  <c:v>200.00000000000011</c:v>
                </c:pt>
              </c:numCache>
            </c:numRef>
          </c:xVal>
          <c:yVal>
            <c:numRef>
              <c:f>'LEEの式 (3)'!$W$34:$W$58</c:f>
              <c:numCache>
                <c:formatCode>General</c:formatCode>
                <c:ptCount val="25"/>
                <c:pt idx="0">
                  <c:v>82.233384628148031</c:v>
                </c:pt>
                <c:pt idx="1">
                  <c:v>65.406899372787066</c:v>
                </c:pt>
                <c:pt idx="2">
                  <c:v>54.971098387488283</c:v>
                </c:pt>
                <c:pt idx="3">
                  <c:v>47.251270660013127</c:v>
                </c:pt>
                <c:pt idx="4">
                  <c:v>41.212526759310052</c:v>
                </c:pt>
                <c:pt idx="5">
                  <c:v>36.344955381054021</c:v>
                </c:pt>
                <c:pt idx="6">
                  <c:v>32.341092340917129</c:v>
                </c:pt>
                <c:pt idx="7">
                  <c:v>28.996696272527807</c:v>
                </c:pt>
                <c:pt idx="8">
                  <c:v>26.168252125764269</c:v>
                </c:pt>
                <c:pt idx="9">
                  <c:v>23.75108576006172</c:v>
                </c:pt>
                <c:pt idx="10">
                  <c:v>21.666750844200447</c:v>
                </c:pt>
                <c:pt idx="11">
                  <c:v>19.855202534096914</c:v>
                </c:pt>
                <c:pt idx="12">
                  <c:v>18.269683849628439</c:v>
                </c:pt>
                <c:pt idx="13">
                  <c:v>16.873254360295881</c:v>
                </c:pt>
                <c:pt idx="14">
                  <c:v>15.636362890554674</c:v>
                </c:pt>
                <c:pt idx="15">
                  <c:v>14.535109268523673</c:v>
                </c:pt>
                <c:pt idx="16">
                  <c:v>13.549974599482786</c:v>
                </c:pt>
                <c:pt idx="17">
                  <c:v>12.664877996320399</c:v>
                </c:pt>
                <c:pt idx="18">
                  <c:v>11.866465492634061</c:v>
                </c:pt>
                <c:pt idx="19">
                  <c:v>11.143567020316816</c:v>
                </c:pt>
                <c:pt idx="20">
                  <c:v>10.4867769220597</c:v>
                </c:pt>
                <c:pt idx="21">
                  <c:v>9.8881265094006299</c:v>
                </c:pt>
                <c:pt idx="22">
                  <c:v>9.3408260425654053</c:v>
                </c:pt>
                <c:pt idx="23">
                  <c:v>8.8390596473643122</c:v>
                </c:pt>
                <c:pt idx="24">
                  <c:v>8.3778210047439803</c:v>
                </c:pt>
              </c:numCache>
            </c:numRef>
          </c:yVal>
          <c:smooth val="0"/>
          <c:extLst xmlns:c16r2="http://schemas.microsoft.com/office/drawing/2015/06/chart">
            <c:ext xmlns:c16="http://schemas.microsoft.com/office/drawing/2014/chart" uri="{C3380CC4-5D6E-409C-BE32-E72D297353CC}">
              <c16:uniqueId val="{00000001-9DED-42A1-ACEB-9E454125668D}"/>
            </c:ext>
          </c:extLst>
        </c:ser>
        <c:ser>
          <c:idx val="2"/>
          <c:order val="2"/>
          <c:spPr>
            <a:ln>
              <a:solidFill>
                <a:srgbClr val="008000"/>
              </a:solidFill>
              <a:prstDash val="dash"/>
            </a:ln>
          </c:spPr>
          <c:marker>
            <c:symbol val="none"/>
          </c:marker>
          <c:xVal>
            <c:numRef>
              <c:f>'LEEの式 (3)'!$G$62:$G$86</c:f>
              <c:numCache>
                <c:formatCode>General</c:formatCode>
                <c:ptCount val="25"/>
                <c:pt idx="0">
                  <c:v>8</c:v>
                </c:pt>
                <c:pt idx="1">
                  <c:v>16</c:v>
                </c:pt>
                <c:pt idx="2">
                  <c:v>24</c:v>
                </c:pt>
                <c:pt idx="3">
                  <c:v>32</c:v>
                </c:pt>
                <c:pt idx="4">
                  <c:v>40</c:v>
                </c:pt>
                <c:pt idx="5">
                  <c:v>48</c:v>
                </c:pt>
                <c:pt idx="6">
                  <c:v>56</c:v>
                </c:pt>
                <c:pt idx="7">
                  <c:v>64</c:v>
                </c:pt>
                <c:pt idx="8">
                  <c:v>72.000000000000014</c:v>
                </c:pt>
                <c:pt idx="9">
                  <c:v>80.000000000000014</c:v>
                </c:pt>
                <c:pt idx="10">
                  <c:v>88.000000000000028</c:v>
                </c:pt>
                <c:pt idx="11">
                  <c:v>96.000000000000028</c:v>
                </c:pt>
                <c:pt idx="12">
                  <c:v>104.00000000000004</c:v>
                </c:pt>
                <c:pt idx="13">
                  <c:v>112.00000000000004</c:v>
                </c:pt>
                <c:pt idx="14">
                  <c:v>120.00000000000006</c:v>
                </c:pt>
                <c:pt idx="15">
                  <c:v>128.00000000000006</c:v>
                </c:pt>
                <c:pt idx="16">
                  <c:v>136.00000000000006</c:v>
                </c:pt>
                <c:pt idx="17">
                  <c:v>144.00000000000009</c:v>
                </c:pt>
                <c:pt idx="18">
                  <c:v>152.00000000000009</c:v>
                </c:pt>
                <c:pt idx="19">
                  <c:v>160.00000000000009</c:v>
                </c:pt>
                <c:pt idx="20">
                  <c:v>168.00000000000009</c:v>
                </c:pt>
                <c:pt idx="21">
                  <c:v>176.00000000000011</c:v>
                </c:pt>
                <c:pt idx="22">
                  <c:v>184.00000000000011</c:v>
                </c:pt>
                <c:pt idx="23">
                  <c:v>192.00000000000011</c:v>
                </c:pt>
                <c:pt idx="24">
                  <c:v>200.00000000000011</c:v>
                </c:pt>
              </c:numCache>
            </c:numRef>
          </c:xVal>
          <c:yVal>
            <c:numRef>
              <c:f>'LEEの式 (3)'!$W$62:$W$86</c:f>
              <c:numCache>
                <c:formatCode>General</c:formatCode>
                <c:ptCount val="25"/>
                <c:pt idx="0">
                  <c:v>50.732301241676453</c:v>
                </c:pt>
                <c:pt idx="1">
                  <c:v>40.611536082149868</c:v>
                </c:pt>
                <c:pt idx="2">
                  <c:v>34.927480617375601</c:v>
                </c:pt>
                <c:pt idx="3">
                  <c:v>30.772925492514954</c:v>
                </c:pt>
                <c:pt idx="4">
                  <c:v>27.49014066330751</c:v>
                </c:pt>
                <c:pt idx="5">
                  <c:v>24.795926038604776</c:v>
                </c:pt>
                <c:pt idx="6">
                  <c:v>22.532588281945468</c:v>
                </c:pt>
                <c:pt idx="7">
                  <c:v>20.599978162665362</c:v>
                </c:pt>
                <c:pt idx="8">
                  <c:v>18.929300307025628</c:v>
                </c:pt>
                <c:pt idx="9">
                  <c:v>17.470786409484543</c:v>
                </c:pt>
                <c:pt idx="10">
                  <c:v>16.18708978364009</c:v>
                </c:pt>
                <c:pt idx="11">
                  <c:v>15.049409621114634</c:v>
                </c:pt>
                <c:pt idx="12">
                  <c:v>14.035059950772746</c:v>
                </c:pt>
                <c:pt idx="13">
                  <c:v>13.125865170916693</c:v>
                </c:pt>
                <c:pt idx="14">
                  <c:v>12.307058036694924</c:v>
                </c:pt>
                <c:pt idx="15">
                  <c:v>11.566498187082251</c:v>
                </c:pt>
                <c:pt idx="16">
                  <c:v>10.894103334763825</c:v>
                </c:pt>
                <c:pt idx="17">
                  <c:v>10.281426183224838</c:v>
                </c:pt>
                <c:pt idx="18">
                  <c:v>9.7213339376466781</c:v>
                </c:pt>
                <c:pt idx="19">
                  <c:v>9.2077617124243254</c:v>
                </c:pt>
                <c:pt idx="20">
                  <c:v>8.7355202156600207</c:v>
                </c:pt>
                <c:pt idx="21">
                  <c:v>8.3001439791815237</c:v>
                </c:pt>
                <c:pt idx="22">
                  <c:v>7.8977703264057633</c:v>
                </c:pt>
                <c:pt idx="23">
                  <c:v>7.5250419473670709</c:v>
                </c:pt>
                <c:pt idx="24">
                  <c:v>7.1790278147798476</c:v>
                </c:pt>
              </c:numCache>
            </c:numRef>
          </c:yVal>
          <c:smooth val="0"/>
          <c:extLst xmlns:c16r2="http://schemas.microsoft.com/office/drawing/2015/06/chart">
            <c:ext xmlns:c16="http://schemas.microsoft.com/office/drawing/2014/chart" uri="{C3380CC4-5D6E-409C-BE32-E72D297353CC}">
              <c16:uniqueId val="{00000002-9DED-42A1-ACEB-9E454125668D}"/>
            </c:ext>
          </c:extLst>
        </c:ser>
        <c:ser>
          <c:idx val="3"/>
          <c:order val="3"/>
          <c:spPr>
            <a:ln w="38100">
              <a:solidFill>
                <a:sysClr val="windowText" lastClr="000000"/>
              </a:solidFill>
              <a:prstDash val="sysDot"/>
            </a:ln>
          </c:spPr>
          <c:marker>
            <c:symbol val="none"/>
          </c:marker>
          <c:xVal>
            <c:numRef>
              <c:f>'LEEの式 (3)'!$G$90:$G$114</c:f>
              <c:numCache>
                <c:formatCode>General</c:formatCode>
                <c:ptCount val="25"/>
                <c:pt idx="0">
                  <c:v>8</c:v>
                </c:pt>
                <c:pt idx="1">
                  <c:v>16</c:v>
                </c:pt>
                <c:pt idx="2">
                  <c:v>24</c:v>
                </c:pt>
                <c:pt idx="3">
                  <c:v>32</c:v>
                </c:pt>
                <c:pt idx="4">
                  <c:v>40</c:v>
                </c:pt>
                <c:pt idx="5">
                  <c:v>48</c:v>
                </c:pt>
                <c:pt idx="6">
                  <c:v>56</c:v>
                </c:pt>
                <c:pt idx="7">
                  <c:v>64</c:v>
                </c:pt>
                <c:pt idx="8">
                  <c:v>72.000000000000014</c:v>
                </c:pt>
                <c:pt idx="9">
                  <c:v>80.000000000000014</c:v>
                </c:pt>
                <c:pt idx="10">
                  <c:v>88.000000000000028</c:v>
                </c:pt>
                <c:pt idx="11">
                  <c:v>96.000000000000028</c:v>
                </c:pt>
                <c:pt idx="12">
                  <c:v>104.00000000000004</c:v>
                </c:pt>
                <c:pt idx="13">
                  <c:v>112.00000000000004</c:v>
                </c:pt>
                <c:pt idx="14">
                  <c:v>120.00000000000006</c:v>
                </c:pt>
                <c:pt idx="15">
                  <c:v>128.00000000000006</c:v>
                </c:pt>
                <c:pt idx="16">
                  <c:v>136.00000000000006</c:v>
                </c:pt>
                <c:pt idx="17">
                  <c:v>144.00000000000009</c:v>
                </c:pt>
                <c:pt idx="18">
                  <c:v>152.00000000000009</c:v>
                </c:pt>
                <c:pt idx="19">
                  <c:v>160.00000000000009</c:v>
                </c:pt>
                <c:pt idx="20">
                  <c:v>168.00000000000009</c:v>
                </c:pt>
                <c:pt idx="21">
                  <c:v>176.00000000000011</c:v>
                </c:pt>
                <c:pt idx="22">
                  <c:v>184.00000000000011</c:v>
                </c:pt>
                <c:pt idx="23">
                  <c:v>192.00000000000011</c:v>
                </c:pt>
                <c:pt idx="24">
                  <c:v>200.00000000000011</c:v>
                </c:pt>
              </c:numCache>
            </c:numRef>
          </c:xVal>
          <c:yVal>
            <c:numRef>
              <c:f>'LEEの式 (3)'!$W$90:$W$114</c:f>
              <c:numCache>
                <c:formatCode>General</c:formatCode>
                <c:ptCount val="25"/>
                <c:pt idx="0">
                  <c:v>38.735191670075892</c:v>
                </c:pt>
                <c:pt idx="1">
                  <c:v>30.817479672617921</c:v>
                </c:pt>
                <c:pt idx="2">
                  <c:v>26.692598018117828</c:v>
                </c:pt>
                <c:pt idx="3">
                  <c:v>23.738657130482636</c:v>
                </c:pt>
                <c:pt idx="4">
                  <c:v>21.418791361981022</c:v>
                </c:pt>
                <c:pt idx="5">
                  <c:v>19.514867134221774</c:v>
                </c:pt>
                <c:pt idx="6">
                  <c:v>17.909987696903329</c:v>
                </c:pt>
                <c:pt idx="7">
                  <c:v>16.532061463691338</c:v>
                </c:pt>
                <c:pt idx="8">
                  <c:v>15.332721316637656</c:v>
                </c:pt>
                <c:pt idx="9">
                  <c:v>14.277628014933637</c:v>
                </c:pt>
                <c:pt idx="10">
                  <c:v>13.341383147790731</c:v>
                </c:pt>
                <c:pt idx="11">
                  <c:v>12.504607761589185</c:v>
                </c:pt>
                <c:pt idx="12">
                  <c:v>11.752149399027706</c:v>
                </c:pt>
                <c:pt idx="13">
                  <c:v>11.071923765029046</c:v>
                </c:pt>
                <c:pt idx="14">
                  <c:v>10.454135051453481</c:v>
                </c:pt>
                <c:pt idx="15">
                  <c:v>9.8907331737194646</c:v>
                </c:pt>
                <c:pt idx="16">
                  <c:v>9.3750251490904404</c:v>
                </c:pt>
                <c:pt idx="17">
                  <c:v>8.9013901209446402</c:v>
                </c:pt>
                <c:pt idx="18">
                  <c:v>8.4650660635317934</c:v>
                </c:pt>
                <c:pt idx="19">
                  <c:v>8.0619872803209844</c:v>
                </c:pt>
                <c:pt idx="20">
                  <c:v>7.6886586669663366</c:v>
                </c:pt>
                <c:pt idx="21">
                  <c:v>7.3420570856571139</c:v>
                </c:pt>
                <c:pt idx="22">
                  <c:v>7.0195530650217783</c:v>
                </c:pt>
                <c:pt idx="23">
                  <c:v>6.7188479637716885</c:v>
                </c:pt>
                <c:pt idx="24">
                  <c:v>6.4379230549075386</c:v>
                </c:pt>
              </c:numCache>
            </c:numRef>
          </c:yVal>
          <c:smooth val="0"/>
          <c:extLst xmlns:c16r2="http://schemas.microsoft.com/office/drawing/2015/06/chart">
            <c:ext xmlns:c16="http://schemas.microsoft.com/office/drawing/2014/chart" uri="{C3380CC4-5D6E-409C-BE32-E72D297353CC}">
              <c16:uniqueId val="{00000003-9DED-42A1-ACEB-9E454125668D}"/>
            </c:ext>
          </c:extLst>
        </c:ser>
        <c:ser>
          <c:idx val="4"/>
          <c:order val="4"/>
          <c:spPr>
            <a:ln>
              <a:noFill/>
            </a:ln>
          </c:spPr>
          <c:marker>
            <c:symbol val="diamond"/>
            <c:size val="9"/>
            <c:spPr>
              <a:solidFill>
                <a:srgbClr val="FF0000"/>
              </a:solidFill>
              <a:ln>
                <a:solidFill>
                  <a:schemeClr val="tx1"/>
                </a:solidFill>
              </a:ln>
            </c:spPr>
          </c:marker>
          <c:xVal>
            <c:numRef>
              <c:f>【事例2】危険部品判断シート!$G$38:$G$57</c:f>
              <c:numCache>
                <c:formatCode>General</c:formatCode>
                <c:ptCount val="20"/>
                <c:pt idx="0">
                  <c:v>140</c:v>
                </c:pt>
                <c:pt idx="1">
                  <c:v>60</c:v>
                </c:pt>
                <c:pt idx="2">
                  <c:v>48</c:v>
                </c:pt>
                <c:pt idx="3">
                  <c:v>36</c:v>
                </c:pt>
                <c:pt idx="4">
                  <c:v>84</c:v>
                </c:pt>
                <c:pt idx="5">
                  <c:v>88</c:v>
                </c:pt>
                <c:pt idx="6">
                  <c:v>71.599999999999994</c:v>
                </c:pt>
                <c:pt idx="7">
                  <c:v>43</c:v>
                </c:pt>
                <c:pt idx="8">
                  <c:v>43</c:v>
                </c:pt>
              </c:numCache>
            </c:numRef>
          </c:xVal>
          <c:yVal>
            <c:numRef>
              <c:f>【事例2】危険部品判断シート!$K$38:$K$57</c:f>
              <c:numCache>
                <c:formatCode>0.000_ </c:formatCode>
                <c:ptCount val="20"/>
                <c:pt idx="0">
                  <c:v>5.4121431099294615</c:v>
                </c:pt>
                <c:pt idx="1">
                  <c:v>16.482435834785178</c:v>
                </c:pt>
                <c:pt idx="2">
                  <c:v>60.435598060878988</c:v>
                </c:pt>
                <c:pt idx="3">
                  <c:v>90.653397091318482</c:v>
                </c:pt>
                <c:pt idx="4">
                  <c:v>60.435598060878988</c:v>
                </c:pt>
                <c:pt idx="5">
                  <c:v>45.326698545659241</c:v>
                </c:pt>
                <c:pt idx="6">
                  <c:v>8.0580797414505323</c:v>
                </c:pt>
                <c:pt idx="7">
                  <c:v>90.653397091318482</c:v>
                </c:pt>
                <c:pt idx="8">
                  <c:v>181.30679418263696</c:v>
                </c:pt>
              </c:numCache>
            </c:numRef>
          </c:yVal>
          <c:smooth val="0"/>
          <c:extLst xmlns:c16r2="http://schemas.microsoft.com/office/drawing/2015/06/chart">
            <c:ext xmlns:c16="http://schemas.microsoft.com/office/drawing/2014/chart" uri="{C3380CC4-5D6E-409C-BE32-E72D297353CC}">
              <c16:uniqueId val="{00000004-9DED-42A1-ACEB-9E454125668D}"/>
            </c:ext>
          </c:extLst>
        </c:ser>
        <c:dLbls>
          <c:showLegendKey val="0"/>
          <c:showVal val="0"/>
          <c:showCatName val="0"/>
          <c:showSerName val="0"/>
          <c:showPercent val="0"/>
          <c:showBubbleSize val="0"/>
        </c:dLbls>
        <c:axId val="421605928"/>
        <c:axId val="421607496"/>
      </c:scatterChart>
      <c:valAx>
        <c:axId val="421605928"/>
        <c:scaling>
          <c:orientation val="minMax"/>
          <c:max val="200"/>
        </c:scaling>
        <c:delete val="0"/>
        <c:axPos val="b"/>
        <c:majorGridlines>
          <c:spPr>
            <a:ln>
              <a:solidFill>
                <a:schemeClr val="tx1"/>
              </a:solidFill>
            </a:ln>
          </c:spPr>
        </c:majorGridlines>
        <c:minorGridlines>
          <c:spPr>
            <a:ln>
              <a:solidFill>
                <a:schemeClr val="tx1">
                  <a:lumMod val="50000"/>
                  <a:lumOff val="50000"/>
                </a:schemeClr>
              </a:solidFill>
            </a:ln>
          </c:spPr>
        </c:minorGridlines>
        <c:numFmt formatCode="General" sourceLinked="1"/>
        <c:majorTickMark val="out"/>
        <c:minorTickMark val="none"/>
        <c:tickLblPos val="nextTo"/>
        <c:spPr>
          <a:ln>
            <a:solidFill>
              <a:sysClr val="windowText" lastClr="000000"/>
            </a:solidFill>
          </a:ln>
        </c:spPr>
        <c:txPr>
          <a:bodyPr/>
          <a:lstStyle/>
          <a:p>
            <a:pPr>
              <a:defRPr sz="1100"/>
            </a:pPr>
            <a:endParaRPr lang="ja-JP"/>
          </a:p>
        </c:txPr>
        <c:crossAx val="421607496"/>
        <c:crossesAt val="0.1"/>
        <c:crossBetween val="midCat"/>
        <c:majorUnit val="50"/>
      </c:valAx>
      <c:valAx>
        <c:axId val="421607496"/>
        <c:scaling>
          <c:logBase val="10"/>
          <c:orientation val="minMax"/>
        </c:scaling>
        <c:delete val="0"/>
        <c:axPos val="l"/>
        <c:majorGridlines/>
        <c:minorGridlines>
          <c:spPr>
            <a:ln>
              <a:solidFill>
                <a:schemeClr val="tx1">
                  <a:lumMod val="50000"/>
                  <a:lumOff val="50000"/>
                </a:schemeClr>
              </a:solidFill>
            </a:ln>
          </c:spPr>
        </c:minorGridlines>
        <c:numFmt formatCode="General" sourceLinked="1"/>
        <c:majorTickMark val="out"/>
        <c:minorTickMark val="none"/>
        <c:tickLblPos val="nextTo"/>
        <c:spPr>
          <a:ln>
            <a:solidFill>
              <a:sysClr val="windowText" lastClr="000000"/>
            </a:solidFill>
          </a:ln>
        </c:spPr>
        <c:txPr>
          <a:bodyPr/>
          <a:lstStyle/>
          <a:p>
            <a:pPr>
              <a:defRPr sz="1050"/>
            </a:pPr>
            <a:endParaRPr lang="ja-JP"/>
          </a:p>
        </c:txPr>
        <c:crossAx val="421605928"/>
        <c:crosses val="autoZero"/>
        <c:crossBetween val="midCat"/>
      </c:valAx>
      <c:spPr>
        <a:ln w="19050">
          <a:solidFill>
            <a:sysClr val="windowText" lastClr="000000"/>
          </a:solidFill>
        </a:ln>
      </c:spPr>
    </c:plotArea>
    <c:plotVisOnly val="1"/>
    <c:dispBlanksAs val="gap"/>
    <c:showDLblsOverMax val="0"/>
  </c:chart>
  <c:spPr>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scatterChart>
        <c:scatterStyle val="lineMarker"/>
        <c:varyColors val="0"/>
        <c:ser>
          <c:idx val="0"/>
          <c:order val="0"/>
          <c:spPr>
            <a:ln w="28575">
              <a:noFill/>
            </a:ln>
          </c:spPr>
          <c:marker>
            <c:symbol val="diamond"/>
            <c:size val="11"/>
            <c:spPr>
              <a:solidFill>
                <a:srgbClr val="FF0000"/>
              </a:solidFill>
              <a:ln>
                <a:solidFill>
                  <a:schemeClr val="tx1"/>
                </a:solidFill>
              </a:ln>
            </c:spPr>
          </c:marker>
          <c:xVal>
            <c:numRef>
              <c:f>【事例3】危険部品判断シート!$J$38:$J$55</c:f>
              <c:numCache>
                <c:formatCode>0.0_ </c:formatCode>
                <c:ptCount val="18"/>
                <c:pt idx="0">
                  <c:v>17.440680492091069</c:v>
                </c:pt>
                <c:pt idx="1">
                  <c:v>11.873098922496343</c:v>
                </c:pt>
                <c:pt idx="2">
                  <c:v>82.332091732827308</c:v>
                </c:pt>
                <c:pt idx="3">
                  <c:v>212.91517245839441</c:v>
                </c:pt>
                <c:pt idx="4">
                  <c:v>104.69330250040333</c:v>
                </c:pt>
                <c:pt idx="5">
                  <c:v>18.772779583183315</c:v>
                </c:pt>
                <c:pt idx="6">
                  <c:v>51.278352245095512</c:v>
                </c:pt>
                <c:pt idx="7">
                  <c:v>36.056567293849866</c:v>
                </c:pt>
                <c:pt idx="8">
                  <c:v>92.248813409321571</c:v>
                </c:pt>
                <c:pt idx="9">
                  <c:v>17.327280867990083</c:v>
                </c:pt>
                <c:pt idx="10">
                  <c:v>72.522900284036027</c:v>
                </c:pt>
                <c:pt idx="11">
                  <c:v>26.902050951491987</c:v>
                </c:pt>
                <c:pt idx="12">
                  <c:v>41.522724680982343</c:v>
                </c:pt>
                <c:pt idx="13">
                  <c:v>53.699281261268702</c:v>
                </c:pt>
                <c:pt idx="14">
                  <c:v>11.22837579140139</c:v>
                </c:pt>
                <c:pt idx="15">
                  <c:v>0.62782199344900858</c:v>
                </c:pt>
                <c:pt idx="16">
                  <c:v>1.1583367579309345</c:v>
                </c:pt>
              </c:numCache>
            </c:numRef>
          </c:xVal>
          <c:yVal>
            <c:numRef>
              <c:f>【事例3】危険部品判断シート!$K$38:$K$55</c:f>
              <c:numCache>
                <c:formatCode>0.0_ </c:formatCode>
                <c:ptCount val="18"/>
                <c:pt idx="0">
                  <c:v>0.4375</c:v>
                </c:pt>
                <c:pt idx="1">
                  <c:v>0.875</c:v>
                </c:pt>
                <c:pt idx="2">
                  <c:v>31.818181818181817</c:v>
                </c:pt>
                <c:pt idx="3">
                  <c:v>233.33333333333334</c:v>
                </c:pt>
                <c:pt idx="4">
                  <c:v>50</c:v>
                </c:pt>
                <c:pt idx="5">
                  <c:v>19.444444444444443</c:v>
                </c:pt>
                <c:pt idx="6">
                  <c:v>29.166666666666668</c:v>
                </c:pt>
                <c:pt idx="7">
                  <c:v>15.909090909090908</c:v>
                </c:pt>
                <c:pt idx="8">
                  <c:v>116.66666666666667</c:v>
                </c:pt>
                <c:pt idx="9">
                  <c:v>10</c:v>
                </c:pt>
                <c:pt idx="10">
                  <c:v>31.818181818181817</c:v>
                </c:pt>
                <c:pt idx="11">
                  <c:v>17.5</c:v>
                </c:pt>
                <c:pt idx="12">
                  <c:v>28.45528455284553</c:v>
                </c:pt>
                <c:pt idx="13">
                  <c:v>16.666666666666664</c:v>
                </c:pt>
                <c:pt idx="14">
                  <c:v>29.166666666666668</c:v>
                </c:pt>
                <c:pt idx="15">
                  <c:v>0.83333333333333337</c:v>
                </c:pt>
                <c:pt idx="16">
                  <c:v>1.25</c:v>
                </c:pt>
              </c:numCache>
            </c:numRef>
          </c:yVal>
          <c:smooth val="0"/>
          <c:extLst xmlns:c16r2="http://schemas.microsoft.com/office/drawing/2015/06/chart">
            <c:ext xmlns:c16="http://schemas.microsoft.com/office/drawing/2014/chart" uri="{C3380CC4-5D6E-409C-BE32-E72D297353CC}">
              <c16:uniqueId val="{00000000-31AB-491E-8C4E-249AC6A1D4D2}"/>
            </c:ext>
          </c:extLst>
        </c:ser>
        <c:ser>
          <c:idx val="1"/>
          <c:order val="1"/>
          <c:spPr>
            <a:ln w="19050">
              <a:solidFill>
                <a:schemeClr val="tx1"/>
              </a:solidFill>
            </a:ln>
          </c:spPr>
          <c:marker>
            <c:symbol val="none"/>
          </c:marker>
          <c:xVal>
            <c:numRef>
              <c:f>'LEEの式 (4)'!$B$43:$B$44</c:f>
              <c:numCache>
                <c:formatCode>General</c:formatCode>
                <c:ptCount val="2"/>
                <c:pt idx="0">
                  <c:v>0.1</c:v>
                </c:pt>
                <c:pt idx="1">
                  <c:v>1000</c:v>
                </c:pt>
              </c:numCache>
            </c:numRef>
          </c:xVal>
          <c:yVal>
            <c:numRef>
              <c:f>'LEEの式 (4)'!$C$43:$C$44</c:f>
              <c:numCache>
                <c:formatCode>General</c:formatCode>
                <c:ptCount val="2"/>
                <c:pt idx="0">
                  <c:v>0.1</c:v>
                </c:pt>
                <c:pt idx="1">
                  <c:v>1000</c:v>
                </c:pt>
              </c:numCache>
            </c:numRef>
          </c:yVal>
          <c:smooth val="0"/>
          <c:extLst xmlns:c16r2="http://schemas.microsoft.com/office/drawing/2015/06/chart">
            <c:ext xmlns:c16="http://schemas.microsoft.com/office/drawing/2014/chart" uri="{C3380CC4-5D6E-409C-BE32-E72D297353CC}">
              <c16:uniqueId val="{00000001-31AB-491E-8C4E-249AC6A1D4D2}"/>
            </c:ext>
          </c:extLst>
        </c:ser>
        <c:dLbls>
          <c:showLegendKey val="0"/>
          <c:showVal val="0"/>
          <c:showCatName val="0"/>
          <c:showSerName val="0"/>
          <c:showPercent val="0"/>
          <c:showBubbleSize val="0"/>
        </c:dLbls>
        <c:axId val="421604360"/>
        <c:axId val="421606320"/>
      </c:scatterChart>
      <c:valAx>
        <c:axId val="421604360"/>
        <c:scaling>
          <c:logBase val="10"/>
          <c:orientation val="minMax"/>
        </c:scaling>
        <c:delete val="0"/>
        <c:axPos val="b"/>
        <c:minorGridlines>
          <c:spPr>
            <a:ln>
              <a:solidFill>
                <a:sysClr val="windowText" lastClr="000000"/>
              </a:solidFill>
            </a:ln>
          </c:spPr>
        </c:minorGridlines>
        <c:title>
          <c:tx>
            <c:rich>
              <a:bodyPr/>
              <a:lstStyle/>
              <a:p>
                <a:pPr>
                  <a:defRPr sz="1200" b="0"/>
                </a:pPr>
                <a:r>
                  <a:rPr lang="ja-JP" altLang="en-US" sz="1200" b="0"/>
                  <a:t>部品の単体熱抵抗　</a:t>
                </a:r>
                <a:r>
                  <a:rPr lang="en-US" altLang="ja-JP" sz="1200" b="0"/>
                  <a:t>[K/W]</a:t>
                </a:r>
                <a:endParaRPr lang="ja-JP" altLang="en-US" sz="1200" b="0"/>
              </a:p>
            </c:rich>
          </c:tx>
          <c:overlay val="0"/>
        </c:title>
        <c:numFmt formatCode="General" sourceLinked="0"/>
        <c:majorTickMark val="out"/>
        <c:minorTickMark val="none"/>
        <c:tickLblPos val="nextTo"/>
        <c:crossAx val="421606320"/>
        <c:crossesAt val="0.1"/>
        <c:crossBetween val="midCat"/>
      </c:valAx>
      <c:valAx>
        <c:axId val="421606320"/>
        <c:scaling>
          <c:logBase val="10"/>
          <c:orientation val="minMax"/>
        </c:scaling>
        <c:delete val="0"/>
        <c:axPos val="l"/>
        <c:minorGridlines>
          <c:spPr>
            <a:ln>
              <a:solidFill>
                <a:schemeClr val="tx1"/>
              </a:solidFill>
            </a:ln>
          </c:spPr>
        </c:minorGridlines>
        <c:title>
          <c:tx>
            <c:rich>
              <a:bodyPr rot="-5400000" vert="horz"/>
              <a:lstStyle/>
              <a:p>
                <a:pPr>
                  <a:defRPr sz="1200" b="0"/>
                </a:pPr>
                <a:r>
                  <a:rPr lang="ja-JP" altLang="en-US" sz="1200" b="0"/>
                  <a:t>目標熱抵抗 </a:t>
                </a:r>
                <a:r>
                  <a:rPr lang="en-US" altLang="ja-JP" sz="1200" b="0"/>
                  <a:t>[K/W</a:t>
                </a:r>
                <a:r>
                  <a:rPr lang="ja-JP" altLang="en-US" sz="1200" b="0"/>
                  <a:t>］</a:t>
                </a:r>
              </a:p>
            </c:rich>
          </c:tx>
          <c:overlay val="0"/>
        </c:title>
        <c:numFmt formatCode="General" sourceLinked="0"/>
        <c:majorTickMark val="out"/>
        <c:minorTickMark val="none"/>
        <c:tickLblPos val="nextTo"/>
        <c:crossAx val="421604360"/>
        <c:crossesAt val="0.1"/>
        <c:crossBetween val="midCat"/>
      </c:valAx>
      <c:spPr>
        <a:ln w="19050">
          <a:solidFill>
            <a:sysClr val="windowText" lastClr="000000"/>
          </a:solidFill>
        </a:ln>
      </c:spPr>
    </c:plotArea>
    <c:plotVisOnly val="1"/>
    <c:dispBlanksAs val="gap"/>
    <c:showDLblsOverMax val="0"/>
  </c:chart>
  <c:spPr>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a:solidFill>
                <a:sysClr val="windowText" lastClr="000000"/>
              </a:solidFill>
            </a:ln>
          </c:spPr>
          <c:marker>
            <c:symbol val="none"/>
          </c:marker>
          <c:xVal>
            <c:numRef>
              <c:f>'LEEの式 (4)'!$G$6:$G$30</c:f>
              <c:numCache>
                <c:formatCode>General</c:formatCode>
                <c:ptCount val="25"/>
                <c:pt idx="0">
                  <c:v>8</c:v>
                </c:pt>
                <c:pt idx="1">
                  <c:v>16</c:v>
                </c:pt>
                <c:pt idx="2">
                  <c:v>24</c:v>
                </c:pt>
                <c:pt idx="3">
                  <c:v>32</c:v>
                </c:pt>
                <c:pt idx="4">
                  <c:v>40</c:v>
                </c:pt>
                <c:pt idx="5">
                  <c:v>48</c:v>
                </c:pt>
                <c:pt idx="6">
                  <c:v>56</c:v>
                </c:pt>
                <c:pt idx="7">
                  <c:v>64</c:v>
                </c:pt>
                <c:pt idx="8">
                  <c:v>72.000000000000014</c:v>
                </c:pt>
                <c:pt idx="9">
                  <c:v>80.000000000000014</c:v>
                </c:pt>
                <c:pt idx="10">
                  <c:v>88.000000000000028</c:v>
                </c:pt>
                <c:pt idx="11">
                  <c:v>96.000000000000028</c:v>
                </c:pt>
                <c:pt idx="12">
                  <c:v>104.00000000000004</c:v>
                </c:pt>
                <c:pt idx="13">
                  <c:v>112.00000000000004</c:v>
                </c:pt>
                <c:pt idx="14">
                  <c:v>120.00000000000006</c:v>
                </c:pt>
                <c:pt idx="15">
                  <c:v>128.00000000000006</c:v>
                </c:pt>
                <c:pt idx="16">
                  <c:v>136.00000000000006</c:v>
                </c:pt>
                <c:pt idx="17">
                  <c:v>144.00000000000009</c:v>
                </c:pt>
                <c:pt idx="18">
                  <c:v>152.00000000000009</c:v>
                </c:pt>
                <c:pt idx="19">
                  <c:v>160.00000000000009</c:v>
                </c:pt>
                <c:pt idx="20">
                  <c:v>168.00000000000009</c:v>
                </c:pt>
                <c:pt idx="21">
                  <c:v>176.00000000000011</c:v>
                </c:pt>
                <c:pt idx="22">
                  <c:v>184.00000000000011</c:v>
                </c:pt>
                <c:pt idx="23">
                  <c:v>192.00000000000011</c:v>
                </c:pt>
                <c:pt idx="24">
                  <c:v>200.00000000000011</c:v>
                </c:pt>
              </c:numCache>
            </c:numRef>
          </c:xVal>
          <c:yVal>
            <c:numRef>
              <c:f>'LEEの式 (4)'!$W$6:$W$30</c:f>
              <c:numCache>
                <c:formatCode>General</c:formatCode>
                <c:ptCount val="25"/>
                <c:pt idx="0">
                  <c:v>114.85108109171208</c:v>
                </c:pt>
                <c:pt idx="1">
                  <c:v>86.913074553606833</c:v>
                </c:pt>
                <c:pt idx="2">
                  <c:v>69.086462142672247</c:v>
                </c:pt>
                <c:pt idx="3">
                  <c:v>56.573015700626144</c:v>
                </c:pt>
                <c:pt idx="4">
                  <c:v>47.355314868234252</c:v>
                </c:pt>
                <c:pt idx="5">
                  <c:v>40.331571875969615</c:v>
                </c:pt>
                <c:pt idx="6">
                  <c:v>34.837369437801129</c:v>
                </c:pt>
                <c:pt idx="7">
                  <c:v>30.447283488586542</c:v>
                </c:pt>
                <c:pt idx="8">
                  <c:v>26.87678321944685</c:v>
                </c:pt>
                <c:pt idx="9">
                  <c:v>23.928914735756219</c:v>
                </c:pt>
                <c:pt idx="10">
                  <c:v>21.463431949515449</c:v>
                </c:pt>
                <c:pt idx="11">
                  <c:v>19.378051492904813</c:v>
                </c:pt>
                <c:pt idx="12">
                  <c:v>17.59662545975759</c:v>
                </c:pt>
                <c:pt idx="13">
                  <c:v>16.061436580707237</c:v>
                </c:pt>
                <c:pt idx="14">
                  <c:v>14.728039850545022</c:v>
                </c:pt>
                <c:pt idx="15">
                  <c:v>13.561725915181409</c:v>
                </c:pt>
                <c:pt idx="16">
                  <c:v>12.53504504234829</c:v>
                </c:pt>
                <c:pt idx="17">
                  <c:v>11.626041035729687</c:v>
                </c:pt>
                <c:pt idx="18">
                  <c:v>10.816970324068423</c:v>
                </c:pt>
                <c:pt idx="19">
                  <c:v>10.093358833306427</c:v>
                </c:pt>
                <c:pt idx="20">
                  <c:v>9.4432980020722717</c:v>
                </c:pt>
                <c:pt idx="21">
                  <c:v>8.8569127033137658</c:v>
                </c:pt>
                <c:pt idx="22">
                  <c:v>8.3259544687889573</c:v>
                </c:pt>
                <c:pt idx="23">
                  <c:v>7.8434872187165245</c:v>
                </c:pt>
                <c:pt idx="24">
                  <c:v>7.4036420897003765</c:v>
                </c:pt>
              </c:numCache>
            </c:numRef>
          </c:yVal>
          <c:smooth val="0"/>
          <c:extLst xmlns:c16r2="http://schemas.microsoft.com/office/drawing/2015/06/chart">
            <c:ext xmlns:c16="http://schemas.microsoft.com/office/drawing/2014/chart" uri="{C3380CC4-5D6E-409C-BE32-E72D297353CC}">
              <c16:uniqueId val="{00000000-98F0-4F79-AA65-57546D7FBFA2}"/>
            </c:ext>
          </c:extLst>
        </c:ser>
        <c:ser>
          <c:idx val="1"/>
          <c:order val="1"/>
          <c:spPr>
            <a:ln>
              <a:solidFill>
                <a:srgbClr val="0000FF"/>
              </a:solidFill>
              <a:prstDash val="sysDash"/>
            </a:ln>
          </c:spPr>
          <c:marker>
            <c:symbol val="none"/>
          </c:marker>
          <c:xVal>
            <c:numRef>
              <c:f>'LEEの式 (4)'!$G$34:$G$58</c:f>
              <c:numCache>
                <c:formatCode>General</c:formatCode>
                <c:ptCount val="25"/>
                <c:pt idx="0">
                  <c:v>8</c:v>
                </c:pt>
                <c:pt idx="1">
                  <c:v>16</c:v>
                </c:pt>
                <c:pt idx="2">
                  <c:v>24</c:v>
                </c:pt>
                <c:pt idx="3">
                  <c:v>32</c:v>
                </c:pt>
                <c:pt idx="4">
                  <c:v>40</c:v>
                </c:pt>
                <c:pt idx="5">
                  <c:v>48</c:v>
                </c:pt>
                <c:pt idx="6">
                  <c:v>56</c:v>
                </c:pt>
                <c:pt idx="7">
                  <c:v>64</c:v>
                </c:pt>
                <c:pt idx="8">
                  <c:v>72.000000000000014</c:v>
                </c:pt>
                <c:pt idx="9">
                  <c:v>80.000000000000014</c:v>
                </c:pt>
                <c:pt idx="10">
                  <c:v>88.000000000000028</c:v>
                </c:pt>
                <c:pt idx="11">
                  <c:v>96.000000000000028</c:v>
                </c:pt>
                <c:pt idx="12">
                  <c:v>104.00000000000004</c:v>
                </c:pt>
                <c:pt idx="13">
                  <c:v>112.00000000000004</c:v>
                </c:pt>
                <c:pt idx="14">
                  <c:v>120.00000000000006</c:v>
                </c:pt>
                <c:pt idx="15">
                  <c:v>128.00000000000006</c:v>
                </c:pt>
                <c:pt idx="16">
                  <c:v>136.00000000000006</c:v>
                </c:pt>
                <c:pt idx="17">
                  <c:v>144.00000000000009</c:v>
                </c:pt>
                <c:pt idx="18">
                  <c:v>152.00000000000009</c:v>
                </c:pt>
                <c:pt idx="19">
                  <c:v>160.00000000000009</c:v>
                </c:pt>
                <c:pt idx="20">
                  <c:v>168.00000000000009</c:v>
                </c:pt>
                <c:pt idx="21">
                  <c:v>176.00000000000011</c:v>
                </c:pt>
                <c:pt idx="22">
                  <c:v>184.00000000000011</c:v>
                </c:pt>
                <c:pt idx="23">
                  <c:v>192.00000000000011</c:v>
                </c:pt>
                <c:pt idx="24">
                  <c:v>200.00000000000011</c:v>
                </c:pt>
              </c:numCache>
            </c:numRef>
          </c:xVal>
          <c:yVal>
            <c:numRef>
              <c:f>'LEEの式 (4)'!$W$34:$W$58</c:f>
              <c:numCache>
                <c:formatCode>General</c:formatCode>
                <c:ptCount val="25"/>
                <c:pt idx="0">
                  <c:v>47.738217267032091</c:v>
                </c:pt>
                <c:pt idx="1">
                  <c:v>38.883817784257992</c:v>
                </c:pt>
                <c:pt idx="2">
                  <c:v>33.259845288787872</c:v>
                </c:pt>
                <c:pt idx="3">
                  <c:v>29.022232426606504</c:v>
                </c:pt>
                <c:pt idx="4">
                  <c:v>25.654091029437307</c:v>
                </c:pt>
                <c:pt idx="5">
                  <c:v>22.89996625420082</c:v>
                </c:pt>
                <c:pt idx="6">
                  <c:v>20.604662370562757</c:v>
                </c:pt>
                <c:pt idx="7">
                  <c:v>18.664100222075874</c:v>
                </c:pt>
                <c:pt idx="8">
                  <c:v>17.004391764351432</c:v>
                </c:pt>
                <c:pt idx="9">
                  <c:v>15.571082682083446</c:v>
                </c:pt>
                <c:pt idx="10">
                  <c:v>14.32294271781617</c:v>
                </c:pt>
                <c:pt idx="11">
                  <c:v>13.228097231631125</c:v>
                </c:pt>
                <c:pt idx="12">
                  <c:v>12.261485581202669</c:v>
                </c:pt>
                <c:pt idx="13">
                  <c:v>11.403124562779068</c:v>
                </c:pt>
                <c:pt idx="14">
                  <c:v>10.63688558343917</c:v>
                </c:pt>
                <c:pt idx="15">
                  <c:v>9.9496125556917772</c:v>
                </c:pt>
                <c:pt idx="16">
                  <c:v>9.3304727750639049</c:v>
                </c:pt>
                <c:pt idx="17">
                  <c:v>8.7704711214898037</c:v>
                </c:pt>
                <c:pt idx="18">
                  <c:v>8.2620811562052516</c:v>
                </c:pt>
                <c:pt idx="19">
                  <c:v>7.7989613803413267</c:v>
                </c:pt>
                <c:pt idx="20">
                  <c:v>7.3757344985432303</c:v>
                </c:pt>
                <c:pt idx="21">
                  <c:v>6.9878139318865262</c:v>
                </c:pt>
                <c:pt idx="22">
                  <c:v>6.6312661955062069</c:v>
                </c:pt>
                <c:pt idx="23">
                  <c:v>6.3027007975901759</c:v>
                </c:pt>
                <c:pt idx="24">
                  <c:v>5.9991814673249655</c:v>
                </c:pt>
              </c:numCache>
            </c:numRef>
          </c:yVal>
          <c:smooth val="0"/>
          <c:extLst xmlns:c16r2="http://schemas.microsoft.com/office/drawing/2015/06/chart">
            <c:ext xmlns:c16="http://schemas.microsoft.com/office/drawing/2014/chart" uri="{C3380CC4-5D6E-409C-BE32-E72D297353CC}">
              <c16:uniqueId val="{00000001-98F0-4F79-AA65-57546D7FBFA2}"/>
            </c:ext>
          </c:extLst>
        </c:ser>
        <c:ser>
          <c:idx val="2"/>
          <c:order val="2"/>
          <c:spPr>
            <a:ln>
              <a:solidFill>
                <a:srgbClr val="008000"/>
              </a:solidFill>
              <a:prstDash val="dash"/>
            </a:ln>
          </c:spPr>
          <c:marker>
            <c:symbol val="none"/>
          </c:marker>
          <c:xVal>
            <c:numRef>
              <c:f>'LEEの式 (4)'!$G$62:$G$86</c:f>
              <c:numCache>
                <c:formatCode>General</c:formatCode>
                <c:ptCount val="25"/>
                <c:pt idx="0">
                  <c:v>8</c:v>
                </c:pt>
                <c:pt idx="1">
                  <c:v>16</c:v>
                </c:pt>
                <c:pt idx="2">
                  <c:v>24</c:v>
                </c:pt>
                <c:pt idx="3">
                  <c:v>32</c:v>
                </c:pt>
                <c:pt idx="4">
                  <c:v>40</c:v>
                </c:pt>
                <c:pt idx="5">
                  <c:v>48</c:v>
                </c:pt>
                <c:pt idx="6">
                  <c:v>56</c:v>
                </c:pt>
                <c:pt idx="7">
                  <c:v>64</c:v>
                </c:pt>
                <c:pt idx="8">
                  <c:v>72.000000000000014</c:v>
                </c:pt>
                <c:pt idx="9">
                  <c:v>80.000000000000014</c:v>
                </c:pt>
                <c:pt idx="10">
                  <c:v>88.000000000000028</c:v>
                </c:pt>
                <c:pt idx="11">
                  <c:v>96.000000000000028</c:v>
                </c:pt>
                <c:pt idx="12">
                  <c:v>104.00000000000004</c:v>
                </c:pt>
                <c:pt idx="13">
                  <c:v>112.00000000000004</c:v>
                </c:pt>
                <c:pt idx="14">
                  <c:v>120.00000000000006</c:v>
                </c:pt>
                <c:pt idx="15">
                  <c:v>128.00000000000006</c:v>
                </c:pt>
                <c:pt idx="16">
                  <c:v>136.00000000000006</c:v>
                </c:pt>
                <c:pt idx="17">
                  <c:v>144.00000000000009</c:v>
                </c:pt>
                <c:pt idx="18">
                  <c:v>152.00000000000009</c:v>
                </c:pt>
                <c:pt idx="19">
                  <c:v>160.00000000000009</c:v>
                </c:pt>
                <c:pt idx="20">
                  <c:v>168.00000000000009</c:v>
                </c:pt>
                <c:pt idx="21">
                  <c:v>176.00000000000011</c:v>
                </c:pt>
                <c:pt idx="22">
                  <c:v>184.00000000000011</c:v>
                </c:pt>
                <c:pt idx="23">
                  <c:v>192.00000000000011</c:v>
                </c:pt>
                <c:pt idx="24">
                  <c:v>200.00000000000011</c:v>
                </c:pt>
              </c:numCache>
            </c:numRef>
          </c:xVal>
          <c:yVal>
            <c:numRef>
              <c:f>'LEEの式 (4)'!$W$62:$W$86</c:f>
              <c:numCache>
                <c:formatCode>General</c:formatCode>
                <c:ptCount val="25"/>
                <c:pt idx="0">
                  <c:v>30.170490933175842</c:v>
                </c:pt>
                <c:pt idx="1">
                  <c:v>24.785615791366205</c:v>
                </c:pt>
                <c:pt idx="2">
                  <c:v>21.664339302278798</c:v>
                </c:pt>
                <c:pt idx="3">
                  <c:v>19.335671220428495</c:v>
                </c:pt>
                <c:pt idx="4">
                  <c:v>17.465797037952058</c:v>
                </c:pt>
                <c:pt idx="5">
                  <c:v>15.910124825002866</c:v>
                </c:pt>
                <c:pt idx="6">
                  <c:v>14.587503796667971</c:v>
                </c:pt>
                <c:pt idx="7">
                  <c:v>13.445935151423065</c:v>
                </c:pt>
                <c:pt idx="8">
                  <c:v>12.449365172279803</c:v>
                </c:pt>
                <c:pt idx="9">
                  <c:v>11.571466164065789</c:v>
                </c:pt>
                <c:pt idx="10">
                  <c:v>10.792298484699392</c:v>
                </c:pt>
                <c:pt idx="11">
                  <c:v>10.096346693920191</c:v>
                </c:pt>
                <c:pt idx="12">
                  <c:v>9.4712832447784319</c:v>
                </c:pt>
                <c:pt idx="13">
                  <c:v>8.9071489339100456</c:v>
                </c:pt>
                <c:pt idx="14">
                  <c:v>8.3957871950810734</c:v>
                </c:pt>
                <c:pt idx="15">
                  <c:v>7.9304407704862694</c:v>
                </c:pt>
                <c:pt idx="16">
                  <c:v>7.5054564713021081</c:v>
                </c:pt>
                <c:pt idx="17">
                  <c:v>7.1160642914274748</c:v>
                </c:pt>
                <c:pt idx="18">
                  <c:v>6.7582090895806184</c:v>
                </c:pt>
                <c:pt idx="19">
                  <c:v>6.4284203083915488</c:v>
                </c:pt>
                <c:pt idx="20">
                  <c:v>6.1237097654846906</c:v>
                </c:pt>
                <c:pt idx="21">
                  <c:v>5.8414905183868893</c:v>
                </c:pt>
                <c:pt idx="22">
                  <c:v>5.5795117862246784</c:v>
                </c:pt>
                <c:pt idx="23">
                  <c:v>5.3358062661162249</c:v>
                </c:pt>
                <c:pt idx="24">
                  <c:v>5.1086471285215378</c:v>
                </c:pt>
              </c:numCache>
            </c:numRef>
          </c:yVal>
          <c:smooth val="0"/>
          <c:extLst xmlns:c16r2="http://schemas.microsoft.com/office/drawing/2015/06/chart">
            <c:ext xmlns:c16="http://schemas.microsoft.com/office/drawing/2014/chart" uri="{C3380CC4-5D6E-409C-BE32-E72D297353CC}">
              <c16:uniqueId val="{00000002-98F0-4F79-AA65-57546D7FBFA2}"/>
            </c:ext>
          </c:extLst>
        </c:ser>
        <c:ser>
          <c:idx val="3"/>
          <c:order val="3"/>
          <c:spPr>
            <a:ln w="38100">
              <a:solidFill>
                <a:sysClr val="windowText" lastClr="000000"/>
              </a:solidFill>
              <a:prstDash val="sysDot"/>
            </a:ln>
          </c:spPr>
          <c:marker>
            <c:symbol val="none"/>
          </c:marker>
          <c:xVal>
            <c:numRef>
              <c:f>'LEEの式 (4)'!$G$90:$G$114</c:f>
              <c:numCache>
                <c:formatCode>General</c:formatCode>
                <c:ptCount val="25"/>
                <c:pt idx="0">
                  <c:v>8</c:v>
                </c:pt>
                <c:pt idx="1">
                  <c:v>16</c:v>
                </c:pt>
                <c:pt idx="2">
                  <c:v>24</c:v>
                </c:pt>
                <c:pt idx="3">
                  <c:v>32</c:v>
                </c:pt>
                <c:pt idx="4">
                  <c:v>40</c:v>
                </c:pt>
                <c:pt idx="5">
                  <c:v>48</c:v>
                </c:pt>
                <c:pt idx="6">
                  <c:v>56</c:v>
                </c:pt>
                <c:pt idx="7">
                  <c:v>64</c:v>
                </c:pt>
                <c:pt idx="8">
                  <c:v>72.000000000000014</c:v>
                </c:pt>
                <c:pt idx="9">
                  <c:v>80.000000000000014</c:v>
                </c:pt>
                <c:pt idx="10">
                  <c:v>88.000000000000028</c:v>
                </c:pt>
                <c:pt idx="11">
                  <c:v>96.000000000000028</c:v>
                </c:pt>
                <c:pt idx="12">
                  <c:v>104.00000000000004</c:v>
                </c:pt>
                <c:pt idx="13">
                  <c:v>112.00000000000004</c:v>
                </c:pt>
                <c:pt idx="14">
                  <c:v>120.00000000000006</c:v>
                </c:pt>
                <c:pt idx="15">
                  <c:v>128.00000000000006</c:v>
                </c:pt>
                <c:pt idx="16">
                  <c:v>136.00000000000006</c:v>
                </c:pt>
                <c:pt idx="17">
                  <c:v>144.00000000000009</c:v>
                </c:pt>
                <c:pt idx="18">
                  <c:v>152.00000000000009</c:v>
                </c:pt>
                <c:pt idx="19">
                  <c:v>160.00000000000009</c:v>
                </c:pt>
                <c:pt idx="20">
                  <c:v>168.00000000000009</c:v>
                </c:pt>
                <c:pt idx="21">
                  <c:v>176.00000000000011</c:v>
                </c:pt>
                <c:pt idx="22">
                  <c:v>184.00000000000011</c:v>
                </c:pt>
                <c:pt idx="23">
                  <c:v>192.00000000000011</c:v>
                </c:pt>
                <c:pt idx="24">
                  <c:v>200.00000000000011</c:v>
                </c:pt>
              </c:numCache>
            </c:numRef>
          </c:xVal>
          <c:yVal>
            <c:numRef>
              <c:f>'LEEの式 (4)'!$W$90:$W$114</c:f>
              <c:numCache>
                <c:formatCode>General</c:formatCode>
                <c:ptCount val="25"/>
                <c:pt idx="0">
                  <c:v>22.947401484868436</c:v>
                </c:pt>
                <c:pt idx="1">
                  <c:v>18.771025923959954</c:v>
                </c:pt>
                <c:pt idx="2">
                  <c:v>16.52505086665321</c:v>
                </c:pt>
                <c:pt idx="3">
                  <c:v>14.882556504005375</c:v>
                </c:pt>
                <c:pt idx="4">
                  <c:v>13.571261938487865</c:v>
                </c:pt>
                <c:pt idx="5">
                  <c:v>12.480074791466729</c:v>
                </c:pt>
                <c:pt idx="6">
                  <c:v>11.549107624150409</c:v>
                </c:pt>
                <c:pt idx="7">
                  <c:v>10.741164193070167</c:v>
                </c:pt>
                <c:pt idx="8">
                  <c:v>10.031093642774172</c:v>
                </c:pt>
                <c:pt idx="9">
                  <c:v>9.4008930463442617</c:v>
                </c:pt>
                <c:pt idx="10">
                  <c:v>8.8371356971158868</c:v>
                </c:pt>
                <c:pt idx="11">
                  <c:v>8.3294917162299491</c:v>
                </c:pt>
                <c:pt idx="12">
                  <c:v>7.8698179010916753</c:v>
                </c:pt>
                <c:pt idx="13">
                  <c:v>7.4515679419637646</c:v>
                </c:pt>
                <c:pt idx="14">
                  <c:v>7.069394022115457</c:v>
                </c:pt>
                <c:pt idx="15">
                  <c:v>6.7188683625456598</c:v>
                </c:pt>
                <c:pt idx="16">
                  <c:v>6.3962829740624425</c:v>
                </c:pt>
                <c:pt idx="17">
                  <c:v>6.0985021315338983</c:v>
                </c:pt>
                <c:pt idx="18">
                  <c:v>5.8228514173411199</c:v>
                </c:pt>
                <c:pt idx="19">
                  <c:v>5.5670327627012828</c:v>
                </c:pt>
                <c:pt idx="20">
                  <c:v>5.3290583729799961</c:v>
                </c:pt>
                <c:pt idx="21">
                  <c:v>5.1071986312014062</c:v>
                </c:pt>
                <c:pt idx="22">
                  <c:v>4.8999405226327024</c:v>
                </c:pt>
                <c:pt idx="23">
                  <c:v>4.7059540967715323</c:v>
                </c:pt>
                <c:pt idx="24">
                  <c:v>4.5240651513516106</c:v>
                </c:pt>
              </c:numCache>
            </c:numRef>
          </c:yVal>
          <c:smooth val="0"/>
          <c:extLst xmlns:c16r2="http://schemas.microsoft.com/office/drawing/2015/06/chart">
            <c:ext xmlns:c16="http://schemas.microsoft.com/office/drawing/2014/chart" uri="{C3380CC4-5D6E-409C-BE32-E72D297353CC}">
              <c16:uniqueId val="{00000003-98F0-4F79-AA65-57546D7FBFA2}"/>
            </c:ext>
          </c:extLst>
        </c:ser>
        <c:ser>
          <c:idx val="4"/>
          <c:order val="4"/>
          <c:spPr>
            <a:ln>
              <a:noFill/>
            </a:ln>
          </c:spPr>
          <c:marker>
            <c:symbol val="diamond"/>
            <c:size val="9"/>
            <c:spPr>
              <a:solidFill>
                <a:srgbClr val="FF0000"/>
              </a:solidFill>
              <a:ln>
                <a:solidFill>
                  <a:schemeClr val="tx1"/>
                </a:solidFill>
              </a:ln>
            </c:spPr>
          </c:marker>
          <c:xVal>
            <c:numRef>
              <c:f>【事例3】危険部品判断シート!$G$38:$G$57</c:f>
              <c:numCache>
                <c:formatCode>General</c:formatCode>
                <c:ptCount val="20"/>
                <c:pt idx="0">
                  <c:v>120</c:v>
                </c:pt>
                <c:pt idx="1">
                  <c:v>148</c:v>
                </c:pt>
                <c:pt idx="2">
                  <c:v>44</c:v>
                </c:pt>
                <c:pt idx="3">
                  <c:v>24</c:v>
                </c:pt>
                <c:pt idx="4">
                  <c:v>40</c:v>
                </c:pt>
                <c:pt idx="5">
                  <c:v>116</c:v>
                </c:pt>
                <c:pt idx="6">
                  <c:v>60</c:v>
                </c:pt>
                <c:pt idx="7">
                  <c:v>76</c:v>
                </c:pt>
                <c:pt idx="8">
                  <c:v>41</c:v>
                </c:pt>
                <c:pt idx="9">
                  <c:v>124</c:v>
                </c:pt>
                <c:pt idx="10">
                  <c:v>48</c:v>
                </c:pt>
                <c:pt idx="11">
                  <c:v>96</c:v>
                </c:pt>
                <c:pt idx="12">
                  <c:v>67.94</c:v>
                </c:pt>
                <c:pt idx="13">
                  <c:v>60.8</c:v>
                </c:pt>
                <c:pt idx="14">
                  <c:v>160</c:v>
                </c:pt>
                <c:pt idx="15">
                  <c:v>560</c:v>
                </c:pt>
                <c:pt idx="16">
                  <c:v>400</c:v>
                </c:pt>
              </c:numCache>
            </c:numRef>
          </c:xVal>
          <c:yVal>
            <c:numRef>
              <c:f>【事例3】危険部品判断シート!$K$38:$K$57</c:f>
              <c:numCache>
                <c:formatCode>0.0_ </c:formatCode>
                <c:ptCount val="20"/>
                <c:pt idx="0">
                  <c:v>0.4375</c:v>
                </c:pt>
                <c:pt idx="1">
                  <c:v>0.875</c:v>
                </c:pt>
                <c:pt idx="2">
                  <c:v>31.818181818181817</c:v>
                </c:pt>
                <c:pt idx="3">
                  <c:v>233.33333333333334</c:v>
                </c:pt>
                <c:pt idx="4">
                  <c:v>50</c:v>
                </c:pt>
                <c:pt idx="5">
                  <c:v>19.444444444444443</c:v>
                </c:pt>
                <c:pt idx="6">
                  <c:v>29.166666666666668</c:v>
                </c:pt>
                <c:pt idx="7">
                  <c:v>15.909090909090908</c:v>
                </c:pt>
                <c:pt idx="8">
                  <c:v>116.66666666666667</c:v>
                </c:pt>
                <c:pt idx="9">
                  <c:v>10</c:v>
                </c:pt>
                <c:pt idx="10">
                  <c:v>31.818181818181817</c:v>
                </c:pt>
                <c:pt idx="11">
                  <c:v>17.5</c:v>
                </c:pt>
                <c:pt idx="12">
                  <c:v>28.45528455284553</c:v>
                </c:pt>
                <c:pt idx="13">
                  <c:v>16.666666666666664</c:v>
                </c:pt>
                <c:pt idx="14">
                  <c:v>29.166666666666668</c:v>
                </c:pt>
                <c:pt idx="15">
                  <c:v>0.83333333333333337</c:v>
                </c:pt>
                <c:pt idx="16">
                  <c:v>1.25</c:v>
                </c:pt>
              </c:numCache>
            </c:numRef>
          </c:yVal>
          <c:smooth val="0"/>
          <c:extLst xmlns:c16r2="http://schemas.microsoft.com/office/drawing/2015/06/chart">
            <c:ext xmlns:c16="http://schemas.microsoft.com/office/drawing/2014/chart" uri="{C3380CC4-5D6E-409C-BE32-E72D297353CC}">
              <c16:uniqueId val="{00000004-98F0-4F79-AA65-57546D7FBFA2}"/>
            </c:ext>
          </c:extLst>
        </c:ser>
        <c:dLbls>
          <c:showLegendKey val="0"/>
          <c:showVal val="0"/>
          <c:showCatName val="0"/>
          <c:showSerName val="0"/>
          <c:showPercent val="0"/>
          <c:showBubbleSize val="0"/>
        </c:dLbls>
        <c:axId val="421605144"/>
        <c:axId val="421605536"/>
      </c:scatterChart>
      <c:valAx>
        <c:axId val="421605144"/>
        <c:scaling>
          <c:orientation val="minMax"/>
          <c:max val="200"/>
        </c:scaling>
        <c:delete val="0"/>
        <c:axPos val="b"/>
        <c:majorGridlines>
          <c:spPr>
            <a:ln>
              <a:solidFill>
                <a:schemeClr val="tx1"/>
              </a:solidFill>
            </a:ln>
          </c:spPr>
        </c:majorGridlines>
        <c:minorGridlines>
          <c:spPr>
            <a:ln>
              <a:solidFill>
                <a:schemeClr val="tx1">
                  <a:lumMod val="50000"/>
                  <a:lumOff val="50000"/>
                </a:schemeClr>
              </a:solidFill>
            </a:ln>
          </c:spPr>
        </c:minorGridlines>
        <c:numFmt formatCode="General" sourceLinked="1"/>
        <c:majorTickMark val="out"/>
        <c:minorTickMark val="none"/>
        <c:tickLblPos val="nextTo"/>
        <c:spPr>
          <a:ln>
            <a:solidFill>
              <a:sysClr val="windowText" lastClr="000000"/>
            </a:solidFill>
          </a:ln>
        </c:spPr>
        <c:txPr>
          <a:bodyPr/>
          <a:lstStyle/>
          <a:p>
            <a:pPr>
              <a:defRPr sz="1100"/>
            </a:pPr>
            <a:endParaRPr lang="ja-JP"/>
          </a:p>
        </c:txPr>
        <c:crossAx val="421605536"/>
        <c:crossesAt val="0.1"/>
        <c:crossBetween val="midCat"/>
        <c:majorUnit val="50"/>
      </c:valAx>
      <c:valAx>
        <c:axId val="421605536"/>
        <c:scaling>
          <c:logBase val="10"/>
          <c:orientation val="minMax"/>
        </c:scaling>
        <c:delete val="0"/>
        <c:axPos val="l"/>
        <c:majorGridlines/>
        <c:minorGridlines>
          <c:spPr>
            <a:ln>
              <a:solidFill>
                <a:schemeClr val="tx1">
                  <a:lumMod val="50000"/>
                  <a:lumOff val="50000"/>
                </a:schemeClr>
              </a:solidFill>
            </a:ln>
          </c:spPr>
        </c:minorGridlines>
        <c:numFmt formatCode="General" sourceLinked="1"/>
        <c:majorTickMark val="out"/>
        <c:minorTickMark val="none"/>
        <c:tickLblPos val="nextTo"/>
        <c:spPr>
          <a:ln>
            <a:solidFill>
              <a:sysClr val="windowText" lastClr="000000"/>
            </a:solidFill>
          </a:ln>
        </c:spPr>
        <c:txPr>
          <a:bodyPr/>
          <a:lstStyle/>
          <a:p>
            <a:pPr>
              <a:defRPr sz="1050"/>
            </a:pPr>
            <a:endParaRPr lang="ja-JP"/>
          </a:p>
        </c:txPr>
        <c:crossAx val="421605144"/>
        <c:crosses val="autoZero"/>
        <c:crossBetween val="midCat"/>
      </c:valAx>
      <c:spPr>
        <a:ln w="19050">
          <a:solidFill>
            <a:sysClr val="windowText" lastClr="000000"/>
          </a:solidFill>
        </a:ln>
      </c:spPr>
    </c:plotArea>
    <c:plotVisOnly val="1"/>
    <c:dispBlanksAs val="gap"/>
    <c:showDLblsOverMax val="0"/>
  </c:chart>
  <c:spPr>
    <a:ln>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12472;&#12517;&#12540;&#12523;&#30330;&#29105;&#35336;&#31639;(8.6.1)'!A1"/><Relationship Id="rId13" Type="http://schemas.openxmlformats.org/officeDocument/2006/relationships/hyperlink" Target="#'&#12304;&#20107;&#20363;1&#12305;&#12288;&#23494;&#38281;&#27231;&#22120;&#22522;&#26495;'!A1"/><Relationship Id="rId3" Type="http://schemas.openxmlformats.org/officeDocument/2006/relationships/hyperlink" Target="#'&#29105;&#22238;&#36335;&#32178;&#27861;_&#31568;&#20307;&#29105;&#22238;&#36335;&#12514;&#12487;&#12523; (4.1.4)'!A1"/><Relationship Id="rId7" Type="http://schemas.openxmlformats.org/officeDocument/2006/relationships/hyperlink" Target="#'&#12469;&#12540;&#12510;&#12523;&#12499;&#12450;(8.5.2)'!A1"/><Relationship Id="rId12" Type="http://schemas.openxmlformats.org/officeDocument/2006/relationships/hyperlink" Target="#'&#12304;&#20107;&#20363;1&#12305;&#12288;&#23494;&#38281;&#27231;&#22120;&#31568;&#20307;'!A1"/><Relationship Id="rId17" Type="http://schemas.openxmlformats.org/officeDocument/2006/relationships/hyperlink" Target="#&#12304;&#20107;&#20363;3&#12305;&#21361;&#38522;&#37096;&#21697;&#21028;&#26029;&#12471;&#12540;&#12488;!A1"/><Relationship Id="rId2" Type="http://schemas.openxmlformats.org/officeDocument/2006/relationships/hyperlink" Target="#'&#31568;&#20307;&#28201;&#24230;&#35336;&#31639;&#23455;&#39443;&#24335;&#65288;4.1.1)'!A1"/><Relationship Id="rId16" Type="http://schemas.openxmlformats.org/officeDocument/2006/relationships/hyperlink" Target="#&#12304;&#20107;&#20363;2&#12305;&#21361;&#38522;&#37096;&#21697;&#21028;&#26029;&#12471;&#12540;&#12488;!A1"/><Relationship Id="rId1" Type="http://schemas.openxmlformats.org/officeDocument/2006/relationships/hyperlink" Target="#'&#31568;&#20307;&#28201;&#24230;&#35336;&#31639;(4.1.3)'!A1"/><Relationship Id="rId6" Type="http://schemas.openxmlformats.org/officeDocument/2006/relationships/hyperlink" Target="#'&#12514;&#12540;&#12479;&#35336;&#31639;&#12471;&#12540;&#12488;&#65288;7.4.2)'!A1"/><Relationship Id="rId11" Type="http://schemas.openxmlformats.org/officeDocument/2006/relationships/hyperlink" Target="#'&#12506;&#12523;&#12481;&#12455;&#12514;&#12472;&#12517;&#12540;&#12523;&#12288;&#29105;&#22238;&#36335;&#12514;&#12487;&#12523;(11.3.2)'!A1"/><Relationship Id="rId5" Type="http://schemas.openxmlformats.org/officeDocument/2006/relationships/hyperlink" Target="#'&#29105;&#22238;&#36335;&#32178;&#27861;_&#31568;&#20307;&#29105;&#22238;&#36335;&#12514;&#12487;&#12523;&#12288;&#26085;&#23556;(6.4.2)'!A1"/><Relationship Id="rId15" Type="http://schemas.openxmlformats.org/officeDocument/2006/relationships/hyperlink" Target="#'&#12304;&#20107;&#20363;2&#12305;&#12288;&#33258;&#28982;&#31354;&#20919;&#36890;&#39080;&#27231;&#22120;'!A1"/><Relationship Id="rId10" Type="http://schemas.openxmlformats.org/officeDocument/2006/relationships/hyperlink" Target="#'&#27700;&#20919;&#12498;&#12540;&#12488;&#12471;&#12531;&#12463;&#35336;&#31639;(11.2.3)'!A1"/><Relationship Id="rId4" Type="http://schemas.openxmlformats.org/officeDocument/2006/relationships/hyperlink" Target="#'&#26085;&#23556;&#12398;&#35336;&#31639;&#65288;6.4.1)'!A1"/><Relationship Id="rId9" Type="http://schemas.openxmlformats.org/officeDocument/2006/relationships/hyperlink" Target="#'&#12498;&#12540;&#12488;&#12471;&#12531;&#12463;&#12398;&#38750;&#23450;&#24120;&#35336;&#31639;(10.8)'!A1"/><Relationship Id="rId14" Type="http://schemas.openxmlformats.org/officeDocument/2006/relationships/hyperlink" Target="#&#12304;&#20107;&#20363;1&#12305;&#21361;&#38522;&#37096;&#21697;&#21028;&#26029;&#12471;&#12540;&#12488;!A1"/></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4.emf"/></Relationships>
</file>

<file path=xl/drawings/_rels/drawing7.xml.rels><?xml version="1.0" encoding="UTF-8" standalone="yes"?>
<Relationships xmlns="http://schemas.openxmlformats.org/package/2006/relationships"><Relationship Id="rId1" Type="http://schemas.openxmlformats.org/officeDocument/2006/relationships/image" Target="../media/image5.emf"/></Relationships>
</file>

<file path=xl/drawings/_rels/drawing8.xml.rels><?xml version="1.0" encoding="UTF-8" standalone="yes"?>
<Relationships xmlns="http://schemas.openxmlformats.org/package/2006/relationships"><Relationship Id="rId1" Type="http://schemas.openxmlformats.org/officeDocument/2006/relationships/image" Target="../media/image6.emf"/></Relationships>
</file>

<file path=xl/drawings/_rels/drawing9.x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1" Type="http://schemas.openxmlformats.org/officeDocument/2006/relationships/image" Target="../media/image9.emf"/></Relationships>
</file>

<file path=xl/drawings/_rels/drawing12.xml.rels><?xml version="1.0" encoding="UTF-8" standalone="yes"?>
<Relationships xmlns="http://schemas.openxmlformats.org/package/2006/relationships"><Relationship Id="rId1" Type="http://schemas.openxmlformats.org/officeDocument/2006/relationships/image" Target="../media/image10.emf"/></Relationships>
</file>

<file path=xl/drawings/_rels/drawing13.xml.rels><?xml version="1.0" encoding="UTF-8" standalone="yes"?>
<Relationships xmlns="http://schemas.openxmlformats.org/package/2006/relationships"><Relationship Id="rId1" Type="http://schemas.openxmlformats.org/officeDocument/2006/relationships/image" Target="../media/image11.emf"/></Relationships>
</file>

<file path=xl/drawings/_rels/drawing14.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chart" Target="../charts/chart3.xml"/><Relationship Id="rId1" Type="http://schemas.openxmlformats.org/officeDocument/2006/relationships/chart" Target="../charts/chart2.xml"/></Relationships>
</file>

<file path=xl/drawings/_rels/drawing15.xml.rels><?xml version="1.0" encoding="UTF-8" standalone="yes"?>
<Relationships xmlns="http://schemas.openxmlformats.org/package/2006/relationships"><Relationship Id="rId1" Type="http://schemas.openxmlformats.org/officeDocument/2006/relationships/image" Target="../media/image12.emf"/></Relationships>
</file>

<file path=xl/drawings/_rels/drawing16.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17.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chart" Target="../charts/chart7.xml"/><Relationship Id="rId1" Type="http://schemas.openxmlformats.org/officeDocument/2006/relationships/chart" Target="../charts/chart6.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4</xdr:col>
      <xdr:colOff>9524</xdr:colOff>
      <xdr:row>5</xdr:row>
      <xdr:rowOff>0</xdr:rowOff>
    </xdr:from>
    <xdr:to>
      <xdr:col>8</xdr:col>
      <xdr:colOff>146324</xdr:colOff>
      <xdr:row>7</xdr:row>
      <xdr:rowOff>125100</xdr:rowOff>
    </xdr:to>
    <xdr:sp macro="" textlink="">
      <xdr:nvSpPr>
        <xdr:cNvPr id="2" name="四角形: 角を丸くする 1">
          <a:hlinkClick xmlns:r="http://schemas.openxmlformats.org/officeDocument/2006/relationships" r:id="rId1"/>
          <a:extLst>
            <a:ext uri="{FF2B5EF4-FFF2-40B4-BE49-F238E27FC236}">
              <a16:creationId xmlns:a16="http://schemas.microsoft.com/office/drawing/2014/main" xmlns="" id="{00000000-0008-0000-0000-000002000000}"/>
            </a:ext>
          </a:extLst>
        </xdr:cNvPr>
        <xdr:cNvSpPr/>
      </xdr:nvSpPr>
      <xdr:spPr bwMode="auto">
        <a:xfrm>
          <a:off x="2752724" y="1419225"/>
          <a:ext cx="2880000" cy="468000"/>
        </a:xfrm>
        <a:prstGeom prst="roundRect">
          <a:avLst/>
        </a:prstGeom>
        <a:solidFill>
          <a:srgbClr val="00FFFF"/>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wrap="square" lIns="18288" tIns="0" rIns="0" bIns="0" rtlCol="0" anchor="ctr" upright="1"/>
        <a:lstStyle/>
        <a:p>
          <a:pPr algn="ctr"/>
          <a:r>
            <a:rPr kumimoji="1" lang="ja-JP" altLang="en-US" sz="1400" b="1"/>
            <a:t>筐体温度計算（伝熱基礎式）</a:t>
          </a:r>
        </a:p>
      </xdr:txBody>
    </xdr:sp>
    <xdr:clientData/>
  </xdr:twoCellAnchor>
  <xdr:twoCellAnchor editAs="oneCell">
    <xdr:from>
      <xdr:col>4</xdr:col>
      <xdr:colOff>9524</xdr:colOff>
      <xdr:row>8</xdr:row>
      <xdr:rowOff>47625</xdr:rowOff>
    </xdr:from>
    <xdr:to>
      <xdr:col>8</xdr:col>
      <xdr:colOff>146324</xdr:colOff>
      <xdr:row>11</xdr:row>
      <xdr:rowOff>1275</xdr:rowOff>
    </xdr:to>
    <xdr:sp macro="" textlink="">
      <xdr:nvSpPr>
        <xdr:cNvPr id="3" name="四角形: 角を丸くする 2">
          <a:hlinkClick xmlns:r="http://schemas.openxmlformats.org/officeDocument/2006/relationships" r:id="rId2"/>
          <a:extLst>
            <a:ext uri="{FF2B5EF4-FFF2-40B4-BE49-F238E27FC236}">
              <a16:creationId xmlns:a16="http://schemas.microsoft.com/office/drawing/2014/main" xmlns="" id="{00000000-0008-0000-0000-000003000000}"/>
            </a:ext>
          </a:extLst>
        </xdr:cNvPr>
        <xdr:cNvSpPr/>
      </xdr:nvSpPr>
      <xdr:spPr bwMode="auto">
        <a:xfrm>
          <a:off x="2752724" y="1981200"/>
          <a:ext cx="2880000" cy="468000"/>
        </a:xfrm>
        <a:prstGeom prst="roundRect">
          <a:avLst/>
        </a:prstGeom>
        <a:solidFill>
          <a:srgbClr val="00FFFF"/>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wrap="square" lIns="18288" tIns="0" rIns="0" bIns="0" rtlCol="0" anchor="ctr" upright="1"/>
        <a:lstStyle/>
        <a:p>
          <a:pPr algn="ctr"/>
          <a:r>
            <a:rPr kumimoji="1" lang="ja-JP" altLang="en-US" sz="1400" b="1"/>
            <a:t>筐体温度計算（実験式）</a:t>
          </a:r>
        </a:p>
      </xdr:txBody>
    </xdr:sp>
    <xdr:clientData/>
  </xdr:twoCellAnchor>
  <xdr:twoCellAnchor editAs="oneCell">
    <xdr:from>
      <xdr:col>3</xdr:col>
      <xdr:colOff>685799</xdr:colOff>
      <xdr:row>11</xdr:row>
      <xdr:rowOff>85725</xdr:rowOff>
    </xdr:from>
    <xdr:to>
      <xdr:col>8</xdr:col>
      <xdr:colOff>136799</xdr:colOff>
      <xdr:row>14</xdr:row>
      <xdr:rowOff>39375</xdr:rowOff>
    </xdr:to>
    <xdr:sp macro="" textlink="">
      <xdr:nvSpPr>
        <xdr:cNvPr id="4" name="四角形: 角を丸くする 3">
          <a:hlinkClick xmlns:r="http://schemas.openxmlformats.org/officeDocument/2006/relationships" r:id="rId3"/>
          <a:extLst>
            <a:ext uri="{FF2B5EF4-FFF2-40B4-BE49-F238E27FC236}">
              <a16:creationId xmlns:a16="http://schemas.microsoft.com/office/drawing/2014/main" xmlns="" id="{00000000-0008-0000-0000-000004000000}"/>
            </a:ext>
          </a:extLst>
        </xdr:cNvPr>
        <xdr:cNvSpPr/>
      </xdr:nvSpPr>
      <xdr:spPr bwMode="auto">
        <a:xfrm>
          <a:off x="2743199" y="2533650"/>
          <a:ext cx="2880000" cy="468000"/>
        </a:xfrm>
        <a:prstGeom prst="roundRect">
          <a:avLst/>
        </a:prstGeom>
        <a:solidFill>
          <a:srgbClr val="00FFFF"/>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wrap="square" lIns="18288" tIns="0" rIns="0" bIns="0" rtlCol="0" anchor="ctr" upright="1"/>
        <a:lstStyle/>
        <a:p>
          <a:pPr algn="ctr"/>
          <a:r>
            <a:rPr kumimoji="1" lang="ja-JP" altLang="en-US" sz="1400" b="1"/>
            <a:t>筐体温度計算（熱回路モデル）</a:t>
          </a:r>
        </a:p>
      </xdr:txBody>
    </xdr:sp>
    <xdr:clientData/>
  </xdr:twoCellAnchor>
  <xdr:twoCellAnchor editAs="oneCell">
    <xdr:from>
      <xdr:col>4</xdr:col>
      <xdr:colOff>0</xdr:colOff>
      <xdr:row>16</xdr:row>
      <xdr:rowOff>0</xdr:rowOff>
    </xdr:from>
    <xdr:to>
      <xdr:col>8</xdr:col>
      <xdr:colOff>136800</xdr:colOff>
      <xdr:row>18</xdr:row>
      <xdr:rowOff>125100</xdr:rowOff>
    </xdr:to>
    <xdr:sp macro="" textlink="">
      <xdr:nvSpPr>
        <xdr:cNvPr id="5" name="四角形: 角を丸くする 4">
          <a:hlinkClick xmlns:r="http://schemas.openxmlformats.org/officeDocument/2006/relationships" r:id="rId4"/>
          <a:extLst>
            <a:ext uri="{FF2B5EF4-FFF2-40B4-BE49-F238E27FC236}">
              <a16:creationId xmlns:a16="http://schemas.microsoft.com/office/drawing/2014/main" xmlns="" id="{00000000-0008-0000-0000-000005000000}"/>
            </a:ext>
          </a:extLst>
        </xdr:cNvPr>
        <xdr:cNvSpPr/>
      </xdr:nvSpPr>
      <xdr:spPr bwMode="auto">
        <a:xfrm>
          <a:off x="2743200" y="3352800"/>
          <a:ext cx="2880000" cy="468000"/>
        </a:xfrm>
        <a:prstGeom prst="roundRect">
          <a:avLst/>
        </a:prstGeom>
        <a:solidFill>
          <a:srgbClr val="00FF00"/>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wrap="square" lIns="18288" tIns="0" rIns="0" bIns="0" rtlCol="0" anchor="ctr" upright="1"/>
        <a:lstStyle/>
        <a:p>
          <a:pPr algn="ctr"/>
          <a:r>
            <a:rPr kumimoji="1" lang="ja-JP" altLang="en-US" sz="1400" b="1"/>
            <a:t>日射量計算</a:t>
          </a:r>
        </a:p>
      </xdr:txBody>
    </xdr:sp>
    <xdr:clientData/>
  </xdr:twoCellAnchor>
  <xdr:twoCellAnchor editAs="oneCell">
    <xdr:from>
      <xdr:col>4</xdr:col>
      <xdr:colOff>0</xdr:colOff>
      <xdr:row>19</xdr:row>
      <xdr:rowOff>47625</xdr:rowOff>
    </xdr:from>
    <xdr:to>
      <xdr:col>8</xdr:col>
      <xdr:colOff>136800</xdr:colOff>
      <xdr:row>22</xdr:row>
      <xdr:rowOff>1275</xdr:rowOff>
    </xdr:to>
    <xdr:sp macro="" textlink="">
      <xdr:nvSpPr>
        <xdr:cNvPr id="6" name="四角形: 角を丸くする 5">
          <a:hlinkClick xmlns:r="http://schemas.openxmlformats.org/officeDocument/2006/relationships" r:id="rId5"/>
          <a:extLst>
            <a:ext uri="{FF2B5EF4-FFF2-40B4-BE49-F238E27FC236}">
              <a16:creationId xmlns:a16="http://schemas.microsoft.com/office/drawing/2014/main" xmlns="" id="{00000000-0008-0000-0000-000006000000}"/>
            </a:ext>
          </a:extLst>
        </xdr:cNvPr>
        <xdr:cNvSpPr/>
      </xdr:nvSpPr>
      <xdr:spPr bwMode="auto">
        <a:xfrm>
          <a:off x="2743200" y="3914775"/>
          <a:ext cx="2880000" cy="468000"/>
        </a:xfrm>
        <a:prstGeom prst="roundRect">
          <a:avLst/>
        </a:prstGeom>
        <a:solidFill>
          <a:srgbClr val="00FF00"/>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wrap="square" lIns="18288" tIns="0" rIns="0" bIns="0" rtlCol="0" anchor="ctr" upright="1"/>
        <a:lstStyle/>
        <a:p>
          <a:pPr algn="ctr"/>
          <a:r>
            <a:rPr kumimoji="1" lang="ja-JP" altLang="en-US" sz="1400" b="1"/>
            <a:t>日射受熱筐体（熱回路モデル）</a:t>
          </a:r>
        </a:p>
      </xdr:txBody>
    </xdr:sp>
    <xdr:clientData/>
  </xdr:twoCellAnchor>
  <xdr:twoCellAnchor editAs="oneCell">
    <xdr:from>
      <xdr:col>4</xdr:col>
      <xdr:colOff>9525</xdr:colOff>
      <xdr:row>24</xdr:row>
      <xdr:rowOff>19050</xdr:rowOff>
    </xdr:from>
    <xdr:to>
      <xdr:col>8</xdr:col>
      <xdr:colOff>146325</xdr:colOff>
      <xdr:row>26</xdr:row>
      <xdr:rowOff>144150</xdr:rowOff>
    </xdr:to>
    <xdr:sp macro="" textlink="">
      <xdr:nvSpPr>
        <xdr:cNvPr id="7" name="四角形: 角を丸くする 6">
          <a:hlinkClick xmlns:r="http://schemas.openxmlformats.org/officeDocument/2006/relationships" r:id="rId6"/>
          <a:extLst>
            <a:ext uri="{FF2B5EF4-FFF2-40B4-BE49-F238E27FC236}">
              <a16:creationId xmlns:a16="http://schemas.microsoft.com/office/drawing/2014/main" xmlns="" id="{00000000-0008-0000-0000-000007000000}"/>
            </a:ext>
          </a:extLst>
        </xdr:cNvPr>
        <xdr:cNvSpPr/>
      </xdr:nvSpPr>
      <xdr:spPr bwMode="auto">
        <a:xfrm>
          <a:off x="2752725" y="4276725"/>
          <a:ext cx="2880000" cy="468000"/>
        </a:xfrm>
        <a:prstGeom prst="roundRect">
          <a:avLst/>
        </a:prstGeom>
        <a:solidFill>
          <a:srgbClr val="FFFF00"/>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wrap="square" lIns="18288" tIns="0" rIns="0" bIns="0" rtlCol="0" anchor="ctr" upright="1"/>
        <a:lstStyle/>
        <a:p>
          <a:pPr algn="ctr"/>
          <a:r>
            <a:rPr kumimoji="1" lang="ja-JP" altLang="en-US" sz="1400" b="1"/>
            <a:t>モータ吹付冷却計算</a:t>
          </a:r>
          <a:endParaRPr kumimoji="1" lang="en-US" altLang="ja-JP" sz="1400" b="1"/>
        </a:p>
      </xdr:txBody>
    </xdr:sp>
    <xdr:clientData/>
  </xdr:twoCellAnchor>
  <xdr:twoCellAnchor editAs="oneCell">
    <xdr:from>
      <xdr:col>4</xdr:col>
      <xdr:colOff>9525</xdr:colOff>
      <xdr:row>29</xdr:row>
      <xdr:rowOff>0</xdr:rowOff>
    </xdr:from>
    <xdr:to>
      <xdr:col>8</xdr:col>
      <xdr:colOff>146325</xdr:colOff>
      <xdr:row>31</xdr:row>
      <xdr:rowOff>125100</xdr:rowOff>
    </xdr:to>
    <xdr:sp macro="" textlink="">
      <xdr:nvSpPr>
        <xdr:cNvPr id="8" name="四角形: 角を丸くする 7">
          <a:hlinkClick xmlns:r="http://schemas.openxmlformats.org/officeDocument/2006/relationships" r:id="rId7"/>
          <a:extLst>
            <a:ext uri="{FF2B5EF4-FFF2-40B4-BE49-F238E27FC236}">
              <a16:creationId xmlns:a16="http://schemas.microsoft.com/office/drawing/2014/main" xmlns="" id="{00000000-0008-0000-0000-000008000000}"/>
            </a:ext>
          </a:extLst>
        </xdr:cNvPr>
        <xdr:cNvSpPr/>
      </xdr:nvSpPr>
      <xdr:spPr bwMode="auto">
        <a:xfrm>
          <a:off x="2752725" y="5162550"/>
          <a:ext cx="2880000" cy="468000"/>
        </a:xfrm>
        <a:prstGeom prst="roundRect">
          <a:avLst/>
        </a:prstGeom>
        <a:solidFill>
          <a:srgbClr val="FF0000"/>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wrap="square" lIns="18288" tIns="0" rIns="0" bIns="0" rtlCol="0" anchor="ctr" upright="1"/>
        <a:lstStyle/>
        <a:p>
          <a:pPr algn="ctr"/>
          <a:r>
            <a:rPr kumimoji="1" lang="ja-JP" altLang="en-US" sz="1400" b="1">
              <a:solidFill>
                <a:schemeClr val="bg1"/>
              </a:solidFill>
            </a:rPr>
            <a:t>サーマルビア（熱回路モデル）</a:t>
          </a:r>
          <a:endParaRPr kumimoji="1" lang="en-US" altLang="ja-JP" sz="1400" b="1">
            <a:solidFill>
              <a:schemeClr val="bg1"/>
            </a:solidFill>
          </a:endParaRPr>
        </a:p>
      </xdr:txBody>
    </xdr:sp>
    <xdr:clientData/>
  </xdr:twoCellAnchor>
  <xdr:twoCellAnchor editAs="oneCell">
    <xdr:from>
      <xdr:col>4</xdr:col>
      <xdr:colOff>19050</xdr:colOff>
      <xdr:row>32</xdr:row>
      <xdr:rowOff>47625</xdr:rowOff>
    </xdr:from>
    <xdr:to>
      <xdr:col>8</xdr:col>
      <xdr:colOff>155850</xdr:colOff>
      <xdr:row>35</xdr:row>
      <xdr:rowOff>1275</xdr:rowOff>
    </xdr:to>
    <xdr:sp macro="" textlink="">
      <xdr:nvSpPr>
        <xdr:cNvPr id="9" name="四角形: 角を丸くする 8">
          <a:hlinkClick xmlns:r="http://schemas.openxmlformats.org/officeDocument/2006/relationships" r:id="rId8"/>
          <a:extLst>
            <a:ext uri="{FF2B5EF4-FFF2-40B4-BE49-F238E27FC236}">
              <a16:creationId xmlns:a16="http://schemas.microsoft.com/office/drawing/2014/main" xmlns="" id="{00000000-0008-0000-0000-000009000000}"/>
            </a:ext>
          </a:extLst>
        </xdr:cNvPr>
        <xdr:cNvSpPr/>
      </xdr:nvSpPr>
      <xdr:spPr bwMode="auto">
        <a:xfrm>
          <a:off x="2762250" y="5724525"/>
          <a:ext cx="2880000" cy="468000"/>
        </a:xfrm>
        <a:prstGeom prst="roundRect">
          <a:avLst/>
        </a:prstGeom>
        <a:solidFill>
          <a:srgbClr val="FF0000"/>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wrap="square" lIns="18288" tIns="0" rIns="0" bIns="0" rtlCol="0" anchor="ctr" upright="1"/>
        <a:lstStyle/>
        <a:p>
          <a:pPr algn="ctr"/>
          <a:r>
            <a:rPr kumimoji="1" lang="ja-JP" altLang="en-US" sz="1400" b="1">
              <a:solidFill>
                <a:schemeClr val="bg1"/>
              </a:solidFill>
            </a:rPr>
            <a:t>配線のジュール発熱計算</a:t>
          </a:r>
          <a:endParaRPr kumimoji="1" lang="en-US" altLang="ja-JP" sz="1400" b="1">
            <a:solidFill>
              <a:schemeClr val="bg1"/>
            </a:solidFill>
          </a:endParaRPr>
        </a:p>
      </xdr:txBody>
    </xdr:sp>
    <xdr:clientData/>
  </xdr:twoCellAnchor>
  <xdr:twoCellAnchor editAs="oneCell">
    <xdr:from>
      <xdr:col>10</xdr:col>
      <xdr:colOff>0</xdr:colOff>
      <xdr:row>5</xdr:row>
      <xdr:rowOff>0</xdr:rowOff>
    </xdr:from>
    <xdr:to>
      <xdr:col>14</xdr:col>
      <xdr:colOff>136800</xdr:colOff>
      <xdr:row>7</xdr:row>
      <xdr:rowOff>125100</xdr:rowOff>
    </xdr:to>
    <xdr:sp macro="" textlink="">
      <xdr:nvSpPr>
        <xdr:cNvPr id="10" name="四角形: 角を丸くする 9">
          <a:hlinkClick xmlns:r="http://schemas.openxmlformats.org/officeDocument/2006/relationships" r:id="rId9"/>
          <a:extLst>
            <a:ext uri="{FF2B5EF4-FFF2-40B4-BE49-F238E27FC236}">
              <a16:creationId xmlns:a16="http://schemas.microsoft.com/office/drawing/2014/main" xmlns="" id="{00000000-0008-0000-0000-00000A000000}"/>
            </a:ext>
          </a:extLst>
        </xdr:cNvPr>
        <xdr:cNvSpPr/>
      </xdr:nvSpPr>
      <xdr:spPr bwMode="auto">
        <a:xfrm>
          <a:off x="2743200" y="6581775"/>
          <a:ext cx="2880000" cy="468000"/>
        </a:xfrm>
        <a:prstGeom prst="roundRect">
          <a:avLst/>
        </a:prstGeom>
        <a:solidFill>
          <a:schemeClr val="bg2">
            <a:lumMod val="7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wrap="square" lIns="18288" tIns="0" rIns="0" bIns="0" rtlCol="0" anchor="ctr" upright="1"/>
        <a:lstStyle/>
        <a:p>
          <a:pPr algn="ctr"/>
          <a:r>
            <a:rPr kumimoji="1" lang="ja-JP" altLang="en-US" sz="1400" b="1">
              <a:solidFill>
                <a:sysClr val="windowText" lastClr="000000"/>
              </a:solidFill>
            </a:rPr>
            <a:t>ヒートシンクの非定常計算</a:t>
          </a:r>
          <a:endParaRPr kumimoji="1" lang="en-US" altLang="ja-JP" sz="1400" b="1">
            <a:solidFill>
              <a:sysClr val="windowText" lastClr="000000"/>
            </a:solidFill>
          </a:endParaRPr>
        </a:p>
      </xdr:txBody>
    </xdr:sp>
    <xdr:clientData/>
  </xdr:twoCellAnchor>
  <xdr:twoCellAnchor editAs="oneCell">
    <xdr:from>
      <xdr:col>10</xdr:col>
      <xdr:colOff>19050</xdr:colOff>
      <xdr:row>10</xdr:row>
      <xdr:rowOff>19050</xdr:rowOff>
    </xdr:from>
    <xdr:to>
      <xdr:col>14</xdr:col>
      <xdr:colOff>155850</xdr:colOff>
      <xdr:row>12</xdr:row>
      <xdr:rowOff>144150</xdr:rowOff>
    </xdr:to>
    <xdr:sp macro="" textlink="">
      <xdr:nvSpPr>
        <xdr:cNvPr id="11" name="四角形: 角を丸くする 10">
          <a:hlinkClick xmlns:r="http://schemas.openxmlformats.org/officeDocument/2006/relationships" r:id="rId10"/>
          <a:extLst>
            <a:ext uri="{FF2B5EF4-FFF2-40B4-BE49-F238E27FC236}">
              <a16:creationId xmlns:a16="http://schemas.microsoft.com/office/drawing/2014/main" xmlns="" id="{00000000-0008-0000-0000-00000B000000}"/>
            </a:ext>
          </a:extLst>
        </xdr:cNvPr>
        <xdr:cNvSpPr/>
      </xdr:nvSpPr>
      <xdr:spPr bwMode="auto">
        <a:xfrm>
          <a:off x="2762250" y="7505700"/>
          <a:ext cx="2880000" cy="468000"/>
        </a:xfrm>
        <a:prstGeom prst="roundRect">
          <a:avLst/>
        </a:prstGeom>
        <a:solidFill>
          <a:schemeClr val="tx2">
            <a:lumMod val="40000"/>
            <a:lumOff val="6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wrap="square" lIns="18288" tIns="0" rIns="0" bIns="0" rtlCol="0" anchor="ctr" upright="1"/>
        <a:lstStyle/>
        <a:p>
          <a:pPr algn="ctr"/>
          <a:r>
            <a:rPr kumimoji="1" lang="ja-JP" altLang="en-US" sz="1400" b="1">
              <a:solidFill>
                <a:sysClr val="windowText" lastClr="000000"/>
              </a:solidFill>
            </a:rPr>
            <a:t>水冷ヒートシンク計算</a:t>
          </a:r>
          <a:endParaRPr kumimoji="1" lang="en-US" altLang="ja-JP" sz="1400" b="1">
            <a:solidFill>
              <a:sysClr val="windowText" lastClr="000000"/>
            </a:solidFill>
          </a:endParaRPr>
        </a:p>
      </xdr:txBody>
    </xdr:sp>
    <xdr:clientData/>
  </xdr:twoCellAnchor>
  <xdr:twoCellAnchor editAs="oneCell">
    <xdr:from>
      <xdr:col>10</xdr:col>
      <xdr:colOff>9525</xdr:colOff>
      <xdr:row>13</xdr:row>
      <xdr:rowOff>57150</xdr:rowOff>
    </xdr:from>
    <xdr:to>
      <xdr:col>14</xdr:col>
      <xdr:colOff>146325</xdr:colOff>
      <xdr:row>16</xdr:row>
      <xdr:rowOff>10800</xdr:rowOff>
    </xdr:to>
    <xdr:sp macro="" textlink="">
      <xdr:nvSpPr>
        <xdr:cNvPr id="12" name="四角形: 角を丸くする 11">
          <a:hlinkClick xmlns:r="http://schemas.openxmlformats.org/officeDocument/2006/relationships" r:id="rId11"/>
          <a:extLst>
            <a:ext uri="{FF2B5EF4-FFF2-40B4-BE49-F238E27FC236}">
              <a16:creationId xmlns:a16="http://schemas.microsoft.com/office/drawing/2014/main" xmlns="" id="{00000000-0008-0000-0000-00000C000000}"/>
            </a:ext>
          </a:extLst>
        </xdr:cNvPr>
        <xdr:cNvSpPr/>
      </xdr:nvSpPr>
      <xdr:spPr bwMode="auto">
        <a:xfrm>
          <a:off x="2752725" y="8058150"/>
          <a:ext cx="2880000" cy="468000"/>
        </a:xfrm>
        <a:prstGeom prst="roundRect">
          <a:avLst/>
        </a:prstGeom>
        <a:solidFill>
          <a:schemeClr val="tx2">
            <a:lumMod val="40000"/>
            <a:lumOff val="6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wrap="square" lIns="18288" tIns="0" rIns="0" bIns="0" rtlCol="0" anchor="ctr" upright="1"/>
        <a:lstStyle/>
        <a:p>
          <a:pPr algn="ctr"/>
          <a:r>
            <a:rPr kumimoji="1" lang="ja-JP" altLang="en-US" sz="1400" b="1">
              <a:solidFill>
                <a:sysClr val="windowText" lastClr="000000"/>
              </a:solidFill>
            </a:rPr>
            <a:t>ペルチェモジュール（熱回路モデル）</a:t>
          </a:r>
          <a:endParaRPr kumimoji="1" lang="en-US" altLang="ja-JP" sz="1400" b="1">
            <a:solidFill>
              <a:sysClr val="windowText" lastClr="000000"/>
            </a:solidFill>
          </a:endParaRPr>
        </a:p>
      </xdr:txBody>
    </xdr:sp>
    <xdr:clientData/>
  </xdr:twoCellAnchor>
  <xdr:twoCellAnchor editAs="oneCell">
    <xdr:from>
      <xdr:col>10</xdr:col>
      <xdr:colOff>931</xdr:colOff>
      <xdr:row>18</xdr:row>
      <xdr:rowOff>7860</xdr:rowOff>
    </xdr:from>
    <xdr:to>
      <xdr:col>14</xdr:col>
      <xdr:colOff>143260</xdr:colOff>
      <xdr:row>20</xdr:row>
      <xdr:rowOff>134693</xdr:rowOff>
    </xdr:to>
    <xdr:sp macro="" textlink="">
      <xdr:nvSpPr>
        <xdr:cNvPr id="13" name="四角形: 角を丸くする 12">
          <a:hlinkClick xmlns:r="http://schemas.openxmlformats.org/officeDocument/2006/relationships" r:id="rId12"/>
          <a:extLst>
            <a:ext uri="{FF2B5EF4-FFF2-40B4-BE49-F238E27FC236}">
              <a16:creationId xmlns:a16="http://schemas.microsoft.com/office/drawing/2014/main" xmlns="" id="{00000000-0008-0000-0000-00000D000000}"/>
            </a:ext>
          </a:extLst>
        </xdr:cNvPr>
        <xdr:cNvSpPr/>
      </xdr:nvSpPr>
      <xdr:spPr bwMode="auto">
        <a:xfrm>
          <a:off x="2755854" y="8792841"/>
          <a:ext cx="2897252" cy="463871"/>
        </a:xfrm>
        <a:prstGeom prst="roundRect">
          <a:avLst/>
        </a:prstGeom>
        <a:solidFill>
          <a:srgbClr val="0000FF"/>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wrap="square" lIns="18288" tIns="0" rIns="0" bIns="0" rtlCol="0" anchor="ctr" upright="1"/>
        <a:lstStyle/>
        <a:p>
          <a:pPr algn="ctr"/>
          <a:r>
            <a:rPr kumimoji="1" lang="en-US" altLang="ja-JP" sz="1400" b="1">
              <a:solidFill>
                <a:schemeClr val="bg1"/>
              </a:solidFill>
            </a:rPr>
            <a:t>【</a:t>
          </a:r>
          <a:r>
            <a:rPr kumimoji="1" lang="ja-JP" altLang="en-US" sz="1400" b="1">
              <a:solidFill>
                <a:schemeClr val="bg1"/>
              </a:solidFill>
            </a:rPr>
            <a:t>事例１</a:t>
          </a:r>
          <a:r>
            <a:rPr kumimoji="1" lang="en-US" altLang="ja-JP" sz="1400" b="1">
              <a:solidFill>
                <a:schemeClr val="bg1"/>
              </a:solidFill>
            </a:rPr>
            <a:t>】</a:t>
          </a:r>
          <a:r>
            <a:rPr kumimoji="1" lang="ja-JP" altLang="en-US" sz="1400" b="1">
              <a:solidFill>
                <a:schemeClr val="bg1"/>
              </a:solidFill>
            </a:rPr>
            <a:t>　密閉機器筐体</a:t>
          </a:r>
          <a:endParaRPr kumimoji="1" lang="en-US" altLang="ja-JP" sz="1400" b="1">
            <a:solidFill>
              <a:schemeClr val="bg1"/>
            </a:solidFill>
          </a:endParaRPr>
        </a:p>
      </xdr:txBody>
    </xdr:sp>
    <xdr:clientData/>
  </xdr:twoCellAnchor>
  <xdr:twoCellAnchor editAs="oneCell">
    <xdr:from>
      <xdr:col>9</xdr:col>
      <xdr:colOff>688196</xdr:colOff>
      <xdr:row>21</xdr:row>
      <xdr:rowOff>6396</xdr:rowOff>
    </xdr:from>
    <xdr:to>
      <xdr:col>14</xdr:col>
      <xdr:colOff>141794</xdr:colOff>
      <xdr:row>23</xdr:row>
      <xdr:rowOff>133228</xdr:rowOff>
    </xdr:to>
    <xdr:sp macro="" textlink="">
      <xdr:nvSpPr>
        <xdr:cNvPr id="14" name="四角形: 角を丸くする 13">
          <a:hlinkClick xmlns:r="http://schemas.openxmlformats.org/officeDocument/2006/relationships" r:id="rId13"/>
          <a:extLst>
            <a:ext uri="{FF2B5EF4-FFF2-40B4-BE49-F238E27FC236}">
              <a16:creationId xmlns:a16="http://schemas.microsoft.com/office/drawing/2014/main" xmlns="" id="{00000000-0008-0000-0000-00000E000000}"/>
            </a:ext>
          </a:extLst>
        </xdr:cNvPr>
        <xdr:cNvSpPr/>
      </xdr:nvSpPr>
      <xdr:spPr bwMode="auto">
        <a:xfrm>
          <a:off x="2754388" y="9296934"/>
          <a:ext cx="2897252" cy="463871"/>
        </a:xfrm>
        <a:prstGeom prst="roundRect">
          <a:avLst/>
        </a:prstGeom>
        <a:solidFill>
          <a:srgbClr val="0000FF"/>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wrap="square" lIns="18288" tIns="0" rIns="0" bIns="0" rtlCol="0" anchor="ctr" upright="1"/>
        <a:lstStyle/>
        <a:p>
          <a:pPr algn="ctr"/>
          <a:r>
            <a:rPr kumimoji="1" lang="en-US" altLang="ja-JP" sz="1400" b="1">
              <a:solidFill>
                <a:schemeClr val="bg1"/>
              </a:solidFill>
            </a:rPr>
            <a:t>【</a:t>
          </a:r>
          <a:r>
            <a:rPr kumimoji="1" lang="ja-JP" altLang="en-US" sz="1400" b="1">
              <a:solidFill>
                <a:schemeClr val="bg1"/>
              </a:solidFill>
            </a:rPr>
            <a:t>事例１</a:t>
          </a:r>
          <a:r>
            <a:rPr kumimoji="1" lang="en-US" altLang="ja-JP" sz="1400" b="1">
              <a:solidFill>
                <a:schemeClr val="bg1"/>
              </a:solidFill>
            </a:rPr>
            <a:t>】</a:t>
          </a:r>
          <a:r>
            <a:rPr kumimoji="1" lang="ja-JP" altLang="en-US" sz="1400" b="1">
              <a:solidFill>
                <a:schemeClr val="bg1"/>
              </a:solidFill>
            </a:rPr>
            <a:t>　密閉機器基板</a:t>
          </a:r>
          <a:endParaRPr kumimoji="1" lang="en-US" altLang="ja-JP" sz="1400" b="1">
            <a:solidFill>
              <a:schemeClr val="bg1"/>
            </a:solidFill>
          </a:endParaRPr>
        </a:p>
      </xdr:txBody>
    </xdr:sp>
    <xdr:clientData/>
  </xdr:twoCellAnchor>
  <xdr:twoCellAnchor editAs="oneCell">
    <xdr:from>
      <xdr:col>9</xdr:col>
      <xdr:colOff>679403</xdr:colOff>
      <xdr:row>24</xdr:row>
      <xdr:rowOff>4930</xdr:rowOff>
    </xdr:from>
    <xdr:to>
      <xdr:col>14</xdr:col>
      <xdr:colOff>133001</xdr:colOff>
      <xdr:row>26</xdr:row>
      <xdr:rowOff>131762</xdr:rowOff>
    </xdr:to>
    <xdr:sp macro="" textlink="">
      <xdr:nvSpPr>
        <xdr:cNvPr id="15" name="四角形: 角を丸くする 14">
          <a:hlinkClick xmlns:r="http://schemas.openxmlformats.org/officeDocument/2006/relationships" r:id="rId14"/>
          <a:extLst>
            <a:ext uri="{FF2B5EF4-FFF2-40B4-BE49-F238E27FC236}">
              <a16:creationId xmlns:a16="http://schemas.microsoft.com/office/drawing/2014/main" xmlns="" id="{00000000-0008-0000-0000-00000F000000}"/>
            </a:ext>
          </a:extLst>
        </xdr:cNvPr>
        <xdr:cNvSpPr/>
      </xdr:nvSpPr>
      <xdr:spPr bwMode="auto">
        <a:xfrm>
          <a:off x="2745595" y="9801026"/>
          <a:ext cx="2897252" cy="463871"/>
        </a:xfrm>
        <a:prstGeom prst="roundRect">
          <a:avLst/>
        </a:prstGeom>
        <a:solidFill>
          <a:srgbClr val="0000FF"/>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wrap="square" lIns="18288" tIns="0" rIns="0" bIns="0" rtlCol="0" anchor="ctr" upright="1"/>
        <a:lstStyle/>
        <a:p>
          <a:pPr algn="ctr"/>
          <a:r>
            <a:rPr kumimoji="1" lang="en-US" altLang="ja-JP" sz="1400" b="1">
              <a:solidFill>
                <a:schemeClr val="bg1"/>
              </a:solidFill>
            </a:rPr>
            <a:t>【</a:t>
          </a:r>
          <a:r>
            <a:rPr kumimoji="1" lang="ja-JP" altLang="en-US" sz="1400" b="1">
              <a:solidFill>
                <a:schemeClr val="bg1"/>
              </a:solidFill>
            </a:rPr>
            <a:t>事例１</a:t>
          </a:r>
          <a:r>
            <a:rPr kumimoji="1" lang="en-US" altLang="ja-JP" sz="1400" b="1">
              <a:solidFill>
                <a:schemeClr val="bg1"/>
              </a:solidFill>
            </a:rPr>
            <a:t>】</a:t>
          </a:r>
          <a:r>
            <a:rPr kumimoji="1" lang="ja-JP" altLang="en-US" sz="1400" b="1">
              <a:solidFill>
                <a:schemeClr val="bg1"/>
              </a:solidFill>
            </a:rPr>
            <a:t>　危険部品判断シート</a:t>
          </a:r>
          <a:endParaRPr kumimoji="1" lang="en-US" altLang="ja-JP" sz="1400" b="1">
            <a:solidFill>
              <a:schemeClr val="bg1"/>
            </a:solidFill>
          </a:endParaRPr>
        </a:p>
      </xdr:txBody>
    </xdr:sp>
    <xdr:clientData/>
  </xdr:twoCellAnchor>
  <xdr:twoCellAnchor editAs="oneCell">
    <xdr:from>
      <xdr:col>10</xdr:col>
      <xdr:colOff>3860</xdr:colOff>
      <xdr:row>28</xdr:row>
      <xdr:rowOff>3465</xdr:rowOff>
    </xdr:from>
    <xdr:to>
      <xdr:col>14</xdr:col>
      <xdr:colOff>146189</xdr:colOff>
      <xdr:row>30</xdr:row>
      <xdr:rowOff>130297</xdr:rowOff>
    </xdr:to>
    <xdr:sp macro="" textlink="">
      <xdr:nvSpPr>
        <xdr:cNvPr id="16" name="四角形: 角を丸くする 15">
          <a:hlinkClick xmlns:r="http://schemas.openxmlformats.org/officeDocument/2006/relationships" r:id="rId15"/>
          <a:extLst>
            <a:ext uri="{FF2B5EF4-FFF2-40B4-BE49-F238E27FC236}">
              <a16:creationId xmlns:a16="http://schemas.microsoft.com/office/drawing/2014/main" xmlns="" id="{00000000-0008-0000-0000-000010000000}"/>
            </a:ext>
          </a:extLst>
        </xdr:cNvPr>
        <xdr:cNvSpPr/>
      </xdr:nvSpPr>
      <xdr:spPr bwMode="auto">
        <a:xfrm>
          <a:off x="2758783" y="10473638"/>
          <a:ext cx="2897252" cy="463871"/>
        </a:xfrm>
        <a:prstGeom prst="roundRect">
          <a:avLst/>
        </a:prstGeom>
        <a:solidFill>
          <a:srgbClr val="0000FF"/>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wrap="square" lIns="18288" tIns="0" rIns="0" bIns="0" rtlCol="0" anchor="ctr" upright="1"/>
        <a:lstStyle/>
        <a:p>
          <a:pPr algn="ctr"/>
          <a:r>
            <a:rPr kumimoji="1" lang="en-US" altLang="ja-JP" sz="1400" b="1">
              <a:solidFill>
                <a:schemeClr val="bg1"/>
              </a:solidFill>
            </a:rPr>
            <a:t>【</a:t>
          </a:r>
          <a:r>
            <a:rPr kumimoji="1" lang="ja-JP" altLang="en-US" sz="1400" b="1">
              <a:solidFill>
                <a:schemeClr val="bg1"/>
              </a:solidFill>
            </a:rPr>
            <a:t>事例２</a:t>
          </a:r>
          <a:r>
            <a:rPr kumimoji="1" lang="en-US" altLang="ja-JP" sz="1400" b="1">
              <a:solidFill>
                <a:schemeClr val="bg1"/>
              </a:solidFill>
            </a:rPr>
            <a:t>】</a:t>
          </a:r>
          <a:r>
            <a:rPr kumimoji="1" lang="ja-JP" altLang="en-US" sz="1400" b="1">
              <a:solidFill>
                <a:schemeClr val="bg1"/>
              </a:solidFill>
            </a:rPr>
            <a:t>　自然空冷通風機器</a:t>
          </a:r>
          <a:endParaRPr kumimoji="1" lang="en-US" altLang="ja-JP" sz="1400" b="1">
            <a:solidFill>
              <a:schemeClr val="bg1"/>
            </a:solidFill>
          </a:endParaRPr>
        </a:p>
      </xdr:txBody>
    </xdr:sp>
    <xdr:clientData/>
  </xdr:twoCellAnchor>
  <xdr:twoCellAnchor editAs="oneCell">
    <xdr:from>
      <xdr:col>10</xdr:col>
      <xdr:colOff>9722</xdr:colOff>
      <xdr:row>31</xdr:row>
      <xdr:rowOff>16654</xdr:rowOff>
    </xdr:from>
    <xdr:to>
      <xdr:col>14</xdr:col>
      <xdr:colOff>152051</xdr:colOff>
      <xdr:row>33</xdr:row>
      <xdr:rowOff>143487</xdr:rowOff>
    </xdr:to>
    <xdr:sp macro="" textlink="">
      <xdr:nvSpPr>
        <xdr:cNvPr id="17" name="四角形: 角を丸くする 16">
          <a:hlinkClick xmlns:r="http://schemas.openxmlformats.org/officeDocument/2006/relationships" r:id="rId16"/>
          <a:extLst>
            <a:ext uri="{FF2B5EF4-FFF2-40B4-BE49-F238E27FC236}">
              <a16:creationId xmlns:a16="http://schemas.microsoft.com/office/drawing/2014/main" xmlns="" id="{00000000-0008-0000-0000-000011000000}"/>
            </a:ext>
          </a:extLst>
        </xdr:cNvPr>
        <xdr:cNvSpPr/>
      </xdr:nvSpPr>
      <xdr:spPr bwMode="auto">
        <a:xfrm>
          <a:off x="2764645" y="10992385"/>
          <a:ext cx="2897252" cy="463871"/>
        </a:xfrm>
        <a:prstGeom prst="roundRect">
          <a:avLst/>
        </a:prstGeom>
        <a:solidFill>
          <a:srgbClr val="0000FF"/>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wrap="square" lIns="18288" tIns="0" rIns="0" bIns="0" rtlCol="0" anchor="ctr" upright="1"/>
        <a:lstStyle/>
        <a:p>
          <a:pPr algn="ctr"/>
          <a:r>
            <a:rPr kumimoji="1" lang="en-US" altLang="ja-JP" sz="1400" b="1">
              <a:solidFill>
                <a:schemeClr val="bg1"/>
              </a:solidFill>
            </a:rPr>
            <a:t>【</a:t>
          </a:r>
          <a:r>
            <a:rPr kumimoji="1" lang="ja-JP" altLang="en-US" sz="1400" b="1">
              <a:solidFill>
                <a:schemeClr val="bg1"/>
              </a:solidFill>
            </a:rPr>
            <a:t>事例２</a:t>
          </a:r>
          <a:r>
            <a:rPr kumimoji="1" lang="en-US" altLang="ja-JP" sz="1400" b="1">
              <a:solidFill>
                <a:schemeClr val="bg1"/>
              </a:solidFill>
            </a:rPr>
            <a:t>】</a:t>
          </a:r>
          <a:r>
            <a:rPr kumimoji="1" lang="ja-JP" altLang="en-US" sz="1400" b="1">
              <a:solidFill>
                <a:schemeClr val="bg1"/>
              </a:solidFill>
            </a:rPr>
            <a:t>　危険部品判断シート</a:t>
          </a:r>
          <a:endParaRPr kumimoji="1" lang="en-US" altLang="ja-JP" sz="1400" b="1">
            <a:solidFill>
              <a:schemeClr val="bg1"/>
            </a:solidFill>
          </a:endParaRPr>
        </a:p>
      </xdr:txBody>
    </xdr:sp>
    <xdr:clientData/>
  </xdr:twoCellAnchor>
  <xdr:twoCellAnchor editAs="oneCell">
    <xdr:from>
      <xdr:col>10</xdr:col>
      <xdr:colOff>8257</xdr:colOff>
      <xdr:row>35</xdr:row>
      <xdr:rowOff>15188</xdr:rowOff>
    </xdr:from>
    <xdr:to>
      <xdr:col>14</xdr:col>
      <xdr:colOff>150586</xdr:colOff>
      <xdr:row>37</xdr:row>
      <xdr:rowOff>142021</xdr:rowOff>
    </xdr:to>
    <xdr:sp macro="" textlink="">
      <xdr:nvSpPr>
        <xdr:cNvPr id="18" name="四角形: 角を丸くする 17">
          <a:hlinkClick xmlns:r="http://schemas.openxmlformats.org/officeDocument/2006/relationships" r:id="rId17"/>
          <a:extLst>
            <a:ext uri="{FF2B5EF4-FFF2-40B4-BE49-F238E27FC236}">
              <a16:creationId xmlns:a16="http://schemas.microsoft.com/office/drawing/2014/main" xmlns="" id="{00000000-0008-0000-0000-000012000000}"/>
            </a:ext>
          </a:extLst>
        </xdr:cNvPr>
        <xdr:cNvSpPr/>
      </xdr:nvSpPr>
      <xdr:spPr bwMode="auto">
        <a:xfrm>
          <a:off x="2763180" y="11664996"/>
          <a:ext cx="2897252" cy="463871"/>
        </a:xfrm>
        <a:prstGeom prst="roundRect">
          <a:avLst/>
        </a:prstGeom>
        <a:solidFill>
          <a:srgbClr val="0000FF"/>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wrap="square" lIns="18288" tIns="0" rIns="0" bIns="0" rtlCol="0" anchor="ctr" upright="1"/>
        <a:lstStyle/>
        <a:p>
          <a:pPr algn="ctr"/>
          <a:r>
            <a:rPr kumimoji="1" lang="en-US" altLang="ja-JP" sz="1400" b="1">
              <a:solidFill>
                <a:schemeClr val="bg1"/>
              </a:solidFill>
            </a:rPr>
            <a:t>【</a:t>
          </a:r>
          <a:r>
            <a:rPr kumimoji="1" lang="ja-JP" altLang="en-US" sz="1400" b="1">
              <a:solidFill>
                <a:schemeClr val="bg1"/>
              </a:solidFill>
            </a:rPr>
            <a:t>事例３</a:t>
          </a:r>
          <a:r>
            <a:rPr kumimoji="1" lang="en-US" altLang="ja-JP" sz="1400" b="1">
              <a:solidFill>
                <a:schemeClr val="bg1"/>
              </a:solidFill>
            </a:rPr>
            <a:t>】</a:t>
          </a:r>
          <a:r>
            <a:rPr kumimoji="1" lang="ja-JP" altLang="en-US" sz="1400" b="1">
              <a:solidFill>
                <a:schemeClr val="bg1"/>
              </a:solidFill>
            </a:rPr>
            <a:t>　危険部品判断シート</a:t>
          </a:r>
          <a:endParaRPr kumimoji="1" lang="en-US" altLang="ja-JP" sz="1400" b="1">
            <a:solidFill>
              <a:schemeClr val="bg1"/>
            </a:solidFill>
          </a:endParaRPr>
        </a:p>
      </xdr:txBody>
    </xdr:sp>
    <xdr:clientData/>
  </xdr:twoCellAnchor>
  <xdr:twoCellAnchor>
    <xdr:from>
      <xdr:col>4</xdr:col>
      <xdr:colOff>28575</xdr:colOff>
      <xdr:row>3</xdr:row>
      <xdr:rowOff>238125</xdr:rowOff>
    </xdr:from>
    <xdr:to>
      <xdr:col>14</xdr:col>
      <xdr:colOff>219075</xdr:colOff>
      <xdr:row>3</xdr:row>
      <xdr:rowOff>1170783</xdr:rowOff>
    </xdr:to>
    <xdr:sp macro="" textlink="">
      <xdr:nvSpPr>
        <xdr:cNvPr id="19" name="正方形/長方形 18">
          <a:extLst>
            <a:ext uri="{FF2B5EF4-FFF2-40B4-BE49-F238E27FC236}">
              <a16:creationId xmlns:a16="http://schemas.microsoft.com/office/drawing/2014/main" xmlns="" id="{00000000-0008-0000-0000-000013000000}"/>
            </a:ext>
          </a:extLst>
        </xdr:cNvPr>
        <xdr:cNvSpPr/>
      </xdr:nvSpPr>
      <xdr:spPr bwMode="auto">
        <a:xfrm>
          <a:off x="2767013" y="843359"/>
          <a:ext cx="7036593" cy="932658"/>
        </a:xfrm>
        <a:prstGeom prst="rect">
          <a:avLst/>
        </a:prstGeom>
        <a:solidFill>
          <a:schemeClr val="bg1"/>
        </a:solidFill>
        <a:ln w="2540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wrap="square" lIns="36000" tIns="36000" rIns="36000" bIns="36000" rtlCol="0" anchor="t" anchorCtr="0" upright="1"/>
        <a:lstStyle/>
        <a:p>
          <a:pPr algn="l"/>
          <a:r>
            <a:rPr kumimoji="1" lang="ja-JP" altLang="en-US" sz="1200"/>
            <a:t>　このシートは「</a:t>
          </a:r>
          <a:r>
            <a:rPr kumimoji="1" lang="ja-JP" altLang="en-US" sz="1200" b="1"/>
            <a:t>エレクトロニクスのための熱設計完全制覇</a:t>
          </a:r>
          <a:r>
            <a:rPr kumimoji="1" lang="ja-JP" altLang="en-US" sz="1200"/>
            <a:t>」　で紹介している上流設計手法に準拠した</a:t>
          </a:r>
          <a:r>
            <a:rPr kumimoji="1" lang="en-US" altLang="ja-JP" sz="1200"/>
            <a:t>Excel</a:t>
          </a:r>
          <a:r>
            <a:rPr kumimoji="1" lang="ja-JP" altLang="en-US" sz="1200"/>
            <a:t>計算シートです。　　伝熱基礎式を応用して実務計算を行うためのさまざまな事例を紹介しています。</a:t>
          </a:r>
          <a:endParaRPr kumimoji="1" lang="en-US" altLang="ja-JP" sz="1200"/>
        </a:p>
        <a:p>
          <a:pPr algn="l"/>
          <a:r>
            <a:rPr kumimoji="1" lang="ja-JP" altLang="en-US" sz="1200"/>
            <a:t>　シートの使い方や計算の考え方については書籍を参照してください。</a:t>
          </a:r>
          <a:endParaRPr kumimoji="1" lang="en-US" altLang="ja-JP" sz="1200"/>
        </a:p>
        <a:p>
          <a:pPr algn="l"/>
          <a:r>
            <a:rPr kumimoji="1" lang="ja-JP" altLang="en-US" sz="1200"/>
            <a:t>　</a:t>
          </a:r>
          <a:r>
            <a:rPr kumimoji="1" lang="en-US" altLang="ja-JP" sz="1200"/>
            <a:t>※</a:t>
          </a:r>
          <a:r>
            <a:rPr kumimoji="1" lang="ja-JP" altLang="en-US" sz="1200"/>
            <a:t>本シートは予告なく変更することがありますのでご了承ください</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267891</xdr:colOff>
      <xdr:row>2</xdr:row>
      <xdr:rowOff>3571</xdr:rowOff>
    </xdr:from>
    <xdr:to>
      <xdr:col>5</xdr:col>
      <xdr:colOff>222648</xdr:colOff>
      <xdr:row>3</xdr:row>
      <xdr:rowOff>80961</xdr:rowOff>
    </xdr:to>
    <xdr:sp macro="[0]!Macro1" textlink="">
      <xdr:nvSpPr>
        <xdr:cNvPr id="2" name="Rectangle 3">
          <a:extLst>
            <a:ext uri="{FF2B5EF4-FFF2-40B4-BE49-F238E27FC236}">
              <a16:creationId xmlns:a16="http://schemas.microsoft.com/office/drawing/2014/main" xmlns="" id="{00000000-0008-0000-0100-000002000000}"/>
            </a:ext>
          </a:extLst>
        </xdr:cNvPr>
        <xdr:cNvSpPr>
          <a:spLocks noChangeArrowheads="1"/>
        </xdr:cNvSpPr>
      </xdr:nvSpPr>
      <xdr:spPr bwMode="auto">
        <a:xfrm>
          <a:off x="3827860" y="485774"/>
          <a:ext cx="639366" cy="250031"/>
        </a:xfrm>
        <a:prstGeom prst="rect">
          <a:avLst/>
        </a:prstGeom>
        <a:gradFill rotWithShape="0">
          <a:gsLst>
            <a:gs pos="0">
              <a:srgbClr val="F06100">
                <a:gamma/>
                <a:shade val="36078"/>
                <a:invGamma/>
              </a:srgbClr>
            </a:gs>
            <a:gs pos="50000">
              <a:srgbClr val="F06100"/>
            </a:gs>
            <a:gs pos="100000">
              <a:srgbClr val="F06100">
                <a:gamma/>
                <a:shade val="36078"/>
                <a:invGamma/>
              </a:srgbClr>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ja-JP" altLang="en-US" sz="1100" b="0" i="0" u="none" strike="noStrike" baseline="0">
              <a:solidFill>
                <a:srgbClr val="FFFFFF"/>
              </a:solidFill>
              <a:latin typeface="ＭＳ Ｐゴシック"/>
              <a:ea typeface="ＭＳ Ｐゴシック"/>
            </a:rPr>
            <a:t>計算</a:t>
          </a:r>
          <a:endParaRPr lang="ja-JP" altLang="en-US"/>
        </a:p>
      </xdr:txBody>
    </xdr:sp>
    <xdr:clientData/>
  </xdr:twoCellAnchor>
  <xdr:twoCellAnchor editAs="oneCell">
    <xdr:from>
      <xdr:col>5</xdr:col>
      <xdr:colOff>458391</xdr:colOff>
      <xdr:row>4</xdr:row>
      <xdr:rowOff>1791</xdr:rowOff>
    </xdr:from>
    <xdr:to>
      <xdr:col>8</xdr:col>
      <xdr:colOff>184548</xdr:colOff>
      <xdr:row>13</xdr:row>
      <xdr:rowOff>123825</xdr:rowOff>
    </xdr:to>
    <xdr:pic>
      <xdr:nvPicPr>
        <xdr:cNvPr id="3" name="図 2">
          <a:extLst>
            <a:ext uri="{FF2B5EF4-FFF2-40B4-BE49-F238E27FC236}">
              <a16:creationId xmlns:a16="http://schemas.microsoft.com/office/drawing/2014/main" xmlns=""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39891" y="829275"/>
          <a:ext cx="1887141" cy="17412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13</xdr:row>
          <xdr:rowOff>76200</xdr:rowOff>
        </xdr:from>
        <xdr:to>
          <xdr:col>6</xdr:col>
          <xdr:colOff>175260</xdr:colOff>
          <xdr:row>15</xdr:row>
          <xdr:rowOff>76200</xdr:rowOff>
        </xdr:to>
        <xdr:sp macro="" textlink="">
          <xdr:nvSpPr>
            <xdr:cNvPr id="347137" name="Object 25" hidden="1">
              <a:extLst>
                <a:ext uri="{63B3BB69-23CF-44E3-9099-C40C66FF867C}">
                  <a14:compatExt spid="_x0000_s347137"/>
                </a:ext>
              </a:extLst>
            </xdr:cNvPr>
            <xdr:cNvSpPr/>
          </xdr:nvSpPr>
          <xdr:spPr bwMode="auto">
            <a:xfrm>
              <a:off x="0" y="0"/>
              <a:ext cx="0" cy="0"/>
            </a:xfrm>
            <a:prstGeom prst="rect">
              <a:avLst/>
            </a:prstGeom>
            <a:solidFill>
              <a:srgbClr val="CCFFCC"/>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16</xdr:row>
          <xdr:rowOff>30480</xdr:rowOff>
        </xdr:from>
        <xdr:to>
          <xdr:col>2</xdr:col>
          <xdr:colOff>678180</xdr:colOff>
          <xdr:row>17</xdr:row>
          <xdr:rowOff>144780</xdr:rowOff>
        </xdr:to>
        <xdr:sp macro="" textlink="">
          <xdr:nvSpPr>
            <xdr:cNvPr id="347138" name="Object 2" hidden="1">
              <a:extLst>
                <a:ext uri="{63B3BB69-23CF-44E3-9099-C40C66FF867C}">
                  <a14:compatExt spid="_x0000_s347138"/>
                </a:ext>
              </a:extLst>
            </xdr:cNvPr>
            <xdr:cNvSpPr/>
          </xdr:nvSpPr>
          <xdr:spPr bwMode="auto">
            <a:xfrm>
              <a:off x="0" y="0"/>
              <a:ext cx="0" cy="0"/>
            </a:xfrm>
            <a:prstGeom prst="rect">
              <a:avLst/>
            </a:prstGeom>
            <a:solidFill>
              <a:srgbClr val="CCFFCC"/>
            </a:solidFill>
            <a:ln w="9525">
              <a:solidFill>
                <a:srgbClr val="000000"/>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xdr:col>
      <xdr:colOff>649378</xdr:colOff>
      <xdr:row>1</xdr:row>
      <xdr:rowOff>126134</xdr:rowOff>
    </xdr:from>
    <xdr:to>
      <xdr:col>7</xdr:col>
      <xdr:colOff>8659</xdr:colOff>
      <xdr:row>3</xdr:row>
      <xdr:rowOff>138041</xdr:rowOff>
    </xdr:to>
    <xdr:sp macro="[0]!SOLVE" textlink="">
      <xdr:nvSpPr>
        <xdr:cNvPr id="2" name="Rectangle 2">
          <a:extLst>
            <a:ext uri="{FF2B5EF4-FFF2-40B4-BE49-F238E27FC236}">
              <a16:creationId xmlns:a16="http://schemas.microsoft.com/office/drawing/2014/main" xmlns="" id="{00000000-0008-0000-0300-000002000000}"/>
            </a:ext>
          </a:extLst>
        </xdr:cNvPr>
        <xdr:cNvSpPr>
          <a:spLocks noChangeArrowheads="1"/>
        </xdr:cNvSpPr>
      </xdr:nvSpPr>
      <xdr:spPr bwMode="auto">
        <a:xfrm>
          <a:off x="5916703" y="392834"/>
          <a:ext cx="1435731" cy="373857"/>
        </a:xfrm>
        <a:prstGeom prst="rect">
          <a:avLst/>
        </a:prstGeom>
        <a:gradFill rotWithShape="1">
          <a:gsLst>
            <a:gs pos="0">
              <a:srgbClr xmlns:mc="http://schemas.openxmlformats.org/markup-compatibility/2006" xmlns:a14="http://schemas.microsoft.com/office/drawing/2010/main" val="00DCDC" mc:Ignorable="a14" a14:legacySpreadsheetColorIndex="15">
                <a:gamma/>
                <a:shade val="86275"/>
                <a:invGamma/>
              </a:srgbClr>
            </a:gs>
            <a:gs pos="50000">
              <a:srgbClr xmlns:mc="http://schemas.openxmlformats.org/markup-compatibility/2006" xmlns:a14="http://schemas.microsoft.com/office/drawing/2010/main" val="00FFFF" mc:Ignorable="a14" a14:legacySpreadsheetColorIndex="15"/>
            </a:gs>
            <a:gs pos="100000">
              <a:srgbClr xmlns:mc="http://schemas.openxmlformats.org/markup-compatibility/2006" xmlns:a14="http://schemas.microsoft.com/office/drawing/2010/main" val="00DCDC" mc:Ignorable="a14" a14:legacySpreadsheetColorIndex="15">
                <a:gamma/>
                <a:shade val="86275"/>
                <a:invGamma/>
              </a:srgbClr>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計算実行</a:t>
          </a:r>
        </a:p>
      </xdr:txBody>
    </xdr:sp>
    <xdr:clientData/>
  </xdr:twoCellAnchor>
  <xdr:twoCellAnchor editAs="oneCell">
    <xdr:from>
      <xdr:col>7</xdr:col>
      <xdr:colOff>259773</xdr:colOff>
      <xdr:row>5</xdr:row>
      <xdr:rowOff>0</xdr:rowOff>
    </xdr:from>
    <xdr:to>
      <xdr:col>11</xdr:col>
      <xdr:colOff>416890</xdr:colOff>
      <xdr:row>22</xdr:row>
      <xdr:rowOff>131618</xdr:rowOff>
    </xdr:to>
    <xdr:pic>
      <xdr:nvPicPr>
        <xdr:cNvPr id="230" name="図 229">
          <a:extLst>
            <a:ext uri="{FF2B5EF4-FFF2-40B4-BE49-F238E27FC236}">
              <a16:creationId xmlns:a16="http://schemas.microsoft.com/office/drawing/2014/main" xmlns="" id="{00000000-0008-0000-03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11341" y="987136"/>
          <a:ext cx="3603435" cy="3144982"/>
        </a:xfrm>
        <a:prstGeom prst="rect">
          <a:avLst/>
        </a:prstGeom>
        <a:solidFill>
          <a:schemeClr val="bg1"/>
        </a:solidFill>
        <a:ln>
          <a:solidFill>
            <a:schemeClr val="tx1"/>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171450</xdr:colOff>
      <xdr:row>3</xdr:row>
      <xdr:rowOff>66675</xdr:rowOff>
    </xdr:from>
    <xdr:to>
      <xdr:col>8</xdr:col>
      <xdr:colOff>95250</xdr:colOff>
      <xdr:row>4</xdr:row>
      <xdr:rowOff>142875</xdr:rowOff>
    </xdr:to>
    <xdr:sp macro="" textlink="">
      <xdr:nvSpPr>
        <xdr:cNvPr id="2" name="テキスト 25">
          <a:extLst>
            <a:ext uri="{FF2B5EF4-FFF2-40B4-BE49-F238E27FC236}">
              <a16:creationId xmlns:a16="http://schemas.microsoft.com/office/drawing/2014/main" xmlns="" id="{00000000-0008-0000-0400-000002000000}"/>
            </a:ext>
          </a:extLst>
        </xdr:cNvPr>
        <xdr:cNvSpPr txBox="1">
          <a:spLocks noChangeArrowheads="1"/>
        </xdr:cNvSpPr>
      </xdr:nvSpPr>
      <xdr:spPr bwMode="auto">
        <a:xfrm>
          <a:off x="7762875" y="990600"/>
          <a:ext cx="676275" cy="333375"/>
        </a:xfrm>
        <a:prstGeom prst="rect">
          <a:avLst/>
        </a:prstGeom>
        <a:noFill/>
        <a:ln>
          <a:noFill/>
        </a:ln>
        <a:extLst/>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奥行き</a:t>
          </a:r>
        </a:p>
      </xdr:txBody>
    </xdr:sp>
    <xdr:clientData/>
  </xdr:twoCellAnchor>
  <xdr:twoCellAnchor>
    <xdr:from>
      <xdr:col>7</xdr:col>
      <xdr:colOff>247650</xdr:colOff>
      <xdr:row>1</xdr:row>
      <xdr:rowOff>90322</xdr:rowOff>
    </xdr:from>
    <xdr:to>
      <xdr:col>10</xdr:col>
      <xdr:colOff>695325</xdr:colOff>
      <xdr:row>12</xdr:row>
      <xdr:rowOff>76200</xdr:rowOff>
    </xdr:to>
    <xdr:grpSp>
      <xdr:nvGrpSpPr>
        <xdr:cNvPr id="3" name="Group 91">
          <a:extLst>
            <a:ext uri="{FF2B5EF4-FFF2-40B4-BE49-F238E27FC236}">
              <a16:creationId xmlns:a16="http://schemas.microsoft.com/office/drawing/2014/main" xmlns="" id="{00000000-0008-0000-0400-000003000000}"/>
            </a:ext>
          </a:extLst>
        </xdr:cNvPr>
        <xdr:cNvGrpSpPr>
          <a:grpSpLocks/>
        </xdr:cNvGrpSpPr>
      </xdr:nvGrpSpPr>
      <xdr:grpSpPr bwMode="auto">
        <a:xfrm>
          <a:off x="7093927" y="395122"/>
          <a:ext cx="2551967" cy="2506340"/>
          <a:chOff x="750" y="105"/>
          <a:chExt cx="283" cy="237"/>
        </a:xfrm>
      </xdr:grpSpPr>
      <xdr:sp macro="" textlink="">
        <xdr:nvSpPr>
          <xdr:cNvPr id="4" name="テキスト 18">
            <a:extLst>
              <a:ext uri="{FF2B5EF4-FFF2-40B4-BE49-F238E27FC236}">
                <a16:creationId xmlns:a16="http://schemas.microsoft.com/office/drawing/2014/main" xmlns="" id="{00000000-0008-0000-0400-000004000000}"/>
              </a:ext>
            </a:extLst>
          </xdr:cNvPr>
          <xdr:cNvSpPr txBox="1">
            <a:spLocks noChangeArrowheads="1"/>
          </xdr:cNvSpPr>
        </xdr:nvSpPr>
        <xdr:spPr bwMode="auto">
          <a:xfrm>
            <a:off x="954" y="167"/>
            <a:ext cx="79" cy="30"/>
          </a:xfrm>
          <a:prstGeom prst="rect">
            <a:avLst/>
          </a:prstGeom>
          <a:noFill/>
          <a:ln>
            <a:noFill/>
          </a:ln>
          <a:extLst/>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高さ</a:t>
            </a:r>
          </a:p>
        </xdr:txBody>
      </xdr:sp>
      <xdr:sp macro="" textlink="">
        <xdr:nvSpPr>
          <xdr:cNvPr id="5" name="Rectangle 1">
            <a:extLst>
              <a:ext uri="{FF2B5EF4-FFF2-40B4-BE49-F238E27FC236}">
                <a16:creationId xmlns:a16="http://schemas.microsoft.com/office/drawing/2014/main" xmlns="" id="{00000000-0008-0000-0400-000005000000}"/>
              </a:ext>
            </a:extLst>
          </xdr:cNvPr>
          <xdr:cNvSpPr>
            <a:spLocks noChangeArrowheads="1"/>
          </xdr:cNvSpPr>
        </xdr:nvSpPr>
        <xdr:spPr bwMode="auto">
          <a:xfrm>
            <a:off x="790" y="185"/>
            <a:ext cx="99" cy="88"/>
          </a:xfrm>
          <a:prstGeom prst="rect">
            <a:avLst/>
          </a:prstGeom>
          <a:solidFill>
            <a:srgbClr val="FFFFCC"/>
          </a:solidFill>
          <a:ln w="9525">
            <a:solidFill>
              <a:srgbClr val="000000"/>
            </a:solidFill>
            <a:miter lim="800000"/>
            <a:headEnd/>
            <a:tailEnd/>
          </a:ln>
        </xdr:spPr>
      </xdr:sp>
      <xdr:sp macro="" textlink="">
        <xdr:nvSpPr>
          <xdr:cNvPr id="6" name="Line 2">
            <a:extLst>
              <a:ext uri="{FF2B5EF4-FFF2-40B4-BE49-F238E27FC236}">
                <a16:creationId xmlns:a16="http://schemas.microsoft.com/office/drawing/2014/main" xmlns="" id="{00000000-0008-0000-0400-000006000000}"/>
              </a:ext>
            </a:extLst>
          </xdr:cNvPr>
          <xdr:cNvSpPr>
            <a:spLocks noChangeShapeType="1"/>
          </xdr:cNvSpPr>
        </xdr:nvSpPr>
        <xdr:spPr bwMode="auto">
          <a:xfrm flipV="1">
            <a:off x="790" y="139"/>
            <a:ext cx="62" cy="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7" name="Line 3">
            <a:extLst>
              <a:ext uri="{FF2B5EF4-FFF2-40B4-BE49-F238E27FC236}">
                <a16:creationId xmlns:a16="http://schemas.microsoft.com/office/drawing/2014/main" xmlns="" id="{00000000-0008-0000-0400-000007000000}"/>
              </a:ext>
            </a:extLst>
          </xdr:cNvPr>
          <xdr:cNvSpPr>
            <a:spLocks noChangeShapeType="1"/>
          </xdr:cNvSpPr>
        </xdr:nvSpPr>
        <xdr:spPr bwMode="auto">
          <a:xfrm flipV="1">
            <a:off x="889" y="143"/>
            <a:ext cx="43" cy="4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8" name="Line 4">
            <a:extLst>
              <a:ext uri="{FF2B5EF4-FFF2-40B4-BE49-F238E27FC236}">
                <a16:creationId xmlns:a16="http://schemas.microsoft.com/office/drawing/2014/main" xmlns="" id="{00000000-0008-0000-0400-000008000000}"/>
              </a:ext>
            </a:extLst>
          </xdr:cNvPr>
          <xdr:cNvSpPr>
            <a:spLocks noChangeShapeType="1"/>
          </xdr:cNvSpPr>
        </xdr:nvSpPr>
        <xdr:spPr bwMode="auto">
          <a:xfrm>
            <a:off x="851" y="140"/>
            <a:ext cx="84"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9" name="Line 5">
            <a:extLst>
              <a:ext uri="{FF2B5EF4-FFF2-40B4-BE49-F238E27FC236}">
                <a16:creationId xmlns:a16="http://schemas.microsoft.com/office/drawing/2014/main" xmlns="" id="{00000000-0008-0000-0400-000009000000}"/>
              </a:ext>
            </a:extLst>
          </xdr:cNvPr>
          <xdr:cNvSpPr>
            <a:spLocks noChangeShapeType="1"/>
          </xdr:cNvSpPr>
        </xdr:nvSpPr>
        <xdr:spPr bwMode="auto">
          <a:xfrm>
            <a:off x="933" y="142"/>
            <a:ext cx="0" cy="8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 name="Line 6">
            <a:extLst>
              <a:ext uri="{FF2B5EF4-FFF2-40B4-BE49-F238E27FC236}">
                <a16:creationId xmlns:a16="http://schemas.microsoft.com/office/drawing/2014/main" xmlns="" id="{00000000-0008-0000-0400-00000A000000}"/>
              </a:ext>
            </a:extLst>
          </xdr:cNvPr>
          <xdr:cNvSpPr>
            <a:spLocks noChangeShapeType="1"/>
          </xdr:cNvSpPr>
        </xdr:nvSpPr>
        <xdr:spPr bwMode="auto">
          <a:xfrm flipH="1">
            <a:off x="889" y="225"/>
            <a:ext cx="44" cy="4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 name="Line 8">
            <a:extLst>
              <a:ext uri="{FF2B5EF4-FFF2-40B4-BE49-F238E27FC236}">
                <a16:creationId xmlns:a16="http://schemas.microsoft.com/office/drawing/2014/main" xmlns="" id="{00000000-0008-0000-0400-00000B000000}"/>
              </a:ext>
            </a:extLst>
          </xdr:cNvPr>
          <xdr:cNvSpPr>
            <a:spLocks noChangeShapeType="1"/>
          </xdr:cNvSpPr>
        </xdr:nvSpPr>
        <xdr:spPr bwMode="auto">
          <a:xfrm flipV="1">
            <a:off x="822" y="231"/>
            <a:ext cx="28" cy="111"/>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2" name="テキスト 9">
            <a:extLst>
              <a:ext uri="{FF2B5EF4-FFF2-40B4-BE49-F238E27FC236}">
                <a16:creationId xmlns:a16="http://schemas.microsoft.com/office/drawing/2014/main" xmlns="" id="{00000000-0008-0000-0400-00000C000000}"/>
              </a:ext>
            </a:extLst>
          </xdr:cNvPr>
          <xdr:cNvSpPr txBox="1">
            <a:spLocks noChangeArrowheads="1"/>
          </xdr:cNvSpPr>
        </xdr:nvSpPr>
        <xdr:spPr bwMode="auto">
          <a:xfrm>
            <a:off x="842" y="209"/>
            <a:ext cx="31" cy="22"/>
          </a:xfrm>
          <a:prstGeom prst="rect">
            <a:avLst/>
          </a:prstGeom>
          <a:noFill/>
          <a:ln>
            <a:noFill/>
          </a:ln>
          <a:extLst/>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北</a:t>
            </a:r>
          </a:p>
        </xdr:txBody>
      </xdr:sp>
      <xdr:sp macro="" textlink="">
        <xdr:nvSpPr>
          <xdr:cNvPr id="13" name="Line 10">
            <a:extLst>
              <a:ext uri="{FF2B5EF4-FFF2-40B4-BE49-F238E27FC236}">
                <a16:creationId xmlns:a16="http://schemas.microsoft.com/office/drawing/2014/main" xmlns="" id="{00000000-0008-0000-0400-00000D000000}"/>
              </a:ext>
            </a:extLst>
          </xdr:cNvPr>
          <xdr:cNvSpPr>
            <a:spLocks noChangeShapeType="1"/>
          </xdr:cNvSpPr>
        </xdr:nvSpPr>
        <xdr:spPr bwMode="auto">
          <a:xfrm flipH="1">
            <a:off x="790" y="270"/>
            <a:ext cx="52" cy="5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 name="Arc 12">
            <a:extLst>
              <a:ext uri="{FF2B5EF4-FFF2-40B4-BE49-F238E27FC236}">
                <a16:creationId xmlns:a16="http://schemas.microsoft.com/office/drawing/2014/main" xmlns="" id="{00000000-0008-0000-0400-00000E000000}"/>
              </a:ext>
            </a:extLst>
          </xdr:cNvPr>
          <xdr:cNvSpPr>
            <a:spLocks/>
          </xdr:cNvSpPr>
        </xdr:nvSpPr>
        <xdr:spPr bwMode="auto">
          <a:xfrm flipH="1" flipV="1">
            <a:off x="802" y="315"/>
            <a:ext cx="24" cy="15"/>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5" name="テキスト 13">
            <a:extLst>
              <a:ext uri="{FF2B5EF4-FFF2-40B4-BE49-F238E27FC236}">
                <a16:creationId xmlns:a16="http://schemas.microsoft.com/office/drawing/2014/main" xmlns="" id="{00000000-0008-0000-0400-00000F000000}"/>
              </a:ext>
            </a:extLst>
          </xdr:cNvPr>
          <xdr:cNvSpPr txBox="1">
            <a:spLocks noChangeArrowheads="1"/>
          </xdr:cNvSpPr>
        </xdr:nvSpPr>
        <xdr:spPr bwMode="auto">
          <a:xfrm>
            <a:off x="840" y="288"/>
            <a:ext cx="190" cy="29"/>
          </a:xfrm>
          <a:prstGeom prst="rect">
            <a:avLst/>
          </a:prstGeom>
          <a:noFill/>
          <a:ln>
            <a:noFill/>
          </a:ln>
          <a:extLst/>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南面の方位角</a:t>
            </a:r>
          </a:p>
        </xdr:txBody>
      </xdr:sp>
      <xdr:sp macro="" textlink="">
        <xdr:nvSpPr>
          <xdr:cNvPr id="16" name="Line 15">
            <a:extLst>
              <a:ext uri="{FF2B5EF4-FFF2-40B4-BE49-F238E27FC236}">
                <a16:creationId xmlns:a16="http://schemas.microsoft.com/office/drawing/2014/main" xmlns="" id="{00000000-0008-0000-0400-000010000000}"/>
              </a:ext>
            </a:extLst>
          </xdr:cNvPr>
          <xdr:cNvSpPr>
            <a:spLocks noChangeShapeType="1"/>
          </xdr:cNvSpPr>
        </xdr:nvSpPr>
        <xdr:spPr bwMode="auto">
          <a:xfrm>
            <a:off x="940" y="140"/>
            <a:ext cx="14"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 name="Line 16">
            <a:extLst>
              <a:ext uri="{FF2B5EF4-FFF2-40B4-BE49-F238E27FC236}">
                <a16:creationId xmlns:a16="http://schemas.microsoft.com/office/drawing/2014/main" xmlns="" id="{00000000-0008-0000-0400-000011000000}"/>
              </a:ext>
            </a:extLst>
          </xdr:cNvPr>
          <xdr:cNvSpPr>
            <a:spLocks noChangeShapeType="1"/>
          </xdr:cNvSpPr>
        </xdr:nvSpPr>
        <xdr:spPr bwMode="auto">
          <a:xfrm>
            <a:off x="939" y="226"/>
            <a:ext cx="14"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 name="Line 17">
            <a:extLst>
              <a:ext uri="{FF2B5EF4-FFF2-40B4-BE49-F238E27FC236}">
                <a16:creationId xmlns:a16="http://schemas.microsoft.com/office/drawing/2014/main" xmlns="" id="{00000000-0008-0000-0400-000012000000}"/>
              </a:ext>
            </a:extLst>
          </xdr:cNvPr>
          <xdr:cNvSpPr>
            <a:spLocks noChangeShapeType="1"/>
          </xdr:cNvSpPr>
        </xdr:nvSpPr>
        <xdr:spPr bwMode="auto">
          <a:xfrm>
            <a:off x="950" y="140"/>
            <a:ext cx="0" cy="85"/>
          </a:xfrm>
          <a:prstGeom prst="line">
            <a:avLst/>
          </a:prstGeom>
          <a:noFill/>
          <a:ln w="9525">
            <a:solidFill>
              <a:srgbClr val="000000"/>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9" name="Line 19">
            <a:extLst>
              <a:ext uri="{FF2B5EF4-FFF2-40B4-BE49-F238E27FC236}">
                <a16:creationId xmlns:a16="http://schemas.microsoft.com/office/drawing/2014/main" xmlns="" id="{00000000-0008-0000-0400-000013000000}"/>
              </a:ext>
            </a:extLst>
          </xdr:cNvPr>
          <xdr:cNvSpPr>
            <a:spLocks noChangeShapeType="1"/>
          </xdr:cNvSpPr>
        </xdr:nvSpPr>
        <xdr:spPr bwMode="auto">
          <a:xfrm flipH="1">
            <a:off x="750" y="184"/>
            <a:ext cx="3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 name="Line 20">
            <a:extLst>
              <a:ext uri="{FF2B5EF4-FFF2-40B4-BE49-F238E27FC236}">
                <a16:creationId xmlns:a16="http://schemas.microsoft.com/office/drawing/2014/main" xmlns="" id="{00000000-0008-0000-0400-000014000000}"/>
              </a:ext>
            </a:extLst>
          </xdr:cNvPr>
          <xdr:cNvSpPr>
            <a:spLocks noChangeShapeType="1"/>
          </xdr:cNvSpPr>
        </xdr:nvSpPr>
        <xdr:spPr bwMode="auto">
          <a:xfrm flipH="1">
            <a:off x="807" y="139"/>
            <a:ext cx="3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 name="Line 21">
            <a:extLst>
              <a:ext uri="{FF2B5EF4-FFF2-40B4-BE49-F238E27FC236}">
                <a16:creationId xmlns:a16="http://schemas.microsoft.com/office/drawing/2014/main" xmlns="" id="{00000000-0008-0000-0400-000015000000}"/>
              </a:ext>
            </a:extLst>
          </xdr:cNvPr>
          <xdr:cNvSpPr>
            <a:spLocks noChangeShapeType="1"/>
          </xdr:cNvSpPr>
        </xdr:nvSpPr>
        <xdr:spPr bwMode="auto">
          <a:xfrm flipH="1" flipV="1">
            <a:off x="850" y="119"/>
            <a:ext cx="0" cy="1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2" name="Line 22">
            <a:extLst>
              <a:ext uri="{FF2B5EF4-FFF2-40B4-BE49-F238E27FC236}">
                <a16:creationId xmlns:a16="http://schemas.microsoft.com/office/drawing/2014/main" xmlns="" id="{00000000-0008-0000-0400-000016000000}"/>
              </a:ext>
            </a:extLst>
          </xdr:cNvPr>
          <xdr:cNvSpPr>
            <a:spLocks noChangeShapeType="1"/>
          </xdr:cNvSpPr>
        </xdr:nvSpPr>
        <xdr:spPr bwMode="auto">
          <a:xfrm flipV="1">
            <a:off x="932" y="125"/>
            <a:ext cx="0" cy="1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 name="Line 23">
            <a:extLst>
              <a:ext uri="{FF2B5EF4-FFF2-40B4-BE49-F238E27FC236}">
                <a16:creationId xmlns:a16="http://schemas.microsoft.com/office/drawing/2014/main" xmlns="" id="{00000000-0008-0000-0400-000017000000}"/>
              </a:ext>
            </a:extLst>
          </xdr:cNvPr>
          <xdr:cNvSpPr>
            <a:spLocks noChangeShapeType="1"/>
          </xdr:cNvSpPr>
        </xdr:nvSpPr>
        <xdr:spPr bwMode="auto">
          <a:xfrm>
            <a:off x="850" y="126"/>
            <a:ext cx="82" cy="0"/>
          </a:xfrm>
          <a:prstGeom prst="line">
            <a:avLst/>
          </a:prstGeom>
          <a:noFill/>
          <a:ln w="9525">
            <a:solidFill>
              <a:srgbClr val="000000"/>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24" name="Line 24">
            <a:extLst>
              <a:ext uri="{FF2B5EF4-FFF2-40B4-BE49-F238E27FC236}">
                <a16:creationId xmlns:a16="http://schemas.microsoft.com/office/drawing/2014/main" xmlns="" id="{00000000-0008-0000-0400-000018000000}"/>
              </a:ext>
            </a:extLst>
          </xdr:cNvPr>
          <xdr:cNvSpPr>
            <a:spLocks noChangeShapeType="1"/>
          </xdr:cNvSpPr>
        </xdr:nvSpPr>
        <xdr:spPr bwMode="auto">
          <a:xfrm flipH="1">
            <a:off x="761" y="139"/>
            <a:ext cx="50" cy="44"/>
          </a:xfrm>
          <a:prstGeom prst="line">
            <a:avLst/>
          </a:prstGeom>
          <a:noFill/>
          <a:ln w="9525">
            <a:solidFill>
              <a:srgbClr val="000000"/>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25" name="テキスト 26">
            <a:extLst>
              <a:ext uri="{FF2B5EF4-FFF2-40B4-BE49-F238E27FC236}">
                <a16:creationId xmlns:a16="http://schemas.microsoft.com/office/drawing/2014/main" xmlns="" id="{00000000-0008-0000-0400-000019000000}"/>
              </a:ext>
            </a:extLst>
          </xdr:cNvPr>
          <xdr:cNvSpPr txBox="1">
            <a:spLocks noChangeArrowheads="1"/>
          </xdr:cNvSpPr>
        </xdr:nvSpPr>
        <xdr:spPr bwMode="auto">
          <a:xfrm>
            <a:off x="878" y="105"/>
            <a:ext cx="47" cy="22"/>
          </a:xfrm>
          <a:prstGeom prst="rect">
            <a:avLst/>
          </a:prstGeom>
          <a:noFill/>
          <a:ln>
            <a:noFill/>
          </a:ln>
          <a:extLst/>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横</a:t>
            </a:r>
          </a:p>
        </xdr:txBody>
      </xdr:sp>
      <xdr:sp macro="" textlink="">
        <xdr:nvSpPr>
          <xdr:cNvPr id="26" name="テキスト 27">
            <a:extLst>
              <a:ext uri="{FF2B5EF4-FFF2-40B4-BE49-F238E27FC236}">
                <a16:creationId xmlns:a16="http://schemas.microsoft.com/office/drawing/2014/main" xmlns="" id="{00000000-0008-0000-0400-00001A000000}"/>
              </a:ext>
            </a:extLst>
          </xdr:cNvPr>
          <xdr:cNvSpPr txBox="1">
            <a:spLocks noChangeArrowheads="1"/>
          </xdr:cNvSpPr>
        </xdr:nvSpPr>
        <xdr:spPr bwMode="auto">
          <a:xfrm>
            <a:off x="804" y="189"/>
            <a:ext cx="70" cy="19"/>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南向き面</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649378</xdr:colOff>
      <xdr:row>1</xdr:row>
      <xdr:rowOff>126134</xdr:rowOff>
    </xdr:from>
    <xdr:to>
      <xdr:col>7</xdr:col>
      <xdr:colOff>8659</xdr:colOff>
      <xdr:row>3</xdr:row>
      <xdr:rowOff>138041</xdr:rowOff>
    </xdr:to>
    <xdr:sp macro="[0]!SOLVE" textlink="">
      <xdr:nvSpPr>
        <xdr:cNvPr id="2" name="Rectangle 2">
          <a:extLst>
            <a:ext uri="{FF2B5EF4-FFF2-40B4-BE49-F238E27FC236}">
              <a16:creationId xmlns:a16="http://schemas.microsoft.com/office/drawing/2014/main" xmlns="" id="{00000000-0008-0000-0500-000002000000}"/>
            </a:ext>
          </a:extLst>
        </xdr:cNvPr>
        <xdr:cNvSpPr>
          <a:spLocks noChangeArrowheads="1"/>
        </xdr:cNvSpPr>
      </xdr:nvSpPr>
      <xdr:spPr bwMode="auto">
        <a:xfrm>
          <a:off x="5922764" y="394566"/>
          <a:ext cx="1437463" cy="375589"/>
        </a:xfrm>
        <a:prstGeom prst="rect">
          <a:avLst/>
        </a:prstGeom>
        <a:gradFill rotWithShape="1">
          <a:gsLst>
            <a:gs pos="0">
              <a:srgbClr xmlns:mc="http://schemas.openxmlformats.org/markup-compatibility/2006" xmlns:a14="http://schemas.microsoft.com/office/drawing/2010/main" val="00DCDC" mc:Ignorable="a14" a14:legacySpreadsheetColorIndex="15">
                <a:gamma/>
                <a:shade val="86275"/>
                <a:invGamma/>
              </a:srgbClr>
            </a:gs>
            <a:gs pos="50000">
              <a:srgbClr xmlns:mc="http://schemas.openxmlformats.org/markup-compatibility/2006" xmlns:a14="http://schemas.microsoft.com/office/drawing/2010/main" val="00FFFF" mc:Ignorable="a14" a14:legacySpreadsheetColorIndex="15"/>
            </a:gs>
            <a:gs pos="100000">
              <a:srgbClr xmlns:mc="http://schemas.openxmlformats.org/markup-compatibility/2006" xmlns:a14="http://schemas.microsoft.com/office/drawing/2010/main" val="00DCDC" mc:Ignorable="a14" a14:legacySpreadsheetColorIndex="15">
                <a:gamma/>
                <a:shade val="86275"/>
                <a:invGamma/>
              </a:srgbClr>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計算実行</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430697</xdr:colOff>
      <xdr:row>14</xdr:row>
      <xdr:rowOff>182217</xdr:rowOff>
    </xdr:from>
    <xdr:to>
      <xdr:col>6</xdr:col>
      <xdr:colOff>77663</xdr:colOff>
      <xdr:row>20</xdr:row>
      <xdr:rowOff>115127</xdr:rowOff>
    </xdr:to>
    <xdr:pic>
      <xdr:nvPicPr>
        <xdr:cNvPr id="2" name="図 1">
          <a:extLst>
            <a:ext uri="{FF2B5EF4-FFF2-40B4-BE49-F238E27FC236}">
              <a16:creationId xmlns:a16="http://schemas.microsoft.com/office/drawing/2014/main" xmlns=""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26322" y="2668242"/>
          <a:ext cx="2104416" cy="999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85397</xdr:colOff>
      <xdr:row>29</xdr:row>
      <xdr:rowOff>91966</xdr:rowOff>
    </xdr:from>
    <xdr:to>
      <xdr:col>4</xdr:col>
      <xdr:colOff>650328</xdr:colOff>
      <xdr:row>29</xdr:row>
      <xdr:rowOff>91966</xdr:rowOff>
    </xdr:to>
    <xdr:cxnSp macro="">
      <xdr:nvCxnSpPr>
        <xdr:cNvPr id="3" name="直線矢印コネクタ 2">
          <a:extLst>
            <a:ext uri="{FF2B5EF4-FFF2-40B4-BE49-F238E27FC236}">
              <a16:creationId xmlns:a16="http://schemas.microsoft.com/office/drawing/2014/main" xmlns="" id="{00000000-0008-0000-0600-000003000000}"/>
            </a:ext>
          </a:extLst>
        </xdr:cNvPr>
        <xdr:cNvCxnSpPr/>
      </xdr:nvCxnSpPr>
      <xdr:spPr bwMode="auto">
        <a:xfrm flipH="1">
          <a:off x="2496207" y="5222328"/>
          <a:ext cx="2331983" cy="0"/>
        </a:xfrm>
        <a:prstGeom prst="straightConnector1">
          <a:avLst/>
        </a:prstGeom>
        <a:gradFill rotWithShape="0">
          <a:gsLst>
            <a:gs pos="0">
              <a:srgbClr val="F06100">
                <a:gamma/>
                <a:shade val="36078"/>
                <a:invGamma/>
              </a:srgbClr>
            </a:gs>
            <a:gs pos="50000">
              <a:srgbClr val="F06100"/>
            </a:gs>
            <a:gs pos="100000">
              <a:srgbClr val="F06100">
                <a:gamma/>
                <a:shade val="36078"/>
                <a:invGamma/>
              </a:srgbClr>
            </a:gs>
          </a:gsLst>
          <a:lin ang="5400000" scaled="1"/>
        </a:gra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954881</xdr:colOff>
      <xdr:row>1</xdr:row>
      <xdr:rowOff>120253</xdr:rowOff>
    </xdr:from>
    <xdr:to>
      <xdr:col>6</xdr:col>
      <xdr:colOff>854869</xdr:colOff>
      <xdr:row>3</xdr:row>
      <xdr:rowOff>133351</xdr:rowOff>
    </xdr:to>
    <xdr:sp macro="[0]!SOLVE" textlink="">
      <xdr:nvSpPr>
        <xdr:cNvPr id="2" name="Rectangle 2">
          <a:extLst>
            <a:ext uri="{FF2B5EF4-FFF2-40B4-BE49-F238E27FC236}">
              <a16:creationId xmlns:a16="http://schemas.microsoft.com/office/drawing/2014/main" xmlns="" id="{00000000-0008-0000-0800-000002000000}"/>
            </a:ext>
          </a:extLst>
        </xdr:cNvPr>
        <xdr:cNvSpPr>
          <a:spLocks noChangeArrowheads="1"/>
        </xdr:cNvSpPr>
      </xdr:nvSpPr>
      <xdr:spPr bwMode="auto">
        <a:xfrm>
          <a:off x="5907881" y="388144"/>
          <a:ext cx="935832" cy="370285"/>
        </a:xfrm>
        <a:prstGeom prst="rect">
          <a:avLst/>
        </a:prstGeom>
        <a:gradFill rotWithShape="1">
          <a:gsLst>
            <a:gs pos="0">
              <a:srgbClr xmlns:mc="http://schemas.openxmlformats.org/markup-compatibility/2006" xmlns:a14="http://schemas.microsoft.com/office/drawing/2010/main" val="00DCDC" mc:Ignorable="a14" a14:legacySpreadsheetColorIndex="15">
                <a:gamma/>
                <a:shade val="86275"/>
                <a:invGamma/>
              </a:srgbClr>
            </a:gs>
            <a:gs pos="50000">
              <a:srgbClr xmlns:mc="http://schemas.openxmlformats.org/markup-compatibility/2006" xmlns:a14="http://schemas.microsoft.com/office/drawing/2010/main" val="00FFFF" mc:Ignorable="a14" a14:legacySpreadsheetColorIndex="15"/>
            </a:gs>
            <a:gs pos="100000">
              <a:srgbClr xmlns:mc="http://schemas.openxmlformats.org/markup-compatibility/2006" xmlns:a14="http://schemas.microsoft.com/office/drawing/2010/main" val="00DCDC" mc:Ignorable="a14" a14:legacySpreadsheetColorIndex="15">
                <a:gamma/>
                <a:shade val="86275"/>
                <a:invGamma/>
              </a:srgbClr>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計算実行</a:t>
          </a:r>
          <a:endParaRPr lang="ja-JP" altLang="en-US"/>
        </a:p>
      </xdr:txBody>
    </xdr:sp>
    <xdr:clientData/>
  </xdr:twoCellAnchor>
  <xdr:twoCellAnchor editAs="oneCell">
    <xdr:from>
      <xdr:col>2</xdr:col>
      <xdr:colOff>717551</xdr:colOff>
      <xdr:row>14</xdr:row>
      <xdr:rowOff>152400</xdr:rowOff>
    </xdr:from>
    <xdr:to>
      <xdr:col>6</xdr:col>
      <xdr:colOff>86459</xdr:colOff>
      <xdr:row>37</xdr:row>
      <xdr:rowOff>53975</xdr:rowOff>
    </xdr:to>
    <xdr:pic>
      <xdr:nvPicPr>
        <xdr:cNvPr id="4" name="図 3">
          <a:extLst>
            <a:ext uri="{FF2B5EF4-FFF2-40B4-BE49-F238E27FC236}">
              <a16:creationId xmlns:a16="http://schemas.microsoft.com/office/drawing/2014/main" xmlns=""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47951" y="2698750"/>
          <a:ext cx="3439258" cy="3844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520700</xdr:colOff>
      <xdr:row>2</xdr:row>
      <xdr:rowOff>44450</xdr:rowOff>
    </xdr:from>
    <xdr:to>
      <xdr:col>9</xdr:col>
      <xdr:colOff>771524</xdr:colOff>
      <xdr:row>3</xdr:row>
      <xdr:rowOff>157162</xdr:rowOff>
    </xdr:to>
    <xdr:sp macro="[0]!TRSOLVE" textlink="">
      <xdr:nvSpPr>
        <xdr:cNvPr id="2" name="Rectangle 2">
          <a:extLst>
            <a:ext uri="{FF2B5EF4-FFF2-40B4-BE49-F238E27FC236}">
              <a16:creationId xmlns:a16="http://schemas.microsoft.com/office/drawing/2014/main" xmlns="" id="{00000000-0008-0000-0A00-000002000000}"/>
            </a:ext>
          </a:extLst>
        </xdr:cNvPr>
        <xdr:cNvSpPr>
          <a:spLocks noChangeArrowheads="1"/>
        </xdr:cNvSpPr>
      </xdr:nvSpPr>
      <xdr:spPr bwMode="auto">
        <a:xfrm>
          <a:off x="8851900" y="495300"/>
          <a:ext cx="1292224" cy="455612"/>
        </a:xfrm>
        <a:prstGeom prst="rect">
          <a:avLst/>
        </a:prstGeom>
        <a:gradFill rotWithShape="1">
          <a:gsLst>
            <a:gs pos="0">
              <a:srgbClr xmlns:mc="http://schemas.openxmlformats.org/markup-compatibility/2006" xmlns:a14="http://schemas.microsoft.com/office/drawing/2010/main" val="00DCDC" mc:Ignorable="a14" a14:legacySpreadsheetColorIndex="15">
                <a:gamma/>
                <a:shade val="86275"/>
                <a:invGamma/>
              </a:srgbClr>
            </a:gs>
            <a:gs pos="50000">
              <a:srgbClr xmlns:mc="http://schemas.openxmlformats.org/markup-compatibility/2006" xmlns:a14="http://schemas.microsoft.com/office/drawing/2010/main" val="00FFFF" mc:Ignorable="a14" a14:legacySpreadsheetColorIndex="15"/>
            </a:gs>
            <a:gs pos="100000">
              <a:srgbClr xmlns:mc="http://schemas.openxmlformats.org/markup-compatibility/2006" xmlns:a14="http://schemas.microsoft.com/office/drawing/2010/main" val="00DCDC" mc:Ignorable="a14" a14:legacySpreadsheetColorIndex="15">
                <a:gamma/>
                <a:shade val="86275"/>
                <a:invGamma/>
              </a:srgbClr>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計算実行</a:t>
          </a:r>
          <a:endParaRPr lang="ja-JP" altLang="en-US"/>
        </a:p>
      </xdr:txBody>
    </xdr:sp>
    <xdr:clientData/>
  </xdr:twoCellAnchor>
  <xdr:twoCellAnchor>
    <xdr:from>
      <xdr:col>4</xdr:col>
      <xdr:colOff>920750</xdr:colOff>
      <xdr:row>18</xdr:row>
      <xdr:rowOff>117474</xdr:rowOff>
    </xdr:from>
    <xdr:to>
      <xdr:col>8</xdr:col>
      <xdr:colOff>330200</xdr:colOff>
      <xdr:row>38</xdr:row>
      <xdr:rowOff>6349</xdr:rowOff>
    </xdr:to>
    <xdr:graphicFrame macro="">
      <xdr:nvGraphicFramePr>
        <xdr:cNvPr id="5" name="グラフ 4">
          <a:extLst>
            <a:ext uri="{FF2B5EF4-FFF2-40B4-BE49-F238E27FC236}">
              <a16:creationId xmlns:a16="http://schemas.microsoft.com/office/drawing/2014/main" xmlns=""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6350</xdr:colOff>
      <xdr:row>8</xdr:row>
      <xdr:rowOff>90546</xdr:rowOff>
    </xdr:from>
    <xdr:to>
      <xdr:col>8</xdr:col>
      <xdr:colOff>6349</xdr:colOff>
      <xdr:row>16</xdr:row>
      <xdr:rowOff>167153</xdr:rowOff>
    </xdr:to>
    <xdr:pic>
      <xdr:nvPicPr>
        <xdr:cNvPr id="4" name="図 3">
          <a:extLst>
            <a:ext uri="{FF2B5EF4-FFF2-40B4-BE49-F238E27FC236}">
              <a16:creationId xmlns:a16="http://schemas.microsoft.com/office/drawing/2014/main" xmlns="" id="{00000000-0008-0000-0A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213350" y="1951096"/>
          <a:ext cx="3124199" cy="1448207"/>
        </a:xfrm>
        <a:prstGeom prst="rect">
          <a:avLst/>
        </a:prstGeom>
        <a:solidFill>
          <a:schemeClr val="bg1"/>
        </a:solidFill>
        <a:ln>
          <a:solidFill>
            <a:schemeClr val="tx1"/>
          </a:solid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7</xdr:col>
      <xdr:colOff>28644</xdr:colOff>
      <xdr:row>0</xdr:row>
      <xdr:rowOff>69710</xdr:rowOff>
    </xdr:from>
    <xdr:to>
      <xdr:col>10</xdr:col>
      <xdr:colOff>16381</xdr:colOff>
      <xdr:row>10</xdr:row>
      <xdr:rowOff>107486</xdr:rowOff>
    </xdr:to>
    <xdr:pic>
      <xdr:nvPicPr>
        <xdr:cNvPr id="2" name="Picture 2">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99187" y="69710"/>
          <a:ext cx="2745846" cy="1859950"/>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10</xdr:col>
      <xdr:colOff>347870</xdr:colOff>
      <xdr:row>5</xdr:row>
      <xdr:rowOff>165651</xdr:rowOff>
    </xdr:from>
    <xdr:to>
      <xdr:col>12</xdr:col>
      <xdr:colOff>563217</xdr:colOff>
      <xdr:row>10</xdr:row>
      <xdr:rowOff>157369</xdr:rowOff>
    </xdr:to>
    <xdr:sp macro="" textlink="">
      <xdr:nvSpPr>
        <xdr:cNvPr id="3" name="テキスト ボックス 2">
          <a:extLst>
            <a:ext uri="{FF2B5EF4-FFF2-40B4-BE49-F238E27FC236}">
              <a16:creationId xmlns:a16="http://schemas.microsoft.com/office/drawing/2014/main" xmlns="" id="{00000000-0008-0000-0B00-000003000000}"/>
            </a:ext>
          </a:extLst>
        </xdr:cNvPr>
        <xdr:cNvSpPr txBox="1"/>
      </xdr:nvSpPr>
      <xdr:spPr>
        <a:xfrm>
          <a:off x="9276522" y="1101586"/>
          <a:ext cx="2261152" cy="877957"/>
        </a:xfrm>
        <a:prstGeom prst="rect">
          <a:avLst/>
        </a:prstGeom>
        <a:solidFill>
          <a:srgbClr val="CC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書籍では冷媒の物性値を固定にしていますが、このシートでは下記の表を使って温度依存性を考慮した計算をしています</a:t>
          </a:r>
          <a:r>
            <a:rPr kumimoji="1" lang="en-US" altLang="ja-JP" sz="1100" b="1">
              <a:solidFill>
                <a:srgbClr val="FF0000"/>
              </a:solidFill>
            </a:rPr>
            <a: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1115631</xdr:colOff>
      <xdr:row>1</xdr:row>
      <xdr:rowOff>166195</xdr:rowOff>
    </xdr:from>
    <xdr:to>
      <xdr:col>6</xdr:col>
      <xdr:colOff>819479</xdr:colOff>
      <xdr:row>3</xdr:row>
      <xdr:rowOff>185245</xdr:rowOff>
    </xdr:to>
    <xdr:sp macro="[0]!SOLVE" textlink="">
      <xdr:nvSpPr>
        <xdr:cNvPr id="2" name="Rectangle 2">
          <a:extLst>
            <a:ext uri="{FF2B5EF4-FFF2-40B4-BE49-F238E27FC236}">
              <a16:creationId xmlns:a16="http://schemas.microsoft.com/office/drawing/2014/main" xmlns="" id="{00000000-0008-0000-0C00-000002000000}"/>
            </a:ext>
          </a:extLst>
        </xdr:cNvPr>
        <xdr:cNvSpPr>
          <a:spLocks noChangeArrowheads="1"/>
        </xdr:cNvSpPr>
      </xdr:nvSpPr>
      <xdr:spPr bwMode="auto">
        <a:xfrm>
          <a:off x="6703631" y="432895"/>
          <a:ext cx="821448" cy="400050"/>
        </a:xfrm>
        <a:prstGeom prst="rect">
          <a:avLst/>
        </a:prstGeom>
        <a:gradFill rotWithShape="1">
          <a:gsLst>
            <a:gs pos="0">
              <a:srgbClr xmlns:mc="http://schemas.openxmlformats.org/markup-compatibility/2006" xmlns:a14="http://schemas.microsoft.com/office/drawing/2010/main" val="00DCDC" mc:Ignorable="a14" a14:legacySpreadsheetColorIndex="15">
                <a:gamma/>
                <a:shade val="86275"/>
                <a:invGamma/>
              </a:srgbClr>
            </a:gs>
            <a:gs pos="50000">
              <a:srgbClr xmlns:mc="http://schemas.openxmlformats.org/markup-compatibility/2006" xmlns:a14="http://schemas.microsoft.com/office/drawing/2010/main" val="00FFFF" mc:Ignorable="a14" a14:legacySpreadsheetColorIndex="15"/>
            </a:gs>
            <a:gs pos="100000">
              <a:srgbClr xmlns:mc="http://schemas.openxmlformats.org/markup-compatibility/2006" xmlns:a14="http://schemas.microsoft.com/office/drawing/2010/main" val="00DCDC" mc:Ignorable="a14" a14:legacySpreadsheetColorIndex="15">
                <a:gamma/>
                <a:shade val="86275"/>
                <a:invGamma/>
              </a:srgbClr>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計算実行</a:t>
          </a:r>
          <a:endParaRPr lang="ja-JP" altLang="en-US"/>
        </a:p>
      </xdr:txBody>
    </xdr:sp>
    <xdr:clientData/>
  </xdr:twoCellAnchor>
  <xdr:twoCellAnchor editAs="oneCell">
    <xdr:from>
      <xdr:col>6</xdr:col>
      <xdr:colOff>746859</xdr:colOff>
      <xdr:row>9</xdr:row>
      <xdr:rowOff>36634</xdr:rowOff>
    </xdr:from>
    <xdr:to>
      <xdr:col>10</xdr:col>
      <xdr:colOff>630213</xdr:colOff>
      <xdr:row>26</xdr:row>
      <xdr:rowOff>63011</xdr:rowOff>
    </xdr:to>
    <xdr:pic>
      <xdr:nvPicPr>
        <xdr:cNvPr id="4" name="図 3">
          <a:extLst>
            <a:ext uri="{FF2B5EF4-FFF2-40B4-BE49-F238E27FC236}">
              <a16:creationId xmlns:a16="http://schemas.microsoft.com/office/drawing/2014/main" xmlns="" id="{00000000-0008-0000-0C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29013" y="1824403"/>
          <a:ext cx="3063238" cy="32648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309562</xdr:colOff>
      <xdr:row>1</xdr:row>
      <xdr:rowOff>176212</xdr:rowOff>
    </xdr:from>
    <xdr:to>
      <xdr:col>5</xdr:col>
      <xdr:colOff>264319</xdr:colOff>
      <xdr:row>3</xdr:row>
      <xdr:rowOff>75008</xdr:rowOff>
    </xdr:to>
    <xdr:sp macro="[0]!Macro1" textlink="">
      <xdr:nvSpPr>
        <xdr:cNvPr id="2" name="Rectangle 3">
          <a:extLst>
            <a:ext uri="{FF2B5EF4-FFF2-40B4-BE49-F238E27FC236}">
              <a16:creationId xmlns:a16="http://schemas.microsoft.com/office/drawing/2014/main" xmlns="" id="{00000000-0008-0000-0D00-000002000000}"/>
            </a:ext>
          </a:extLst>
        </xdr:cNvPr>
        <xdr:cNvSpPr>
          <a:spLocks noChangeArrowheads="1"/>
        </xdr:cNvSpPr>
      </xdr:nvSpPr>
      <xdr:spPr bwMode="auto">
        <a:xfrm>
          <a:off x="3869531" y="479821"/>
          <a:ext cx="639366" cy="250031"/>
        </a:xfrm>
        <a:prstGeom prst="rect">
          <a:avLst/>
        </a:prstGeom>
        <a:gradFill rotWithShape="0">
          <a:gsLst>
            <a:gs pos="0">
              <a:srgbClr val="F06100">
                <a:gamma/>
                <a:shade val="36078"/>
                <a:invGamma/>
              </a:srgbClr>
            </a:gs>
            <a:gs pos="50000">
              <a:srgbClr val="F06100"/>
            </a:gs>
            <a:gs pos="100000">
              <a:srgbClr val="F06100">
                <a:gamma/>
                <a:shade val="36078"/>
                <a:invGamma/>
              </a:srgbClr>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ja-JP" altLang="en-US" sz="1100" b="0" i="0" u="none" strike="noStrike" baseline="0">
              <a:solidFill>
                <a:srgbClr val="FFFFFF"/>
              </a:solidFill>
              <a:latin typeface="ＭＳ Ｐゴシック"/>
              <a:ea typeface="ＭＳ Ｐゴシック"/>
            </a:rPr>
            <a:t>計算</a:t>
          </a:r>
          <a:endParaRPr lang="ja-JP" altLang="en-US"/>
        </a:p>
      </xdr:txBody>
    </xdr:sp>
    <xdr:clientData/>
  </xdr:twoCellAnchor>
  <xdr:twoCellAnchor editAs="oneCell">
    <xdr:from>
      <xdr:col>5</xdr:col>
      <xdr:colOff>291703</xdr:colOff>
      <xdr:row>4</xdr:row>
      <xdr:rowOff>169939</xdr:rowOff>
    </xdr:from>
    <xdr:to>
      <xdr:col>8</xdr:col>
      <xdr:colOff>666749</xdr:colOff>
      <xdr:row>15</xdr:row>
      <xdr:rowOff>86916</xdr:rowOff>
    </xdr:to>
    <xdr:pic>
      <xdr:nvPicPr>
        <xdr:cNvPr id="3" name="図 2">
          <a:extLst>
            <a:ext uri="{FF2B5EF4-FFF2-40B4-BE49-F238E27FC236}">
              <a16:creationId xmlns:a16="http://schemas.microsoft.com/office/drawing/2014/main" xmlns="" id="{00000000-0008-0000-0D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36281" y="997423"/>
          <a:ext cx="2536031" cy="18874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4</xdr:col>
      <xdr:colOff>309562</xdr:colOff>
      <xdr:row>1</xdr:row>
      <xdr:rowOff>176212</xdr:rowOff>
    </xdr:from>
    <xdr:to>
      <xdr:col>5</xdr:col>
      <xdr:colOff>264319</xdr:colOff>
      <xdr:row>3</xdr:row>
      <xdr:rowOff>75008</xdr:rowOff>
    </xdr:to>
    <xdr:sp macro="[0]!Macro1" textlink="">
      <xdr:nvSpPr>
        <xdr:cNvPr id="2" name="Rectangle 3">
          <a:extLst>
            <a:ext uri="{FF2B5EF4-FFF2-40B4-BE49-F238E27FC236}">
              <a16:creationId xmlns:a16="http://schemas.microsoft.com/office/drawing/2014/main" xmlns="" id="{00000000-0008-0000-0E00-000002000000}"/>
            </a:ext>
          </a:extLst>
        </xdr:cNvPr>
        <xdr:cNvSpPr>
          <a:spLocks noChangeArrowheads="1"/>
        </xdr:cNvSpPr>
      </xdr:nvSpPr>
      <xdr:spPr bwMode="auto">
        <a:xfrm>
          <a:off x="3871912" y="481012"/>
          <a:ext cx="640557" cy="251221"/>
        </a:xfrm>
        <a:prstGeom prst="rect">
          <a:avLst/>
        </a:prstGeom>
        <a:gradFill rotWithShape="0">
          <a:gsLst>
            <a:gs pos="0">
              <a:srgbClr val="F06100">
                <a:gamma/>
                <a:shade val="36078"/>
                <a:invGamma/>
              </a:srgbClr>
            </a:gs>
            <a:gs pos="50000">
              <a:srgbClr val="F06100"/>
            </a:gs>
            <a:gs pos="100000">
              <a:srgbClr val="F06100">
                <a:gamma/>
                <a:shade val="36078"/>
                <a:invGamma/>
              </a:srgbClr>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ja-JP" altLang="en-US" sz="1100" b="0" i="0" u="none" strike="noStrike" baseline="0">
              <a:solidFill>
                <a:srgbClr val="FFFFFF"/>
              </a:solidFill>
              <a:latin typeface="ＭＳ Ｐゴシック"/>
              <a:ea typeface="ＭＳ Ｐゴシック"/>
            </a:rPr>
            <a:t>計算</a:t>
          </a:r>
          <a:endParaRPr lang="ja-JP" altLang="en-US"/>
        </a:p>
      </xdr:txBody>
    </xdr:sp>
    <xdr:clientData/>
  </xdr:twoCellAnchor>
  <xdr:twoCellAnchor editAs="oneCell">
    <xdr:from>
      <xdr:col>4</xdr:col>
      <xdr:colOff>238127</xdr:colOff>
      <xdr:row>12</xdr:row>
      <xdr:rowOff>125016</xdr:rowOff>
    </xdr:from>
    <xdr:to>
      <xdr:col>7</xdr:col>
      <xdr:colOff>30171</xdr:colOff>
      <xdr:row>22</xdr:row>
      <xdr:rowOff>5953</xdr:rowOff>
    </xdr:to>
    <xdr:pic>
      <xdr:nvPicPr>
        <xdr:cNvPr id="3" name="図 2">
          <a:extLst>
            <a:ext uri="{FF2B5EF4-FFF2-40B4-BE49-F238E27FC236}">
              <a16:creationId xmlns:a16="http://schemas.microsoft.com/office/drawing/2014/main" xmlns="" id="{00000000-0008-0000-0E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98096" y="2399110"/>
          <a:ext cx="1953028" cy="16192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266700</xdr:colOff>
      <xdr:row>3</xdr:row>
      <xdr:rowOff>76199</xdr:rowOff>
    </xdr:from>
    <xdr:to>
      <xdr:col>8</xdr:col>
      <xdr:colOff>704851</xdr:colOff>
      <xdr:row>33</xdr:row>
      <xdr:rowOff>104775</xdr:rowOff>
    </xdr:to>
    <xdr:graphicFrame macro="">
      <xdr:nvGraphicFramePr>
        <xdr:cNvPr id="2" name="グラフ 1">
          <a:extLst>
            <a:ext uri="{FF2B5EF4-FFF2-40B4-BE49-F238E27FC236}">
              <a16:creationId xmlns:a16="http://schemas.microsoft.com/office/drawing/2014/main" xmlns=""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685800</xdr:colOff>
      <xdr:row>5</xdr:row>
      <xdr:rowOff>114300</xdr:rowOff>
    </xdr:from>
    <xdr:to>
      <xdr:col>4</xdr:col>
      <xdr:colOff>123825</xdr:colOff>
      <xdr:row>9</xdr:row>
      <xdr:rowOff>85725</xdr:rowOff>
    </xdr:to>
    <xdr:sp macro="" textlink="">
      <xdr:nvSpPr>
        <xdr:cNvPr id="3" name="テキスト ボックス 2">
          <a:extLst>
            <a:ext uri="{FF2B5EF4-FFF2-40B4-BE49-F238E27FC236}">
              <a16:creationId xmlns:a16="http://schemas.microsoft.com/office/drawing/2014/main" xmlns="" id="{00000000-0008-0000-0F00-000003000000}"/>
            </a:ext>
          </a:extLst>
        </xdr:cNvPr>
        <xdr:cNvSpPr txBox="1"/>
      </xdr:nvSpPr>
      <xdr:spPr>
        <a:xfrm>
          <a:off x="1457325" y="1019175"/>
          <a:ext cx="1752600" cy="6572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solidFill>
                <a:sysClr val="windowText" lastClr="000000"/>
              </a:solidFill>
            </a:rPr>
            <a:t>対策不要部品</a:t>
          </a:r>
          <a:endParaRPr kumimoji="1" lang="en-US" altLang="ja-JP" sz="1600" b="0">
            <a:solidFill>
              <a:sysClr val="windowText" lastClr="000000"/>
            </a:solidFill>
          </a:endParaRPr>
        </a:p>
        <a:p>
          <a:r>
            <a:rPr kumimoji="1" lang="ja-JP" altLang="en-US" sz="1600" b="0">
              <a:solidFill>
                <a:sysClr val="windowText" lastClr="000000"/>
              </a:solidFill>
            </a:rPr>
            <a:t>（自己冷却可能）</a:t>
          </a:r>
        </a:p>
      </xdr:txBody>
    </xdr:sp>
    <xdr:clientData/>
  </xdr:twoCellAnchor>
  <xdr:twoCellAnchor>
    <xdr:from>
      <xdr:col>6</xdr:col>
      <xdr:colOff>9525</xdr:colOff>
      <xdr:row>26</xdr:row>
      <xdr:rowOff>57150</xdr:rowOff>
    </xdr:from>
    <xdr:to>
      <xdr:col>8</xdr:col>
      <xdr:colOff>19050</xdr:colOff>
      <xdr:row>28</xdr:row>
      <xdr:rowOff>28575</xdr:rowOff>
    </xdr:to>
    <xdr:sp macro="" textlink="">
      <xdr:nvSpPr>
        <xdr:cNvPr id="4" name="テキスト ボックス 3">
          <a:extLst>
            <a:ext uri="{FF2B5EF4-FFF2-40B4-BE49-F238E27FC236}">
              <a16:creationId xmlns:a16="http://schemas.microsoft.com/office/drawing/2014/main" xmlns="" id="{00000000-0008-0000-0F00-000004000000}"/>
            </a:ext>
          </a:extLst>
        </xdr:cNvPr>
        <xdr:cNvSpPr txBox="1"/>
      </xdr:nvSpPr>
      <xdr:spPr>
        <a:xfrm>
          <a:off x="4638675" y="4562475"/>
          <a:ext cx="1552575" cy="3143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600" b="1">
              <a:solidFill>
                <a:srgbClr val="FF0000"/>
              </a:solidFill>
            </a:rPr>
            <a:t>対策必要部品</a:t>
          </a:r>
        </a:p>
      </xdr:txBody>
    </xdr:sp>
    <xdr:clientData/>
  </xdr:twoCellAnchor>
  <xdr:twoCellAnchor>
    <xdr:from>
      <xdr:col>9</xdr:col>
      <xdr:colOff>95982</xdr:colOff>
      <xdr:row>3</xdr:row>
      <xdr:rowOff>8792</xdr:rowOff>
    </xdr:from>
    <xdr:to>
      <xdr:col>15</xdr:col>
      <xdr:colOff>648432</xdr:colOff>
      <xdr:row>31</xdr:row>
      <xdr:rowOff>151667</xdr:rowOff>
    </xdr:to>
    <xdr:graphicFrame macro="">
      <xdr:nvGraphicFramePr>
        <xdr:cNvPr id="5" name="グラフ 4">
          <a:extLst>
            <a:ext uri="{FF2B5EF4-FFF2-40B4-BE49-F238E27FC236}">
              <a16:creationId xmlns:a16="http://schemas.microsoft.com/office/drawing/2014/main" xmlns=""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46422</xdr:colOff>
      <xdr:row>32</xdr:row>
      <xdr:rowOff>4730</xdr:rowOff>
    </xdr:from>
    <xdr:to>
      <xdr:col>14</xdr:col>
      <xdr:colOff>333306</xdr:colOff>
      <xdr:row>33</xdr:row>
      <xdr:rowOff>131593</xdr:rowOff>
    </xdr:to>
    <xdr:sp macro="" textlink="">
      <xdr:nvSpPr>
        <xdr:cNvPr id="6" name="テキスト ボックス 4">
          <a:extLst>
            <a:ext uri="{FF2B5EF4-FFF2-40B4-BE49-F238E27FC236}">
              <a16:creationId xmlns:a16="http://schemas.microsoft.com/office/drawing/2014/main" xmlns="" id="{00000000-0008-0000-0F00-000006000000}"/>
            </a:ext>
          </a:extLst>
        </xdr:cNvPr>
        <xdr:cNvSpPr txBox="1"/>
      </xdr:nvSpPr>
      <xdr:spPr>
        <a:xfrm>
          <a:off x="9304722" y="5538755"/>
          <a:ext cx="1810884" cy="298313"/>
        </a:xfrm>
        <a:prstGeom prst="rect">
          <a:avLst/>
        </a:prstGeom>
        <a:noFill/>
      </xdr:spPr>
      <xdr:txBody>
        <a:bodyPr wrap="square" rtlCol="0">
          <a:spAutoFit/>
        </a:bodyPr>
        <a:lstStyle>
          <a:defPPr>
            <a:defRPr lang="ja-JP"/>
          </a:defPPr>
          <a:lvl1pPr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kern="1200">
              <a:solidFill>
                <a:schemeClr val="tx1"/>
              </a:solidFill>
              <a:latin typeface="Times New Roman" pitchFamily="18" charset="0"/>
              <a:ea typeface="ＭＳ Ｐゴシック" pitchFamily="50" charset="-128"/>
              <a:cs typeface="+mn-cs"/>
            </a:defRPr>
          </a:lvl9pPr>
        </a:lstStyle>
        <a:p>
          <a:r>
            <a:rPr kumimoji="1" lang="ja-JP" altLang="en-US" sz="1200"/>
            <a:t>周長</a:t>
          </a:r>
          <a:r>
            <a:rPr kumimoji="1" lang="en-US" altLang="ja-JP" sz="1200"/>
            <a:t>(mm)</a:t>
          </a:r>
          <a:endParaRPr kumimoji="1" lang="ja-JP" altLang="en-US" sz="1200"/>
        </a:p>
      </xdr:txBody>
    </xdr:sp>
    <xdr:clientData/>
  </xdr:twoCellAnchor>
  <xdr:twoCellAnchor>
    <xdr:from>
      <xdr:col>9</xdr:col>
      <xdr:colOff>3271</xdr:colOff>
      <xdr:row>7</xdr:row>
      <xdr:rowOff>3664</xdr:rowOff>
    </xdr:from>
    <xdr:to>
      <xdr:col>9</xdr:col>
      <xdr:colOff>295723</xdr:colOff>
      <xdr:row>21</xdr:row>
      <xdr:rowOff>51800</xdr:rowOff>
    </xdr:to>
    <xdr:sp macro="" textlink="">
      <xdr:nvSpPr>
        <xdr:cNvPr id="7" name="テキスト ボックス 5">
          <a:extLst>
            <a:ext uri="{FF2B5EF4-FFF2-40B4-BE49-F238E27FC236}">
              <a16:creationId xmlns:a16="http://schemas.microsoft.com/office/drawing/2014/main" xmlns="" id="{00000000-0008-0000-0F00-000007000000}"/>
            </a:ext>
          </a:extLst>
        </xdr:cNvPr>
        <xdr:cNvSpPr txBox="1"/>
      </xdr:nvSpPr>
      <xdr:spPr>
        <a:xfrm rot="16200000">
          <a:off x="5869004" y="2329431"/>
          <a:ext cx="2448436" cy="292452"/>
        </a:xfrm>
        <a:prstGeom prst="rect">
          <a:avLst/>
        </a:prstGeom>
        <a:noFill/>
      </xdr:spPr>
      <xdr:txBody>
        <a:bodyPr wrap="square" rtlCol="0">
          <a:spAutoFit/>
        </a:bodyPr>
        <a:lstStyle>
          <a:defPPr>
            <a:defRPr lang="ja-JP"/>
          </a:defPPr>
          <a:lvl1pPr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kern="1200">
              <a:solidFill>
                <a:schemeClr val="tx1"/>
              </a:solidFill>
              <a:latin typeface="Times New Roman" pitchFamily="18" charset="0"/>
              <a:ea typeface="ＭＳ Ｐゴシック" pitchFamily="50" charset="-128"/>
              <a:cs typeface="+mn-cs"/>
            </a:defRPr>
          </a:lvl9pPr>
        </a:lstStyle>
        <a:p>
          <a:r>
            <a:rPr lang="ja-JP" altLang="en-US" sz="1200"/>
            <a:t>目標熱抵抗（</a:t>
          </a:r>
          <a:r>
            <a:rPr lang="en-US" altLang="ja-JP" sz="1200"/>
            <a:t>K/W)</a:t>
          </a:r>
          <a:endParaRPr kumimoji="1" lang="ja-JP" altLang="en-US" sz="1200"/>
        </a:p>
      </xdr:txBody>
    </xdr:sp>
    <xdr:clientData/>
  </xdr:twoCellAnchor>
  <xdr:twoCellAnchor editAs="oneCell">
    <xdr:from>
      <xdr:col>16</xdr:col>
      <xdr:colOff>0</xdr:colOff>
      <xdr:row>12</xdr:row>
      <xdr:rowOff>0</xdr:rowOff>
    </xdr:from>
    <xdr:to>
      <xdr:col>18</xdr:col>
      <xdr:colOff>681590</xdr:colOff>
      <xdr:row>25</xdr:row>
      <xdr:rowOff>6988</xdr:rowOff>
    </xdr:to>
    <xdr:pic>
      <xdr:nvPicPr>
        <xdr:cNvPr id="8" name="図 7">
          <a:extLst>
            <a:ext uri="{FF2B5EF4-FFF2-40B4-BE49-F238E27FC236}">
              <a16:creationId xmlns:a16="http://schemas.microsoft.com/office/drawing/2014/main" xmlns="" id="{00000000-0008-0000-0F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473609" y="2128630"/>
          <a:ext cx="2735677" cy="22681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4</xdr:col>
      <xdr:colOff>309562</xdr:colOff>
      <xdr:row>1</xdr:row>
      <xdr:rowOff>176212</xdr:rowOff>
    </xdr:from>
    <xdr:to>
      <xdr:col>5</xdr:col>
      <xdr:colOff>264319</xdr:colOff>
      <xdr:row>3</xdr:row>
      <xdr:rowOff>75008</xdr:rowOff>
    </xdr:to>
    <xdr:sp macro="[0]!Macro1" textlink="">
      <xdr:nvSpPr>
        <xdr:cNvPr id="2" name="Rectangle 3">
          <a:extLst>
            <a:ext uri="{FF2B5EF4-FFF2-40B4-BE49-F238E27FC236}">
              <a16:creationId xmlns:a16="http://schemas.microsoft.com/office/drawing/2014/main" xmlns="" id="{00000000-0008-0000-1100-000002000000}"/>
            </a:ext>
          </a:extLst>
        </xdr:cNvPr>
        <xdr:cNvSpPr>
          <a:spLocks noChangeArrowheads="1"/>
        </xdr:cNvSpPr>
      </xdr:nvSpPr>
      <xdr:spPr bwMode="auto">
        <a:xfrm>
          <a:off x="3871912" y="481012"/>
          <a:ext cx="640557" cy="251221"/>
        </a:xfrm>
        <a:prstGeom prst="rect">
          <a:avLst/>
        </a:prstGeom>
        <a:gradFill rotWithShape="0">
          <a:gsLst>
            <a:gs pos="0">
              <a:srgbClr val="F06100">
                <a:gamma/>
                <a:shade val="36078"/>
                <a:invGamma/>
              </a:srgbClr>
            </a:gs>
            <a:gs pos="50000">
              <a:srgbClr val="F06100"/>
            </a:gs>
            <a:gs pos="100000">
              <a:srgbClr val="F06100">
                <a:gamma/>
                <a:shade val="36078"/>
                <a:invGamma/>
              </a:srgbClr>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ja-JP" altLang="en-US" sz="1100" b="0" i="0" u="none" strike="noStrike" baseline="0">
              <a:solidFill>
                <a:srgbClr val="FFFFFF"/>
              </a:solidFill>
              <a:latin typeface="ＭＳ Ｐゴシック"/>
              <a:ea typeface="ＭＳ Ｐゴシック"/>
            </a:rPr>
            <a:t>計算</a:t>
          </a:r>
          <a:endParaRPr lang="ja-JP" altLang="en-US"/>
        </a:p>
      </xdr:txBody>
    </xdr:sp>
    <xdr:clientData/>
  </xdr:twoCellAnchor>
  <xdr:twoCellAnchor editAs="oneCell">
    <xdr:from>
      <xdr:col>5</xdr:col>
      <xdr:colOff>232172</xdr:colOff>
      <xdr:row>2</xdr:row>
      <xdr:rowOff>107157</xdr:rowOff>
    </xdr:from>
    <xdr:to>
      <xdr:col>11</xdr:col>
      <xdr:colOff>10327</xdr:colOff>
      <xdr:row>18</xdr:row>
      <xdr:rowOff>92869</xdr:rowOff>
    </xdr:to>
    <xdr:pic>
      <xdr:nvPicPr>
        <xdr:cNvPr id="3" name="図 2">
          <a:extLst>
            <a:ext uri="{FF2B5EF4-FFF2-40B4-BE49-F238E27FC236}">
              <a16:creationId xmlns:a16="http://schemas.microsoft.com/office/drawing/2014/main" xmlns=""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76750" y="589360"/>
          <a:ext cx="3992968" cy="281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266700</xdr:colOff>
      <xdr:row>3</xdr:row>
      <xdr:rowOff>76199</xdr:rowOff>
    </xdr:from>
    <xdr:to>
      <xdr:col>8</xdr:col>
      <xdr:colOff>704851</xdr:colOff>
      <xdr:row>33</xdr:row>
      <xdr:rowOff>104775</xdr:rowOff>
    </xdr:to>
    <xdr:graphicFrame macro="">
      <xdr:nvGraphicFramePr>
        <xdr:cNvPr id="2" name="グラフ 1">
          <a:extLst>
            <a:ext uri="{FF2B5EF4-FFF2-40B4-BE49-F238E27FC236}">
              <a16:creationId xmlns:a16="http://schemas.microsoft.com/office/drawing/2014/main" xmlns=""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685800</xdr:colOff>
      <xdr:row>5</xdr:row>
      <xdr:rowOff>114300</xdr:rowOff>
    </xdr:from>
    <xdr:to>
      <xdr:col>4</xdr:col>
      <xdr:colOff>123825</xdr:colOff>
      <xdr:row>9</xdr:row>
      <xdr:rowOff>85725</xdr:rowOff>
    </xdr:to>
    <xdr:sp macro="" textlink="">
      <xdr:nvSpPr>
        <xdr:cNvPr id="3" name="テキスト ボックス 2">
          <a:extLst>
            <a:ext uri="{FF2B5EF4-FFF2-40B4-BE49-F238E27FC236}">
              <a16:creationId xmlns:a16="http://schemas.microsoft.com/office/drawing/2014/main" xmlns="" id="{00000000-0008-0000-1200-000003000000}"/>
            </a:ext>
          </a:extLst>
        </xdr:cNvPr>
        <xdr:cNvSpPr txBox="1"/>
      </xdr:nvSpPr>
      <xdr:spPr>
        <a:xfrm>
          <a:off x="1457325" y="1019175"/>
          <a:ext cx="1752600" cy="6572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solidFill>
                <a:sysClr val="windowText" lastClr="000000"/>
              </a:solidFill>
            </a:rPr>
            <a:t>対策不要部品</a:t>
          </a:r>
          <a:endParaRPr kumimoji="1" lang="en-US" altLang="ja-JP" sz="1600" b="0">
            <a:solidFill>
              <a:sysClr val="windowText" lastClr="000000"/>
            </a:solidFill>
          </a:endParaRPr>
        </a:p>
        <a:p>
          <a:r>
            <a:rPr kumimoji="1" lang="ja-JP" altLang="en-US" sz="1600" b="0">
              <a:solidFill>
                <a:sysClr val="windowText" lastClr="000000"/>
              </a:solidFill>
            </a:rPr>
            <a:t>（自己冷却可能）</a:t>
          </a:r>
        </a:p>
      </xdr:txBody>
    </xdr:sp>
    <xdr:clientData/>
  </xdr:twoCellAnchor>
  <xdr:twoCellAnchor>
    <xdr:from>
      <xdr:col>6</xdr:col>
      <xdr:colOff>9525</xdr:colOff>
      <xdr:row>26</xdr:row>
      <xdr:rowOff>57150</xdr:rowOff>
    </xdr:from>
    <xdr:to>
      <xdr:col>8</xdr:col>
      <xdr:colOff>19050</xdr:colOff>
      <xdr:row>28</xdr:row>
      <xdr:rowOff>28575</xdr:rowOff>
    </xdr:to>
    <xdr:sp macro="" textlink="">
      <xdr:nvSpPr>
        <xdr:cNvPr id="4" name="テキスト ボックス 3">
          <a:extLst>
            <a:ext uri="{FF2B5EF4-FFF2-40B4-BE49-F238E27FC236}">
              <a16:creationId xmlns:a16="http://schemas.microsoft.com/office/drawing/2014/main" xmlns="" id="{00000000-0008-0000-1200-000004000000}"/>
            </a:ext>
          </a:extLst>
        </xdr:cNvPr>
        <xdr:cNvSpPr txBox="1"/>
      </xdr:nvSpPr>
      <xdr:spPr>
        <a:xfrm>
          <a:off x="4638675" y="4562475"/>
          <a:ext cx="1552575" cy="3143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600" b="1">
              <a:solidFill>
                <a:srgbClr val="FF0000"/>
              </a:solidFill>
            </a:rPr>
            <a:t>対策必要部品</a:t>
          </a:r>
        </a:p>
      </xdr:txBody>
    </xdr:sp>
    <xdr:clientData/>
  </xdr:twoCellAnchor>
  <xdr:twoCellAnchor>
    <xdr:from>
      <xdr:col>9</xdr:col>
      <xdr:colOff>95982</xdr:colOff>
      <xdr:row>3</xdr:row>
      <xdr:rowOff>8792</xdr:rowOff>
    </xdr:from>
    <xdr:to>
      <xdr:col>15</xdr:col>
      <xdr:colOff>648432</xdr:colOff>
      <xdr:row>31</xdr:row>
      <xdr:rowOff>151667</xdr:rowOff>
    </xdr:to>
    <xdr:graphicFrame macro="">
      <xdr:nvGraphicFramePr>
        <xdr:cNvPr id="5" name="グラフ 4">
          <a:extLst>
            <a:ext uri="{FF2B5EF4-FFF2-40B4-BE49-F238E27FC236}">
              <a16:creationId xmlns:a16="http://schemas.microsoft.com/office/drawing/2014/main" xmlns=""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46422</xdr:colOff>
      <xdr:row>32</xdr:row>
      <xdr:rowOff>4730</xdr:rowOff>
    </xdr:from>
    <xdr:to>
      <xdr:col>14</xdr:col>
      <xdr:colOff>333306</xdr:colOff>
      <xdr:row>33</xdr:row>
      <xdr:rowOff>131593</xdr:rowOff>
    </xdr:to>
    <xdr:sp macro="" textlink="">
      <xdr:nvSpPr>
        <xdr:cNvPr id="6" name="テキスト ボックス 4">
          <a:extLst>
            <a:ext uri="{FF2B5EF4-FFF2-40B4-BE49-F238E27FC236}">
              <a16:creationId xmlns:a16="http://schemas.microsoft.com/office/drawing/2014/main" xmlns="" id="{00000000-0008-0000-1200-000006000000}"/>
            </a:ext>
          </a:extLst>
        </xdr:cNvPr>
        <xdr:cNvSpPr txBox="1"/>
      </xdr:nvSpPr>
      <xdr:spPr>
        <a:xfrm>
          <a:off x="9304722" y="5538755"/>
          <a:ext cx="1810884" cy="298313"/>
        </a:xfrm>
        <a:prstGeom prst="rect">
          <a:avLst/>
        </a:prstGeom>
        <a:noFill/>
      </xdr:spPr>
      <xdr:txBody>
        <a:bodyPr wrap="square" rtlCol="0">
          <a:spAutoFit/>
        </a:bodyPr>
        <a:lstStyle>
          <a:defPPr>
            <a:defRPr lang="ja-JP"/>
          </a:defPPr>
          <a:lvl1pPr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kern="1200">
              <a:solidFill>
                <a:schemeClr val="tx1"/>
              </a:solidFill>
              <a:latin typeface="Times New Roman" pitchFamily="18" charset="0"/>
              <a:ea typeface="ＭＳ Ｐゴシック" pitchFamily="50" charset="-128"/>
              <a:cs typeface="+mn-cs"/>
            </a:defRPr>
          </a:lvl9pPr>
        </a:lstStyle>
        <a:p>
          <a:r>
            <a:rPr kumimoji="1" lang="ja-JP" altLang="en-US" sz="1200"/>
            <a:t>周長</a:t>
          </a:r>
          <a:r>
            <a:rPr kumimoji="1" lang="en-US" altLang="ja-JP" sz="1200"/>
            <a:t>(mm)</a:t>
          </a:r>
          <a:endParaRPr kumimoji="1" lang="ja-JP" altLang="en-US" sz="1200"/>
        </a:p>
      </xdr:txBody>
    </xdr:sp>
    <xdr:clientData/>
  </xdr:twoCellAnchor>
  <xdr:twoCellAnchor>
    <xdr:from>
      <xdr:col>9</xdr:col>
      <xdr:colOff>3271</xdr:colOff>
      <xdr:row>7</xdr:row>
      <xdr:rowOff>3664</xdr:rowOff>
    </xdr:from>
    <xdr:to>
      <xdr:col>9</xdr:col>
      <xdr:colOff>295723</xdr:colOff>
      <xdr:row>21</xdr:row>
      <xdr:rowOff>51800</xdr:rowOff>
    </xdr:to>
    <xdr:sp macro="" textlink="">
      <xdr:nvSpPr>
        <xdr:cNvPr id="7" name="テキスト ボックス 5">
          <a:extLst>
            <a:ext uri="{FF2B5EF4-FFF2-40B4-BE49-F238E27FC236}">
              <a16:creationId xmlns:a16="http://schemas.microsoft.com/office/drawing/2014/main" xmlns="" id="{00000000-0008-0000-1200-000007000000}"/>
            </a:ext>
          </a:extLst>
        </xdr:cNvPr>
        <xdr:cNvSpPr txBox="1"/>
      </xdr:nvSpPr>
      <xdr:spPr>
        <a:xfrm rot="16200000">
          <a:off x="5869004" y="2329431"/>
          <a:ext cx="2448436" cy="292452"/>
        </a:xfrm>
        <a:prstGeom prst="rect">
          <a:avLst/>
        </a:prstGeom>
        <a:noFill/>
      </xdr:spPr>
      <xdr:txBody>
        <a:bodyPr wrap="square" rtlCol="0">
          <a:spAutoFit/>
        </a:bodyPr>
        <a:lstStyle>
          <a:defPPr>
            <a:defRPr lang="ja-JP"/>
          </a:defPPr>
          <a:lvl1pPr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kern="1200">
              <a:solidFill>
                <a:schemeClr val="tx1"/>
              </a:solidFill>
              <a:latin typeface="Times New Roman" pitchFamily="18" charset="0"/>
              <a:ea typeface="ＭＳ Ｐゴシック" pitchFamily="50" charset="-128"/>
              <a:cs typeface="+mn-cs"/>
            </a:defRPr>
          </a:lvl9pPr>
        </a:lstStyle>
        <a:p>
          <a:r>
            <a:rPr lang="ja-JP" altLang="en-US" sz="1200"/>
            <a:t>目標熱抵抗（</a:t>
          </a:r>
          <a:r>
            <a:rPr lang="en-US" altLang="ja-JP" sz="1200"/>
            <a:t>K/W)</a:t>
          </a:r>
          <a:endParaRPr kumimoji="1" lang="ja-JP" altLang="en-US" sz="12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266700</xdr:colOff>
      <xdr:row>3</xdr:row>
      <xdr:rowOff>76199</xdr:rowOff>
    </xdr:from>
    <xdr:to>
      <xdr:col>8</xdr:col>
      <xdr:colOff>704851</xdr:colOff>
      <xdr:row>33</xdr:row>
      <xdr:rowOff>104775</xdr:rowOff>
    </xdr:to>
    <xdr:graphicFrame macro="">
      <xdr:nvGraphicFramePr>
        <xdr:cNvPr id="2" name="グラフ 1">
          <a:extLst>
            <a:ext uri="{FF2B5EF4-FFF2-40B4-BE49-F238E27FC236}">
              <a16:creationId xmlns:a16="http://schemas.microsoft.com/office/drawing/2014/main" xmlns=""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685800</xdr:colOff>
      <xdr:row>5</xdr:row>
      <xdr:rowOff>114300</xdr:rowOff>
    </xdr:from>
    <xdr:to>
      <xdr:col>4</xdr:col>
      <xdr:colOff>123825</xdr:colOff>
      <xdr:row>9</xdr:row>
      <xdr:rowOff>85725</xdr:rowOff>
    </xdr:to>
    <xdr:sp macro="" textlink="">
      <xdr:nvSpPr>
        <xdr:cNvPr id="3" name="テキスト ボックス 2">
          <a:extLst>
            <a:ext uri="{FF2B5EF4-FFF2-40B4-BE49-F238E27FC236}">
              <a16:creationId xmlns:a16="http://schemas.microsoft.com/office/drawing/2014/main" xmlns="" id="{00000000-0008-0000-1400-000003000000}"/>
            </a:ext>
          </a:extLst>
        </xdr:cNvPr>
        <xdr:cNvSpPr txBox="1"/>
      </xdr:nvSpPr>
      <xdr:spPr>
        <a:xfrm>
          <a:off x="1457325" y="1019175"/>
          <a:ext cx="1752600" cy="6572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solidFill>
                <a:sysClr val="windowText" lastClr="000000"/>
              </a:solidFill>
            </a:rPr>
            <a:t>対策不要部品</a:t>
          </a:r>
          <a:endParaRPr kumimoji="1" lang="en-US" altLang="ja-JP" sz="1600" b="0">
            <a:solidFill>
              <a:sysClr val="windowText" lastClr="000000"/>
            </a:solidFill>
          </a:endParaRPr>
        </a:p>
        <a:p>
          <a:r>
            <a:rPr kumimoji="1" lang="ja-JP" altLang="en-US" sz="1600" b="0">
              <a:solidFill>
                <a:sysClr val="windowText" lastClr="000000"/>
              </a:solidFill>
            </a:rPr>
            <a:t>（自己冷却可能）</a:t>
          </a:r>
        </a:p>
      </xdr:txBody>
    </xdr:sp>
    <xdr:clientData/>
  </xdr:twoCellAnchor>
  <xdr:twoCellAnchor>
    <xdr:from>
      <xdr:col>6</xdr:col>
      <xdr:colOff>9525</xdr:colOff>
      <xdr:row>26</xdr:row>
      <xdr:rowOff>57150</xdr:rowOff>
    </xdr:from>
    <xdr:to>
      <xdr:col>8</xdr:col>
      <xdr:colOff>19050</xdr:colOff>
      <xdr:row>28</xdr:row>
      <xdr:rowOff>28575</xdr:rowOff>
    </xdr:to>
    <xdr:sp macro="" textlink="">
      <xdr:nvSpPr>
        <xdr:cNvPr id="4" name="テキスト ボックス 3">
          <a:extLst>
            <a:ext uri="{FF2B5EF4-FFF2-40B4-BE49-F238E27FC236}">
              <a16:creationId xmlns:a16="http://schemas.microsoft.com/office/drawing/2014/main" xmlns="" id="{00000000-0008-0000-1400-000004000000}"/>
            </a:ext>
          </a:extLst>
        </xdr:cNvPr>
        <xdr:cNvSpPr txBox="1"/>
      </xdr:nvSpPr>
      <xdr:spPr>
        <a:xfrm>
          <a:off x="4638675" y="4562475"/>
          <a:ext cx="1552575" cy="3143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600" b="1">
              <a:solidFill>
                <a:srgbClr val="FF0000"/>
              </a:solidFill>
            </a:rPr>
            <a:t>対策必要部品</a:t>
          </a:r>
        </a:p>
      </xdr:txBody>
    </xdr:sp>
    <xdr:clientData/>
  </xdr:twoCellAnchor>
  <xdr:twoCellAnchor>
    <xdr:from>
      <xdr:col>9</xdr:col>
      <xdr:colOff>95982</xdr:colOff>
      <xdr:row>3</xdr:row>
      <xdr:rowOff>8792</xdr:rowOff>
    </xdr:from>
    <xdr:to>
      <xdr:col>15</xdr:col>
      <xdr:colOff>648432</xdr:colOff>
      <xdr:row>31</xdr:row>
      <xdr:rowOff>151667</xdr:rowOff>
    </xdr:to>
    <xdr:graphicFrame macro="">
      <xdr:nvGraphicFramePr>
        <xdr:cNvPr id="5" name="グラフ 4">
          <a:extLst>
            <a:ext uri="{FF2B5EF4-FFF2-40B4-BE49-F238E27FC236}">
              <a16:creationId xmlns:a16="http://schemas.microsoft.com/office/drawing/2014/main" xmlns=""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87835</xdr:colOff>
      <xdr:row>31</xdr:row>
      <xdr:rowOff>112404</xdr:rowOff>
    </xdr:from>
    <xdr:to>
      <xdr:col>14</xdr:col>
      <xdr:colOff>374719</xdr:colOff>
      <xdr:row>33</xdr:row>
      <xdr:rowOff>65332</xdr:rowOff>
    </xdr:to>
    <xdr:sp macro="" textlink="">
      <xdr:nvSpPr>
        <xdr:cNvPr id="6" name="テキスト ボックス 4">
          <a:extLst>
            <a:ext uri="{FF2B5EF4-FFF2-40B4-BE49-F238E27FC236}">
              <a16:creationId xmlns:a16="http://schemas.microsoft.com/office/drawing/2014/main" xmlns="" id="{00000000-0008-0000-1400-000006000000}"/>
            </a:ext>
          </a:extLst>
        </xdr:cNvPr>
        <xdr:cNvSpPr txBox="1"/>
      </xdr:nvSpPr>
      <xdr:spPr>
        <a:xfrm>
          <a:off x="9331226" y="5545795"/>
          <a:ext cx="1810884" cy="300798"/>
        </a:xfrm>
        <a:prstGeom prst="rect">
          <a:avLst/>
        </a:prstGeom>
        <a:noFill/>
      </xdr:spPr>
      <xdr:txBody>
        <a:bodyPr wrap="square" rtlCol="0">
          <a:spAutoFit/>
        </a:bodyPr>
        <a:lstStyle>
          <a:defPPr>
            <a:defRPr lang="ja-JP"/>
          </a:defPPr>
          <a:lvl1pPr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kern="1200">
              <a:solidFill>
                <a:schemeClr val="tx1"/>
              </a:solidFill>
              <a:latin typeface="Times New Roman" pitchFamily="18" charset="0"/>
              <a:ea typeface="ＭＳ Ｐゴシック" pitchFamily="50" charset="-128"/>
              <a:cs typeface="+mn-cs"/>
            </a:defRPr>
          </a:lvl9pPr>
        </a:lstStyle>
        <a:p>
          <a:r>
            <a:rPr kumimoji="1" lang="ja-JP" altLang="en-US" sz="1200"/>
            <a:t>周 長 </a:t>
          </a:r>
          <a:r>
            <a:rPr kumimoji="1" lang="en-US" altLang="ja-JP" sz="1200"/>
            <a:t>[mm]</a:t>
          </a:r>
          <a:endParaRPr kumimoji="1" lang="ja-JP" altLang="en-US" sz="1200"/>
        </a:p>
      </xdr:txBody>
    </xdr:sp>
    <xdr:clientData/>
  </xdr:twoCellAnchor>
  <xdr:twoCellAnchor>
    <xdr:from>
      <xdr:col>9</xdr:col>
      <xdr:colOff>3271</xdr:colOff>
      <xdr:row>7</xdr:row>
      <xdr:rowOff>3664</xdr:rowOff>
    </xdr:from>
    <xdr:to>
      <xdr:col>9</xdr:col>
      <xdr:colOff>295723</xdr:colOff>
      <xdr:row>21</xdr:row>
      <xdr:rowOff>51800</xdr:rowOff>
    </xdr:to>
    <xdr:sp macro="" textlink="">
      <xdr:nvSpPr>
        <xdr:cNvPr id="7" name="テキスト ボックス 5">
          <a:extLst>
            <a:ext uri="{FF2B5EF4-FFF2-40B4-BE49-F238E27FC236}">
              <a16:creationId xmlns:a16="http://schemas.microsoft.com/office/drawing/2014/main" xmlns="" id="{00000000-0008-0000-1400-000007000000}"/>
            </a:ext>
          </a:extLst>
        </xdr:cNvPr>
        <xdr:cNvSpPr txBox="1"/>
      </xdr:nvSpPr>
      <xdr:spPr>
        <a:xfrm rot="16200000">
          <a:off x="5869004" y="2329431"/>
          <a:ext cx="2448436" cy="292452"/>
        </a:xfrm>
        <a:prstGeom prst="rect">
          <a:avLst/>
        </a:prstGeom>
        <a:noFill/>
      </xdr:spPr>
      <xdr:txBody>
        <a:bodyPr wrap="square" rtlCol="0">
          <a:spAutoFit/>
        </a:bodyPr>
        <a:lstStyle>
          <a:defPPr>
            <a:defRPr lang="ja-JP"/>
          </a:defPPr>
          <a:lvl1pPr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kern="1200">
              <a:solidFill>
                <a:schemeClr val="tx1"/>
              </a:solidFill>
              <a:latin typeface="Times New Roman" pitchFamily="18" charset="0"/>
              <a:ea typeface="ＭＳ Ｐゴシック" pitchFamily="50" charset="-128"/>
              <a:cs typeface="+mn-cs"/>
            </a:defRPr>
          </a:lvl9pPr>
        </a:lstStyle>
        <a:p>
          <a:r>
            <a:rPr lang="ja-JP" altLang="en-US" sz="1200"/>
            <a:t>目標熱抵抗 </a:t>
          </a:r>
          <a:r>
            <a:rPr lang="en-US" altLang="ja-JP" sz="1200"/>
            <a:t>[K/W]</a:t>
          </a:r>
          <a:endParaRPr kumimoji="1" lang="ja-JP" altLang="en-US" sz="1200"/>
        </a:p>
      </xdr:txBody>
    </xdr:sp>
    <xdr:clientData/>
  </xdr:twoCellAnchor>
  <xdr:twoCellAnchor editAs="oneCell">
    <xdr:from>
      <xdr:col>15</xdr:col>
      <xdr:colOff>544887</xdr:colOff>
      <xdr:row>8</xdr:row>
      <xdr:rowOff>152820</xdr:rowOff>
    </xdr:from>
    <xdr:to>
      <xdr:col>20</xdr:col>
      <xdr:colOff>556250</xdr:colOff>
      <xdr:row>31</xdr:row>
      <xdr:rowOff>85443</xdr:rowOff>
    </xdr:to>
    <xdr:pic>
      <xdr:nvPicPr>
        <xdr:cNvPr id="8" name="図 7">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67093" y="1553555"/>
          <a:ext cx="4527333" cy="37986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gradFill rotWithShape="0">
          <a:gsLst>
            <a:gs pos="0">
              <a:srgbClr val="F06100">
                <a:gamma/>
                <a:shade val="36078"/>
                <a:invGamma/>
              </a:srgbClr>
            </a:gs>
            <a:gs pos="50000">
              <a:srgbClr val="F06100"/>
            </a:gs>
            <a:gs pos="100000">
              <a:srgbClr val="F06100">
                <a:gamma/>
                <a:shade val="36078"/>
                <a:invGamma/>
              </a:srgbClr>
            </a:gs>
          </a:gsLst>
          <a:lin ang="5400000" scaled="1"/>
        </a:gra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gradFill rotWithShape="0">
          <a:gsLst>
            <a:gs pos="0">
              <a:srgbClr val="F06100">
                <a:gamma/>
                <a:shade val="36078"/>
                <a:invGamma/>
              </a:srgbClr>
            </a:gs>
            <a:gs pos="50000">
              <a:srgbClr val="F06100"/>
            </a:gs>
            <a:gs pos="100000">
              <a:srgbClr val="F06100">
                <a:gamma/>
                <a:shade val="36078"/>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comments" Target="../comments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D2:N34"/>
  <sheetViews>
    <sheetView showGridLines="0" zoomScale="96" zoomScaleNormal="96" workbookViewId="0">
      <selection activeCell="M6" sqref="M6"/>
    </sheetView>
  </sheetViews>
  <sheetFormatPr defaultRowHeight="13.2"/>
  <sheetData>
    <row r="2" spans="4:14" ht="21">
      <c r="H2" s="574" t="s">
        <v>523</v>
      </c>
      <c r="I2" s="574"/>
      <c r="J2" s="574"/>
      <c r="N2" t="s">
        <v>565</v>
      </c>
    </row>
    <row r="3" spans="4:14">
      <c r="N3" t="s">
        <v>569</v>
      </c>
    </row>
    <row r="4" spans="4:14" ht="117" customHeight="1"/>
    <row r="5" spans="4:14" ht="16.2">
      <c r="D5" s="638" t="s">
        <v>497</v>
      </c>
      <c r="E5" s="639"/>
      <c r="F5" s="639"/>
      <c r="G5" s="639"/>
      <c r="H5" s="639"/>
      <c r="I5" s="639"/>
      <c r="J5" s="638" t="s">
        <v>520</v>
      </c>
    </row>
    <row r="6" spans="4:14">
      <c r="D6" s="639"/>
      <c r="E6" s="639"/>
      <c r="F6" s="639"/>
      <c r="G6" s="639"/>
      <c r="H6" s="639"/>
      <c r="I6" s="639"/>
      <c r="J6" s="639"/>
    </row>
    <row r="7" spans="4:14">
      <c r="D7" s="639"/>
      <c r="E7" s="639"/>
      <c r="F7" s="639"/>
      <c r="G7" s="639"/>
      <c r="H7" s="639"/>
      <c r="I7" s="639"/>
      <c r="J7" s="639"/>
    </row>
    <row r="8" spans="4:14">
      <c r="D8" s="639"/>
      <c r="E8" s="639"/>
      <c r="F8" s="639"/>
      <c r="G8" s="639"/>
      <c r="H8" s="639"/>
      <c r="I8" s="639"/>
      <c r="J8" s="639"/>
    </row>
    <row r="9" spans="4:14">
      <c r="D9" s="639"/>
      <c r="E9" s="639"/>
      <c r="F9" s="639"/>
      <c r="G9" s="639"/>
      <c r="H9" s="639"/>
      <c r="I9" s="639"/>
      <c r="J9" s="639"/>
    </row>
    <row r="10" spans="4:14" ht="16.2">
      <c r="D10" s="639"/>
      <c r="E10" s="639"/>
      <c r="F10" s="639"/>
      <c r="G10" s="639"/>
      <c r="H10" s="639"/>
      <c r="I10" s="639"/>
      <c r="J10" s="638" t="s">
        <v>521</v>
      </c>
    </row>
    <row r="11" spans="4:14">
      <c r="D11" s="639"/>
      <c r="E11" s="639"/>
      <c r="F11" s="639"/>
      <c r="G11" s="639"/>
      <c r="H11" s="639"/>
      <c r="I11" s="639"/>
      <c r="J11" s="639"/>
    </row>
    <row r="12" spans="4:14">
      <c r="D12" s="639"/>
      <c r="E12" s="639"/>
      <c r="F12" s="639"/>
      <c r="G12" s="639"/>
      <c r="H12" s="639"/>
      <c r="I12" s="639"/>
      <c r="J12" s="639"/>
    </row>
    <row r="13" spans="4:14">
      <c r="D13" s="639"/>
      <c r="E13" s="639"/>
      <c r="F13" s="639"/>
      <c r="G13" s="639"/>
      <c r="H13" s="639"/>
      <c r="I13" s="639"/>
      <c r="J13" s="639"/>
    </row>
    <row r="14" spans="4:14">
      <c r="D14" s="639"/>
      <c r="E14" s="639"/>
      <c r="F14" s="639"/>
      <c r="G14" s="639"/>
      <c r="H14" s="639"/>
      <c r="I14" s="639"/>
      <c r="J14" s="639"/>
    </row>
    <row r="15" spans="4:14">
      <c r="D15" s="639"/>
      <c r="E15" s="639"/>
      <c r="F15" s="639"/>
      <c r="G15" s="639"/>
      <c r="H15" s="639"/>
      <c r="I15" s="639"/>
      <c r="J15" s="639"/>
    </row>
    <row r="16" spans="4:14" ht="16.2">
      <c r="D16" s="638" t="s">
        <v>498</v>
      </c>
      <c r="E16" s="639"/>
      <c r="F16" s="639"/>
      <c r="G16" s="639"/>
      <c r="H16" s="639"/>
      <c r="I16" s="639"/>
      <c r="J16" s="639"/>
    </row>
    <row r="17" spans="4:10">
      <c r="D17" s="639"/>
      <c r="E17" s="639"/>
      <c r="F17" s="639"/>
      <c r="G17" s="639"/>
      <c r="H17" s="639"/>
      <c r="I17" s="639"/>
      <c r="J17" s="639"/>
    </row>
    <row r="18" spans="4:10" ht="16.2">
      <c r="D18" s="639"/>
      <c r="E18" s="639"/>
      <c r="F18" s="639"/>
      <c r="G18" s="639"/>
      <c r="H18" s="639"/>
      <c r="I18" s="639"/>
      <c r="J18" s="638" t="s">
        <v>522</v>
      </c>
    </row>
    <row r="19" spans="4:10">
      <c r="D19" s="639"/>
      <c r="E19" s="639"/>
      <c r="F19" s="639"/>
      <c r="G19" s="639"/>
      <c r="H19" s="639"/>
      <c r="I19" s="639"/>
      <c r="J19" s="639"/>
    </row>
    <row r="20" spans="4:10">
      <c r="D20" s="639"/>
      <c r="E20" s="639"/>
      <c r="F20" s="639"/>
      <c r="G20" s="639"/>
      <c r="H20" s="639"/>
      <c r="I20" s="639"/>
      <c r="J20" s="639"/>
    </row>
    <row r="21" spans="4:10">
      <c r="D21" s="639"/>
      <c r="E21" s="639"/>
      <c r="F21" s="639"/>
      <c r="G21" s="639"/>
      <c r="H21" s="639"/>
      <c r="I21" s="639"/>
      <c r="J21" s="639"/>
    </row>
    <row r="22" spans="4:10">
      <c r="D22" s="639"/>
      <c r="E22" s="639"/>
      <c r="F22" s="639"/>
      <c r="G22" s="639"/>
      <c r="H22" s="639"/>
      <c r="I22" s="639"/>
      <c r="J22" s="639"/>
    </row>
    <row r="23" spans="4:10">
      <c r="D23" s="639"/>
      <c r="E23" s="639"/>
      <c r="F23" s="639"/>
      <c r="G23" s="639"/>
      <c r="H23" s="639"/>
      <c r="I23" s="639"/>
      <c r="J23" s="639"/>
    </row>
    <row r="24" spans="4:10" ht="16.2">
      <c r="D24" s="638" t="s">
        <v>513</v>
      </c>
      <c r="E24" s="639"/>
      <c r="F24" s="639"/>
      <c r="G24" s="639"/>
      <c r="H24" s="639"/>
      <c r="I24" s="639"/>
      <c r="J24" s="639"/>
    </row>
    <row r="25" spans="4:10">
      <c r="D25" s="639"/>
      <c r="E25" s="639"/>
      <c r="F25" s="639"/>
      <c r="G25" s="639"/>
      <c r="H25" s="639"/>
      <c r="I25" s="639"/>
      <c r="J25" s="639"/>
    </row>
    <row r="26" spans="4:10">
      <c r="D26" s="639"/>
      <c r="E26" s="639"/>
      <c r="F26" s="639"/>
      <c r="G26" s="639"/>
      <c r="H26" s="639"/>
      <c r="I26" s="639"/>
      <c r="J26" s="639"/>
    </row>
    <row r="27" spans="4:10">
      <c r="D27" s="639"/>
      <c r="E27" s="639"/>
      <c r="F27" s="639"/>
      <c r="G27" s="639"/>
      <c r="H27" s="639"/>
      <c r="I27" s="639"/>
      <c r="J27" s="639"/>
    </row>
    <row r="28" spans="4:10">
      <c r="D28" s="639"/>
      <c r="E28" s="639"/>
      <c r="F28" s="639"/>
      <c r="G28" s="639"/>
      <c r="H28" s="639"/>
      <c r="I28" s="639"/>
      <c r="J28" s="639"/>
    </row>
    <row r="29" spans="4:10" ht="16.2">
      <c r="D29" s="638" t="s">
        <v>519</v>
      </c>
      <c r="E29" s="639"/>
      <c r="F29" s="639"/>
      <c r="G29" s="639"/>
      <c r="H29" s="639"/>
      <c r="I29" s="639"/>
      <c r="J29" s="639"/>
    </row>
    <row r="30" spans="4:10">
      <c r="D30" s="639"/>
      <c r="E30" s="639"/>
      <c r="F30" s="639"/>
      <c r="G30" s="639"/>
      <c r="H30" s="639"/>
      <c r="I30" s="639"/>
      <c r="J30" s="639"/>
    </row>
    <row r="31" spans="4:10">
      <c r="D31" s="639"/>
      <c r="E31" s="639"/>
      <c r="F31" s="639"/>
      <c r="G31" s="639"/>
      <c r="H31" s="639"/>
      <c r="I31" s="639"/>
      <c r="J31" s="639"/>
    </row>
    <row r="32" spans="4:10">
      <c r="D32" s="639"/>
      <c r="E32" s="639"/>
      <c r="F32" s="639"/>
      <c r="G32" s="639"/>
      <c r="H32" s="639"/>
      <c r="I32" s="639"/>
      <c r="J32" s="639"/>
    </row>
    <row r="33" spans="4:10">
      <c r="D33" s="639"/>
      <c r="E33" s="639"/>
      <c r="F33" s="639"/>
      <c r="G33" s="639"/>
      <c r="H33" s="639"/>
      <c r="I33" s="639"/>
      <c r="J33" s="639"/>
    </row>
    <row r="34" spans="4:10">
      <c r="D34" s="639"/>
      <c r="E34" s="639"/>
      <c r="F34" s="639"/>
      <c r="G34" s="639"/>
      <c r="H34" s="639"/>
      <c r="I34" s="639"/>
      <c r="J34" s="639"/>
    </row>
  </sheetData>
  <phoneticPr fontId="7"/>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FFFF"/>
  </sheetPr>
  <dimension ref="A1:H24"/>
  <sheetViews>
    <sheetView showGridLines="0" zoomScale="160" workbookViewId="0"/>
  </sheetViews>
  <sheetFormatPr defaultRowHeight="13.2"/>
  <cols>
    <col min="1" max="1" width="18.33203125" customWidth="1"/>
    <col min="2" max="2" width="10.33203125" customWidth="1"/>
    <col min="3" max="3" width="10.77734375" customWidth="1"/>
    <col min="6" max="6" width="10.33203125" customWidth="1"/>
  </cols>
  <sheetData>
    <row r="1" spans="1:8" ht="24" customHeight="1" thickBot="1">
      <c r="A1" s="127" t="s">
        <v>189</v>
      </c>
      <c r="B1" s="89"/>
    </row>
    <row r="2" spans="1:8" ht="13.8" thickBot="1">
      <c r="A2" s="128" t="s">
        <v>28</v>
      </c>
      <c r="B2" s="129">
        <v>0.08</v>
      </c>
    </row>
    <row r="3" spans="1:8">
      <c r="A3" s="130" t="s">
        <v>29</v>
      </c>
      <c r="B3" s="131">
        <v>0.1</v>
      </c>
      <c r="C3" s="132" t="s">
        <v>149</v>
      </c>
      <c r="D3" s="133">
        <f>MIN(B2,B3)</f>
        <v>0.08</v>
      </c>
    </row>
    <row r="4" spans="1:8">
      <c r="A4" s="130" t="s">
        <v>30</v>
      </c>
      <c r="B4" s="131">
        <v>0.15</v>
      </c>
      <c r="C4" s="134" t="s">
        <v>150</v>
      </c>
      <c r="D4" s="56">
        <f>B2*B3+F4</f>
        <v>8.0000000000000002E-3</v>
      </c>
    </row>
    <row r="5" spans="1:8">
      <c r="A5" s="130" t="s">
        <v>152</v>
      </c>
      <c r="B5" s="131">
        <v>0.85</v>
      </c>
      <c r="C5" s="134" t="s">
        <v>153</v>
      </c>
      <c r="D5" s="56">
        <f>(B2+B3)*2*B4</f>
        <v>5.3999999999999999E-2</v>
      </c>
      <c r="H5" s="57"/>
    </row>
    <row r="6" spans="1:8">
      <c r="A6" s="130" t="s">
        <v>155</v>
      </c>
      <c r="B6" s="131">
        <v>20</v>
      </c>
      <c r="C6" s="134" t="s">
        <v>156</v>
      </c>
      <c r="D6" s="56">
        <f>B2*B3</f>
        <v>8.0000000000000002E-3</v>
      </c>
    </row>
    <row r="7" spans="1:8" ht="16.2" thickBot="1">
      <c r="A7" s="130" t="s">
        <v>158</v>
      </c>
      <c r="B7" s="131">
        <v>3.2000000000000002E-3</v>
      </c>
      <c r="C7" s="135" t="s">
        <v>159</v>
      </c>
      <c r="D7" s="136">
        <v>5.6699999999999998E-8</v>
      </c>
    </row>
    <row r="8" spans="1:8" ht="13.8" thickBot="1">
      <c r="A8" s="137" t="s">
        <v>161</v>
      </c>
      <c r="B8" s="138">
        <v>35</v>
      </c>
      <c r="C8" s="139" t="s">
        <v>162</v>
      </c>
      <c r="D8" s="140">
        <f>B4/2</f>
        <v>7.4999999999999997E-2</v>
      </c>
    </row>
    <row r="9" spans="1:8" ht="13.8" thickBot="1"/>
    <row r="10" spans="1:8" ht="13.8" thickBot="1">
      <c r="A10" s="141" t="s">
        <v>163</v>
      </c>
      <c r="B10" s="160">
        <v>9.3693967452591309</v>
      </c>
      <c r="C10" s="644" t="s">
        <v>164</v>
      </c>
      <c r="D10" s="645"/>
      <c r="E10" s="150">
        <f>B10*2</f>
        <v>18.738793490518262</v>
      </c>
    </row>
    <row r="11" spans="1:8" ht="13.8" thickBot="1">
      <c r="A11" s="141" t="s">
        <v>165</v>
      </c>
      <c r="B11" s="161">
        <f>B8+273.15</f>
        <v>308.14999999999998</v>
      </c>
      <c r="C11" s="644" t="s">
        <v>166</v>
      </c>
      <c r="D11" s="645"/>
      <c r="E11" s="150">
        <f>E10+B8</f>
        <v>53.738793490518262</v>
      </c>
    </row>
    <row r="12" spans="1:8" ht="13.8" thickBot="1">
      <c r="A12" s="141" t="s">
        <v>167</v>
      </c>
      <c r="B12" s="162">
        <f>B8+B10+273.15</f>
        <v>317.51939674525909</v>
      </c>
      <c r="C12" s="644" t="s">
        <v>168</v>
      </c>
      <c r="D12" s="645"/>
      <c r="E12" s="150">
        <f>B10+B8</f>
        <v>44.369396745259131</v>
      </c>
    </row>
    <row r="13" spans="1:8">
      <c r="E13" s="142"/>
      <c r="F13" s="142"/>
      <c r="G13" s="142"/>
      <c r="H13" s="142"/>
    </row>
    <row r="14" spans="1:8" ht="13.8" thickBot="1">
      <c r="B14" t="s">
        <v>100</v>
      </c>
      <c r="C14" t="s">
        <v>169</v>
      </c>
      <c r="D14" t="s">
        <v>170</v>
      </c>
      <c r="E14" s="142"/>
      <c r="F14" s="42"/>
      <c r="H14" s="142"/>
    </row>
    <row r="15" spans="1:8">
      <c r="A15" s="141" t="s">
        <v>171</v>
      </c>
      <c r="B15" s="151">
        <f>2.51*0.54*(B10/D3)^0.25</f>
        <v>4.458850301927189</v>
      </c>
      <c r="C15" s="152">
        <f>B15*D4</f>
        <v>3.5670802415417514E-2</v>
      </c>
      <c r="D15" s="153">
        <f>C15*$B$10</f>
        <v>0.33421390005179441</v>
      </c>
      <c r="E15" s="142"/>
      <c r="H15" s="142"/>
    </row>
    <row r="16" spans="1:8">
      <c r="A16" s="141" t="s">
        <v>172</v>
      </c>
      <c r="B16" s="154">
        <f>2.51*0.56*(B10/B4)^0.25</f>
        <v>3.9515441725498937</v>
      </c>
      <c r="C16" s="155">
        <f>B16*D5</f>
        <v>0.21338338531769427</v>
      </c>
      <c r="D16" s="156">
        <f>C16*$B$10</f>
        <v>1.9992735958879797</v>
      </c>
      <c r="E16" s="142"/>
      <c r="H16" s="142"/>
    </row>
    <row r="17" spans="1:8">
      <c r="A17" s="141" t="s">
        <v>173</v>
      </c>
      <c r="B17" s="154">
        <f>2.51*0.27*(B10/D3)^0.25</f>
        <v>2.2294251509635945</v>
      </c>
      <c r="C17" s="155">
        <f>B17*D6</f>
        <v>1.7835401207708757E-2</v>
      </c>
      <c r="D17" s="156">
        <f>C17*$B$10</f>
        <v>0.16710695002589721</v>
      </c>
      <c r="E17" s="142"/>
    </row>
    <row r="18" spans="1:8">
      <c r="A18" s="141" t="s">
        <v>174</v>
      </c>
      <c r="B18" s="154">
        <f>D7*B5*(B12^2+B11^2)*(B12+B11)</f>
        <v>5.9034257809068329</v>
      </c>
      <c r="C18" s="155">
        <f>B18*(D4+D5+D6)</f>
        <v>0.41323980466347832</v>
      </c>
      <c r="D18" s="156">
        <f>C18*$B$10</f>
        <v>3.8718076808255129</v>
      </c>
      <c r="E18" s="142"/>
      <c r="F18" s="42"/>
      <c r="G18" s="42"/>
      <c r="H18" s="142"/>
    </row>
    <row r="19" spans="1:8">
      <c r="A19" s="141" t="s">
        <v>175</v>
      </c>
      <c r="B19" s="154"/>
      <c r="C19" s="155"/>
      <c r="D19" s="156">
        <f>1150*B7*0.1667*(D8*E10)^0.5*E10</f>
        <v>13.627823113477717</v>
      </c>
    </row>
    <row r="20" spans="1:8" ht="13.8" thickBot="1">
      <c r="A20" s="141" t="s">
        <v>176</v>
      </c>
      <c r="B20" s="157"/>
      <c r="C20" s="158"/>
      <c r="D20" s="159">
        <f>SUM(D15:D19)</f>
        <v>20.0002252402689</v>
      </c>
      <c r="F20" s="42"/>
    </row>
    <row r="22" spans="1:8">
      <c r="A22" s="143" t="s">
        <v>177</v>
      </c>
      <c r="B22" s="144">
        <f>B6-D20</f>
        <v>-2.2524026890025084E-4</v>
      </c>
    </row>
    <row r="24" spans="1:8">
      <c r="B24" s="145"/>
    </row>
  </sheetData>
  <mergeCells count="3">
    <mergeCell ref="C10:D10"/>
    <mergeCell ref="C11:D11"/>
    <mergeCell ref="C12:D12"/>
  </mergeCells>
  <phoneticPr fontId="7"/>
  <pageMargins left="0.75" right="0.75" top="1" bottom="1" header="0.51200000000000001" footer="0.51200000000000001"/>
  <pageSetup paperSize="9" orientation="portrait" horizontalDpi="0" verticalDpi="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FFFF"/>
  </sheetPr>
  <dimension ref="A1:E13"/>
  <sheetViews>
    <sheetView showGridLines="0" zoomScale="160" zoomScaleNormal="160" workbookViewId="0"/>
  </sheetViews>
  <sheetFormatPr defaultRowHeight="13.2"/>
  <cols>
    <col min="1" max="1" width="14" customWidth="1"/>
    <col min="2" max="2" width="11.77734375" customWidth="1"/>
    <col min="257" max="257" width="14" customWidth="1"/>
    <col min="258" max="258" width="11.77734375" customWidth="1"/>
    <col min="513" max="513" width="14" customWidth="1"/>
    <col min="514" max="514" width="11.77734375" customWidth="1"/>
    <col min="769" max="769" width="14" customWidth="1"/>
    <col min="770" max="770" width="11.77734375" customWidth="1"/>
    <col min="1025" max="1025" width="14" customWidth="1"/>
    <col min="1026" max="1026" width="11.77734375" customWidth="1"/>
    <col min="1281" max="1281" width="14" customWidth="1"/>
    <col min="1282" max="1282" width="11.77734375" customWidth="1"/>
    <col min="1537" max="1537" width="14" customWidth="1"/>
    <col min="1538" max="1538" width="11.77734375" customWidth="1"/>
    <col min="1793" max="1793" width="14" customWidth="1"/>
    <col min="1794" max="1794" width="11.77734375" customWidth="1"/>
    <col min="2049" max="2049" width="14" customWidth="1"/>
    <col min="2050" max="2050" width="11.77734375" customWidth="1"/>
    <col min="2305" max="2305" width="14" customWidth="1"/>
    <col min="2306" max="2306" width="11.77734375" customWidth="1"/>
    <col min="2561" max="2561" width="14" customWidth="1"/>
    <col min="2562" max="2562" width="11.77734375" customWidth="1"/>
    <col min="2817" max="2817" width="14" customWidth="1"/>
    <col min="2818" max="2818" width="11.77734375" customWidth="1"/>
    <col min="3073" max="3073" width="14" customWidth="1"/>
    <col min="3074" max="3074" width="11.77734375" customWidth="1"/>
    <col min="3329" max="3329" width="14" customWidth="1"/>
    <col min="3330" max="3330" width="11.77734375" customWidth="1"/>
    <col min="3585" max="3585" width="14" customWidth="1"/>
    <col min="3586" max="3586" width="11.77734375" customWidth="1"/>
    <col min="3841" max="3841" width="14" customWidth="1"/>
    <col min="3842" max="3842" width="11.77734375" customWidth="1"/>
    <col min="4097" max="4097" width="14" customWidth="1"/>
    <col min="4098" max="4098" width="11.77734375" customWidth="1"/>
    <col min="4353" max="4353" width="14" customWidth="1"/>
    <col min="4354" max="4354" width="11.77734375" customWidth="1"/>
    <col min="4609" max="4609" width="14" customWidth="1"/>
    <col min="4610" max="4610" width="11.77734375" customWidth="1"/>
    <col min="4865" max="4865" width="14" customWidth="1"/>
    <col min="4866" max="4866" width="11.77734375" customWidth="1"/>
    <col min="5121" max="5121" width="14" customWidth="1"/>
    <col min="5122" max="5122" width="11.77734375" customWidth="1"/>
    <col min="5377" max="5377" width="14" customWidth="1"/>
    <col min="5378" max="5378" width="11.77734375" customWidth="1"/>
    <col min="5633" max="5633" width="14" customWidth="1"/>
    <col min="5634" max="5634" width="11.77734375" customWidth="1"/>
    <col min="5889" max="5889" width="14" customWidth="1"/>
    <col min="5890" max="5890" width="11.77734375" customWidth="1"/>
    <col min="6145" max="6145" width="14" customWidth="1"/>
    <col min="6146" max="6146" width="11.77734375" customWidth="1"/>
    <col min="6401" max="6401" width="14" customWidth="1"/>
    <col min="6402" max="6402" width="11.77734375" customWidth="1"/>
    <col min="6657" max="6657" width="14" customWidth="1"/>
    <col min="6658" max="6658" width="11.77734375" customWidth="1"/>
    <col min="6913" max="6913" width="14" customWidth="1"/>
    <col min="6914" max="6914" width="11.77734375" customWidth="1"/>
    <col min="7169" max="7169" width="14" customWidth="1"/>
    <col min="7170" max="7170" width="11.77734375" customWidth="1"/>
    <col min="7425" max="7425" width="14" customWidth="1"/>
    <col min="7426" max="7426" width="11.77734375" customWidth="1"/>
    <col min="7681" max="7681" width="14" customWidth="1"/>
    <col min="7682" max="7682" width="11.77734375" customWidth="1"/>
    <col min="7937" max="7937" width="14" customWidth="1"/>
    <col min="7938" max="7938" width="11.77734375" customWidth="1"/>
    <col min="8193" max="8193" width="14" customWidth="1"/>
    <col min="8194" max="8194" width="11.77734375" customWidth="1"/>
    <col min="8449" max="8449" width="14" customWidth="1"/>
    <col min="8450" max="8450" width="11.77734375" customWidth="1"/>
    <col min="8705" max="8705" width="14" customWidth="1"/>
    <col min="8706" max="8706" width="11.77734375" customWidth="1"/>
    <col min="8961" max="8961" width="14" customWidth="1"/>
    <col min="8962" max="8962" width="11.77734375" customWidth="1"/>
    <col min="9217" max="9217" width="14" customWidth="1"/>
    <col min="9218" max="9218" width="11.77734375" customWidth="1"/>
    <col min="9473" max="9473" width="14" customWidth="1"/>
    <col min="9474" max="9474" width="11.77734375" customWidth="1"/>
    <col min="9729" max="9729" width="14" customWidth="1"/>
    <col min="9730" max="9730" width="11.77734375" customWidth="1"/>
    <col min="9985" max="9985" width="14" customWidth="1"/>
    <col min="9986" max="9986" width="11.77734375" customWidth="1"/>
    <col min="10241" max="10241" width="14" customWidth="1"/>
    <col min="10242" max="10242" width="11.77734375" customWidth="1"/>
    <col min="10497" max="10497" width="14" customWidth="1"/>
    <col min="10498" max="10498" width="11.77734375" customWidth="1"/>
    <col min="10753" max="10753" width="14" customWidth="1"/>
    <col min="10754" max="10754" width="11.77734375" customWidth="1"/>
    <col min="11009" max="11009" width="14" customWidth="1"/>
    <col min="11010" max="11010" width="11.77734375" customWidth="1"/>
    <col min="11265" max="11265" width="14" customWidth="1"/>
    <col min="11266" max="11266" width="11.77734375" customWidth="1"/>
    <col min="11521" max="11521" width="14" customWidth="1"/>
    <col min="11522" max="11522" width="11.77734375" customWidth="1"/>
    <col min="11777" max="11777" width="14" customWidth="1"/>
    <col min="11778" max="11778" width="11.77734375" customWidth="1"/>
    <col min="12033" max="12033" width="14" customWidth="1"/>
    <col min="12034" max="12034" width="11.77734375" customWidth="1"/>
    <col min="12289" max="12289" width="14" customWidth="1"/>
    <col min="12290" max="12290" width="11.77734375" customWidth="1"/>
    <col min="12545" max="12545" width="14" customWidth="1"/>
    <col min="12546" max="12546" width="11.77734375" customWidth="1"/>
    <col min="12801" max="12801" width="14" customWidth="1"/>
    <col min="12802" max="12802" width="11.77734375" customWidth="1"/>
    <col min="13057" max="13057" width="14" customWidth="1"/>
    <col min="13058" max="13058" width="11.77734375" customWidth="1"/>
    <col min="13313" max="13313" width="14" customWidth="1"/>
    <col min="13314" max="13314" width="11.77734375" customWidth="1"/>
    <col min="13569" max="13569" width="14" customWidth="1"/>
    <col min="13570" max="13570" width="11.77734375" customWidth="1"/>
    <col min="13825" max="13825" width="14" customWidth="1"/>
    <col min="13826" max="13826" width="11.77734375" customWidth="1"/>
    <col min="14081" max="14081" width="14" customWidth="1"/>
    <col min="14082" max="14082" width="11.77734375" customWidth="1"/>
    <col min="14337" max="14337" width="14" customWidth="1"/>
    <col min="14338" max="14338" width="11.77734375" customWidth="1"/>
    <col min="14593" max="14593" width="14" customWidth="1"/>
    <col min="14594" max="14594" width="11.77734375" customWidth="1"/>
    <col min="14849" max="14849" width="14" customWidth="1"/>
    <col min="14850" max="14850" width="11.77734375" customWidth="1"/>
    <col min="15105" max="15105" width="14" customWidth="1"/>
    <col min="15106" max="15106" width="11.77734375" customWidth="1"/>
    <col min="15361" max="15361" width="14" customWidth="1"/>
    <col min="15362" max="15362" width="11.77734375" customWidth="1"/>
    <col min="15617" max="15617" width="14" customWidth="1"/>
    <col min="15618" max="15618" width="11.77734375" customWidth="1"/>
    <col min="15873" max="15873" width="14" customWidth="1"/>
    <col min="15874" max="15874" width="11.77734375" customWidth="1"/>
    <col min="16129" max="16129" width="14" customWidth="1"/>
    <col min="16130" max="16130" width="11.77734375" customWidth="1"/>
  </cols>
  <sheetData>
    <row r="1" spans="1:5" ht="22.5" customHeight="1" thickBot="1">
      <c r="A1" s="127" t="s">
        <v>190</v>
      </c>
      <c r="B1" s="89"/>
    </row>
    <row r="2" spans="1:5">
      <c r="A2" s="128" t="s">
        <v>178</v>
      </c>
      <c r="B2" s="129">
        <v>0.08</v>
      </c>
    </row>
    <row r="3" spans="1:5" ht="13.8" thickBot="1">
      <c r="A3" s="130" t="s">
        <v>179</v>
      </c>
      <c r="B3" s="131">
        <v>0.1</v>
      </c>
    </row>
    <row r="4" spans="1:5">
      <c r="A4" s="130" t="s">
        <v>30</v>
      </c>
      <c r="B4" s="131">
        <v>0.15</v>
      </c>
      <c r="C4" s="146" t="s">
        <v>180</v>
      </c>
      <c r="D4" s="133">
        <f>B2*B3</f>
        <v>8.0000000000000002E-3</v>
      </c>
      <c r="E4" t="s">
        <v>151</v>
      </c>
    </row>
    <row r="5" spans="1:5">
      <c r="A5" s="130" t="s">
        <v>152</v>
      </c>
      <c r="B5" s="131">
        <v>0.85</v>
      </c>
      <c r="C5" s="147" t="s">
        <v>181</v>
      </c>
      <c r="D5" s="56">
        <f>(B2+B3)*2*B4</f>
        <v>5.3999999999999999E-2</v>
      </c>
      <c r="E5" t="s">
        <v>154</v>
      </c>
    </row>
    <row r="6" spans="1:5">
      <c r="A6" s="130" t="s">
        <v>155</v>
      </c>
      <c r="B6" s="131">
        <v>20</v>
      </c>
      <c r="C6" s="147" t="s">
        <v>182</v>
      </c>
      <c r="D6" s="56">
        <f>B2*B3</f>
        <v>8.0000000000000002E-3</v>
      </c>
      <c r="E6" t="s">
        <v>157</v>
      </c>
    </row>
    <row r="7" spans="1:5" ht="15.6">
      <c r="A7" s="130" t="s">
        <v>183</v>
      </c>
      <c r="B7" s="131">
        <v>3.2000000000000002E-3</v>
      </c>
      <c r="C7" s="147" t="s">
        <v>184</v>
      </c>
      <c r="D7" s="148">
        <v>5.6699999999999998E-8</v>
      </c>
      <c r="E7" t="s">
        <v>160</v>
      </c>
    </row>
    <row r="8" spans="1:5" ht="13.8" thickBot="1">
      <c r="A8" s="137" t="s">
        <v>161</v>
      </c>
      <c r="B8" s="138">
        <v>35</v>
      </c>
      <c r="C8" s="149" t="s">
        <v>185</v>
      </c>
      <c r="D8" s="63">
        <f>B4/2</f>
        <v>7.4999999999999997E-2</v>
      </c>
      <c r="E8" t="s">
        <v>186</v>
      </c>
    </row>
    <row r="10" spans="1:5">
      <c r="A10" s="143" t="s">
        <v>187</v>
      </c>
      <c r="B10" s="640">
        <v>19.022014570973777</v>
      </c>
    </row>
    <row r="11" spans="1:5">
      <c r="B11" s="64"/>
    </row>
    <row r="12" spans="1:5">
      <c r="A12" s="143" t="s">
        <v>188</v>
      </c>
      <c r="B12" s="641">
        <f>(2.8*D4+2.2*D5+1.5*D6)*(B10/2)^1.25+4*D7*B5*((D4+D5+D6)*(B8+B10/4+273)^3)*(B10/2)+1150*B7*0.166*(D8*B10)^0.5*B10</f>
        <v>20.364714456961263</v>
      </c>
    </row>
    <row r="13" spans="1:5">
      <c r="A13" s="143" t="s">
        <v>177</v>
      </c>
      <c r="B13" s="144">
        <f>B6-B12</f>
        <v>-0.36471445696126281</v>
      </c>
    </row>
  </sheetData>
  <phoneticPr fontId="7"/>
  <pageMargins left="0.75" right="0.75" top="1" bottom="1" header="0.51200000000000001" footer="0.51200000000000001"/>
  <pageSetup paperSize="9" orientation="portrait" horizontalDpi="4294967293" verticalDpi="0" r:id="rId1"/>
  <headerFooter alignWithMargins="0"/>
  <drawing r:id="rId2"/>
  <legacyDrawing r:id="rId3"/>
  <oleObjects>
    <mc:AlternateContent xmlns:mc="http://schemas.openxmlformats.org/markup-compatibility/2006">
      <mc:Choice Requires="x14">
        <oleObject progId="Equation.3" shapeId="347137" r:id="rId4">
          <objectPr defaultSize="0" autoPict="0" r:id="rId5">
            <anchor moveWithCells="1" sizeWithCells="1">
              <from>
                <xdr:col>0</xdr:col>
                <xdr:colOff>114300</xdr:colOff>
                <xdr:row>13</xdr:row>
                <xdr:rowOff>76200</xdr:rowOff>
              </from>
              <to>
                <xdr:col>6</xdr:col>
                <xdr:colOff>175260</xdr:colOff>
                <xdr:row>15</xdr:row>
                <xdr:rowOff>76200</xdr:rowOff>
              </to>
            </anchor>
          </objectPr>
        </oleObject>
      </mc:Choice>
      <mc:Fallback>
        <oleObject progId="Equation.3" shapeId="347137" r:id="rId4"/>
      </mc:Fallback>
    </mc:AlternateContent>
    <mc:AlternateContent xmlns:mc="http://schemas.openxmlformats.org/markup-compatibility/2006">
      <mc:Choice Requires="x14">
        <oleObject progId="Equation.3" shapeId="347138" r:id="rId6">
          <objectPr defaultSize="0" autoPict="0" r:id="rId7">
            <anchor moveWithCells="1" sizeWithCells="1">
              <from>
                <xdr:col>0</xdr:col>
                <xdr:colOff>106680</xdr:colOff>
                <xdr:row>16</xdr:row>
                <xdr:rowOff>30480</xdr:rowOff>
              </from>
              <to>
                <xdr:col>2</xdr:col>
                <xdr:colOff>678180</xdr:colOff>
                <xdr:row>17</xdr:row>
                <xdr:rowOff>144780</xdr:rowOff>
              </to>
            </anchor>
          </objectPr>
        </oleObject>
      </mc:Choice>
      <mc:Fallback>
        <oleObject progId="Equation.3" shapeId="347138"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00FFFF"/>
  </sheetPr>
  <dimension ref="A1:J41"/>
  <sheetViews>
    <sheetView zoomScale="110" zoomScaleNormal="110" workbookViewId="0"/>
  </sheetViews>
  <sheetFormatPr defaultRowHeight="13.2"/>
  <cols>
    <col min="1" max="4" width="13.6640625" customWidth="1"/>
    <col min="5" max="5" width="14.6640625" customWidth="1"/>
    <col min="6" max="9" width="13.6640625" customWidth="1"/>
  </cols>
  <sheetData>
    <row r="1" spans="1:10" ht="21">
      <c r="A1" s="10" t="s">
        <v>502</v>
      </c>
    </row>
    <row r="2" spans="1:10" ht="13.8" thickBot="1"/>
    <row r="3" spans="1:10" ht="13.8" thickBot="1">
      <c r="A3" s="23" t="s">
        <v>0</v>
      </c>
      <c r="B3" s="24" t="s">
        <v>1</v>
      </c>
      <c r="C3" s="24" t="s">
        <v>2</v>
      </c>
      <c r="D3" s="25" t="s">
        <v>3</v>
      </c>
      <c r="E3" s="26" t="s">
        <v>4</v>
      </c>
      <c r="F3" s="27"/>
      <c r="G3" s="27"/>
    </row>
    <row r="4" spans="1:10">
      <c r="A4" s="27">
        <v>8</v>
      </c>
      <c r="B4" s="27">
        <v>25</v>
      </c>
      <c r="C4" s="28">
        <v>1</v>
      </c>
      <c r="D4" s="27">
        <v>1</v>
      </c>
      <c r="E4" s="27">
        <v>5</v>
      </c>
      <c r="F4" s="27"/>
      <c r="G4" s="27"/>
    </row>
    <row r="5" spans="1:10" ht="13.8" thickBot="1">
      <c r="A5" s="27"/>
      <c r="B5" s="27"/>
      <c r="C5" s="27"/>
      <c r="D5" s="27"/>
      <c r="E5" s="27"/>
      <c r="F5" s="27"/>
      <c r="G5" s="27"/>
    </row>
    <row r="6" spans="1:10" ht="13.8" thickBot="1">
      <c r="A6" s="29" t="s">
        <v>5</v>
      </c>
      <c r="B6" s="30" t="s">
        <v>6</v>
      </c>
      <c r="C6" s="30" t="s">
        <v>7</v>
      </c>
      <c r="D6" s="30" t="s">
        <v>8</v>
      </c>
      <c r="E6" s="30" t="s">
        <v>9</v>
      </c>
      <c r="F6" s="30" t="s">
        <v>10</v>
      </c>
      <c r="G6" s="31" t="s">
        <v>11</v>
      </c>
      <c r="H6" s="47"/>
    </row>
    <row r="7" spans="1:10">
      <c r="A7" s="33">
        <v>1</v>
      </c>
      <c r="B7" s="33">
        <v>8</v>
      </c>
      <c r="C7" s="33">
        <f>G17*G18*(0.54*2.51*(ABS(B34-$B$41)/MIN(G17,G18))^0.25+G22*0.0000000567*((B34+273.15)^2+($B$41+273.15)^2)*((B34+273.15)+($B$41+273.15)))</f>
        <v>8.311907968323036E-2</v>
      </c>
      <c r="D7" s="34">
        <v>7</v>
      </c>
      <c r="E7" s="34">
        <f>G25</f>
        <v>20</v>
      </c>
      <c r="F7" s="33">
        <v>8</v>
      </c>
      <c r="G7" s="35">
        <f>G26</f>
        <v>35</v>
      </c>
      <c r="H7" s="35"/>
      <c r="I7" s="35"/>
      <c r="J7" s="35"/>
    </row>
    <row r="8" spans="1:10">
      <c r="A8" s="33">
        <v>2</v>
      </c>
      <c r="B8" s="33">
        <v>8</v>
      </c>
      <c r="C8" s="33">
        <f>G17*G19*(0.56*2.51*(ABS(B35-$B$41)/G19)^0.25+G22*0.0000000567*((B35+273.15)^2+($B$41+273.15)^2)*((B35+273.15)+($B$41+273.15)))</f>
        <v>0.11856424461837654</v>
      </c>
      <c r="D8" s="37"/>
      <c r="E8" s="37"/>
      <c r="F8" s="37"/>
      <c r="G8" s="33"/>
      <c r="H8" s="35"/>
      <c r="I8" s="35"/>
      <c r="J8" s="35"/>
    </row>
    <row r="9" spans="1:10">
      <c r="A9" s="33">
        <v>3</v>
      </c>
      <c r="B9" s="33">
        <v>8</v>
      </c>
      <c r="C9" s="33">
        <f>G18*G19*(0.56*2.51*(ABS(B36-$B$41)/G19)^0.25+G22*0.0000000567*((B36+273.15)^2+($B$41+273.15)^2)*((B36+273.15)+($B$41+273.15)))</f>
        <v>0.14820535125127471</v>
      </c>
      <c r="D9" s="37"/>
      <c r="E9" s="37"/>
      <c r="F9" s="37"/>
      <c r="G9" s="37"/>
      <c r="H9" s="35"/>
      <c r="I9" s="35"/>
      <c r="J9" s="35"/>
    </row>
    <row r="10" spans="1:10">
      <c r="A10" s="35">
        <v>4</v>
      </c>
      <c r="B10" s="33">
        <v>8</v>
      </c>
      <c r="C10" s="33">
        <f>G17*G19*(0.56*2.51*(ABS(B37-$B$41)/G19)^0.25+G22*0.0000000567*((B37+273.15)^2+($B$41+273.15)^2)*((B37+273.15)+($B$41+273.15)))</f>
        <v>0.11856424461837654</v>
      </c>
      <c r="D10" s="34"/>
      <c r="E10" s="37"/>
      <c r="F10" s="37"/>
      <c r="G10" s="35"/>
      <c r="H10" s="35"/>
      <c r="I10" s="35"/>
    </row>
    <row r="11" spans="1:10">
      <c r="A11" s="35">
        <v>5</v>
      </c>
      <c r="B11" s="33">
        <v>8</v>
      </c>
      <c r="C11" s="33">
        <f>G18*G19*(0.56*2.51*(ABS(B38-$B$41)/G19)^0.25+G22*0.0000000567*((B38+273.15)^2+($B$41+273.15)^2)*((B38+273.15)+($B$41+273.15)))</f>
        <v>0.14820535125127471</v>
      </c>
      <c r="D11" s="34"/>
      <c r="E11" s="37"/>
      <c r="F11" s="34"/>
      <c r="G11" s="35"/>
      <c r="H11" s="35"/>
      <c r="I11" s="35"/>
    </row>
    <row r="12" spans="1:10">
      <c r="A12" s="35">
        <v>6</v>
      </c>
      <c r="B12" s="35">
        <v>8</v>
      </c>
      <c r="C12" s="33">
        <f>G17*G18*(0.27*2.51*(ABS(B39-B41)/MIN(G17,G18))^0.25+G22*0.0000000567*((B39+273.15)^2+(B41+273.15)^2)*((B39+273.15)+(B41+273.15)))</f>
        <v>6.5200562548008503E-2</v>
      </c>
      <c r="D12" s="34"/>
      <c r="E12" s="37"/>
      <c r="F12" s="34"/>
      <c r="G12" s="35"/>
      <c r="H12" s="35"/>
      <c r="I12" s="35"/>
    </row>
    <row r="13" spans="1:10">
      <c r="A13" s="35">
        <v>1</v>
      </c>
      <c r="B13" s="35">
        <v>2</v>
      </c>
      <c r="C13" s="37">
        <f xml:space="preserve"> G17* G20* G21/( G18/2+ G19/2)</f>
        <v>0.23039999999999999</v>
      </c>
      <c r="D13" s="37"/>
      <c r="E13" s="37"/>
      <c r="F13" s="34"/>
      <c r="G13" s="33"/>
    </row>
    <row r="14" spans="1:10">
      <c r="A14" s="35">
        <v>1</v>
      </c>
      <c r="B14" s="35">
        <v>3</v>
      </c>
      <c r="C14" s="37">
        <f xml:space="preserve"> G18*G20*G21/(G17/2+G19/2)</f>
        <v>0.31304347826086965</v>
      </c>
      <c r="D14" s="37"/>
      <c r="E14" s="37"/>
      <c r="F14" s="34"/>
      <c r="G14" s="36"/>
    </row>
    <row r="15" spans="1:10">
      <c r="A15" s="35">
        <v>1</v>
      </c>
      <c r="B15" s="35">
        <v>4</v>
      </c>
      <c r="C15" s="37">
        <f>C13</f>
        <v>0.23039999999999999</v>
      </c>
      <c r="D15" s="37"/>
      <c r="E15" s="37"/>
      <c r="F15" s="34"/>
      <c r="G15" s="33"/>
    </row>
    <row r="16" spans="1:10" ht="13.8" thickBot="1">
      <c r="A16" s="35">
        <v>1</v>
      </c>
      <c r="B16" s="35">
        <v>5</v>
      </c>
      <c r="C16" s="37">
        <f>C14</f>
        <v>0.31304347826086965</v>
      </c>
      <c r="D16" s="37"/>
      <c r="E16" s="37"/>
      <c r="F16" s="50" t="s">
        <v>27</v>
      </c>
      <c r="G16" s="34"/>
      <c r="J16" s="36"/>
    </row>
    <row r="17" spans="1:10" ht="15.75" customHeight="1">
      <c r="A17" s="35">
        <v>2</v>
      </c>
      <c r="B17" s="35">
        <v>3</v>
      </c>
      <c r="C17" s="37">
        <f>G19*G20*G21/(G17/2+G18/2)</f>
        <v>0.6</v>
      </c>
      <c r="D17" s="37"/>
      <c r="E17" s="37"/>
      <c r="F17" s="51" t="s">
        <v>28</v>
      </c>
      <c r="G17" s="52">
        <v>0.08</v>
      </c>
      <c r="I17" s="35"/>
    </row>
    <row r="18" spans="1:10" ht="15.75" customHeight="1">
      <c r="A18" s="35">
        <v>3</v>
      </c>
      <c r="B18" s="35">
        <v>4</v>
      </c>
      <c r="C18" s="37">
        <f>C17</f>
        <v>0.6</v>
      </c>
      <c r="D18" s="37"/>
      <c r="E18" s="37"/>
      <c r="F18" s="54" t="s">
        <v>29</v>
      </c>
      <c r="G18" s="55">
        <v>0.1</v>
      </c>
    </row>
    <row r="19" spans="1:10">
      <c r="A19" s="35">
        <v>4</v>
      </c>
      <c r="B19" s="35">
        <v>5</v>
      </c>
      <c r="C19" s="37">
        <f>C18</f>
        <v>0.6</v>
      </c>
      <c r="D19" s="37"/>
      <c r="E19" s="37"/>
      <c r="F19" s="54" t="s">
        <v>30</v>
      </c>
      <c r="G19" s="55">
        <v>0.15</v>
      </c>
    </row>
    <row r="20" spans="1:10">
      <c r="A20" s="35">
        <v>5</v>
      </c>
      <c r="B20" s="35">
        <v>2</v>
      </c>
      <c r="C20" s="37">
        <f>C19</f>
        <v>0.6</v>
      </c>
      <c r="D20" s="37"/>
      <c r="E20" s="37"/>
      <c r="F20" s="54" t="s">
        <v>31</v>
      </c>
      <c r="G20" s="56">
        <v>3.0000000000000001E-3</v>
      </c>
    </row>
    <row r="21" spans="1:10">
      <c r="A21" s="35">
        <v>2</v>
      </c>
      <c r="B21" s="35">
        <v>6</v>
      </c>
      <c r="C21" s="37">
        <f>C13</f>
        <v>0.23039999999999999</v>
      </c>
      <c r="D21" s="37"/>
      <c r="E21" s="37"/>
      <c r="F21" s="54" t="s">
        <v>45</v>
      </c>
      <c r="G21" s="56">
        <v>120</v>
      </c>
      <c r="H21" s="57"/>
      <c r="I21" s="57"/>
    </row>
    <row r="22" spans="1:10">
      <c r="A22" s="36">
        <v>3</v>
      </c>
      <c r="B22" s="36">
        <v>6</v>
      </c>
      <c r="C22" s="36">
        <f>C14</f>
        <v>0.31304347826086965</v>
      </c>
      <c r="D22" s="37"/>
      <c r="E22" s="37"/>
      <c r="F22" s="54" t="s">
        <v>32</v>
      </c>
      <c r="G22" s="56">
        <v>0.85</v>
      </c>
      <c r="H22" s="57"/>
      <c r="I22" s="57"/>
    </row>
    <row r="23" spans="1:10">
      <c r="A23" s="36">
        <v>4</v>
      </c>
      <c r="B23" s="36">
        <v>6</v>
      </c>
      <c r="C23" s="36">
        <f>C15</f>
        <v>0.23039999999999999</v>
      </c>
      <c r="D23" s="37"/>
      <c r="E23" s="36"/>
      <c r="F23" s="165" t="s">
        <v>33</v>
      </c>
      <c r="G23" s="55">
        <v>0.85</v>
      </c>
      <c r="H23" s="34"/>
      <c r="I23" s="34"/>
    </row>
    <row r="24" spans="1:10" ht="15.6">
      <c r="A24" s="36">
        <v>5</v>
      </c>
      <c r="B24" s="36">
        <v>6</v>
      </c>
      <c r="C24" s="36">
        <f>C16</f>
        <v>0.31304347826086965</v>
      </c>
      <c r="D24" s="37"/>
      <c r="E24" s="36"/>
      <c r="F24" s="165" t="s">
        <v>46</v>
      </c>
      <c r="G24" s="55">
        <v>3.2000000000000002E-3</v>
      </c>
      <c r="H24" s="34"/>
      <c r="I24" s="34"/>
    </row>
    <row r="25" spans="1:10">
      <c r="A25" s="36">
        <v>1</v>
      </c>
      <c r="B25" s="36">
        <v>7</v>
      </c>
      <c r="C25" s="33">
        <f>G17*G18*(0.54*2.51*(ABS(B34-$B$40)/MIN(G17,G18))^0.25+G23*0.0000000567*((B34+273.15)^2+($B$40+273.15)^2)*((B34+273.15)+($B$40+273.15)))</f>
        <v>8.7033794692451802E-2</v>
      </c>
      <c r="D25" s="37"/>
      <c r="E25" s="36"/>
      <c r="F25" s="165" t="s">
        <v>43</v>
      </c>
      <c r="G25" s="55">
        <v>20</v>
      </c>
      <c r="H25" s="34"/>
      <c r="I25" s="34"/>
    </row>
    <row r="26" spans="1:10" ht="13.8" thickBot="1">
      <c r="A26" s="36">
        <v>2</v>
      </c>
      <c r="B26" s="36">
        <v>7</v>
      </c>
      <c r="C26" s="33">
        <f>G17*G19*(0.56*2.51*(ABS(B35-$B$40)/G19)^0.25+G23*0.0000000567*((B35+273.15)^2+($B$40+273.15)^2)*((B35+273.15)+($B$40+273.15)))</f>
        <v>0.12450529730916207</v>
      </c>
      <c r="D26" s="37"/>
      <c r="E26" s="36"/>
      <c r="F26" s="58" t="s">
        <v>44</v>
      </c>
      <c r="G26" s="59">
        <v>35</v>
      </c>
      <c r="H26" s="34"/>
      <c r="I26" s="34"/>
    </row>
    <row r="27" spans="1:10">
      <c r="A27" s="36">
        <v>3</v>
      </c>
      <c r="B27" s="36">
        <v>7</v>
      </c>
      <c r="C27" s="33">
        <f>G18*G19*(0.56*2.51*(ABS(B36-$B$40)/G19)^0.25+G23*0.0000000567*((B36+273.15)^2+($B$40+273.15)^2)*((B36+273.15)+($B$40+273.15)))</f>
        <v>0.15563159483990027</v>
      </c>
      <c r="D27" s="37"/>
      <c r="E27" s="36"/>
      <c r="F27" s="34"/>
      <c r="G27" s="34"/>
      <c r="H27" s="57"/>
      <c r="I27" s="57"/>
      <c r="J27" s="57"/>
    </row>
    <row r="28" spans="1:10">
      <c r="A28" s="36">
        <v>4</v>
      </c>
      <c r="B28" s="36">
        <v>7</v>
      </c>
      <c r="C28" s="36">
        <f>C26</f>
        <v>0.12450529730916207</v>
      </c>
      <c r="D28" s="37"/>
      <c r="E28" s="36"/>
      <c r="F28" s="37"/>
      <c r="G28" s="37"/>
      <c r="H28" s="34"/>
      <c r="I28" s="34"/>
      <c r="J28" s="53"/>
    </row>
    <row r="29" spans="1:10">
      <c r="A29" s="36">
        <v>5</v>
      </c>
      <c r="B29" s="36">
        <v>7</v>
      </c>
      <c r="C29" s="36">
        <f>C27</f>
        <v>0.15563159483990027</v>
      </c>
      <c r="D29" s="37"/>
      <c r="E29" s="36"/>
      <c r="F29" s="36"/>
      <c r="G29" s="36"/>
      <c r="H29" s="36"/>
      <c r="I29" s="36"/>
      <c r="J29" s="36"/>
    </row>
    <row r="30" spans="1:10">
      <c r="A30" s="36">
        <v>6</v>
      </c>
      <c r="B30" s="36">
        <v>7</v>
      </c>
      <c r="C30" s="33">
        <f>G17*G18*(0.27*2.51*(ABS(B39-$B$40)/MIN(G17,G18))^0.25+G23*0.0000000567*((B39+273.15)^2+($B$40+273.15)^2)*((B39+273.15)+($B$40+273.15)))</f>
        <v>6.9326486526322603E-2</v>
      </c>
      <c r="D30" s="37"/>
      <c r="E30" s="36"/>
      <c r="F30" s="36"/>
      <c r="H30" s="36"/>
      <c r="I30" s="36"/>
      <c r="J30" s="36"/>
    </row>
    <row r="31" spans="1:10">
      <c r="A31" s="36">
        <v>8</v>
      </c>
      <c r="B31" s="36">
        <v>7</v>
      </c>
      <c r="C31" s="33">
        <f>1150*G24*0.166*(G19/2*(B40-B41))^0.5</f>
        <v>0.7226059885628372</v>
      </c>
      <c r="D31" s="37"/>
      <c r="E31" s="36"/>
      <c r="F31" s="36"/>
      <c r="H31" s="36"/>
      <c r="I31" s="36"/>
      <c r="J31" s="36"/>
    </row>
    <row r="32" spans="1:10">
      <c r="A32" s="36"/>
      <c r="B32" s="36"/>
      <c r="C32" s="36"/>
      <c r="D32" s="36"/>
      <c r="E32" s="36"/>
      <c r="F32" s="36"/>
      <c r="G32" s="36"/>
      <c r="H32" s="36"/>
      <c r="I32" s="42"/>
      <c r="J32" s="42"/>
    </row>
    <row r="33" spans="1:10">
      <c r="A33" s="36" t="s">
        <v>95</v>
      </c>
      <c r="B33" s="36" t="s">
        <v>96</v>
      </c>
      <c r="C33" s="36" t="s">
        <v>34</v>
      </c>
      <c r="D33" s="36"/>
      <c r="F33" s="36"/>
      <c r="G33" s="36"/>
      <c r="H33" s="36"/>
      <c r="I33" s="42"/>
      <c r="J33" s="42"/>
    </row>
    <row r="34" spans="1:10">
      <c r="A34" s="36">
        <v>1</v>
      </c>
      <c r="B34" s="163">
        <v>44.5576171875</v>
      </c>
      <c r="C34" s="163">
        <f>B34-B41</f>
        <v>9.5576171875</v>
      </c>
      <c r="D34" s="60" t="s">
        <v>35</v>
      </c>
      <c r="H34" s="36"/>
      <c r="I34" s="42"/>
      <c r="J34" s="42"/>
    </row>
    <row r="35" spans="1:10">
      <c r="A35" s="36">
        <v>2</v>
      </c>
      <c r="B35" s="163">
        <v>44.559909820556641</v>
      </c>
      <c r="C35" s="163">
        <f>B35-B41</f>
        <v>9.5599098205566406</v>
      </c>
      <c r="D35" s="60" t="s">
        <v>36</v>
      </c>
      <c r="H35" s="36"/>
      <c r="I35" s="42"/>
      <c r="J35" s="42"/>
    </row>
    <row r="36" spans="1:10">
      <c r="A36" s="36">
        <v>3</v>
      </c>
      <c r="B36" s="163">
        <v>44.559932708740234</v>
      </c>
      <c r="C36" s="163">
        <f>B36-B41</f>
        <v>9.5599327087402344</v>
      </c>
      <c r="D36" s="60" t="s">
        <v>37</v>
      </c>
      <c r="F36" s="60"/>
      <c r="G36" s="60"/>
      <c r="H36" s="36"/>
      <c r="I36" s="42"/>
      <c r="J36" s="42"/>
    </row>
    <row r="37" spans="1:10">
      <c r="A37" s="36">
        <v>4</v>
      </c>
      <c r="B37" s="163">
        <v>44.559909820556641</v>
      </c>
      <c r="C37" s="163">
        <f>B37-B41</f>
        <v>9.5599098205566406</v>
      </c>
      <c r="D37" s="60" t="s">
        <v>38</v>
      </c>
      <c r="F37" s="60"/>
      <c r="G37" s="60"/>
      <c r="H37" s="36"/>
      <c r="I37" s="42"/>
      <c r="J37" s="42"/>
    </row>
    <row r="38" spans="1:10">
      <c r="A38" s="36">
        <v>5</v>
      </c>
      <c r="B38" s="163">
        <v>44.559932708740234</v>
      </c>
      <c r="C38" s="163">
        <f>B38-B41</f>
        <v>9.5599327087402344</v>
      </c>
      <c r="D38" s="60" t="s">
        <v>39</v>
      </c>
      <c r="F38" s="60"/>
      <c r="G38" s="60"/>
      <c r="H38" s="36"/>
      <c r="I38" s="36"/>
      <c r="J38" s="36"/>
    </row>
    <row r="39" spans="1:10">
      <c r="A39" s="36">
        <v>6</v>
      </c>
      <c r="B39" s="163">
        <v>44.56591796875</v>
      </c>
      <c r="C39" s="163">
        <f>B39-B41</f>
        <v>9.56591796875</v>
      </c>
      <c r="D39" s="60" t="s">
        <v>40</v>
      </c>
      <c r="E39" t="s">
        <v>47</v>
      </c>
      <c r="F39" s="60"/>
      <c r="G39" s="60"/>
      <c r="H39" s="36"/>
      <c r="I39" s="36"/>
      <c r="J39" s="36"/>
    </row>
    <row r="40" spans="1:10">
      <c r="A40" s="36">
        <v>7</v>
      </c>
      <c r="B40" s="163">
        <v>53.656494140625</v>
      </c>
      <c r="C40" s="164">
        <f>B40-B41</f>
        <v>18.656494140625</v>
      </c>
      <c r="D40" s="60" t="s">
        <v>41</v>
      </c>
      <c r="E40">
        <f>0.166*(G19/2*(B40-B41))^0.5</f>
        <v>0.19636032297903183</v>
      </c>
      <c r="F40" s="60" t="s">
        <v>191</v>
      </c>
      <c r="G40" s="60"/>
      <c r="H40" s="36"/>
      <c r="I40" s="36"/>
      <c r="J40" s="36"/>
    </row>
    <row r="41" spans="1:10">
      <c r="A41" s="36">
        <v>8</v>
      </c>
      <c r="B41" s="163">
        <v>35</v>
      </c>
      <c r="C41" s="163">
        <f>B41-B41</f>
        <v>0</v>
      </c>
      <c r="D41" s="60" t="s">
        <v>42</v>
      </c>
      <c r="G41" s="60"/>
      <c r="H41" s="36"/>
      <c r="I41" s="36"/>
      <c r="J41" s="36"/>
    </row>
  </sheetData>
  <phoneticPr fontId="7"/>
  <pageMargins left="0.75" right="0.75" top="1" bottom="1" header="0.51200000000000001" footer="0.51200000000000001"/>
  <pageSetup paperSize="9" orientation="portrait" horizontalDpi="0" verticalDpi="0"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FF00"/>
  </sheetPr>
  <dimension ref="A1:AK61"/>
  <sheetViews>
    <sheetView showGridLines="0" zoomScale="130" zoomScaleNormal="130" workbookViewId="0"/>
  </sheetViews>
  <sheetFormatPr defaultColWidth="9" defaultRowHeight="13.2"/>
  <cols>
    <col min="1" max="1" width="24.88671875" style="449" customWidth="1"/>
    <col min="2" max="2" width="14.33203125" style="449" customWidth="1"/>
    <col min="3" max="3" width="11" style="449" customWidth="1"/>
    <col min="4" max="4" width="11.6640625" style="449" customWidth="1"/>
    <col min="5" max="5" width="15.77734375" style="449" bestFit="1" customWidth="1"/>
    <col min="6" max="6" width="11.77734375" style="449" customWidth="1"/>
    <col min="7" max="7" width="10.21875" style="449" customWidth="1"/>
    <col min="8" max="8" width="9.88671875" style="449" customWidth="1"/>
    <col min="9" max="9" width="6.77734375" style="449" customWidth="1"/>
    <col min="10" max="10" width="14" style="449" customWidth="1"/>
    <col min="11" max="11" width="11.88671875" style="449" customWidth="1"/>
    <col min="12" max="12" width="15" style="449" customWidth="1"/>
    <col min="13" max="16384" width="9" style="449"/>
  </cols>
  <sheetData>
    <row r="1" spans="1:23" s="481" customFormat="1" ht="24" customHeight="1">
      <c r="A1" s="482" t="s">
        <v>503</v>
      </c>
      <c r="C1" s="479"/>
      <c r="D1" s="479"/>
      <c r="E1" s="479"/>
      <c r="F1" s="479"/>
      <c r="G1" s="479"/>
      <c r="H1" s="479"/>
      <c r="I1" s="479"/>
      <c r="J1" s="479"/>
      <c r="K1" s="479"/>
      <c r="L1" s="479"/>
      <c r="M1" s="479"/>
      <c r="N1" s="479"/>
      <c r="O1" s="479"/>
      <c r="P1" s="480"/>
      <c r="Q1" s="480"/>
      <c r="R1" s="480"/>
      <c r="S1" s="480"/>
      <c r="T1" s="480"/>
      <c r="U1" s="480"/>
      <c r="V1" s="480"/>
      <c r="W1" s="480"/>
    </row>
    <row r="2" spans="1:23" s="414" customFormat="1" ht="16.5" customHeight="1" thickBot="1">
      <c r="A2" s="412"/>
      <c r="B2" s="412"/>
      <c r="C2" s="412"/>
      <c r="D2" s="412"/>
      <c r="E2" s="412"/>
      <c r="F2" s="412"/>
      <c r="G2" s="412"/>
      <c r="H2" s="412"/>
      <c r="I2" s="412"/>
      <c r="J2" s="412"/>
      <c r="K2" s="412"/>
      <c r="L2" s="412"/>
      <c r="M2" s="412"/>
      <c r="N2" s="412"/>
      <c r="O2" s="412"/>
      <c r="P2" s="413"/>
      <c r="Q2" s="413"/>
      <c r="R2" s="413"/>
      <c r="S2" s="413"/>
      <c r="T2" s="413"/>
      <c r="U2" s="413"/>
      <c r="V2" s="413"/>
      <c r="W2" s="413"/>
    </row>
    <row r="3" spans="1:23" s="414" customFormat="1" ht="23.25" customHeight="1" thickBot="1">
      <c r="A3" s="412"/>
      <c r="B3" s="412"/>
      <c r="C3" s="412"/>
      <c r="D3" s="415" t="s">
        <v>367</v>
      </c>
      <c r="E3" s="416">
        <v>1353</v>
      </c>
      <c r="F3" s="417" t="s">
        <v>368</v>
      </c>
      <c r="G3" s="412"/>
      <c r="H3" s="412"/>
      <c r="I3" s="412"/>
      <c r="J3" s="412"/>
      <c r="K3" s="412"/>
      <c r="L3" s="412"/>
      <c r="M3" s="412"/>
      <c r="N3" s="412"/>
      <c r="O3" s="412"/>
      <c r="P3" s="413"/>
      <c r="Q3" s="413"/>
      <c r="R3" s="413"/>
      <c r="S3" s="413"/>
      <c r="T3" s="413"/>
      <c r="U3" s="413"/>
      <c r="V3" s="413"/>
      <c r="W3" s="413"/>
    </row>
    <row r="4" spans="1:23" s="414" customFormat="1" ht="20.25" customHeight="1" thickBot="1">
      <c r="A4" s="418" t="s">
        <v>369</v>
      </c>
      <c r="B4" s="412"/>
      <c r="C4" s="412"/>
      <c r="D4" s="419" t="s">
        <v>370</v>
      </c>
      <c r="E4" s="420">
        <f>3.14159/180</f>
        <v>1.7453277777777776E-2</v>
      </c>
      <c r="F4" s="421"/>
      <c r="G4" s="412"/>
      <c r="H4" s="412"/>
      <c r="I4" s="412"/>
      <c r="J4" s="412"/>
      <c r="K4" s="412"/>
      <c r="L4" s="412"/>
      <c r="M4" s="412"/>
      <c r="N4" s="412"/>
      <c r="O4" s="412"/>
      <c r="P4" s="413"/>
      <c r="Q4" s="413"/>
      <c r="R4" s="413"/>
      <c r="S4" s="413"/>
      <c r="T4" s="413"/>
      <c r="U4" s="413"/>
      <c r="V4" s="413"/>
      <c r="W4" s="413"/>
    </row>
    <row r="5" spans="1:23" s="414" customFormat="1" ht="15" customHeight="1" thickTop="1" thickBot="1">
      <c r="A5" s="422" t="s">
        <v>371</v>
      </c>
      <c r="B5" s="423">
        <v>38</v>
      </c>
      <c r="C5" s="412"/>
      <c r="D5" s="412"/>
      <c r="E5" s="412"/>
      <c r="F5" s="412"/>
      <c r="G5" s="412"/>
      <c r="H5" s="412"/>
      <c r="I5" s="412"/>
      <c r="J5" s="412"/>
      <c r="K5" s="412"/>
      <c r="L5" s="412"/>
      <c r="M5" s="412"/>
      <c r="N5" s="412"/>
      <c r="O5" s="412"/>
      <c r="P5" s="413"/>
      <c r="Q5" s="413"/>
      <c r="R5" s="413"/>
      <c r="S5" s="413"/>
      <c r="T5" s="413"/>
      <c r="U5" s="413"/>
      <c r="V5" s="413"/>
      <c r="W5" s="413"/>
    </row>
    <row r="6" spans="1:23" s="414" customFormat="1" ht="15" customHeight="1" thickTop="1" thickBot="1">
      <c r="A6" s="424" t="s">
        <v>372</v>
      </c>
      <c r="B6" s="423">
        <v>100</v>
      </c>
      <c r="C6" s="533" t="s">
        <v>373</v>
      </c>
      <c r="D6" s="531">
        <f>25*SIN(3.14159*2*(B6/365))</f>
        <v>24.716945210377911</v>
      </c>
      <c r="E6" s="429" t="s">
        <v>504</v>
      </c>
      <c r="F6" s="412"/>
      <c r="G6" s="425"/>
      <c r="H6" s="412"/>
      <c r="I6" s="412"/>
      <c r="J6" s="412"/>
      <c r="K6" s="412"/>
      <c r="L6" s="412"/>
      <c r="M6" s="412"/>
      <c r="N6" s="412"/>
      <c r="O6" s="412"/>
      <c r="P6" s="413"/>
      <c r="Q6" s="413"/>
      <c r="R6" s="413"/>
      <c r="S6" s="413"/>
      <c r="T6" s="413"/>
      <c r="U6" s="413"/>
      <c r="V6" s="413"/>
      <c r="W6" s="413"/>
    </row>
    <row r="7" spans="1:23" s="414" customFormat="1" ht="15" customHeight="1" thickTop="1" thickBot="1">
      <c r="A7" s="426" t="s">
        <v>374</v>
      </c>
      <c r="B7" s="423">
        <v>14</v>
      </c>
      <c r="C7" s="533" t="s">
        <v>375</v>
      </c>
      <c r="D7" s="532">
        <f>(B7-12)*15</f>
        <v>30</v>
      </c>
      <c r="E7" s="429" t="s">
        <v>376</v>
      </c>
      <c r="F7" s="412"/>
      <c r="G7" s="425"/>
      <c r="H7" s="412"/>
      <c r="I7" s="412"/>
      <c r="J7" s="412"/>
      <c r="K7" s="412"/>
      <c r="L7" s="412"/>
      <c r="M7" s="412"/>
      <c r="N7" s="412"/>
      <c r="O7" s="412"/>
      <c r="P7" s="413"/>
      <c r="Q7" s="413"/>
      <c r="R7" s="413"/>
      <c r="S7" s="413"/>
      <c r="T7" s="413"/>
      <c r="U7" s="413"/>
      <c r="V7" s="413"/>
      <c r="W7" s="413"/>
    </row>
    <row r="8" spans="1:23" s="414" customFormat="1" ht="15" customHeight="1" thickTop="1" thickBot="1">
      <c r="A8" s="427" t="s">
        <v>377</v>
      </c>
      <c r="B8" s="428">
        <v>0.78</v>
      </c>
      <c r="C8" s="429" t="s">
        <v>378</v>
      </c>
      <c r="D8" s="429"/>
      <c r="E8" s="429"/>
      <c r="F8" s="412"/>
      <c r="G8" s="412"/>
      <c r="H8" s="412"/>
      <c r="I8" s="412"/>
      <c r="J8" s="412"/>
      <c r="K8" s="412"/>
      <c r="L8" s="412"/>
      <c r="M8" s="412"/>
      <c r="N8" s="412"/>
      <c r="O8" s="412"/>
      <c r="P8" s="413"/>
      <c r="Q8" s="413"/>
      <c r="R8" s="413"/>
      <c r="S8" s="413"/>
      <c r="T8" s="413"/>
      <c r="U8" s="413"/>
      <c r="V8" s="413"/>
      <c r="W8" s="413"/>
    </row>
    <row r="9" spans="1:23" s="414" customFormat="1" ht="21.75" customHeight="1" thickTop="1">
      <c r="A9" s="412"/>
      <c r="B9" s="412"/>
      <c r="C9" s="412"/>
      <c r="D9" s="412"/>
      <c r="E9" s="412"/>
      <c r="F9" s="412"/>
      <c r="G9" s="412"/>
      <c r="H9" s="412"/>
      <c r="I9" s="412"/>
      <c r="J9" s="412"/>
      <c r="K9" s="412"/>
      <c r="L9" s="412"/>
      <c r="M9" s="412"/>
      <c r="N9" s="412"/>
      <c r="O9" s="412"/>
      <c r="P9" s="413"/>
      <c r="Q9" s="413"/>
      <c r="R9" s="413"/>
      <c r="S9" s="413"/>
      <c r="T9" s="413"/>
      <c r="U9" s="413"/>
      <c r="V9" s="413"/>
      <c r="W9" s="413"/>
    </row>
    <row r="10" spans="1:23" s="414" customFormat="1" ht="19.5" customHeight="1" thickBot="1">
      <c r="A10" s="418" t="s">
        <v>379</v>
      </c>
      <c r="B10" s="430" t="s">
        <v>380</v>
      </c>
      <c r="C10" s="430" t="s">
        <v>381</v>
      </c>
      <c r="D10" s="430" t="s">
        <v>382</v>
      </c>
      <c r="E10" s="430" t="s">
        <v>383</v>
      </c>
      <c r="F10" s="430" t="s">
        <v>384</v>
      </c>
      <c r="G10" s="430" t="s">
        <v>385</v>
      </c>
      <c r="H10" s="412"/>
      <c r="I10" s="412"/>
      <c r="J10" s="412"/>
      <c r="K10" s="412"/>
      <c r="L10" s="412"/>
      <c r="M10" s="412"/>
      <c r="N10" s="412"/>
      <c r="O10" s="412"/>
      <c r="P10" s="413"/>
      <c r="Q10" s="413"/>
      <c r="R10" s="413"/>
      <c r="S10" s="413"/>
      <c r="T10" s="413"/>
      <c r="U10" s="413"/>
      <c r="V10" s="413"/>
      <c r="W10" s="413"/>
    </row>
    <row r="11" spans="1:23" s="414" customFormat="1" ht="15.6" thickTop="1" thickBot="1">
      <c r="A11" s="431" t="s">
        <v>386</v>
      </c>
      <c r="B11" s="423">
        <v>0</v>
      </c>
      <c r="C11" s="432">
        <f>B11+90</f>
        <v>90</v>
      </c>
      <c r="D11" s="432">
        <f>B11-180</f>
        <v>-180</v>
      </c>
      <c r="E11" s="432">
        <f>B11-90</f>
        <v>-90</v>
      </c>
      <c r="F11" s="432">
        <f>B11</f>
        <v>0</v>
      </c>
      <c r="G11" s="432">
        <f>B11</f>
        <v>0</v>
      </c>
      <c r="H11" s="412"/>
      <c r="I11" s="412"/>
      <c r="J11" s="412"/>
      <c r="K11" s="412"/>
      <c r="L11" s="412"/>
      <c r="M11" s="412"/>
      <c r="N11" s="412"/>
      <c r="O11" s="412"/>
      <c r="P11" s="413"/>
      <c r="Q11" s="413"/>
      <c r="R11" s="413"/>
      <c r="S11" s="413"/>
      <c r="T11" s="413"/>
      <c r="U11" s="413"/>
      <c r="V11" s="413"/>
      <c r="W11" s="413"/>
    </row>
    <row r="12" spans="1:23" s="414" customFormat="1" ht="22.5" customHeight="1" thickTop="1" thickBot="1">
      <c r="A12" s="418" t="s">
        <v>509</v>
      </c>
      <c r="B12" s="433" t="s">
        <v>387</v>
      </c>
      <c r="C12" s="433" t="s">
        <v>388</v>
      </c>
      <c r="D12" s="433" t="s">
        <v>389</v>
      </c>
      <c r="E12" s="434"/>
      <c r="F12" s="434"/>
      <c r="G12" s="429"/>
      <c r="H12" s="412"/>
      <c r="I12" s="412"/>
      <c r="J12" s="412"/>
      <c r="K12" s="412"/>
      <c r="L12" s="412"/>
      <c r="M12" s="412"/>
      <c r="N12" s="412"/>
      <c r="O12" s="412"/>
      <c r="P12" s="413"/>
      <c r="Q12" s="413"/>
      <c r="R12" s="413"/>
      <c r="S12" s="413"/>
      <c r="T12" s="413"/>
      <c r="U12" s="413"/>
      <c r="V12" s="413"/>
      <c r="W12" s="413"/>
    </row>
    <row r="13" spans="1:23" s="414" customFormat="1" ht="15.6" thickTop="1" thickBot="1">
      <c r="A13" s="422" t="s">
        <v>390</v>
      </c>
      <c r="B13" s="423">
        <v>0.22</v>
      </c>
      <c r="C13" s="423">
        <v>0.1</v>
      </c>
      <c r="D13" s="423">
        <v>0.2</v>
      </c>
      <c r="E13" s="478"/>
      <c r="F13" s="474"/>
      <c r="G13" s="478"/>
      <c r="H13" s="435"/>
      <c r="I13" s="435"/>
      <c r="J13" s="435"/>
      <c r="K13" s="436"/>
      <c r="L13" s="436"/>
      <c r="M13" s="436"/>
      <c r="N13" s="436"/>
      <c r="O13" s="412"/>
      <c r="P13" s="413"/>
      <c r="Q13" s="413"/>
      <c r="R13" s="413"/>
      <c r="S13" s="413"/>
      <c r="T13" s="413"/>
      <c r="U13" s="413"/>
      <c r="V13" s="413"/>
      <c r="W13" s="413"/>
    </row>
    <row r="14" spans="1:23" s="414" customFormat="1" ht="17.25" customHeight="1" thickTop="1" thickBot="1">
      <c r="A14" s="438" t="s">
        <v>393</v>
      </c>
      <c r="B14" s="439" t="s">
        <v>394</v>
      </c>
      <c r="C14" s="439" t="s">
        <v>395</v>
      </c>
      <c r="D14" s="440" t="s">
        <v>396</v>
      </c>
      <c r="E14" s="568" t="s">
        <v>397</v>
      </c>
      <c r="F14" s="568" t="s">
        <v>398</v>
      </c>
      <c r="G14" s="568" t="s">
        <v>385</v>
      </c>
      <c r="H14" s="412"/>
      <c r="I14" s="475"/>
      <c r="J14" s="476"/>
      <c r="K14" s="477"/>
      <c r="N14" s="412"/>
      <c r="O14" s="412"/>
      <c r="P14" s="413"/>
      <c r="Q14" s="413"/>
      <c r="R14" s="413"/>
      <c r="S14" s="413"/>
      <c r="T14" s="413"/>
      <c r="U14" s="413"/>
      <c r="V14" s="413"/>
      <c r="W14" s="413"/>
    </row>
    <row r="15" spans="1:23" s="414" customFormat="1" ht="15.6" thickTop="1" thickBot="1">
      <c r="A15" s="422" t="s">
        <v>401</v>
      </c>
      <c r="B15" s="423">
        <v>0.75</v>
      </c>
      <c r="C15" s="423">
        <f>B15</f>
        <v>0.75</v>
      </c>
      <c r="D15" s="423">
        <f>B15</f>
        <v>0.75</v>
      </c>
      <c r="E15" s="423">
        <f>B15</f>
        <v>0.75</v>
      </c>
      <c r="F15" s="423">
        <f>B15</f>
        <v>0.75</v>
      </c>
      <c r="G15" s="423">
        <f>B15</f>
        <v>0.75</v>
      </c>
      <c r="H15" s="412"/>
      <c r="I15" s="475"/>
      <c r="J15" s="476"/>
      <c r="K15" s="477"/>
      <c r="N15" s="412"/>
      <c r="O15" s="412"/>
      <c r="P15" s="413"/>
      <c r="Q15" s="413"/>
      <c r="R15" s="413"/>
      <c r="S15" s="413"/>
      <c r="T15" s="413"/>
      <c r="U15" s="413"/>
      <c r="V15" s="413"/>
      <c r="W15" s="413"/>
    </row>
    <row r="16" spans="1:23" s="414" customFormat="1" ht="15.6" thickTop="1" thickBot="1">
      <c r="A16" s="441" t="s">
        <v>405</v>
      </c>
      <c r="B16" s="423">
        <v>0</v>
      </c>
      <c r="C16" s="423">
        <v>0</v>
      </c>
      <c r="D16" s="423">
        <v>0</v>
      </c>
      <c r="E16" s="423">
        <v>0</v>
      </c>
      <c r="F16" s="423">
        <v>0</v>
      </c>
      <c r="G16" s="423">
        <v>0</v>
      </c>
      <c r="H16" s="412"/>
      <c r="I16" s="475"/>
      <c r="J16" s="476"/>
      <c r="K16" s="477"/>
      <c r="N16" s="412"/>
      <c r="O16" s="412"/>
      <c r="P16" s="413"/>
      <c r="Q16" s="413"/>
      <c r="R16" s="413"/>
      <c r="S16" s="413"/>
      <c r="T16" s="413"/>
      <c r="U16" s="413"/>
      <c r="V16" s="413"/>
      <c r="W16" s="413"/>
    </row>
    <row r="17" spans="1:23" s="414" customFormat="1" ht="23.25" customHeight="1" thickTop="1" thickBot="1">
      <c r="A17" s="418" t="s">
        <v>408</v>
      </c>
      <c r="B17" s="412"/>
      <c r="C17" s="412"/>
      <c r="D17" s="412"/>
      <c r="E17" s="425"/>
      <c r="F17" s="412"/>
      <c r="G17" s="412"/>
      <c r="H17" s="412"/>
      <c r="I17" s="475"/>
      <c r="J17" s="476"/>
      <c r="K17" s="477"/>
      <c r="N17" s="412"/>
      <c r="O17" s="412"/>
      <c r="P17" s="413"/>
      <c r="Q17" s="413"/>
      <c r="R17" s="413"/>
      <c r="S17" s="413"/>
      <c r="T17" s="413"/>
      <c r="U17" s="413"/>
      <c r="V17" s="413"/>
      <c r="W17" s="413"/>
    </row>
    <row r="18" spans="1:23" s="414" customFormat="1" ht="13.8" thickBot="1">
      <c r="A18" s="437"/>
      <c r="B18" s="443" t="s">
        <v>411</v>
      </c>
      <c r="C18" s="443" t="s">
        <v>395</v>
      </c>
      <c r="D18" s="443" t="s">
        <v>412</v>
      </c>
      <c r="E18" s="443" t="s">
        <v>397</v>
      </c>
      <c r="F18" s="443" t="s">
        <v>413</v>
      </c>
      <c r="G18" s="443" t="s">
        <v>414</v>
      </c>
      <c r="H18" s="444" t="s">
        <v>415</v>
      </c>
      <c r="I18" s="412"/>
      <c r="J18" s="437"/>
      <c r="O18" s="412"/>
      <c r="P18" s="413"/>
      <c r="Q18" s="413"/>
      <c r="R18" s="413"/>
      <c r="S18" s="413"/>
      <c r="T18" s="413"/>
      <c r="U18" s="413"/>
      <c r="V18" s="413"/>
      <c r="W18" s="413"/>
    </row>
    <row r="19" spans="1:23" s="414" customFormat="1" ht="17.25" customHeight="1" thickBot="1">
      <c r="A19" s="445" t="s">
        <v>416</v>
      </c>
      <c r="B19" s="446">
        <f>I25</f>
        <v>3.500098840823151</v>
      </c>
      <c r="C19" s="446">
        <f>I26</f>
        <v>7.7589739868574732</v>
      </c>
      <c r="D19" s="446">
        <f>I27</f>
        <v>0.89597378126391347</v>
      </c>
      <c r="E19" s="446">
        <f>I28</f>
        <v>0.81452161933083045</v>
      </c>
      <c r="F19" s="446">
        <f>I29</f>
        <v>33.095428628130279</v>
      </c>
      <c r="G19" s="442">
        <f>I30</f>
        <v>0</v>
      </c>
      <c r="H19" s="447">
        <f>SUM(B19:G19)</f>
        <v>46.064996856405649</v>
      </c>
      <c r="I19" s="412"/>
      <c r="J19" s="437"/>
      <c r="O19" s="412"/>
      <c r="P19" s="413"/>
      <c r="Q19" s="413"/>
      <c r="R19" s="413"/>
      <c r="S19" s="413"/>
      <c r="T19" s="413"/>
      <c r="U19" s="413"/>
      <c r="V19" s="413"/>
      <c r="W19" s="413"/>
    </row>
    <row r="20" spans="1:23" s="536" customFormat="1" hidden="1">
      <c r="A20" s="534"/>
      <c r="B20" s="535"/>
      <c r="C20" s="535"/>
      <c r="D20" s="535"/>
      <c r="E20" s="535"/>
      <c r="H20" s="535"/>
      <c r="I20" s="535"/>
      <c r="O20" s="535"/>
      <c r="P20" s="537"/>
      <c r="Q20" s="537"/>
      <c r="R20" s="537"/>
      <c r="S20" s="537"/>
      <c r="T20" s="537"/>
      <c r="U20" s="537"/>
      <c r="V20" s="537"/>
      <c r="W20" s="537"/>
    </row>
    <row r="21" spans="1:23" s="541" customFormat="1" hidden="1">
      <c r="A21" s="538"/>
      <c r="B21" s="538"/>
      <c r="C21" s="538"/>
      <c r="D21" s="538"/>
      <c r="E21" s="538"/>
      <c r="F21" s="539"/>
      <c r="G21" s="539"/>
      <c r="H21" s="538"/>
      <c r="I21" s="538"/>
      <c r="J21" s="539"/>
      <c r="K21" s="539"/>
      <c r="L21" s="539"/>
      <c r="M21" s="538"/>
      <c r="N21" s="539"/>
      <c r="O21" s="538"/>
      <c r="P21" s="540"/>
      <c r="Q21" s="540"/>
      <c r="R21" s="540"/>
      <c r="S21" s="540"/>
      <c r="T21" s="540"/>
      <c r="U21" s="540"/>
      <c r="V21" s="540"/>
      <c r="W21" s="540"/>
    </row>
    <row r="22" spans="1:23" s="541" customFormat="1" hidden="1">
      <c r="A22" s="542" t="s">
        <v>417</v>
      </c>
      <c r="B22" s="542">
        <f>(ASIN(C22))/E4</f>
        <v>61.323873170491353</v>
      </c>
      <c r="C22" s="542">
        <f>SIN(D6*E4)*SIN(B5*E4)+COS(D6*E4)*COS(B5*E4)*COS(D7*E4)</f>
        <v>0.87734574627379769</v>
      </c>
      <c r="D22" s="542" t="s">
        <v>418</v>
      </c>
      <c r="E22" s="542" t="s">
        <v>419</v>
      </c>
      <c r="F22" s="542"/>
      <c r="G22" s="542" t="s">
        <v>420</v>
      </c>
      <c r="H22" s="542"/>
      <c r="I22" s="538"/>
      <c r="J22" s="539"/>
      <c r="K22" s="539"/>
      <c r="L22" s="539"/>
      <c r="M22" s="543"/>
      <c r="N22" s="539"/>
      <c r="O22" s="538"/>
      <c r="P22" s="540"/>
      <c r="Q22" s="540"/>
      <c r="R22" s="540"/>
      <c r="S22" s="540"/>
      <c r="T22" s="540"/>
      <c r="U22" s="540"/>
      <c r="V22" s="540"/>
      <c r="W22" s="540"/>
    </row>
    <row r="23" spans="1:23" s="541" customFormat="1" hidden="1">
      <c r="A23" s="542" t="s">
        <v>421</v>
      </c>
      <c r="B23" s="542">
        <f>(ASIN(C23))/E4</f>
        <v>71.175641734464946</v>
      </c>
      <c r="C23" s="542">
        <f>COS(D6*E4)*SIN(D7*E4)*(1/COS(B22*E4))</f>
        <v>0.94651183056358823</v>
      </c>
      <c r="D23" s="542"/>
      <c r="E23" s="542">
        <f>E3*B8^(1/SIN(B22*E4))</f>
        <v>1019.3118252760971</v>
      </c>
      <c r="F23" s="542"/>
      <c r="G23" s="542">
        <f>IF(B22&gt;0,1/2*$E$3*$C$22*((1-$B$8^(1/$C$22))/(1-1.4*LN($B$8))),0)</f>
        <v>108.60288257744405</v>
      </c>
      <c r="H23" s="542"/>
      <c r="I23" s="538"/>
      <c r="J23" s="539"/>
      <c r="K23" s="539"/>
      <c r="L23" s="539"/>
      <c r="M23" s="543"/>
      <c r="N23" s="539"/>
      <c r="O23" s="544"/>
      <c r="P23" s="540"/>
      <c r="Q23" s="540"/>
      <c r="R23" s="540"/>
      <c r="S23" s="540"/>
      <c r="T23" s="540"/>
      <c r="U23" s="540"/>
      <c r="V23" s="540"/>
      <c r="W23" s="540"/>
    </row>
    <row r="24" spans="1:23" s="541" customFormat="1" hidden="1">
      <c r="A24" s="542"/>
      <c r="B24" s="542" t="s">
        <v>422</v>
      </c>
      <c r="C24" s="542" t="s">
        <v>423</v>
      </c>
      <c r="D24" s="545" t="s">
        <v>424</v>
      </c>
      <c r="E24" s="542" t="s">
        <v>425</v>
      </c>
      <c r="F24" s="542" t="s">
        <v>426</v>
      </c>
      <c r="G24" s="542" t="s">
        <v>427</v>
      </c>
      <c r="H24" s="542" t="s">
        <v>428</v>
      </c>
      <c r="I24" s="542" t="s">
        <v>429</v>
      </c>
      <c r="J24" s="542"/>
      <c r="K24" s="546"/>
      <c r="L24" s="546"/>
      <c r="M24" s="542"/>
      <c r="N24" s="542"/>
      <c r="O24" s="547"/>
      <c r="P24" s="540"/>
      <c r="Q24" s="540"/>
      <c r="R24" s="540"/>
      <c r="S24" s="540"/>
      <c r="T24" s="540"/>
      <c r="U24" s="540"/>
      <c r="V24" s="540"/>
      <c r="W24" s="540"/>
    </row>
    <row r="25" spans="1:23" s="541" customFormat="1" hidden="1">
      <c r="A25" s="542" t="s">
        <v>430</v>
      </c>
      <c r="B25" s="542">
        <f>IF((ASIN(C25))/E4&gt;0,(ASIN(C25))/E4,0)</f>
        <v>8.9072694217037895</v>
      </c>
      <c r="C25" s="542">
        <f>IF(B22&gt;0,COS(B22*E4)*COS(B23*E4-B11*E4),0)</f>
        <v>0.15483560307235586</v>
      </c>
      <c r="D25" s="542">
        <f>MAX($E$23*C25,0)</f>
        <v>157.82576118540831</v>
      </c>
      <c r="E25" s="542">
        <f>$G$23/2</f>
        <v>54.301441288722025</v>
      </c>
      <c r="F25" s="542">
        <f>IF(B16=1,E25,D25+E25)</f>
        <v>212.12720247413034</v>
      </c>
      <c r="G25" s="542">
        <f>B13*C13</f>
        <v>2.2000000000000002E-2</v>
      </c>
      <c r="H25" s="542">
        <f t="shared" ref="H25:H30" si="0">F25*G25</f>
        <v>4.666798454430868</v>
      </c>
      <c r="I25" s="542">
        <f>H25*B15</f>
        <v>3.500098840823151</v>
      </c>
      <c r="J25" s="542"/>
      <c r="K25" s="546"/>
      <c r="L25" s="546"/>
      <c r="M25" s="542"/>
      <c r="N25" s="542"/>
      <c r="O25" s="547"/>
      <c r="P25" s="540"/>
      <c r="Q25" s="540"/>
      <c r="R25" s="540"/>
      <c r="S25" s="540"/>
      <c r="T25" s="540"/>
      <c r="U25" s="540"/>
      <c r="V25" s="540"/>
      <c r="W25" s="540"/>
    </row>
    <row r="26" spans="1:23" s="541" customFormat="1" hidden="1">
      <c r="A26" s="542" t="s">
        <v>431</v>
      </c>
      <c r="B26" s="542">
        <f>IF((ASIN(C26))/E4&gt;0,(ASIN(C26))/E4,0)</f>
        <v>27.012994489840402</v>
      </c>
      <c r="C26" s="542">
        <f>IF(B22&gt;0,COS(B22*E4)*COS(B23*E4-C11*E4),0)</f>
        <v>0.45419221055641296</v>
      </c>
      <c r="D26" s="542">
        <f>MAX($E$23*C26,0)</f>
        <v>462.96349116844272</v>
      </c>
      <c r="E26" s="542">
        <f>$G$23/2</f>
        <v>54.301441288722025</v>
      </c>
      <c r="F26" s="542">
        <f>IF(C16=1,E26,D26+E26)</f>
        <v>517.26493245716472</v>
      </c>
      <c r="G26" s="542">
        <f>D13*C13</f>
        <v>2.0000000000000004E-2</v>
      </c>
      <c r="H26" s="542">
        <f t="shared" si="0"/>
        <v>10.345298649143297</v>
      </c>
      <c r="I26" s="542">
        <f>H26*C15</f>
        <v>7.7589739868574732</v>
      </c>
      <c r="J26" s="542"/>
      <c r="K26" s="546"/>
      <c r="L26" s="546"/>
      <c r="M26" s="542"/>
      <c r="N26" s="542"/>
      <c r="O26" s="547"/>
      <c r="P26" s="540"/>
      <c r="Q26" s="540"/>
      <c r="R26" s="540"/>
      <c r="S26" s="540"/>
      <c r="T26" s="540"/>
      <c r="U26" s="540"/>
      <c r="V26" s="540"/>
      <c r="W26" s="540"/>
    </row>
    <row r="27" spans="1:23" s="541" customFormat="1" hidden="1">
      <c r="A27" s="542" t="s">
        <v>432</v>
      </c>
      <c r="B27" s="542">
        <f>IF((ASIN(C27))/E4&gt;0,(ASIN(C27))/E4,0)</f>
        <v>0</v>
      </c>
      <c r="C27" s="542">
        <f>IF(B22&gt;0,COS($B$22*$E$4)*COS($B$23*$E$4-D11*$E$4),0)</f>
        <v>-0.15483680831107949</v>
      </c>
      <c r="D27" s="542">
        <f>MAX($E$23*C27,0)</f>
        <v>0</v>
      </c>
      <c r="E27" s="542">
        <f>$G$23/2</f>
        <v>54.301441288722025</v>
      </c>
      <c r="F27" s="542">
        <f>IF(D16=1,E27,D27+E27)</f>
        <v>54.301441288722025</v>
      </c>
      <c r="G27" s="542">
        <f>B13*C13</f>
        <v>2.2000000000000002E-2</v>
      </c>
      <c r="H27" s="542">
        <f t="shared" si="0"/>
        <v>1.1946317083518847</v>
      </c>
      <c r="I27" s="542">
        <f>H27*D15</f>
        <v>0.89597378126391347</v>
      </c>
      <c r="J27" s="542"/>
      <c r="K27" s="546"/>
      <c r="L27" s="546"/>
      <c r="M27" s="542"/>
      <c r="N27" s="542"/>
      <c r="O27" s="547"/>
      <c r="P27" s="540"/>
      <c r="Q27" s="540"/>
      <c r="R27" s="540"/>
      <c r="S27" s="540"/>
      <c r="T27" s="540"/>
      <c r="U27" s="540"/>
      <c r="V27" s="540"/>
      <c r="W27" s="540"/>
    </row>
    <row r="28" spans="1:23" s="541" customFormat="1" hidden="1">
      <c r="A28" s="542" t="s">
        <v>433</v>
      </c>
      <c r="B28" s="542">
        <f>IF((ASIN(C28))/E4&gt;0,(ASIN(C28))/E4,0)</f>
        <v>0</v>
      </c>
      <c r="C28" s="542">
        <f>IF(B22&gt;0,COS($B$22*$E$4)*COS($B$23*$E$4-E11*$E$4),0)</f>
        <v>-0.45419179968623696</v>
      </c>
      <c r="D28" s="542">
        <f>MAX($E$23*C28,0)</f>
        <v>0</v>
      </c>
      <c r="E28" s="542">
        <f>$G$23/2</f>
        <v>54.301441288722025</v>
      </c>
      <c r="F28" s="542">
        <f>IF(E16=1,E28,D28+E28)</f>
        <v>54.301441288722025</v>
      </c>
      <c r="G28" s="542">
        <f>D13*C13</f>
        <v>2.0000000000000004E-2</v>
      </c>
      <c r="H28" s="542">
        <f t="shared" si="0"/>
        <v>1.0860288257744406</v>
      </c>
      <c r="I28" s="542">
        <f>H28*E15</f>
        <v>0.81452161933083045</v>
      </c>
      <c r="J28" s="542"/>
      <c r="K28" s="546"/>
      <c r="L28" s="546"/>
      <c r="M28" s="542"/>
      <c r="N28" s="542"/>
      <c r="O28" s="547"/>
      <c r="P28" s="540"/>
      <c r="Q28" s="540"/>
      <c r="R28" s="540"/>
      <c r="S28" s="540"/>
      <c r="T28" s="540"/>
      <c r="U28" s="540"/>
      <c r="V28" s="540"/>
      <c r="W28" s="540"/>
    </row>
    <row r="29" spans="1:23" s="541" customFormat="1" hidden="1">
      <c r="A29" s="542" t="s">
        <v>434</v>
      </c>
      <c r="B29" s="542">
        <f>IF((ASIN(C29))/E4&gt;0,(ASIN(C29))/E4,0)</f>
        <v>8.9072694217037895</v>
      </c>
      <c r="C29" s="542">
        <f>IF(B22&gt;0,COS($B$22*$E$4)*COS($B$23*$E$4-F11*$E$4),0)</f>
        <v>0.15483560307235586</v>
      </c>
      <c r="D29" s="542">
        <f>IF(B22&gt;0,E23*SIN(B22*E4),0)</f>
        <v>894.28889403256426</v>
      </c>
      <c r="E29" s="542">
        <f>IF(B22&gt;0,1/2*$E$3*$C$22*((1-$B$8^(1/$C$22))/(1-1.4*LN($B$8))),0)</f>
        <v>108.60288257744405</v>
      </c>
      <c r="F29" s="542">
        <f>IF(F16=1,E29,D29+E29)</f>
        <v>1002.8917766100083</v>
      </c>
      <c r="G29" s="542">
        <f>B13*D13</f>
        <v>4.4000000000000004E-2</v>
      </c>
      <c r="H29" s="542">
        <f t="shared" si="0"/>
        <v>44.127238170840371</v>
      </c>
      <c r="I29" s="542">
        <f>H29*F15</f>
        <v>33.095428628130279</v>
      </c>
      <c r="J29" s="542"/>
      <c r="K29" s="546"/>
      <c r="L29" s="546"/>
      <c r="M29" s="542"/>
      <c r="N29" s="542"/>
      <c r="O29" s="547"/>
      <c r="P29" s="540"/>
      <c r="Q29" s="540"/>
      <c r="R29" s="540"/>
      <c r="S29" s="540"/>
      <c r="T29" s="540"/>
      <c r="U29" s="540"/>
      <c r="V29" s="540"/>
      <c r="W29" s="540"/>
    </row>
    <row r="30" spans="1:23" s="541" customFormat="1" hidden="1">
      <c r="A30" s="542" t="s">
        <v>435</v>
      </c>
      <c r="B30" s="542">
        <f>IF((ASIN(C30))/E4&gt;0,(ASIN(C30))/E4,0)</f>
        <v>8.9072694217037895</v>
      </c>
      <c r="C30" s="542">
        <f>IF(B22&gt;0,COS($B$22*$E$4)*COS($B$23*$E$4-G11*$E$4),0)</f>
        <v>0.15483560307235586</v>
      </c>
      <c r="D30" s="542">
        <v>0</v>
      </c>
      <c r="E30" s="542">
        <v>0</v>
      </c>
      <c r="F30" s="542">
        <f>IF(G16=1,E30,D30+E30)</f>
        <v>0</v>
      </c>
      <c r="G30" s="542">
        <f>B13*D13</f>
        <v>4.4000000000000004E-2</v>
      </c>
      <c r="H30" s="542">
        <f t="shared" si="0"/>
        <v>0</v>
      </c>
      <c r="I30" s="542">
        <f>G15*H30</f>
        <v>0</v>
      </c>
      <c r="J30" s="542"/>
      <c r="K30" s="546"/>
      <c r="L30" s="546"/>
      <c r="M30" s="542"/>
      <c r="N30" s="542"/>
      <c r="O30" s="547"/>
      <c r="P30" s="540"/>
      <c r="Q30" s="540"/>
      <c r="R30" s="540"/>
      <c r="S30" s="540"/>
      <c r="T30" s="540"/>
      <c r="U30" s="540"/>
      <c r="V30" s="540"/>
      <c r="W30" s="540"/>
    </row>
    <row r="31" spans="1:23" s="541" customFormat="1" ht="15.6" hidden="1">
      <c r="A31" s="542"/>
      <c r="B31" s="542"/>
      <c r="C31" s="542"/>
      <c r="D31" s="542"/>
      <c r="E31" s="542" t="s">
        <v>505</v>
      </c>
      <c r="F31" s="542" t="s">
        <v>505</v>
      </c>
      <c r="G31" s="542" t="s">
        <v>506</v>
      </c>
      <c r="H31" s="542" t="s">
        <v>436</v>
      </c>
      <c r="I31" s="542" t="s">
        <v>436</v>
      </c>
      <c r="J31" s="542"/>
      <c r="K31" s="542"/>
      <c r="L31" s="542"/>
      <c r="M31" s="542"/>
      <c r="N31" s="542"/>
      <c r="O31" s="547"/>
      <c r="P31" s="540"/>
      <c r="Q31" s="540"/>
      <c r="R31" s="540"/>
      <c r="S31" s="540"/>
      <c r="T31" s="540"/>
      <c r="U31" s="540"/>
      <c r="V31" s="540"/>
      <c r="W31" s="540"/>
    </row>
    <row r="32" spans="1:23" s="541" customFormat="1" ht="14.4" hidden="1">
      <c r="A32" s="542"/>
      <c r="B32" s="542" t="s">
        <v>437</v>
      </c>
      <c r="C32" s="542"/>
      <c r="D32" s="542"/>
      <c r="E32" s="542"/>
      <c r="F32" s="542"/>
      <c r="G32" s="542"/>
      <c r="H32" s="542">
        <f>SUM(H25:H30)</f>
        <v>61.419995808540861</v>
      </c>
      <c r="I32" s="548">
        <f>SUM(I25:I30)</f>
        <v>46.064996856405649</v>
      </c>
      <c r="J32" s="542"/>
      <c r="K32" s="542"/>
      <c r="L32" s="542"/>
      <c r="M32" s="542"/>
      <c r="N32" s="542"/>
      <c r="O32" s="547"/>
      <c r="P32" s="540"/>
      <c r="Q32" s="540"/>
      <c r="R32" s="540"/>
      <c r="S32" s="540"/>
      <c r="T32" s="540"/>
      <c r="U32" s="540"/>
      <c r="V32" s="540"/>
      <c r="W32" s="540"/>
    </row>
    <row r="33" spans="1:37" s="541" customFormat="1" hidden="1">
      <c r="A33" s="542"/>
      <c r="B33" s="542"/>
      <c r="C33" s="542"/>
      <c r="D33" s="542"/>
      <c r="E33" s="542"/>
      <c r="F33" s="542"/>
      <c r="G33" s="542"/>
      <c r="H33" s="542"/>
      <c r="I33" s="542"/>
      <c r="J33" s="542"/>
      <c r="K33" s="542"/>
      <c r="L33" s="542"/>
      <c r="M33" s="542"/>
      <c r="N33" s="549"/>
      <c r="O33" s="547"/>
      <c r="P33" s="540"/>
      <c r="Q33" s="540"/>
      <c r="R33" s="540"/>
      <c r="S33" s="540"/>
      <c r="T33" s="540"/>
      <c r="U33" s="540"/>
      <c r="V33" s="540"/>
      <c r="W33" s="540"/>
    </row>
    <row r="34" spans="1:37" s="541" customFormat="1" hidden="1">
      <c r="A34" s="542" t="s">
        <v>438</v>
      </c>
      <c r="B34" s="542"/>
      <c r="C34" s="542"/>
      <c r="D34" s="542"/>
      <c r="E34" s="542"/>
      <c r="F34" s="542"/>
      <c r="G34" s="542"/>
      <c r="H34" s="550"/>
      <c r="I34" s="542"/>
      <c r="J34" s="542"/>
      <c r="K34" s="542"/>
      <c r="L34" s="542"/>
      <c r="M34" s="542"/>
      <c r="N34" s="542"/>
      <c r="O34" s="547"/>
      <c r="P34" s="540"/>
      <c r="Q34" s="540"/>
      <c r="R34" s="540"/>
      <c r="S34" s="540"/>
      <c r="T34" s="540"/>
      <c r="U34" s="540"/>
      <c r="V34" s="540"/>
      <c r="W34" s="540"/>
    </row>
    <row r="35" spans="1:37" s="541" customFormat="1" ht="39.6" hidden="1">
      <c r="A35" s="550" t="s">
        <v>391</v>
      </c>
      <c r="B35" s="542"/>
      <c r="C35" s="550"/>
      <c r="D35" s="551" t="s">
        <v>439</v>
      </c>
      <c r="E35" s="552" t="s">
        <v>440</v>
      </c>
      <c r="F35" s="552" t="s">
        <v>441</v>
      </c>
      <c r="G35" s="552" t="s">
        <v>442</v>
      </c>
      <c r="H35" s="553" t="s">
        <v>443</v>
      </c>
      <c r="I35" s="553" t="s">
        <v>444</v>
      </c>
      <c r="J35" s="552" t="s">
        <v>445</v>
      </c>
      <c r="K35" s="552" t="s">
        <v>446</v>
      </c>
      <c r="L35" s="552" t="s">
        <v>447</v>
      </c>
      <c r="M35" s="552" t="s">
        <v>448</v>
      </c>
      <c r="N35" s="552" t="s">
        <v>449</v>
      </c>
      <c r="O35" s="547"/>
      <c r="P35" s="540"/>
      <c r="Q35" s="554"/>
      <c r="R35" s="554"/>
      <c r="S35" s="554"/>
      <c r="T35" s="554"/>
      <c r="U35" s="554"/>
      <c r="V35" s="554"/>
      <c r="W35" s="554"/>
      <c r="X35" s="555"/>
      <c r="Y35" s="555"/>
      <c r="Z35" s="555"/>
      <c r="AA35" s="555"/>
      <c r="AB35" s="555"/>
      <c r="AC35" s="555"/>
      <c r="AD35" s="555"/>
      <c r="AE35" s="555"/>
      <c r="AF35" s="555"/>
    </row>
    <row r="36" spans="1:37" s="541" customFormat="1" ht="23.4" hidden="1">
      <c r="A36" s="556"/>
      <c r="B36" s="557" t="s">
        <v>392</v>
      </c>
      <c r="C36" s="558" t="s">
        <v>507</v>
      </c>
      <c r="D36" s="559"/>
      <c r="E36" s="560"/>
      <c r="F36" s="560" t="s">
        <v>505</v>
      </c>
      <c r="G36" s="560" t="s">
        <v>506</v>
      </c>
      <c r="H36" s="561" t="s">
        <v>508</v>
      </c>
      <c r="I36" s="561" t="s">
        <v>508</v>
      </c>
      <c r="J36" s="560"/>
      <c r="K36" s="560" t="s">
        <v>450</v>
      </c>
      <c r="L36" s="560" t="s">
        <v>508</v>
      </c>
      <c r="M36" s="560" t="s">
        <v>451</v>
      </c>
      <c r="N36" s="560" t="s">
        <v>436</v>
      </c>
      <c r="O36" s="547"/>
      <c r="P36" s="540"/>
      <c r="Q36" s="540"/>
      <c r="R36" s="540"/>
      <c r="S36" s="540"/>
      <c r="T36" s="540"/>
      <c r="U36" s="540"/>
      <c r="V36" s="540"/>
      <c r="W36" s="540"/>
    </row>
    <row r="37" spans="1:37" s="541" customFormat="1" ht="19.95" hidden="1" customHeight="1">
      <c r="A37" s="557"/>
      <c r="B37" s="562" t="s">
        <v>399</v>
      </c>
      <c r="C37" s="563" t="s">
        <v>400</v>
      </c>
      <c r="D37" s="564" t="e">
        <f>#REF!</f>
        <v>#REF!</v>
      </c>
      <c r="E37" s="542" t="s">
        <v>452</v>
      </c>
      <c r="F37" s="542">
        <f>F29</f>
        <v>1002.8917766100083</v>
      </c>
      <c r="G37" s="542">
        <f>G29</f>
        <v>4.4000000000000004E-2</v>
      </c>
      <c r="H37" s="565" t="e">
        <f>#REF!</f>
        <v>#REF!</v>
      </c>
      <c r="I37" s="565" t="e">
        <f>#REF!</f>
        <v>#REF!</v>
      </c>
      <c r="J37" s="542">
        <f>F15</f>
        <v>0.75</v>
      </c>
      <c r="K37" s="549" t="e">
        <f t="shared" ref="K37:K42" si="1">F37*J37/H37</f>
        <v>#REF!</v>
      </c>
      <c r="L37" s="549" t="e">
        <f>1/(1/H37+#REF!/#REF!+1/I37)</f>
        <v>#REF!</v>
      </c>
      <c r="M37" s="549" t="e">
        <f t="shared" ref="M37:M42" si="2">L37*G37</f>
        <v>#REF!</v>
      </c>
      <c r="N37" s="549" t="e">
        <f t="shared" ref="N37:N42" si="3">L37*G37*K37</f>
        <v>#REF!</v>
      </c>
      <c r="O37" s="547"/>
      <c r="P37" s="540"/>
      <c r="Q37" s="540"/>
      <c r="R37" s="540"/>
      <c r="S37" s="540"/>
      <c r="T37" s="540"/>
      <c r="U37" s="540"/>
      <c r="V37" s="540"/>
      <c r="W37" s="540"/>
    </row>
    <row r="38" spans="1:37" s="541" customFormat="1" ht="19.95" hidden="1" customHeight="1">
      <c r="A38" s="557" t="s">
        <v>453</v>
      </c>
      <c r="B38" s="562" t="s">
        <v>454</v>
      </c>
      <c r="C38" s="563" t="s">
        <v>400</v>
      </c>
      <c r="D38" s="564" t="e">
        <f>#REF!</f>
        <v>#REF!</v>
      </c>
      <c r="E38" s="542" t="s">
        <v>455</v>
      </c>
      <c r="F38" s="542">
        <f>F25</f>
        <v>212.12720247413034</v>
      </c>
      <c r="G38" s="542">
        <f>G25</f>
        <v>2.2000000000000002E-2</v>
      </c>
      <c r="H38" s="565" t="e">
        <f>#REF!</f>
        <v>#REF!</v>
      </c>
      <c r="I38" s="565" t="e">
        <f>#REF!</f>
        <v>#REF!</v>
      </c>
      <c r="J38" s="542">
        <f>B15</f>
        <v>0.75</v>
      </c>
      <c r="K38" s="549" t="e">
        <f t="shared" si="1"/>
        <v>#REF!</v>
      </c>
      <c r="L38" s="549" t="e">
        <f>1/(1/H38+#REF!/#REF!+1/I38)</f>
        <v>#REF!</v>
      </c>
      <c r="M38" s="549" t="e">
        <f t="shared" si="2"/>
        <v>#REF!</v>
      </c>
      <c r="N38" s="549" t="e">
        <f t="shared" si="3"/>
        <v>#REF!</v>
      </c>
      <c r="O38" s="547"/>
    </row>
    <row r="39" spans="1:37" s="541" customFormat="1" ht="19.95" hidden="1" customHeight="1">
      <c r="A39" s="557"/>
      <c r="B39" s="562" t="s">
        <v>456</v>
      </c>
      <c r="C39" s="563" t="s">
        <v>402</v>
      </c>
      <c r="D39" s="564" t="e">
        <f>#REF!</f>
        <v>#REF!</v>
      </c>
      <c r="E39" s="542" t="s">
        <v>457</v>
      </c>
      <c r="F39" s="542">
        <f>F27</f>
        <v>54.301441288722025</v>
      </c>
      <c r="G39" s="542">
        <f>G27</f>
        <v>2.2000000000000002E-2</v>
      </c>
      <c r="H39" s="565" t="e">
        <f>#REF!</f>
        <v>#REF!</v>
      </c>
      <c r="I39" s="565" t="e">
        <f>#REF!</f>
        <v>#REF!</v>
      </c>
      <c r="J39" s="542">
        <f>D15</f>
        <v>0.75</v>
      </c>
      <c r="K39" s="549" t="e">
        <f t="shared" si="1"/>
        <v>#REF!</v>
      </c>
      <c r="L39" s="549" t="e">
        <f>1/(1/H39+#REF!/#REF!+1/I39)</f>
        <v>#REF!</v>
      </c>
      <c r="M39" s="549" t="e">
        <f t="shared" si="2"/>
        <v>#REF!</v>
      </c>
      <c r="N39" s="549" t="e">
        <f t="shared" si="3"/>
        <v>#REF!</v>
      </c>
      <c r="O39" s="547"/>
    </row>
    <row r="40" spans="1:37" s="541" customFormat="1" ht="19.95" hidden="1" customHeight="1">
      <c r="A40" s="557"/>
      <c r="B40" s="562" t="s">
        <v>403</v>
      </c>
      <c r="C40" s="563" t="s">
        <v>404</v>
      </c>
      <c r="D40" s="564" t="e">
        <f>#REF!</f>
        <v>#REF!</v>
      </c>
      <c r="E40" s="542" t="s">
        <v>395</v>
      </c>
      <c r="F40" s="542">
        <f>F26</f>
        <v>517.26493245716472</v>
      </c>
      <c r="G40" s="542">
        <f>G26</f>
        <v>2.0000000000000004E-2</v>
      </c>
      <c r="H40" s="565" t="e">
        <f>#REF!</f>
        <v>#REF!</v>
      </c>
      <c r="I40" s="565" t="e">
        <f>#REF!</f>
        <v>#REF!</v>
      </c>
      <c r="J40" s="542">
        <f>C15</f>
        <v>0.75</v>
      </c>
      <c r="K40" s="549" t="e">
        <f t="shared" si="1"/>
        <v>#REF!</v>
      </c>
      <c r="L40" s="549" t="e">
        <f>1/(1/H40+#REF!/#REF!+1/I40)</f>
        <v>#REF!</v>
      </c>
      <c r="M40" s="549" t="e">
        <f t="shared" si="2"/>
        <v>#REF!</v>
      </c>
      <c r="N40" s="549" t="e">
        <f t="shared" si="3"/>
        <v>#REF!</v>
      </c>
      <c r="O40" s="547"/>
    </row>
    <row r="41" spans="1:37" s="541" customFormat="1" ht="19.95" hidden="1" customHeight="1">
      <c r="A41" s="557" t="s">
        <v>458</v>
      </c>
      <c r="B41" s="562" t="s">
        <v>459</v>
      </c>
      <c r="C41" s="563"/>
      <c r="D41" s="566"/>
      <c r="E41" s="542" t="s">
        <v>397</v>
      </c>
      <c r="F41" s="542">
        <f>F28</f>
        <v>54.301441288722025</v>
      </c>
      <c r="G41" s="542">
        <f>G28</f>
        <v>2.0000000000000004E-2</v>
      </c>
      <c r="H41" s="565" t="e">
        <f>#REF!</f>
        <v>#REF!</v>
      </c>
      <c r="I41" s="565" t="e">
        <f>#REF!</f>
        <v>#REF!</v>
      </c>
      <c r="J41" s="542">
        <f>E15</f>
        <v>0.75</v>
      </c>
      <c r="K41" s="549" t="e">
        <f t="shared" si="1"/>
        <v>#REF!</v>
      </c>
      <c r="L41" s="549" t="e">
        <f>1/(1/H41+#REF!/#REF!+1/I41)</f>
        <v>#REF!</v>
      </c>
      <c r="M41" s="549" t="e">
        <f t="shared" si="2"/>
        <v>#REF!</v>
      </c>
      <c r="N41" s="549" t="e">
        <f t="shared" si="3"/>
        <v>#REF!</v>
      </c>
      <c r="O41" s="547"/>
    </row>
    <row r="42" spans="1:37" s="541" customFormat="1" ht="19.95" hidden="1" customHeight="1">
      <c r="A42" s="557"/>
      <c r="B42" s="562" t="s">
        <v>406</v>
      </c>
      <c r="C42" s="563" t="s">
        <v>407</v>
      </c>
      <c r="D42" s="564"/>
      <c r="E42" s="542" t="s">
        <v>460</v>
      </c>
      <c r="F42" s="542">
        <f>F30</f>
        <v>0</v>
      </c>
      <c r="G42" s="542">
        <f>G30</f>
        <v>4.4000000000000004E-2</v>
      </c>
      <c r="H42" s="565" t="e">
        <f>#REF!</f>
        <v>#REF!</v>
      </c>
      <c r="I42" s="565" t="e">
        <f>#REF!</f>
        <v>#REF!</v>
      </c>
      <c r="J42" s="542">
        <f>G15</f>
        <v>0.75</v>
      </c>
      <c r="K42" s="549" t="e">
        <f t="shared" si="1"/>
        <v>#REF!</v>
      </c>
      <c r="L42" s="549" t="e">
        <f>1/(1/H42+#REF!/#REF!+1/I42)</f>
        <v>#REF!</v>
      </c>
      <c r="M42" s="549" t="e">
        <f t="shared" si="2"/>
        <v>#REF!</v>
      </c>
      <c r="N42" s="549" t="e">
        <f t="shared" si="3"/>
        <v>#REF!</v>
      </c>
      <c r="O42" s="547"/>
    </row>
    <row r="43" spans="1:37" s="541" customFormat="1" ht="14.4" hidden="1">
      <c r="A43" s="557"/>
      <c r="B43" s="562" t="s">
        <v>409</v>
      </c>
      <c r="C43" s="563" t="s">
        <v>410</v>
      </c>
      <c r="D43" s="564"/>
      <c r="E43" s="542" t="s">
        <v>461</v>
      </c>
      <c r="F43" s="542"/>
      <c r="G43" s="542">
        <f>SUM(G37:G42)</f>
        <v>0.17200000000000001</v>
      </c>
      <c r="H43" s="550"/>
      <c r="I43" s="542"/>
      <c r="J43" s="542"/>
      <c r="K43" s="549"/>
      <c r="L43" s="549" t="e">
        <f>SUM(L37:L42)</f>
        <v>#REF!</v>
      </c>
      <c r="M43" s="549" t="e">
        <f>SUM(M37:M42)</f>
        <v>#REF!</v>
      </c>
      <c r="N43" s="549" t="e">
        <f>SUM(N37:N42)</f>
        <v>#REF!</v>
      </c>
      <c r="O43" s="547"/>
    </row>
    <row r="44" spans="1:37" s="541" customFormat="1" hidden="1">
      <c r="A44" s="542"/>
      <c r="B44" s="542"/>
      <c r="C44" s="542"/>
      <c r="D44" s="567"/>
      <c r="E44" s="542"/>
      <c r="F44" s="542"/>
      <c r="G44" s="542"/>
      <c r="H44" s="542"/>
      <c r="I44" s="542"/>
      <c r="J44" s="550"/>
      <c r="K44" s="542"/>
      <c r="L44" s="542"/>
      <c r="M44" s="542"/>
      <c r="N44" s="542"/>
      <c r="O44" s="547"/>
    </row>
    <row r="45" spans="1:37" s="450" customFormat="1">
      <c r="A45" s="453"/>
      <c r="B45" s="453"/>
      <c r="C45" s="453"/>
      <c r="D45" s="454"/>
      <c r="E45" s="453"/>
      <c r="F45" s="455"/>
      <c r="G45" s="455"/>
      <c r="H45" s="456"/>
      <c r="I45" s="456"/>
      <c r="J45" s="456"/>
      <c r="K45" s="456"/>
      <c r="L45" s="456"/>
      <c r="M45" s="456"/>
      <c r="N45" s="456"/>
      <c r="O45" s="452"/>
      <c r="P45" s="449"/>
      <c r="Q45" s="449"/>
      <c r="R45" s="449"/>
      <c r="S45" s="449"/>
      <c r="T45" s="449"/>
      <c r="U45" s="449"/>
      <c r="V45" s="449"/>
      <c r="W45" s="449"/>
      <c r="X45" s="449"/>
      <c r="Y45" s="449"/>
      <c r="Z45" s="449"/>
      <c r="AA45" s="449"/>
      <c r="AB45" s="449"/>
      <c r="AC45" s="449"/>
      <c r="AD45" s="449"/>
      <c r="AE45" s="449"/>
      <c r="AF45" s="449"/>
      <c r="AG45" s="449"/>
      <c r="AH45" s="449"/>
      <c r="AI45" s="449"/>
      <c r="AJ45" s="449"/>
      <c r="AK45" s="449"/>
    </row>
    <row r="46" spans="1:37">
      <c r="A46" s="455"/>
      <c r="B46" s="455"/>
      <c r="C46" s="455"/>
      <c r="D46" s="457"/>
      <c r="E46" s="455"/>
      <c r="F46" s="455"/>
      <c r="G46" s="455"/>
      <c r="H46" s="458"/>
      <c r="I46" s="458"/>
      <c r="J46" s="458"/>
      <c r="K46" s="458"/>
      <c r="L46" s="458"/>
      <c r="M46" s="459"/>
      <c r="N46" s="459"/>
      <c r="O46" s="460"/>
    </row>
    <row r="47" spans="1:37">
      <c r="A47" s="455"/>
      <c r="B47" s="455"/>
      <c r="C47" s="455"/>
      <c r="D47" s="457"/>
      <c r="E47" s="455"/>
      <c r="F47" s="455"/>
      <c r="G47" s="455"/>
      <c r="H47" s="455"/>
      <c r="I47" s="455"/>
      <c r="J47" s="455"/>
      <c r="K47" s="455"/>
      <c r="L47" s="455"/>
      <c r="M47" s="460"/>
      <c r="N47" s="460"/>
      <c r="O47" s="460"/>
    </row>
    <row r="48" spans="1:37">
      <c r="A48" s="448"/>
      <c r="B48" s="448"/>
      <c r="C48" s="448"/>
      <c r="D48" s="461"/>
      <c r="E48" s="448"/>
      <c r="F48" s="448"/>
      <c r="G48" s="448"/>
      <c r="H48" s="448"/>
      <c r="I48" s="448"/>
      <c r="J48" s="461"/>
      <c r="K48" s="458"/>
      <c r="L48" s="458"/>
      <c r="M48" s="459"/>
      <c r="N48" s="459"/>
      <c r="O48" s="459"/>
    </row>
    <row r="49" spans="1:15">
      <c r="A49" s="448"/>
      <c r="B49" s="448"/>
      <c r="C49" s="448"/>
      <c r="D49" s="461"/>
      <c r="E49" s="448"/>
      <c r="F49" s="448"/>
      <c r="G49" s="448"/>
      <c r="H49" s="448"/>
      <c r="I49" s="462"/>
      <c r="J49" s="462"/>
      <c r="K49" s="463"/>
      <c r="L49" s="463"/>
      <c r="M49" s="464"/>
      <c r="N49" s="465"/>
      <c r="O49" s="464"/>
    </row>
    <row r="50" spans="1:15">
      <c r="A50" s="466"/>
      <c r="B50" s="466"/>
      <c r="C50" s="466"/>
      <c r="D50" s="467"/>
      <c r="E50" s="466"/>
      <c r="F50" s="466"/>
      <c r="G50" s="466"/>
      <c r="H50" s="466"/>
      <c r="I50" s="468"/>
      <c r="J50" s="468"/>
      <c r="K50" s="469"/>
      <c r="L50" s="469"/>
      <c r="M50" s="470"/>
      <c r="N50" s="471"/>
      <c r="O50" s="470"/>
    </row>
    <row r="51" spans="1:15">
      <c r="A51" s="466"/>
      <c r="B51" s="466"/>
      <c r="C51" s="466"/>
      <c r="D51" s="467"/>
      <c r="E51" s="466"/>
      <c r="F51" s="466"/>
      <c r="G51" s="466"/>
      <c r="H51" s="466"/>
      <c r="I51" s="468"/>
      <c r="J51" s="468"/>
      <c r="K51" s="469"/>
      <c r="L51" s="469"/>
      <c r="M51" s="470"/>
      <c r="N51" s="470"/>
      <c r="O51" s="470"/>
    </row>
    <row r="52" spans="1:15">
      <c r="A52" s="466"/>
      <c r="B52" s="466"/>
      <c r="C52" s="466"/>
      <c r="D52" s="467"/>
      <c r="E52" s="466"/>
      <c r="F52" s="466"/>
      <c r="G52" s="466"/>
      <c r="H52" s="466"/>
      <c r="I52" s="468"/>
      <c r="J52" s="468"/>
      <c r="K52" s="469"/>
      <c r="L52" s="469"/>
      <c r="M52" s="470"/>
      <c r="N52" s="470"/>
      <c r="O52" s="470"/>
    </row>
    <row r="53" spans="1:15">
      <c r="A53" s="451"/>
      <c r="B53" s="451"/>
      <c r="C53" s="451"/>
      <c r="D53" s="472"/>
      <c r="E53" s="451"/>
      <c r="F53" s="451"/>
      <c r="G53" s="451"/>
      <c r="H53" s="451"/>
      <c r="I53" s="451"/>
      <c r="J53" s="451"/>
    </row>
    <row r="54" spans="1:15">
      <c r="A54" s="451"/>
      <c r="B54" s="451"/>
      <c r="C54" s="451"/>
      <c r="D54" s="472"/>
      <c r="E54" s="451"/>
      <c r="F54" s="451"/>
      <c r="G54" s="451"/>
      <c r="H54" s="451"/>
      <c r="I54" s="451"/>
      <c r="J54" s="451"/>
    </row>
    <row r="55" spans="1:15">
      <c r="D55" s="473"/>
    </row>
    <row r="56" spans="1:15">
      <c r="D56" s="473"/>
    </row>
    <row r="57" spans="1:15">
      <c r="D57" s="473"/>
    </row>
    <row r="58" spans="1:15">
      <c r="D58" s="473"/>
    </row>
    <row r="59" spans="1:15">
      <c r="D59" s="473"/>
    </row>
    <row r="60" spans="1:15">
      <c r="D60" s="473"/>
    </row>
    <row r="61" spans="1:15">
      <c r="D61" s="473"/>
    </row>
  </sheetData>
  <sheetProtection algorithmName="SHA-512" hashValue="F5tEpiA4bzvI8DPnc6IfRp9xXd4un7zf/s8tbu6WqXC9KOfJ93ivsWZ1B1FIlYJOAW5BGgYDwN0Z8WwaReByLg==" saltValue="kYoggMCiPH2oouX93KJL4w==" spinCount="100000" sheet="1" selectLockedCells="1"/>
  <phoneticPr fontId="7"/>
  <printOptions gridLinesSet="0"/>
  <pageMargins left="0.26" right="0.2" top="0.64" bottom="0.68" header="0.15" footer="0.51"/>
  <pageSetup paperSize="9" orientation="landscape" horizontalDpi="360" verticalDpi="360" r:id="rId1"/>
  <headerFooter alignWithMargins="0">
    <oddHeader>&amp;A</oddHead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00FF00"/>
  </sheetPr>
  <dimension ref="A1:J41"/>
  <sheetViews>
    <sheetView zoomScale="115" zoomScaleNormal="115" workbookViewId="0"/>
  </sheetViews>
  <sheetFormatPr defaultRowHeight="13.2"/>
  <cols>
    <col min="1" max="4" width="13.6640625" customWidth="1"/>
    <col min="5" max="5" width="14.6640625" customWidth="1"/>
    <col min="6" max="9" width="13.6640625" customWidth="1"/>
  </cols>
  <sheetData>
    <row r="1" spans="1:10" ht="21">
      <c r="A1" s="10" t="s">
        <v>194</v>
      </c>
    </row>
    <row r="2" spans="1:10" ht="13.8" thickBot="1"/>
    <row r="3" spans="1:10" ht="13.8" thickBot="1">
      <c r="A3" s="23" t="s">
        <v>0</v>
      </c>
      <c r="B3" s="24" t="s">
        <v>1</v>
      </c>
      <c r="C3" s="24" t="s">
        <v>2</v>
      </c>
      <c r="D3" s="25" t="s">
        <v>3</v>
      </c>
      <c r="E3" s="26" t="s">
        <v>4</v>
      </c>
      <c r="F3" s="27"/>
      <c r="G3" s="27"/>
    </row>
    <row r="4" spans="1:10">
      <c r="A4" s="27">
        <v>8</v>
      </c>
      <c r="B4" s="27">
        <v>25</v>
      </c>
      <c r="C4" s="28">
        <v>6</v>
      </c>
      <c r="D4" s="27">
        <v>1</v>
      </c>
      <c r="E4" s="27">
        <v>5</v>
      </c>
      <c r="F4" s="27"/>
      <c r="G4" s="27"/>
    </row>
    <row r="5" spans="1:10" ht="13.8" thickBot="1">
      <c r="A5" s="27"/>
      <c r="B5" s="27"/>
      <c r="C5" s="27"/>
      <c r="D5" s="27"/>
      <c r="E5" s="27"/>
      <c r="F5" s="27"/>
      <c r="G5" s="27"/>
    </row>
    <row r="6" spans="1:10" ht="16.2" thickBot="1">
      <c r="A6" s="29" t="s">
        <v>5</v>
      </c>
      <c r="B6" s="30" t="s">
        <v>6</v>
      </c>
      <c r="C6" s="30" t="s">
        <v>7</v>
      </c>
      <c r="D6" s="30" t="s">
        <v>8</v>
      </c>
      <c r="E6" s="30" t="s">
        <v>9</v>
      </c>
      <c r="F6" s="30" t="s">
        <v>10</v>
      </c>
      <c r="G6" s="529" t="s">
        <v>11</v>
      </c>
      <c r="H6" s="530" t="s">
        <v>193</v>
      </c>
    </row>
    <row r="7" spans="1:10">
      <c r="A7" s="33">
        <v>1</v>
      </c>
      <c r="B7" s="33">
        <v>8</v>
      </c>
      <c r="C7" s="33">
        <f>G17*G18*(0.54*2.51*(ABS(B34-$B$41)/MIN(G17,G18))^0.25+G22*0.0000000567*((B34+273.15)^2+($B$41+273.15)^2)*((B34+273.15)+($B$41+273.15)))</f>
        <v>2.5574737155922236</v>
      </c>
      <c r="D7" s="34">
        <v>7</v>
      </c>
      <c r="E7" s="34">
        <f>G25</f>
        <v>20</v>
      </c>
      <c r="F7" s="33">
        <v>8</v>
      </c>
      <c r="G7" s="35">
        <f>G26</f>
        <v>35</v>
      </c>
      <c r="H7" s="35"/>
      <c r="I7" s="35"/>
      <c r="J7" s="35"/>
    </row>
    <row r="8" spans="1:10">
      <c r="A8" s="33">
        <v>2</v>
      </c>
      <c r="B8" s="33">
        <v>8</v>
      </c>
      <c r="C8" s="33">
        <f>G17*G19*(0.56*2.51*(ABS(B35-$B$41)/G19)^0.25+G22*0.0000000567*((B35+273.15)^2+($B$41+273.15)^2)*((B35+273.15)+($B$41+273.15)))</f>
        <v>1.8063471540399048</v>
      </c>
      <c r="D8" s="37">
        <v>1</v>
      </c>
      <c r="E8" s="37">
        <f>H8*G17*G18*$G$27</f>
        <v>117.62400000000001</v>
      </c>
      <c r="F8" s="37"/>
      <c r="G8" s="33"/>
      <c r="H8" s="35">
        <v>980.2</v>
      </c>
      <c r="I8" s="35" t="s">
        <v>499</v>
      </c>
      <c r="J8" s="35"/>
    </row>
    <row r="9" spans="1:10">
      <c r="A9" s="33">
        <v>3</v>
      </c>
      <c r="B9" s="33">
        <v>8</v>
      </c>
      <c r="C9" s="33">
        <f>G18*G19*(0.56*2.51*(ABS(B36-$B$41)/G19)^0.25+G22*0.0000000567*((B36+273.15)^2+($B$41+273.15)^2)*((B36+273.15)+($B$41+273.15)))</f>
        <v>1.1612023004035914</v>
      </c>
      <c r="D9" s="37">
        <v>2</v>
      </c>
      <c r="E9" s="37">
        <f>G17*G19*H9*G27</f>
        <v>23.552999999999997</v>
      </c>
      <c r="F9" s="37"/>
      <c r="G9" s="37"/>
      <c r="H9" s="35">
        <v>261.7</v>
      </c>
      <c r="I9" s="35" t="s">
        <v>500</v>
      </c>
      <c r="J9" s="35"/>
    </row>
    <row r="10" spans="1:10">
      <c r="A10" s="35">
        <v>4</v>
      </c>
      <c r="B10" s="33">
        <v>8</v>
      </c>
      <c r="C10" s="33">
        <f>G17*G19*(0.56*2.51*(ABS(B37-$B$41)/G19)^0.25+G22*0.0000000567*((B37+273.15)^2+($B$41+273.15)^2)*((B37+273.15)+($B$41+273.15)))</f>
        <v>1.7429672784704002</v>
      </c>
      <c r="D10" s="34">
        <v>3</v>
      </c>
      <c r="E10" s="37">
        <f>H10*G18*G19*G27</f>
        <v>4.7459999999999996</v>
      </c>
      <c r="F10" s="37"/>
      <c r="G10" s="35"/>
      <c r="H10" s="35">
        <v>79.099999999999994</v>
      </c>
      <c r="I10" s="35" t="s">
        <v>501</v>
      </c>
    </row>
    <row r="11" spans="1:10">
      <c r="A11" s="35">
        <v>5</v>
      </c>
      <c r="B11" s="33">
        <v>8</v>
      </c>
      <c r="C11" s="33">
        <f>G18*G19*(0.56*2.51*(ABS(B38-$B$41)/G19)^0.25+G22*0.0000000567*((B38+273.15)^2+($B$41+273.15)^2)*((B38+273.15)+($B$41+273.15)))</f>
        <v>1.2549172558537758</v>
      </c>
      <c r="D11" s="34">
        <v>4</v>
      </c>
      <c r="E11" s="37">
        <f>H11*G17*G19*G27</f>
        <v>7.1189999999999989</v>
      </c>
      <c r="F11" s="34"/>
      <c r="G11" s="35"/>
      <c r="H11" s="35">
        <v>79.099999999999994</v>
      </c>
      <c r="I11" s="35" t="s">
        <v>510</v>
      </c>
    </row>
    <row r="12" spans="1:10">
      <c r="A12" s="35">
        <v>6</v>
      </c>
      <c r="B12" s="35">
        <v>8</v>
      </c>
      <c r="C12" s="33">
        <f>G17*G18*(0.27*2.51*(ABS(B39-B41)/MIN(G17,G18))^0.25+G22*0.0000000567*((B39+273.15)^2+(B41+273.15)^2)*((B39+273.15)+(B41+273.15)))</f>
        <v>1.8129242514082839</v>
      </c>
      <c r="D12" s="34">
        <v>5</v>
      </c>
      <c r="E12" s="37">
        <f>H12*G18*G19*G27</f>
        <v>31.397999999999996</v>
      </c>
      <c r="F12" s="34"/>
      <c r="G12" s="35"/>
      <c r="H12" s="35">
        <v>523.29999999999995</v>
      </c>
      <c r="I12" s="35" t="s">
        <v>511</v>
      </c>
    </row>
    <row r="13" spans="1:10">
      <c r="A13" s="35">
        <v>1</v>
      </c>
      <c r="B13" s="35">
        <v>2</v>
      </c>
      <c r="C13" s="37">
        <f xml:space="preserve"> G17* G20* G21/( G18/2+ G19/2)</f>
        <v>0.17142857142857143</v>
      </c>
      <c r="D13" s="37"/>
      <c r="E13" s="37"/>
      <c r="F13" s="34"/>
      <c r="G13" s="33"/>
    </row>
    <row r="14" spans="1:10">
      <c r="A14" s="35">
        <v>1</v>
      </c>
      <c r="B14" s="35">
        <v>3</v>
      </c>
      <c r="C14" s="37">
        <f xml:space="preserve"> G18*G20*G21/(G17/2+G19/2)</f>
        <v>8.8888888888888906E-2</v>
      </c>
      <c r="D14" s="37"/>
      <c r="E14" s="37"/>
      <c r="F14" s="34"/>
      <c r="G14" s="36"/>
    </row>
    <row r="15" spans="1:10">
      <c r="A15" s="35">
        <v>1</v>
      </c>
      <c r="B15" s="35">
        <v>4</v>
      </c>
      <c r="C15" s="37">
        <f>C13</f>
        <v>0.17142857142857143</v>
      </c>
      <c r="D15" s="37"/>
      <c r="E15" s="37"/>
      <c r="F15" s="34"/>
      <c r="G15" s="33"/>
    </row>
    <row r="16" spans="1:10" ht="13.8" thickBot="1">
      <c r="A16" s="35">
        <v>1</v>
      </c>
      <c r="B16" s="35">
        <v>5</v>
      </c>
      <c r="C16" s="37">
        <f>C14</f>
        <v>8.8888888888888906E-2</v>
      </c>
      <c r="D16" s="37"/>
      <c r="E16" s="37"/>
      <c r="F16" s="50" t="s">
        <v>27</v>
      </c>
      <c r="G16" s="34"/>
      <c r="J16" s="36"/>
    </row>
    <row r="17" spans="1:10" ht="15.75" customHeight="1">
      <c r="A17" s="35">
        <v>2</v>
      </c>
      <c r="B17" s="35">
        <v>3</v>
      </c>
      <c r="C17" s="37">
        <f>G19*G20*G21/(G17/2+G18/2)</f>
        <v>0.06</v>
      </c>
      <c r="D17" s="37"/>
      <c r="E17" s="37"/>
      <c r="F17" s="51" t="s">
        <v>28</v>
      </c>
      <c r="G17" s="52">
        <v>0.6</v>
      </c>
      <c r="I17" s="35"/>
    </row>
    <row r="18" spans="1:10" ht="15.75" customHeight="1">
      <c r="A18" s="35">
        <v>3</v>
      </c>
      <c r="B18" s="35">
        <v>4</v>
      </c>
      <c r="C18" s="37">
        <f>C17</f>
        <v>0.06</v>
      </c>
      <c r="D18" s="37"/>
      <c r="E18" s="37"/>
      <c r="F18" s="54" t="s">
        <v>29</v>
      </c>
      <c r="G18" s="55">
        <v>0.4</v>
      </c>
    </row>
    <row r="19" spans="1:10">
      <c r="A19" s="35">
        <v>4</v>
      </c>
      <c r="B19" s="35">
        <v>5</v>
      </c>
      <c r="C19" s="37">
        <f>C18</f>
        <v>0.06</v>
      </c>
      <c r="D19" s="37"/>
      <c r="E19" s="37"/>
      <c r="F19" s="54" t="s">
        <v>30</v>
      </c>
      <c r="G19" s="55">
        <v>0.3</v>
      </c>
    </row>
    <row r="20" spans="1:10">
      <c r="A20" s="35">
        <v>5</v>
      </c>
      <c r="B20" s="35">
        <v>2</v>
      </c>
      <c r="C20" s="37">
        <f>C19</f>
        <v>0.06</v>
      </c>
      <c r="D20" s="37"/>
      <c r="E20" s="37"/>
      <c r="F20" s="54" t="s">
        <v>31</v>
      </c>
      <c r="G20" s="56">
        <v>2E-3</v>
      </c>
    </row>
    <row r="21" spans="1:10">
      <c r="A21" s="35">
        <v>2</v>
      </c>
      <c r="B21" s="35">
        <v>6</v>
      </c>
      <c r="C21" s="37">
        <f>C13</f>
        <v>0.17142857142857143</v>
      </c>
      <c r="D21" s="37"/>
      <c r="E21" s="37"/>
      <c r="F21" s="54" t="s">
        <v>45</v>
      </c>
      <c r="G21" s="56">
        <v>50</v>
      </c>
      <c r="H21" s="57"/>
      <c r="I21" s="57"/>
    </row>
    <row r="22" spans="1:10">
      <c r="A22" s="36">
        <v>3</v>
      </c>
      <c r="B22" s="36">
        <v>6</v>
      </c>
      <c r="C22" s="36">
        <f>C14</f>
        <v>8.8888888888888906E-2</v>
      </c>
      <c r="D22" s="37"/>
      <c r="E22" s="37"/>
      <c r="F22" s="54" t="s">
        <v>32</v>
      </c>
      <c r="G22" s="56">
        <v>0.85</v>
      </c>
      <c r="H22" s="57"/>
      <c r="I22" s="57"/>
    </row>
    <row r="23" spans="1:10">
      <c r="A23" s="36">
        <v>4</v>
      </c>
      <c r="B23" s="36">
        <v>6</v>
      </c>
      <c r="C23" s="36">
        <f>C15</f>
        <v>0.17142857142857143</v>
      </c>
      <c r="D23" s="37"/>
      <c r="E23" s="36"/>
      <c r="F23" s="165" t="s">
        <v>33</v>
      </c>
      <c r="G23" s="55">
        <v>0.85</v>
      </c>
      <c r="H23" s="34"/>
      <c r="I23" s="34"/>
    </row>
    <row r="24" spans="1:10" ht="15.6">
      <c r="A24" s="36">
        <v>5</v>
      </c>
      <c r="B24" s="36">
        <v>6</v>
      </c>
      <c r="C24" s="36">
        <f>C16</f>
        <v>8.8888888888888906E-2</v>
      </c>
      <c r="D24" s="37"/>
      <c r="E24" s="36"/>
      <c r="F24" s="165" t="s">
        <v>46</v>
      </c>
      <c r="G24" s="55">
        <v>0</v>
      </c>
      <c r="H24" s="34"/>
      <c r="I24" s="34"/>
    </row>
    <row r="25" spans="1:10">
      <c r="A25" s="36">
        <v>1</v>
      </c>
      <c r="B25" s="36">
        <v>7</v>
      </c>
      <c r="C25" s="33">
        <f>G17*G18*(0.54*2.51*(ABS(B34-$B$40)/MIN(G17,G18))^0.25+G23*0.0000000567*((B34+273.15)^2+($B$40+273.15)^2)*((B34+273.15)+($B$40+273.15)))</f>
        <v>2.4823325424823519</v>
      </c>
      <c r="D25" s="37"/>
      <c r="E25" s="36"/>
      <c r="F25" s="165" t="s">
        <v>43</v>
      </c>
      <c r="G25" s="55">
        <v>20</v>
      </c>
      <c r="H25" s="34"/>
      <c r="I25" s="34"/>
    </row>
    <row r="26" spans="1:10" ht="13.8" thickBot="1">
      <c r="A26" s="36">
        <v>2</v>
      </c>
      <c r="B26" s="36">
        <v>7</v>
      </c>
      <c r="C26" s="33">
        <f>G17*G19*(0.56*2.51*(ABS(B35-$B$40)/G19)^0.25+G23*0.0000000567*((B35+273.15)^2+($B$40+273.15)^2)*((B35+273.15)+($B$40+273.15)))</f>
        <v>1.7028626784654148</v>
      </c>
      <c r="D26" s="37"/>
      <c r="E26" s="36"/>
      <c r="F26" s="58" t="s">
        <v>44</v>
      </c>
      <c r="G26" s="59">
        <v>35</v>
      </c>
      <c r="H26" s="34"/>
      <c r="I26" s="34"/>
    </row>
    <row r="27" spans="1:10">
      <c r="A27" s="36">
        <v>3</v>
      </c>
      <c r="B27" s="36">
        <v>7</v>
      </c>
      <c r="C27" s="33">
        <f>G18*G19*(0.56*2.51*(ABS(B36-$B$40)/G19)^0.25+G23*0.0000000567*((B36+273.15)^2+($B$40+273.15)^2)*((B36+273.15)+($B$40+273.15)))</f>
        <v>1.1819879794774055</v>
      </c>
      <c r="D27" s="37"/>
      <c r="E27" s="36"/>
      <c r="F27" s="34" t="s">
        <v>192</v>
      </c>
      <c r="G27" s="34">
        <v>0.5</v>
      </c>
      <c r="H27" s="57"/>
      <c r="I27" s="57"/>
      <c r="J27" s="57"/>
    </row>
    <row r="28" spans="1:10">
      <c r="A28" s="36">
        <v>4</v>
      </c>
      <c r="B28" s="36">
        <v>7</v>
      </c>
      <c r="C28" s="36">
        <f>C26</f>
        <v>1.7028626784654148</v>
      </c>
      <c r="D28" s="37"/>
      <c r="E28" s="36"/>
      <c r="F28" s="37"/>
      <c r="G28" s="37"/>
      <c r="H28" s="34"/>
      <c r="I28" s="34"/>
      <c r="J28" s="53"/>
    </row>
    <row r="29" spans="1:10">
      <c r="A29" s="36">
        <v>5</v>
      </c>
      <c r="B29" s="36">
        <v>7</v>
      </c>
      <c r="C29" s="36">
        <f>C27</f>
        <v>1.1819879794774055</v>
      </c>
      <c r="D29" s="37"/>
      <c r="E29" s="36"/>
      <c r="F29" s="36"/>
      <c r="G29" s="36"/>
      <c r="H29" s="36"/>
      <c r="I29" s="36"/>
      <c r="J29" s="36"/>
    </row>
    <row r="30" spans="1:10">
      <c r="A30" s="36">
        <v>6</v>
      </c>
      <c r="B30" s="36">
        <v>7</v>
      </c>
      <c r="C30" s="33">
        <f>G17*G18*(0.27*2.51*(ABS(B39-$B$40)/MIN(G17,G18))^0.25+G23*0.0000000567*((B39+273.15)^2+($B$40+273.15)^2)*((B39+273.15)+($B$40+273.15)))</f>
        <v>1.9474828582238257</v>
      </c>
      <c r="D30" s="37"/>
      <c r="E30" s="36"/>
      <c r="F30" s="36"/>
      <c r="H30" s="36"/>
      <c r="I30" s="36"/>
      <c r="J30" s="36"/>
    </row>
    <row r="31" spans="1:10">
      <c r="A31" s="36">
        <v>8</v>
      </c>
      <c r="B31" s="36">
        <v>7</v>
      </c>
      <c r="C31" s="33">
        <f>1150*G24*0.166*(G19/2*(B40-B41))^0.5</f>
        <v>0</v>
      </c>
      <c r="D31" s="37"/>
      <c r="E31" s="36"/>
      <c r="F31" s="36"/>
      <c r="H31" s="36"/>
      <c r="I31" s="36"/>
      <c r="J31" s="36"/>
    </row>
    <row r="32" spans="1:10">
      <c r="A32" s="36"/>
      <c r="B32" s="36"/>
      <c r="C32" s="36"/>
      <c r="D32" s="36"/>
      <c r="E32" s="36"/>
      <c r="F32" s="36"/>
      <c r="G32" s="36"/>
      <c r="H32" s="36"/>
      <c r="I32" s="42"/>
      <c r="J32" s="42"/>
    </row>
    <row r="33" spans="1:10">
      <c r="A33" s="36" t="s">
        <v>95</v>
      </c>
      <c r="B33" s="36" t="s">
        <v>96</v>
      </c>
      <c r="C33" s="36" t="s">
        <v>34</v>
      </c>
      <c r="D33" s="36"/>
      <c r="F33" s="36"/>
      <c r="G33" s="36"/>
      <c r="H33" s="36"/>
      <c r="I33" s="42"/>
      <c r="J33" s="42"/>
    </row>
    <row r="34" spans="1:10">
      <c r="A34" s="36">
        <v>1</v>
      </c>
      <c r="B34" s="163">
        <v>67.326530456542969</v>
      </c>
      <c r="C34" s="163">
        <f>B34-B41</f>
        <v>32.326530456542969</v>
      </c>
      <c r="D34" s="60" t="s">
        <v>35</v>
      </c>
      <c r="H34" s="36"/>
      <c r="I34" s="42"/>
      <c r="J34" s="42"/>
    </row>
    <row r="35" spans="1:10">
      <c r="A35" s="36">
        <v>2</v>
      </c>
      <c r="B35" s="163">
        <v>52.627548217773438</v>
      </c>
      <c r="C35" s="163">
        <f>B35-B41</f>
        <v>17.627548217773438</v>
      </c>
      <c r="D35" s="60" t="s">
        <v>36</v>
      </c>
      <c r="H35" s="36"/>
      <c r="I35" s="42"/>
      <c r="J35" s="42"/>
    </row>
    <row r="36" spans="1:10">
      <c r="A36" s="36">
        <v>3</v>
      </c>
      <c r="B36" s="163">
        <v>48.641471862792969</v>
      </c>
      <c r="C36" s="163">
        <f>B36-B41</f>
        <v>13.641471862792969</v>
      </c>
      <c r="D36" s="60" t="s">
        <v>37</v>
      </c>
      <c r="F36" s="60"/>
      <c r="G36" s="60"/>
      <c r="H36" s="36"/>
      <c r="I36" s="42"/>
      <c r="J36" s="42"/>
    </row>
    <row r="37" spans="1:10">
      <c r="A37" s="36">
        <v>4</v>
      </c>
      <c r="B37" s="163">
        <v>48.708908081054688</v>
      </c>
      <c r="C37" s="163">
        <f>B37-B41</f>
        <v>13.708908081054687</v>
      </c>
      <c r="D37" s="60" t="s">
        <v>38</v>
      </c>
      <c r="F37" s="60"/>
      <c r="G37" s="60"/>
      <c r="H37" s="36"/>
      <c r="I37" s="42"/>
      <c r="J37" s="42"/>
    </row>
    <row r="38" spans="1:10">
      <c r="A38" s="36">
        <v>5</v>
      </c>
      <c r="B38" s="163">
        <v>57.919898986816406</v>
      </c>
      <c r="C38" s="163">
        <f>B38-B41</f>
        <v>22.919898986816406</v>
      </c>
      <c r="D38" s="60" t="s">
        <v>39</v>
      </c>
      <c r="F38" s="60"/>
      <c r="G38" s="60"/>
      <c r="H38" s="36"/>
      <c r="I38" s="36"/>
      <c r="J38" s="36"/>
    </row>
    <row r="39" spans="1:10">
      <c r="A39" s="36">
        <v>6</v>
      </c>
      <c r="B39" s="163">
        <v>46.819015502929688</v>
      </c>
      <c r="C39" s="163">
        <f>B39-B41</f>
        <v>11.819015502929688</v>
      </c>
      <c r="D39" s="60" t="s">
        <v>40</v>
      </c>
      <c r="E39" t="s">
        <v>47</v>
      </c>
      <c r="F39" s="60"/>
      <c r="G39" s="60"/>
      <c r="H39" s="36"/>
      <c r="I39" s="36"/>
      <c r="J39" s="36"/>
    </row>
    <row r="40" spans="1:10">
      <c r="A40" s="36">
        <v>7</v>
      </c>
      <c r="B40" s="163">
        <v>56.55389404296875</v>
      </c>
      <c r="C40" s="164">
        <f>B40-B41</f>
        <v>21.55389404296875</v>
      </c>
      <c r="D40" s="60" t="s">
        <v>41</v>
      </c>
      <c r="E40">
        <f>0.166*(G19/2*(B40-B41))^0.5</f>
        <v>0.29848093010644255</v>
      </c>
      <c r="F40" s="60" t="s">
        <v>191</v>
      </c>
      <c r="G40" s="60"/>
      <c r="H40" s="36"/>
      <c r="I40" s="36"/>
      <c r="J40" s="36"/>
    </row>
    <row r="41" spans="1:10">
      <c r="A41" s="36">
        <v>8</v>
      </c>
      <c r="B41" s="163">
        <v>35</v>
      </c>
      <c r="C41" s="163">
        <f>B41-B41</f>
        <v>0</v>
      </c>
      <c r="D41" s="60" t="s">
        <v>42</v>
      </c>
      <c r="G41" s="60"/>
      <c r="H41" s="36"/>
      <c r="I41" s="36"/>
      <c r="J41" s="36"/>
    </row>
  </sheetData>
  <phoneticPr fontId="7"/>
  <pageMargins left="0.75" right="0.75" top="1" bottom="1" header="0.51200000000000001" footer="0.51200000000000001"/>
  <pageSetup paperSize="9" orientation="portrait" horizontalDpi="0"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P41"/>
  <sheetViews>
    <sheetView showGridLines="0" zoomScale="130" zoomScaleNormal="130" workbookViewId="0"/>
  </sheetViews>
  <sheetFormatPr defaultColWidth="9" defaultRowHeight="13.2"/>
  <cols>
    <col min="1" max="1" width="18.88671875" style="168" customWidth="1"/>
    <col min="2" max="2" width="12.77734375" style="167" bestFit="1" customWidth="1"/>
    <col min="3" max="3" width="9" style="168"/>
    <col min="4" max="4" width="14.21875" style="168" customWidth="1"/>
    <col min="5" max="17" width="9" style="168"/>
    <col min="18" max="18" width="11.6640625" style="168" bestFit="1" customWidth="1"/>
    <col min="19" max="16384" width="9" style="168"/>
  </cols>
  <sheetData>
    <row r="1" spans="1:6" ht="16.2">
      <c r="A1" s="166" t="s">
        <v>512</v>
      </c>
    </row>
    <row r="3" spans="1:6" ht="13.8" thickBot="1">
      <c r="A3" s="169" t="s">
        <v>195</v>
      </c>
    </row>
    <row r="4" spans="1:6">
      <c r="A4" s="170" t="s">
        <v>196</v>
      </c>
      <c r="B4" s="171">
        <v>60</v>
      </c>
      <c r="C4" s="168" t="s">
        <v>197</v>
      </c>
      <c r="D4" s="172" t="s">
        <v>198</v>
      </c>
      <c r="E4" s="172">
        <f>(B4*PI()*B5+B4^2*PI()/4*2+B6)/1000000</f>
        <v>2.5629697122315751E-2</v>
      </c>
      <c r="F4" s="168" t="s">
        <v>199</v>
      </c>
    </row>
    <row r="5" spans="1:6">
      <c r="A5" s="173" t="s">
        <v>200</v>
      </c>
      <c r="B5" s="174">
        <v>94.5</v>
      </c>
      <c r="C5" s="168" t="s">
        <v>197</v>
      </c>
    </row>
    <row r="6" spans="1:6">
      <c r="A6" s="173" t="s">
        <v>201</v>
      </c>
      <c r="B6" s="174">
        <v>2162</v>
      </c>
      <c r="C6" s="168" t="s">
        <v>202</v>
      </c>
    </row>
    <row r="7" spans="1:6">
      <c r="A7" s="173" t="s">
        <v>203</v>
      </c>
      <c r="B7" s="174">
        <v>13.1</v>
      </c>
      <c r="C7" s="168" t="s">
        <v>204</v>
      </c>
    </row>
    <row r="8" spans="1:6" ht="13.8" thickBot="1">
      <c r="A8" s="175" t="s">
        <v>205</v>
      </c>
      <c r="B8" s="176">
        <v>0.9</v>
      </c>
    </row>
    <row r="10" spans="1:6" ht="13.8" thickBot="1">
      <c r="A10" s="169" t="s">
        <v>206</v>
      </c>
    </row>
    <row r="11" spans="1:6">
      <c r="A11" s="170" t="s">
        <v>207</v>
      </c>
      <c r="B11" s="171">
        <v>80</v>
      </c>
      <c r="C11" s="168" t="s">
        <v>197</v>
      </c>
      <c r="D11" s="172" t="s">
        <v>208</v>
      </c>
      <c r="E11" s="172">
        <f>B11*B11</f>
        <v>6400</v>
      </c>
      <c r="F11" s="168" t="s">
        <v>202</v>
      </c>
    </row>
    <row r="12" spans="1:6">
      <c r="A12" s="173" t="s">
        <v>209</v>
      </c>
      <c r="B12" s="174">
        <v>72.5</v>
      </c>
      <c r="C12" s="168" t="s">
        <v>197</v>
      </c>
      <c r="D12" s="172" t="s">
        <v>210</v>
      </c>
      <c r="E12" s="172">
        <f>(B12^2-B13^2)*PI()/4</f>
        <v>3280.1921816438062</v>
      </c>
      <c r="F12" s="168" t="s">
        <v>202</v>
      </c>
    </row>
    <row r="13" spans="1:6">
      <c r="A13" s="173" t="s">
        <v>211</v>
      </c>
      <c r="B13" s="174">
        <v>32.86</v>
      </c>
      <c r="C13" s="168" t="s">
        <v>197</v>
      </c>
    </row>
    <row r="14" spans="1:6" ht="13.8" thickBot="1">
      <c r="A14" s="175" t="s">
        <v>212</v>
      </c>
      <c r="B14" s="176">
        <v>1.1000000000000001</v>
      </c>
      <c r="C14" s="168" t="s">
        <v>213</v>
      </c>
    </row>
    <row r="15" spans="1:6" ht="13.8" thickBot="1"/>
    <row r="16" spans="1:6" ht="13.8" thickBot="1">
      <c r="A16" s="177" t="s">
        <v>214</v>
      </c>
      <c r="B16" s="178">
        <v>25</v>
      </c>
    </row>
    <row r="18" spans="1:8" ht="13.8" thickBot="1">
      <c r="A18" s="169" t="s">
        <v>215</v>
      </c>
    </row>
    <row r="19" spans="1:8">
      <c r="A19" s="179" t="s">
        <v>216</v>
      </c>
      <c r="B19" s="180">
        <f>B14/60/E12*1000000</f>
        <v>5.5891034177594836</v>
      </c>
      <c r="C19" s="168" t="s">
        <v>217</v>
      </c>
    </row>
    <row r="20" spans="1:8" ht="13.8" thickBot="1">
      <c r="A20" s="181" t="s">
        <v>218</v>
      </c>
      <c r="B20" s="182">
        <f>B14/60/E11*1000000</f>
        <v>2.8645833333333335</v>
      </c>
      <c r="C20" s="168" t="s">
        <v>217</v>
      </c>
    </row>
    <row r="21" spans="1:8" ht="13.8" thickBot="1">
      <c r="A21" s="183"/>
      <c r="B21" s="184"/>
    </row>
    <row r="22" spans="1:8">
      <c r="A22" s="179" t="s">
        <v>219</v>
      </c>
      <c r="B22" s="185">
        <f ca="1">B7/E4/(B32+D32)</f>
        <v>12.443420346187708</v>
      </c>
      <c r="C22" s="168" t="s">
        <v>220</v>
      </c>
    </row>
    <row r="23" spans="1:8" ht="13.8" thickBot="1">
      <c r="A23" s="181" t="s">
        <v>221</v>
      </c>
      <c r="B23" s="186">
        <f ca="1">B7/E4/(B33+D32)</f>
        <v>14.657308926768682</v>
      </c>
      <c r="C23" s="168" t="s">
        <v>220</v>
      </c>
    </row>
    <row r="25" spans="1:8">
      <c r="A25" s="169" t="s">
        <v>222</v>
      </c>
      <c r="F25" s="168" t="s">
        <v>223</v>
      </c>
    </row>
    <row r="26" spans="1:8">
      <c r="A26" s="172" t="s">
        <v>224</v>
      </c>
      <c r="B26" s="187">
        <f>B5/1000</f>
        <v>9.4500000000000001E-2</v>
      </c>
      <c r="C26" s="168" t="s">
        <v>225</v>
      </c>
      <c r="F26" s="188" t="s">
        <v>226</v>
      </c>
      <c r="G26" s="188" t="s">
        <v>227</v>
      </c>
      <c r="H26" s="188" t="s">
        <v>228</v>
      </c>
    </row>
    <row r="27" spans="1:8">
      <c r="A27" s="172" t="s">
        <v>229</v>
      </c>
      <c r="B27" s="187">
        <f>B4/1000</f>
        <v>0.06</v>
      </c>
      <c r="C27" s="168" t="s">
        <v>225</v>
      </c>
      <c r="F27" s="172">
        <v>1</v>
      </c>
      <c r="G27" s="172">
        <v>0.89100000000000001</v>
      </c>
      <c r="H27" s="172">
        <v>0.33</v>
      </c>
    </row>
    <row r="28" spans="1:8">
      <c r="A28" s="172" t="s">
        <v>230</v>
      </c>
      <c r="B28" s="189">
        <f>B19*B27/0.000017</f>
        <v>19726.247356798176</v>
      </c>
      <c r="F28" s="172">
        <v>4</v>
      </c>
      <c r="G28" s="172">
        <v>0.82099999999999995</v>
      </c>
      <c r="H28" s="172">
        <v>0.38500000000000001</v>
      </c>
    </row>
    <row r="29" spans="1:8">
      <c r="A29" s="172" t="s">
        <v>231</v>
      </c>
      <c r="B29" s="189">
        <f>B20*B27/0.000017</f>
        <v>10110.294117647059</v>
      </c>
      <c r="F29" s="172">
        <v>40</v>
      </c>
      <c r="G29" s="172">
        <v>0.61499999999999999</v>
      </c>
      <c r="H29" s="172">
        <v>0.46600000000000003</v>
      </c>
    </row>
    <row r="30" spans="1:8">
      <c r="A30" s="172" t="s">
        <v>232</v>
      </c>
      <c r="B30" s="189">
        <f>LOOKUP(B28,F27:F31,G27:G31)*(B28)^LOOKUP(B28,F27:F31,H27:H31)</f>
        <v>78.503086754804357</v>
      </c>
      <c r="F30" s="172">
        <v>4000</v>
      </c>
      <c r="G30" s="172">
        <v>0.17399999999999999</v>
      </c>
      <c r="H30" s="172">
        <v>0.61799999999999999</v>
      </c>
    </row>
    <row r="31" spans="1:8">
      <c r="A31" s="172" t="s">
        <v>233</v>
      </c>
      <c r="B31" s="189">
        <f>LOOKUP(B29,F27:F31,G27:G31)*(B29)^LOOKUP(B29,F27:F31,H27:H31)</f>
        <v>51.938962522682168</v>
      </c>
      <c r="D31" s="172" t="s">
        <v>234</v>
      </c>
      <c r="F31" s="172">
        <v>40000</v>
      </c>
      <c r="G31" s="172">
        <v>2.4E-2</v>
      </c>
      <c r="H31" s="172">
        <v>0.80500000000000005</v>
      </c>
    </row>
    <row r="32" spans="1:8">
      <c r="A32" s="172" t="s">
        <v>235</v>
      </c>
      <c r="B32" s="190">
        <f>B30*0.027/B27</f>
        <v>35.326389039661962</v>
      </c>
      <c r="C32" s="168" t="s">
        <v>236</v>
      </c>
      <c r="D32" s="189">
        <f ca="1">0.0000000567*B8*((B22+B16+273)^2+(B16+273)^2)*((B22+B16+273)+(B16+273))</f>
        <v>5.7496019193272145</v>
      </c>
    </row>
    <row r="33" spans="1:16">
      <c r="A33" s="172" t="s">
        <v>237</v>
      </c>
      <c r="B33" s="190">
        <f ca="1">B31*0.027/B27+D32</f>
        <v>29.122135054534191</v>
      </c>
      <c r="C33" s="168" t="s">
        <v>236</v>
      </c>
      <c r="D33" s="189">
        <f ca="1">0.0000000567*B8*((B23+B16+273)^2+(B16+273)^2)*((B23+B16+273)+(B16+273))</f>
        <v>5.8135094818934414</v>
      </c>
    </row>
    <row r="34" spans="1:16">
      <c r="B34" s="191"/>
    </row>
    <row r="35" spans="1:16" ht="13.8" thickBot="1">
      <c r="A35" s="192" t="s">
        <v>238</v>
      </c>
      <c r="B35" s="193">
        <f ca="1">2.51*0.52*(B37/(B4/1000))^0.25+0.0000000567*B8*((T13+B16+273)^2+(B16+273)^2)*((T13+B16+273)+(B16+273))</f>
        <v>12.121892705076553</v>
      </c>
      <c r="C35" s="168" t="s">
        <v>236</v>
      </c>
    </row>
    <row r="36" spans="1:16" ht="13.8" thickBot="1">
      <c r="A36" s="194" t="s">
        <v>239</v>
      </c>
      <c r="B36" s="195">
        <f ca="1">B7/E4/(B35)</f>
        <v>42.165512768880788</v>
      </c>
      <c r="C36" s="168" t="s">
        <v>220</v>
      </c>
    </row>
    <row r="37" spans="1:16">
      <c r="A37" s="168" t="s">
        <v>240</v>
      </c>
      <c r="B37" s="191">
        <f ca="1">B36</f>
        <v>42.165512768880788</v>
      </c>
    </row>
    <row r="38" spans="1:16">
      <c r="M38" s="196"/>
      <c r="P38" s="196"/>
    </row>
    <row r="39" spans="1:16">
      <c r="B39" s="168"/>
      <c r="M39" s="196"/>
      <c r="P39" s="196"/>
    </row>
    <row r="40" spans="1:16">
      <c r="B40" s="168"/>
    </row>
    <row r="41" spans="1:16">
      <c r="B41" s="168"/>
    </row>
  </sheetData>
  <phoneticPr fontId="7"/>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Q77"/>
  <sheetViews>
    <sheetView showGridLines="0" showRowColHeaders="0" tabSelected="1" topLeftCell="F1" zoomScale="160" zoomScaleNormal="160" workbookViewId="0">
      <selection activeCell="O75" sqref="O75"/>
    </sheetView>
  </sheetViews>
  <sheetFormatPr defaultColWidth="9" defaultRowHeight="13.2"/>
  <cols>
    <col min="1" max="1" width="3.33203125" style="575" customWidth="1"/>
    <col min="2" max="2" width="13.33203125" style="575" customWidth="1"/>
    <col min="3" max="3" width="14.6640625" style="575" customWidth="1"/>
    <col min="4" max="4" width="13" style="575" bestFit="1" customWidth="1"/>
    <col min="5" max="5" width="14.88671875" style="575" customWidth="1"/>
    <col min="6" max="6" width="2.44140625" style="575" customWidth="1"/>
    <col min="7" max="9" width="10.6640625" style="575" customWidth="1"/>
    <col min="10" max="10" width="11.44140625" style="575" customWidth="1"/>
    <col min="11" max="11" width="9" style="575"/>
    <col min="12" max="12" width="12" style="575" customWidth="1"/>
    <col min="13" max="13" width="13.21875" style="575" bestFit="1" customWidth="1"/>
    <col min="14" max="14" width="9" style="575"/>
    <col min="15" max="15" width="12.77734375" style="575" bestFit="1" customWidth="1"/>
    <col min="16" max="17" width="9" style="575"/>
    <col min="18" max="16384" width="9" style="637"/>
  </cols>
  <sheetData>
    <row r="1" spans="1:13" ht="28.5" customHeight="1">
      <c r="C1" s="576" t="s">
        <v>524</v>
      </c>
    </row>
    <row r="2" spans="1:13" ht="15.75" customHeight="1">
      <c r="A2" s="577"/>
      <c r="B2" s="577"/>
      <c r="C2" s="577"/>
      <c r="D2" s="577"/>
      <c r="E2" s="577"/>
      <c r="F2" s="577"/>
      <c r="G2" s="577"/>
      <c r="H2" s="577"/>
      <c r="I2" s="577"/>
      <c r="J2" s="577"/>
      <c r="K2" s="577"/>
      <c r="L2" s="577"/>
    </row>
    <row r="3" spans="1:13" ht="13.8" thickBot="1">
      <c r="A3" s="577"/>
      <c r="B3" s="578"/>
      <c r="C3" s="579" t="s">
        <v>525</v>
      </c>
      <c r="D3" s="580"/>
      <c r="E3" s="580" t="s">
        <v>526</v>
      </c>
      <c r="F3" s="577"/>
      <c r="G3" s="577"/>
      <c r="H3" s="577"/>
      <c r="I3" s="577"/>
      <c r="J3" s="577"/>
      <c r="K3" s="577"/>
      <c r="L3" s="577"/>
    </row>
    <row r="4" spans="1:13" ht="15.6" thickTop="1" thickBot="1">
      <c r="A4" s="577"/>
      <c r="B4" s="579"/>
      <c r="C4" s="581">
        <v>7.88</v>
      </c>
      <c r="D4" s="582"/>
      <c r="E4" s="581">
        <v>8</v>
      </c>
      <c r="F4" s="577"/>
      <c r="G4" s="577"/>
      <c r="H4" s="577"/>
      <c r="I4" s="577"/>
      <c r="J4" s="577"/>
      <c r="K4" s="577"/>
      <c r="L4" s="577"/>
    </row>
    <row r="5" spans="1:13">
      <c r="A5" s="577"/>
      <c r="B5" s="583"/>
      <c r="C5" s="584" t="s">
        <v>527</v>
      </c>
      <c r="D5" s="584" t="s">
        <v>528</v>
      </c>
      <c r="E5" s="585" t="s">
        <v>529</v>
      </c>
      <c r="F5" s="577"/>
      <c r="G5" s="586" t="s">
        <v>530</v>
      </c>
      <c r="H5" s="587" t="s">
        <v>531</v>
      </c>
      <c r="I5" s="588" t="s">
        <v>532</v>
      </c>
      <c r="J5" s="589" t="s">
        <v>533</v>
      </c>
      <c r="K5" s="577"/>
      <c r="L5" s="577"/>
    </row>
    <row r="6" spans="1:13" ht="13.8" thickBot="1">
      <c r="A6" s="577"/>
      <c r="B6" s="590"/>
      <c r="C6" s="591" t="s">
        <v>534</v>
      </c>
      <c r="D6" s="591" t="s">
        <v>535</v>
      </c>
      <c r="E6" s="592" t="s">
        <v>536</v>
      </c>
      <c r="F6" s="577"/>
      <c r="G6" s="593" t="s">
        <v>537</v>
      </c>
      <c r="H6" s="594" t="s">
        <v>538</v>
      </c>
      <c r="I6" s="594" t="s">
        <v>539</v>
      </c>
      <c r="J6" s="592" t="s">
        <v>534</v>
      </c>
      <c r="K6" s="577"/>
      <c r="L6" s="577"/>
    </row>
    <row r="7" spans="1:13" ht="15.6" thickTop="1" thickBot="1">
      <c r="A7" s="577"/>
      <c r="B7" s="595" t="s">
        <v>540</v>
      </c>
      <c r="C7" s="596">
        <v>380</v>
      </c>
      <c r="D7" s="596">
        <v>7.0000000000000007E-2</v>
      </c>
      <c r="E7" s="597">
        <v>0.2</v>
      </c>
      <c r="F7" s="598"/>
      <c r="G7" s="599" t="s">
        <v>541</v>
      </c>
      <c r="H7" s="600" t="s">
        <v>541</v>
      </c>
      <c r="I7" s="600" t="s">
        <v>541</v>
      </c>
      <c r="J7" s="601" t="s">
        <v>541</v>
      </c>
      <c r="K7" s="577"/>
      <c r="L7" s="577"/>
    </row>
    <row r="8" spans="1:13" ht="15.6" thickTop="1" thickBot="1">
      <c r="A8" s="577"/>
      <c r="B8" s="595" t="s">
        <v>542</v>
      </c>
      <c r="C8" s="596">
        <v>0.4</v>
      </c>
      <c r="D8" s="596">
        <v>1.6</v>
      </c>
      <c r="E8" s="602" t="s">
        <v>541</v>
      </c>
      <c r="F8" s="598"/>
      <c r="G8" s="603">
        <v>22</v>
      </c>
      <c r="H8" s="596">
        <v>0.3</v>
      </c>
      <c r="I8" s="596">
        <v>0.02</v>
      </c>
      <c r="J8" s="597">
        <v>370</v>
      </c>
      <c r="K8" s="577"/>
      <c r="L8" s="577"/>
    </row>
    <row r="9" spans="1:13" ht="15.6" thickTop="1" thickBot="1">
      <c r="A9" s="577"/>
      <c r="B9" s="595" t="s">
        <v>543</v>
      </c>
      <c r="C9" s="596">
        <v>380</v>
      </c>
      <c r="D9" s="596">
        <v>7.0000000000000007E-2</v>
      </c>
      <c r="E9" s="597">
        <v>0.2</v>
      </c>
      <c r="F9" s="598"/>
      <c r="G9" s="599" t="s">
        <v>541</v>
      </c>
      <c r="H9" s="600" t="s">
        <v>541</v>
      </c>
      <c r="I9" s="600" t="s">
        <v>541</v>
      </c>
      <c r="J9" s="601" t="s">
        <v>541</v>
      </c>
      <c r="K9" s="577"/>
      <c r="L9" s="577"/>
    </row>
    <row r="10" spans="1:13" ht="15.6" thickTop="1" thickBot="1">
      <c r="A10" s="577"/>
      <c r="B10" s="595" t="s">
        <v>544</v>
      </c>
      <c r="C10" s="596">
        <v>0.4</v>
      </c>
      <c r="D10" s="596">
        <v>0</v>
      </c>
      <c r="E10" s="602" t="s">
        <v>541</v>
      </c>
      <c r="F10" s="598"/>
      <c r="G10" s="603">
        <v>22</v>
      </c>
      <c r="H10" s="596">
        <v>0.24</v>
      </c>
      <c r="I10" s="596">
        <v>0.12</v>
      </c>
      <c r="J10" s="597">
        <v>80</v>
      </c>
      <c r="K10" s="577"/>
      <c r="L10" s="604" t="s">
        <v>545</v>
      </c>
      <c r="M10" s="578"/>
    </row>
    <row r="11" spans="1:13" ht="15.6" thickTop="1" thickBot="1">
      <c r="A11" s="577"/>
      <c r="B11" s="595" t="s">
        <v>546</v>
      </c>
      <c r="C11" s="596">
        <v>380</v>
      </c>
      <c r="D11" s="596">
        <v>0</v>
      </c>
      <c r="E11" s="597">
        <v>0.87</v>
      </c>
      <c r="F11" s="598"/>
      <c r="G11" s="599" t="s">
        <v>541</v>
      </c>
      <c r="H11" s="600" t="s">
        <v>541</v>
      </c>
      <c r="I11" s="600" t="s">
        <v>541</v>
      </c>
      <c r="J11" s="601" t="s">
        <v>541</v>
      </c>
      <c r="K11" s="577"/>
      <c r="L11" s="605">
        <f>(C7*D7*E7+C8*D8+C9*D9*E9+C10*D10+C11*D11*E11+C12*D12+C13*D13*E13+C14*D14+C15*D15*E15+C16*D16+C17*D17*E17+C18*D18+C19*D19*E19+C20*D20+C21*D21*E21+C22*D22+C23*D23*E23+C24*D24+C25*D25*E25+C26*D26+C27*D27*E27+C28*D28+C29*D29*E29+C30*D30+C31*D31*E31+C32*D32+C33*D33*E33+C34*D34+C35*D35*E35+C36*D36+C37*D37*E37)/D38</f>
        <v>6.4827586206896548</v>
      </c>
      <c r="M11" s="578"/>
    </row>
    <row r="12" spans="1:13" ht="15.6" thickTop="1" thickBot="1">
      <c r="A12" s="577"/>
      <c r="B12" s="595" t="s">
        <v>547</v>
      </c>
      <c r="C12" s="596">
        <v>0.4</v>
      </c>
      <c r="D12" s="596">
        <v>0</v>
      </c>
      <c r="E12" s="602" t="s">
        <v>541</v>
      </c>
      <c r="F12" s="598"/>
      <c r="G12" s="603">
        <v>0</v>
      </c>
      <c r="H12" s="596">
        <v>0.2</v>
      </c>
      <c r="I12" s="596">
        <v>0.02</v>
      </c>
      <c r="J12" s="597">
        <v>370</v>
      </c>
      <c r="K12" s="577"/>
      <c r="L12" s="578"/>
      <c r="M12" s="578"/>
    </row>
    <row r="13" spans="1:13" ht="15.6" thickTop="1" thickBot="1">
      <c r="A13" s="577"/>
      <c r="B13" s="595" t="s">
        <v>548</v>
      </c>
      <c r="C13" s="596">
        <v>380</v>
      </c>
      <c r="D13" s="596">
        <v>0</v>
      </c>
      <c r="E13" s="597">
        <v>0.2</v>
      </c>
      <c r="F13" s="598"/>
      <c r="G13" s="599" t="s">
        <v>541</v>
      </c>
      <c r="H13" s="600" t="s">
        <v>541</v>
      </c>
      <c r="I13" s="600" t="s">
        <v>541</v>
      </c>
      <c r="J13" s="601" t="s">
        <v>541</v>
      </c>
      <c r="K13" s="577"/>
      <c r="L13" s="604" t="s">
        <v>549</v>
      </c>
      <c r="M13" s="578"/>
    </row>
    <row r="14" spans="1:13" ht="15.6" thickTop="1" thickBot="1">
      <c r="A14" s="577"/>
      <c r="B14" s="595" t="s">
        <v>550</v>
      </c>
      <c r="C14" s="596">
        <v>0.4</v>
      </c>
      <c r="D14" s="596">
        <v>0</v>
      </c>
      <c r="E14" s="602" t="s">
        <v>541</v>
      </c>
      <c r="F14" s="598"/>
      <c r="G14" s="603">
        <v>0</v>
      </c>
      <c r="H14" s="596">
        <v>0.2</v>
      </c>
      <c r="I14" s="596">
        <v>0.02</v>
      </c>
      <c r="J14" s="597">
        <v>370</v>
      </c>
      <c r="K14" s="577"/>
      <c r="L14" s="606">
        <f>O77</f>
        <v>7.3217590255185643</v>
      </c>
      <c r="M14" s="578"/>
    </row>
    <row r="15" spans="1:13" ht="15.6" thickTop="1" thickBot="1">
      <c r="A15" s="577"/>
      <c r="B15" s="595" t="s">
        <v>551</v>
      </c>
      <c r="C15" s="596">
        <v>380</v>
      </c>
      <c r="D15" s="596">
        <v>0</v>
      </c>
      <c r="E15" s="597">
        <v>0.2</v>
      </c>
      <c r="F15" s="598"/>
      <c r="G15" s="599" t="s">
        <v>541</v>
      </c>
      <c r="H15" s="600" t="s">
        <v>541</v>
      </c>
      <c r="I15" s="600" t="s">
        <v>541</v>
      </c>
      <c r="J15" s="601" t="s">
        <v>541</v>
      </c>
      <c r="K15" s="577"/>
      <c r="L15" s="577"/>
    </row>
    <row r="16" spans="1:13" ht="15.6" thickTop="1" thickBot="1">
      <c r="A16" s="577"/>
      <c r="B16" s="595" t="s">
        <v>552</v>
      </c>
      <c r="C16" s="596">
        <v>0.4</v>
      </c>
      <c r="D16" s="596">
        <v>0</v>
      </c>
      <c r="E16" s="602" t="s">
        <v>541</v>
      </c>
      <c r="F16" s="598"/>
      <c r="G16" s="607">
        <v>0</v>
      </c>
      <c r="H16" s="608">
        <v>0.2</v>
      </c>
      <c r="I16" s="608">
        <v>0.02</v>
      </c>
      <c r="J16" s="609">
        <v>370</v>
      </c>
      <c r="K16" s="577"/>
      <c r="L16" s="577"/>
    </row>
    <row r="17" spans="1:15" ht="15.6" thickTop="1" thickBot="1">
      <c r="A17" s="577"/>
      <c r="B17" s="610" t="s">
        <v>553</v>
      </c>
      <c r="C17" s="611">
        <v>380</v>
      </c>
      <c r="D17" s="611">
        <v>0</v>
      </c>
      <c r="E17" s="597">
        <v>0.2</v>
      </c>
      <c r="F17" s="598"/>
      <c r="G17" s="612"/>
      <c r="H17" s="612"/>
      <c r="I17" s="612"/>
      <c r="J17" s="612"/>
      <c r="K17" s="577"/>
      <c r="L17" s="577"/>
    </row>
    <row r="18" spans="1:15" ht="15" hidden="1" thickBot="1">
      <c r="A18" s="577"/>
      <c r="B18" s="613"/>
      <c r="C18" s="614"/>
      <c r="D18" s="614"/>
      <c r="E18" s="615"/>
      <c r="F18" s="598"/>
      <c r="G18" s="616"/>
      <c r="H18" s="614"/>
      <c r="I18" s="614"/>
      <c r="J18" s="617"/>
      <c r="K18" s="578"/>
      <c r="L18" s="578"/>
      <c r="M18" s="578"/>
    </row>
    <row r="19" spans="1:15" ht="15.6" hidden="1" thickTop="1" thickBot="1">
      <c r="A19" s="577"/>
      <c r="B19" s="618"/>
      <c r="C19" s="596"/>
      <c r="D19" s="596"/>
      <c r="E19" s="597"/>
      <c r="F19" s="598"/>
      <c r="G19" s="599"/>
      <c r="H19" s="600"/>
      <c r="I19" s="600"/>
      <c r="J19" s="601"/>
      <c r="K19" s="578"/>
    </row>
    <row r="20" spans="1:15" ht="15.6" hidden="1" thickTop="1" thickBot="1">
      <c r="A20" s="577"/>
      <c r="B20" s="618"/>
      <c r="C20" s="596"/>
      <c r="D20" s="596"/>
      <c r="E20" s="602"/>
      <c r="F20" s="598"/>
      <c r="G20" s="603"/>
      <c r="H20" s="596"/>
      <c r="I20" s="596"/>
      <c r="J20" s="597"/>
      <c r="K20" s="578"/>
      <c r="N20" s="577"/>
      <c r="O20" s="577"/>
    </row>
    <row r="21" spans="1:15" ht="15.6" hidden="1" thickTop="1" thickBot="1">
      <c r="A21" s="577"/>
      <c r="B21" s="618"/>
      <c r="C21" s="596"/>
      <c r="D21" s="596"/>
      <c r="E21" s="597"/>
      <c r="F21" s="598"/>
      <c r="G21" s="599"/>
      <c r="H21" s="600"/>
      <c r="I21" s="600"/>
      <c r="J21" s="601"/>
      <c r="K21" s="578"/>
      <c r="N21" s="577"/>
      <c r="O21" s="577"/>
    </row>
    <row r="22" spans="1:15" ht="15.6" hidden="1" thickTop="1" thickBot="1">
      <c r="A22" s="577"/>
      <c r="B22" s="618"/>
      <c r="C22" s="596"/>
      <c r="D22" s="596"/>
      <c r="E22" s="602"/>
      <c r="F22" s="598"/>
      <c r="G22" s="603"/>
      <c r="H22" s="596"/>
      <c r="I22" s="596"/>
      <c r="J22" s="597"/>
      <c r="K22" s="578"/>
      <c r="N22" s="577"/>
      <c r="O22" s="577"/>
    </row>
    <row r="23" spans="1:15" ht="15.6" hidden="1" thickTop="1" thickBot="1">
      <c r="A23" s="577"/>
      <c r="B23" s="619"/>
      <c r="C23" s="596"/>
      <c r="D23" s="596"/>
      <c r="E23" s="597"/>
      <c r="F23" s="598"/>
      <c r="G23" s="599"/>
      <c r="H23" s="600"/>
      <c r="I23" s="600"/>
      <c r="J23" s="601"/>
      <c r="K23" s="578"/>
      <c r="N23" s="577"/>
      <c r="O23" s="577"/>
    </row>
    <row r="24" spans="1:15" ht="15.6" hidden="1" thickTop="1" thickBot="1">
      <c r="A24" s="577"/>
      <c r="B24" s="619"/>
      <c r="C24" s="596"/>
      <c r="D24" s="596"/>
      <c r="E24" s="602"/>
      <c r="F24" s="598"/>
      <c r="G24" s="603"/>
      <c r="H24" s="596"/>
      <c r="I24" s="596"/>
      <c r="J24" s="597"/>
      <c r="K24" s="578"/>
      <c r="L24" s="578"/>
      <c r="M24" s="578"/>
      <c r="N24" s="577"/>
      <c r="O24" s="577"/>
    </row>
    <row r="25" spans="1:15" ht="15.6" hidden="1" thickTop="1" thickBot="1">
      <c r="A25" s="577"/>
      <c r="B25" s="619"/>
      <c r="C25" s="611"/>
      <c r="D25" s="596"/>
      <c r="E25" s="620"/>
      <c r="F25" s="598"/>
      <c r="G25" s="621"/>
      <c r="H25" s="622"/>
      <c r="I25" s="622"/>
      <c r="J25" s="623"/>
      <c r="K25" s="577"/>
    </row>
    <row r="26" spans="1:15" ht="15.6" hidden="1" thickTop="1" thickBot="1">
      <c r="A26" s="577"/>
      <c r="B26" s="619"/>
      <c r="C26" s="596"/>
      <c r="D26" s="596"/>
      <c r="E26" s="602"/>
      <c r="F26" s="598"/>
      <c r="G26" s="603"/>
      <c r="H26" s="596"/>
      <c r="I26" s="596"/>
      <c r="J26" s="597"/>
      <c r="K26" s="577"/>
      <c r="N26" s="577"/>
      <c r="O26" s="577"/>
    </row>
    <row r="27" spans="1:15" ht="15.6" hidden="1" thickTop="1" thickBot="1">
      <c r="A27" s="577"/>
      <c r="B27" s="619"/>
      <c r="C27" s="611"/>
      <c r="D27" s="596"/>
      <c r="E27" s="620"/>
      <c r="F27" s="598"/>
      <c r="G27" s="621"/>
      <c r="H27" s="622"/>
      <c r="I27" s="622"/>
      <c r="J27" s="623"/>
      <c r="K27" s="577"/>
    </row>
    <row r="28" spans="1:15" ht="15.6" hidden="1" thickTop="1" thickBot="1">
      <c r="A28" s="577"/>
      <c r="B28" s="618"/>
      <c r="C28" s="596"/>
      <c r="D28" s="596"/>
      <c r="E28" s="602"/>
      <c r="F28" s="598"/>
      <c r="G28" s="603"/>
      <c r="H28" s="596"/>
      <c r="I28" s="596"/>
      <c r="J28" s="597"/>
      <c r="K28" s="577"/>
      <c r="N28" s="577"/>
      <c r="O28" s="577"/>
    </row>
    <row r="29" spans="1:15" ht="15.6" hidden="1" thickTop="1" thickBot="1">
      <c r="A29" s="577"/>
      <c r="B29" s="618"/>
      <c r="C29" s="611"/>
      <c r="D29" s="611"/>
      <c r="E29" s="620"/>
      <c r="F29" s="598"/>
      <c r="G29" s="621"/>
      <c r="H29" s="622"/>
      <c r="I29" s="622"/>
      <c r="J29" s="623"/>
      <c r="K29" s="577"/>
      <c r="L29" s="577"/>
    </row>
    <row r="30" spans="1:15" ht="15.6" hidden="1" thickTop="1" thickBot="1">
      <c r="A30" s="577"/>
      <c r="B30" s="618"/>
      <c r="C30" s="596"/>
      <c r="D30" s="596"/>
      <c r="E30" s="602"/>
      <c r="F30" s="598"/>
      <c r="G30" s="603"/>
      <c r="H30" s="596"/>
      <c r="I30" s="596"/>
      <c r="J30" s="597"/>
      <c r="K30" s="577"/>
      <c r="L30" s="577"/>
    </row>
    <row r="31" spans="1:15" ht="15.6" hidden="1" thickTop="1" thickBot="1">
      <c r="A31" s="577"/>
      <c r="B31" s="618"/>
      <c r="C31" s="611"/>
      <c r="D31" s="611"/>
      <c r="E31" s="620"/>
      <c r="F31" s="598"/>
      <c r="G31" s="621"/>
      <c r="H31" s="622"/>
      <c r="I31" s="622"/>
      <c r="J31" s="623"/>
      <c r="K31" s="577"/>
      <c r="L31" s="577"/>
    </row>
    <row r="32" spans="1:15" ht="15.6" hidden="1" thickTop="1" thickBot="1">
      <c r="A32" s="577"/>
      <c r="B32" s="618"/>
      <c r="C32" s="596"/>
      <c r="D32" s="596"/>
      <c r="E32" s="602"/>
      <c r="F32" s="598"/>
      <c r="G32" s="603"/>
      <c r="H32" s="596"/>
      <c r="I32" s="596"/>
      <c r="J32" s="597"/>
      <c r="K32" s="577"/>
      <c r="L32" s="577"/>
    </row>
    <row r="33" spans="1:16" ht="15.6" hidden="1" thickTop="1" thickBot="1">
      <c r="A33" s="577"/>
      <c r="B33" s="618"/>
      <c r="C33" s="611"/>
      <c r="D33" s="611"/>
      <c r="E33" s="620"/>
      <c r="F33" s="598"/>
      <c r="G33" s="621"/>
      <c r="H33" s="622"/>
      <c r="I33" s="622"/>
      <c r="J33" s="623"/>
      <c r="K33" s="577"/>
      <c r="L33" s="577"/>
    </row>
    <row r="34" spans="1:16" ht="15.6" hidden="1" thickTop="1" thickBot="1">
      <c r="A34" s="577"/>
      <c r="B34" s="618"/>
      <c r="C34" s="596"/>
      <c r="D34" s="596"/>
      <c r="E34" s="602"/>
      <c r="F34" s="598"/>
      <c r="G34" s="603"/>
      <c r="H34" s="596"/>
      <c r="I34" s="596"/>
      <c r="J34" s="597"/>
      <c r="K34" s="577"/>
      <c r="L34" s="577"/>
    </row>
    <row r="35" spans="1:16" ht="15.6" hidden="1" thickTop="1" thickBot="1">
      <c r="A35" s="577"/>
      <c r="B35" s="618"/>
      <c r="C35" s="611"/>
      <c r="D35" s="611"/>
      <c r="E35" s="620"/>
      <c r="F35" s="598"/>
      <c r="G35" s="621"/>
      <c r="H35" s="622"/>
      <c r="I35" s="622"/>
      <c r="J35" s="623"/>
      <c r="K35" s="577"/>
      <c r="L35" s="577"/>
    </row>
    <row r="36" spans="1:16" ht="15.6" hidden="1" thickTop="1" thickBot="1">
      <c r="A36" s="577"/>
      <c r="B36" s="618"/>
      <c r="C36" s="596"/>
      <c r="D36" s="596"/>
      <c r="E36" s="602"/>
      <c r="F36" s="598"/>
      <c r="G36" s="603"/>
      <c r="H36" s="596"/>
      <c r="I36" s="596"/>
      <c r="J36" s="597"/>
      <c r="K36" s="577"/>
      <c r="L36" s="577"/>
    </row>
    <row r="37" spans="1:16" ht="15.6" hidden="1" thickTop="1" thickBot="1">
      <c r="A37" s="577"/>
      <c r="B37" s="624"/>
      <c r="C37" s="611"/>
      <c r="D37" s="611"/>
      <c r="E37" s="620"/>
      <c r="F37" s="598"/>
      <c r="G37" s="621"/>
      <c r="H37" s="622"/>
      <c r="I37" s="622"/>
      <c r="J37" s="623"/>
      <c r="K37" s="577"/>
      <c r="L37" s="577"/>
    </row>
    <row r="38" spans="1:16" ht="14.4">
      <c r="A38" s="577"/>
      <c r="B38" s="578" t="s">
        <v>554</v>
      </c>
      <c r="C38" s="625"/>
      <c r="D38" s="626">
        <f>SUM(D7:D37)</f>
        <v>1.7400000000000002</v>
      </c>
      <c r="E38" s="625"/>
      <c r="F38" s="598"/>
      <c r="G38" s="598"/>
      <c r="H38" s="598"/>
      <c r="I38" s="598"/>
      <c r="J38" s="598"/>
      <c r="K38" s="577"/>
      <c r="L38" s="577"/>
    </row>
    <row r="39" spans="1:16">
      <c r="A39" s="577"/>
      <c r="B39" s="627"/>
      <c r="C39" s="627"/>
      <c r="D39" s="627"/>
      <c r="E39" s="627"/>
      <c r="F39" s="627"/>
      <c r="G39" s="628"/>
      <c r="H39" s="628"/>
      <c r="I39" s="628"/>
      <c r="J39" s="628"/>
      <c r="K39" s="628"/>
      <c r="L39" s="628"/>
      <c r="M39" s="629"/>
      <c r="N39" s="629"/>
      <c r="O39" s="629"/>
      <c r="P39" s="629"/>
    </row>
    <row r="40" spans="1:16">
      <c r="A40" s="628"/>
      <c r="B40" s="627"/>
      <c r="C40" s="627"/>
      <c r="D40" s="627"/>
      <c r="E40" s="630"/>
      <c r="F40" s="627"/>
      <c r="G40" s="628"/>
      <c r="H40" s="628"/>
      <c r="I40" s="628"/>
      <c r="J40" s="628"/>
      <c r="K40" s="631"/>
      <c r="L40" s="631"/>
      <c r="M40" s="632"/>
      <c r="N40" s="632"/>
      <c r="O40" s="629"/>
      <c r="P40" s="629"/>
    </row>
    <row r="41" spans="1:16" ht="14.4">
      <c r="A41" s="628"/>
      <c r="B41" s="633"/>
      <c r="C41" s="627"/>
      <c r="D41" s="627"/>
      <c r="E41" s="627"/>
      <c r="F41" s="627"/>
      <c r="G41" s="628"/>
      <c r="H41" s="628"/>
      <c r="I41" s="628"/>
      <c r="J41" s="628"/>
      <c r="K41" s="632" t="s">
        <v>555</v>
      </c>
      <c r="L41" s="634"/>
      <c r="M41" s="632"/>
      <c r="N41" s="632"/>
      <c r="O41" s="629"/>
      <c r="P41" s="629"/>
    </row>
    <row r="42" spans="1:16" ht="14.4">
      <c r="A42" s="628"/>
      <c r="B42" s="633" t="s">
        <v>556</v>
      </c>
      <c r="C42" s="627"/>
      <c r="D42" s="627">
        <f>C4*E4/1000000</f>
        <v>6.3039999999999993E-5</v>
      </c>
      <c r="E42" s="627"/>
      <c r="F42" s="627"/>
      <c r="G42" s="628"/>
      <c r="H42" s="628" t="s">
        <v>557</v>
      </c>
      <c r="I42" s="628" t="s">
        <v>558</v>
      </c>
      <c r="J42" s="628" t="s">
        <v>559</v>
      </c>
      <c r="K42" s="635" t="s">
        <v>560</v>
      </c>
      <c r="L42" s="634"/>
      <c r="M42" s="632" t="s">
        <v>561</v>
      </c>
      <c r="N42" s="632" t="s">
        <v>562</v>
      </c>
      <c r="O42" s="629" t="s">
        <v>563</v>
      </c>
      <c r="P42" s="629"/>
    </row>
    <row r="43" spans="1:16" ht="14.4">
      <c r="A43" s="628"/>
      <c r="B43" s="629"/>
      <c r="C43" s="629"/>
      <c r="D43" s="636"/>
      <c r="E43" s="627"/>
      <c r="F43" s="627"/>
      <c r="G43" s="628"/>
      <c r="H43" s="628">
        <f>((H8/1000+I8*2/1000)^2-(H8/1000)^2)*PI()/4*G8</f>
        <v>4.4233624562544268E-7</v>
      </c>
      <c r="I43" s="628">
        <f>J8</f>
        <v>370</v>
      </c>
      <c r="J43" s="628">
        <f>IF(D8&lt;&gt;0,H43*I43/(D8/1000),100000000000000)</f>
        <v>0.10229025680088362</v>
      </c>
      <c r="K43" s="635">
        <f>IF(D8=0,100000000000000,IF(G8=0,100000000000000,1/J43))</f>
        <v>9.7761021555218317</v>
      </c>
      <c r="L43" s="634"/>
      <c r="M43" s="629">
        <f>D7/1000/C7/E7/D42</f>
        <v>1.4610606465402087E-2</v>
      </c>
      <c r="N43" s="632"/>
      <c r="O43" s="629">
        <f>M43</f>
        <v>1.4610606465402087E-2</v>
      </c>
      <c r="P43" s="629"/>
    </row>
    <row r="44" spans="1:16">
      <c r="A44" s="628"/>
      <c r="B44" s="629"/>
      <c r="C44" s="629"/>
      <c r="D44" s="629"/>
      <c r="E44" s="627"/>
      <c r="F44" s="627"/>
      <c r="G44" s="628"/>
      <c r="H44" s="628">
        <f>((H10/1000+I10*2/1000)^2-(H10/1000)^2)*PI()/4*G10</f>
        <v>2.9857696579717389E-6</v>
      </c>
      <c r="I44" s="628">
        <f>J10</f>
        <v>80</v>
      </c>
      <c r="J44" s="628">
        <f>IF(D8&lt;&gt;0,H44*I44/(D8/1000),100000000000000)</f>
        <v>0.14928848289858693</v>
      </c>
      <c r="K44" s="635">
        <f>IF(D8=0,100000000000000,IF(G8=0,100000000000000,1/J44))</f>
        <v>6.6984403658205132</v>
      </c>
      <c r="L44" s="631"/>
      <c r="M44" s="629">
        <f>D8/1000/C8/D42</f>
        <v>63.451776649746201</v>
      </c>
      <c r="N44" s="632">
        <f>IF(M44&lt;&gt;0,1/1/K43+1/K44+1/M44,100000000000000)</f>
        <v>0.26733873969947053</v>
      </c>
      <c r="O44" s="629">
        <f>1/N44</f>
        <v>3.7405727322727427</v>
      </c>
      <c r="P44" s="629"/>
    </row>
    <row r="45" spans="1:16">
      <c r="A45" s="628"/>
      <c r="B45" s="629"/>
      <c r="C45" s="629"/>
      <c r="D45" s="629"/>
      <c r="E45" s="627"/>
      <c r="F45" s="627"/>
      <c r="G45" s="628"/>
      <c r="H45" s="628">
        <f>((H12/1000+I12*2/1000)^2-(H12/1000)^2)*PI()/4*G12</f>
        <v>0</v>
      </c>
      <c r="I45" s="628">
        <f>J12</f>
        <v>370</v>
      </c>
      <c r="J45" s="628">
        <f>IF(D12&lt;&gt;0,H45*I45/(D12/1000),100000000000000)</f>
        <v>100000000000000</v>
      </c>
      <c r="K45" s="635">
        <f>IF(D12=0,100000000000000,IF(G12=0,100000000000000,1/J45))</f>
        <v>100000000000000</v>
      </c>
      <c r="L45" s="631"/>
      <c r="M45" s="629">
        <f>D9/1000/C9/E9/D42</f>
        <v>1.4610606465402087E-2</v>
      </c>
      <c r="N45" s="632"/>
      <c r="O45" s="629">
        <f>M45</f>
        <v>1.4610606465402087E-2</v>
      </c>
      <c r="P45" s="629"/>
    </row>
    <row r="46" spans="1:16">
      <c r="A46" s="629"/>
      <c r="B46" s="629"/>
      <c r="C46" s="629"/>
      <c r="D46" s="629"/>
      <c r="E46" s="629"/>
      <c r="F46" s="629"/>
      <c r="G46" s="629"/>
      <c r="H46" s="628">
        <f>((H14/1000+I14*2/1000)^2-(H14/1000)^2)*PI()/4*G14</f>
        <v>0</v>
      </c>
      <c r="I46" s="628">
        <f>J14</f>
        <v>370</v>
      </c>
      <c r="J46" s="628">
        <f>IF(D14&lt;&gt;0,H46*I46/(D14/1000),100000000000000)</f>
        <v>100000000000000</v>
      </c>
      <c r="K46" s="635">
        <f>IF(D14=0,100000000000000,IF(G14=0,100000000000000,1/J46))</f>
        <v>100000000000000</v>
      </c>
      <c r="L46" s="629"/>
      <c r="M46" s="629">
        <f>D10/1000/C10/D42</f>
        <v>0</v>
      </c>
      <c r="N46" s="632">
        <f>IF(M46&lt;&gt;0,1/K44+1/M46,100000000000000)</f>
        <v>100000000000000</v>
      </c>
      <c r="O46" s="629">
        <f>1/N46</f>
        <v>1E-14</v>
      </c>
      <c r="P46" s="629"/>
    </row>
    <row r="47" spans="1:16">
      <c r="A47" s="629"/>
      <c r="B47" s="629"/>
      <c r="C47" s="629"/>
      <c r="D47" s="629"/>
      <c r="E47" s="629"/>
      <c r="F47" s="629"/>
      <c r="G47" s="629"/>
      <c r="H47" s="628">
        <f>((H16/1000+I16*2/1000)^2-(H16/1000)^2)*PI()/4*G16</f>
        <v>0</v>
      </c>
      <c r="I47" s="628">
        <f>J16</f>
        <v>370</v>
      </c>
      <c r="J47" s="628">
        <f>IF(D16&lt;&gt;0,H47*I47/(D16/1000),100000000000000)</f>
        <v>100000000000000</v>
      </c>
      <c r="K47" s="635">
        <f>IF(D16=0,100000000000000,IF(G16=0,100000000000000,1/J47))</f>
        <v>100000000000000</v>
      </c>
      <c r="L47" s="629"/>
      <c r="M47" s="629">
        <f>D11/1000/C11/E11/D42</f>
        <v>0</v>
      </c>
      <c r="N47" s="632"/>
      <c r="O47" s="629">
        <f>M47</f>
        <v>0</v>
      </c>
      <c r="P47" s="629"/>
    </row>
    <row r="48" spans="1:16">
      <c r="A48" s="629"/>
      <c r="B48" s="629"/>
      <c r="C48" s="629"/>
      <c r="D48" s="629"/>
      <c r="E48" s="629"/>
      <c r="F48" s="629"/>
      <c r="G48" s="629"/>
      <c r="H48" s="628"/>
      <c r="I48" s="628"/>
      <c r="J48" s="628"/>
      <c r="K48" s="635"/>
      <c r="L48" s="629"/>
      <c r="M48" s="629">
        <f>D12/1000/C12/D42</f>
        <v>0</v>
      </c>
      <c r="N48" s="632">
        <f>IF(M48&lt;&gt;0,1/K45+1/M48,100000000000000)</f>
        <v>100000000000000</v>
      </c>
      <c r="O48" s="629">
        <f>1/N48</f>
        <v>1E-14</v>
      </c>
      <c r="P48" s="629"/>
    </row>
    <row r="49" spans="1:16">
      <c r="A49" s="629"/>
      <c r="B49" s="629"/>
      <c r="C49" s="629"/>
      <c r="D49" s="629"/>
      <c r="E49" s="629"/>
      <c r="F49" s="629"/>
      <c r="G49" s="629"/>
      <c r="H49" s="628"/>
      <c r="I49" s="628"/>
      <c r="J49" s="628"/>
      <c r="K49" s="635"/>
      <c r="L49" s="629"/>
      <c r="M49" s="629">
        <f>D13/1000/C13/E13/D42</f>
        <v>0</v>
      </c>
      <c r="N49" s="632"/>
      <c r="O49" s="629">
        <f>M49</f>
        <v>0</v>
      </c>
      <c r="P49" s="629"/>
    </row>
    <row r="50" spans="1:16">
      <c r="A50" s="629"/>
      <c r="B50" s="629"/>
      <c r="C50" s="629"/>
      <c r="D50" s="629"/>
      <c r="E50" s="629"/>
      <c r="F50" s="629"/>
      <c r="G50" s="629"/>
      <c r="H50" s="628"/>
      <c r="I50" s="628"/>
      <c r="J50" s="628"/>
      <c r="K50" s="635"/>
      <c r="L50" s="629"/>
      <c r="M50" s="629">
        <f>D14/1000/C14/D42</f>
        <v>0</v>
      </c>
      <c r="N50" s="632">
        <f>IF(M50&lt;&gt;0,1/K46+1/M50,100000000000000)</f>
        <v>100000000000000</v>
      </c>
      <c r="O50" s="629">
        <f>1/N50</f>
        <v>1E-14</v>
      </c>
      <c r="P50" s="629"/>
    </row>
    <row r="51" spans="1:16">
      <c r="A51" s="629"/>
      <c r="B51" s="629"/>
      <c r="C51" s="629"/>
      <c r="D51" s="629"/>
      <c r="E51" s="629"/>
      <c r="F51" s="629"/>
      <c r="G51" s="629"/>
      <c r="H51" s="628"/>
      <c r="I51" s="628"/>
      <c r="J51" s="628"/>
      <c r="K51" s="635"/>
      <c r="L51" s="629"/>
      <c r="M51" s="629">
        <f>D15/1000/C15/E15/D42</f>
        <v>0</v>
      </c>
      <c r="N51" s="632"/>
      <c r="O51" s="629">
        <f>M51</f>
        <v>0</v>
      </c>
      <c r="P51" s="629"/>
    </row>
    <row r="52" spans="1:16">
      <c r="A52" s="629"/>
      <c r="B52" s="629"/>
      <c r="C52" s="629"/>
      <c r="D52" s="629"/>
      <c r="E52" s="629"/>
      <c r="F52" s="629"/>
      <c r="G52" s="629"/>
      <c r="H52" s="628"/>
      <c r="I52" s="628"/>
      <c r="J52" s="628"/>
      <c r="K52" s="635"/>
      <c r="L52" s="629"/>
      <c r="M52" s="629">
        <f>D16/1000/C16/D42</f>
        <v>0</v>
      </c>
      <c r="N52" s="632">
        <f>IF(M52&lt;&gt;0,1/K47+1/M52,100000000000000)</f>
        <v>100000000000000</v>
      </c>
      <c r="O52" s="629">
        <f>1/N52</f>
        <v>1E-14</v>
      </c>
      <c r="P52" s="629"/>
    </row>
    <row r="53" spans="1:16">
      <c r="A53" s="629"/>
      <c r="B53" s="629"/>
      <c r="C53" s="629"/>
      <c r="D53" s="629"/>
      <c r="E53" s="629"/>
      <c r="F53" s="629"/>
      <c r="G53" s="629"/>
      <c r="H53" s="628"/>
      <c r="I53" s="628"/>
      <c r="J53" s="628"/>
      <c r="K53" s="635"/>
      <c r="L53" s="629"/>
      <c r="M53" s="629">
        <f>D17/1000/C17/E17/D42</f>
        <v>0</v>
      </c>
      <c r="N53" s="632"/>
      <c r="O53" s="629">
        <f>M53</f>
        <v>0</v>
      </c>
      <c r="P53" s="629"/>
    </row>
    <row r="54" spans="1:16">
      <c r="A54" s="629"/>
      <c r="B54" s="629"/>
      <c r="C54" s="629"/>
      <c r="D54" s="629"/>
      <c r="E54" s="629"/>
      <c r="F54" s="629"/>
      <c r="G54" s="629"/>
      <c r="H54" s="628"/>
      <c r="I54" s="628"/>
      <c r="J54" s="628"/>
      <c r="K54" s="635"/>
      <c r="L54" s="629"/>
      <c r="M54" s="629"/>
      <c r="N54" s="632"/>
      <c r="O54" s="629"/>
      <c r="P54" s="629"/>
    </row>
    <row r="55" spans="1:16">
      <c r="B55" s="629"/>
      <c r="C55" s="629"/>
      <c r="D55" s="629"/>
      <c r="E55" s="629"/>
      <c r="F55" s="629"/>
      <c r="G55" s="629"/>
      <c r="H55" s="628"/>
      <c r="I55" s="628"/>
      <c r="J55" s="628"/>
      <c r="K55" s="635"/>
      <c r="L55" s="629"/>
      <c r="M55" s="629"/>
      <c r="N55" s="632"/>
      <c r="O55" s="629"/>
      <c r="P55" s="629"/>
    </row>
    <row r="56" spans="1:16">
      <c r="B56" s="629"/>
      <c r="C56" s="629"/>
      <c r="D56" s="629"/>
      <c r="E56" s="629"/>
      <c r="F56" s="629"/>
      <c r="G56" s="629"/>
      <c r="H56" s="628"/>
      <c r="I56" s="628"/>
      <c r="J56" s="628"/>
      <c r="K56" s="635"/>
      <c r="L56" s="629"/>
      <c r="M56" s="629"/>
      <c r="N56" s="632"/>
      <c r="O56" s="629"/>
      <c r="P56" s="629"/>
    </row>
    <row r="57" spans="1:16">
      <c r="B57" s="629"/>
      <c r="C57" s="629"/>
      <c r="D57" s="629"/>
      <c r="E57" s="629"/>
      <c r="F57" s="629"/>
      <c r="G57" s="629"/>
      <c r="H57" s="628"/>
      <c r="I57" s="628"/>
      <c r="J57" s="628"/>
      <c r="K57" s="635"/>
      <c r="L57" s="629"/>
      <c r="M57" s="629"/>
      <c r="N57" s="632"/>
      <c r="O57" s="629"/>
      <c r="P57" s="629"/>
    </row>
    <row r="58" spans="1:16">
      <c r="B58" s="629"/>
      <c r="C58" s="629"/>
      <c r="D58" s="629"/>
      <c r="E58" s="629"/>
      <c r="F58" s="629"/>
      <c r="G58" s="629"/>
      <c r="L58" s="629"/>
      <c r="M58" s="629"/>
      <c r="N58" s="632"/>
      <c r="O58" s="629"/>
      <c r="P58" s="629"/>
    </row>
    <row r="59" spans="1:16">
      <c r="B59" s="629"/>
      <c r="C59" s="629"/>
      <c r="D59" s="629"/>
      <c r="E59" s="629"/>
      <c r="F59" s="629"/>
      <c r="G59" s="629"/>
      <c r="H59" s="628"/>
      <c r="I59" s="628"/>
      <c r="J59" s="628"/>
      <c r="K59" s="629"/>
      <c r="L59" s="629"/>
      <c r="M59" s="629"/>
      <c r="N59" s="632"/>
      <c r="O59" s="629"/>
      <c r="P59" s="629"/>
    </row>
    <row r="60" spans="1:16">
      <c r="B60" s="629"/>
      <c r="C60" s="629"/>
      <c r="D60" s="629"/>
      <c r="E60" s="629"/>
      <c r="F60" s="629"/>
      <c r="G60" s="629"/>
      <c r="L60" s="629"/>
      <c r="M60" s="629"/>
      <c r="N60" s="632"/>
      <c r="O60" s="629"/>
      <c r="P60" s="629"/>
    </row>
    <row r="61" spans="1:16">
      <c r="B61" s="629"/>
      <c r="C61" s="629"/>
      <c r="D61" s="629"/>
      <c r="E61" s="629"/>
      <c r="F61" s="629"/>
      <c r="G61" s="629"/>
      <c r="L61" s="629"/>
      <c r="M61" s="629"/>
      <c r="N61" s="632"/>
      <c r="O61" s="629"/>
      <c r="P61" s="629"/>
    </row>
    <row r="62" spans="1:16">
      <c r="B62" s="629"/>
      <c r="C62" s="629"/>
      <c r="D62" s="629"/>
      <c r="E62" s="629"/>
      <c r="F62" s="629"/>
      <c r="G62" s="629"/>
      <c r="H62" s="628"/>
      <c r="I62" s="628"/>
      <c r="J62" s="629"/>
      <c r="K62" s="629"/>
      <c r="M62" s="629"/>
      <c r="N62" s="632"/>
      <c r="O62" s="629"/>
      <c r="P62" s="629"/>
    </row>
    <row r="63" spans="1:16">
      <c r="B63" s="629"/>
      <c r="C63" s="629"/>
      <c r="D63" s="629"/>
      <c r="E63" s="629"/>
      <c r="F63" s="629"/>
      <c r="G63" s="629"/>
      <c r="H63" s="628"/>
      <c r="I63" s="628"/>
      <c r="J63" s="628"/>
      <c r="K63" s="629"/>
      <c r="L63" s="629"/>
      <c r="M63" s="629"/>
      <c r="N63" s="632"/>
      <c r="O63" s="629"/>
      <c r="P63" s="629"/>
    </row>
    <row r="64" spans="1:16">
      <c r="B64" s="629"/>
      <c r="C64" s="629"/>
      <c r="D64" s="629"/>
      <c r="E64" s="629"/>
      <c r="F64" s="629"/>
      <c r="G64" s="629"/>
      <c r="H64" s="629"/>
      <c r="I64" s="629"/>
      <c r="J64" s="628"/>
      <c r="K64" s="629"/>
      <c r="L64" s="629"/>
      <c r="M64" s="629"/>
      <c r="N64" s="632"/>
      <c r="O64" s="629"/>
      <c r="P64" s="629"/>
    </row>
    <row r="65" spans="2:16">
      <c r="B65" s="629"/>
      <c r="C65" s="629"/>
      <c r="D65" s="629"/>
      <c r="E65" s="629"/>
      <c r="F65" s="629"/>
      <c r="G65" s="629"/>
      <c r="H65" s="629"/>
      <c r="I65" s="629"/>
      <c r="J65" s="628"/>
      <c r="K65" s="629"/>
      <c r="L65" s="629"/>
      <c r="M65" s="629"/>
      <c r="N65" s="629"/>
      <c r="O65" s="629"/>
      <c r="P65" s="629"/>
    </row>
    <row r="66" spans="2:16">
      <c r="B66" s="629"/>
      <c r="C66" s="629"/>
      <c r="D66" s="629"/>
      <c r="E66" s="629"/>
      <c r="F66" s="629"/>
      <c r="G66" s="629"/>
      <c r="H66" s="629"/>
      <c r="I66" s="629"/>
      <c r="J66" s="629"/>
      <c r="K66" s="629"/>
      <c r="L66" s="629"/>
      <c r="M66" s="629"/>
      <c r="N66" s="632"/>
      <c r="O66" s="629"/>
    </row>
    <row r="67" spans="2:16">
      <c r="B67" s="629"/>
      <c r="C67" s="629"/>
      <c r="D67" s="629"/>
      <c r="E67" s="629"/>
      <c r="F67" s="629"/>
      <c r="G67" s="629"/>
      <c r="H67" s="629"/>
      <c r="I67" s="629"/>
      <c r="J67" s="629"/>
      <c r="K67" s="629"/>
      <c r="L67" s="629"/>
      <c r="M67" s="629"/>
      <c r="N67" s="629"/>
      <c r="O67" s="629"/>
    </row>
    <row r="68" spans="2:16">
      <c r="B68" s="629"/>
      <c r="C68" s="629"/>
      <c r="D68" s="629"/>
      <c r="E68" s="629"/>
      <c r="F68" s="629"/>
      <c r="G68" s="629"/>
      <c r="H68" s="629"/>
      <c r="I68" s="629"/>
      <c r="J68" s="629"/>
      <c r="K68" s="629"/>
      <c r="M68" s="629"/>
      <c r="N68" s="632"/>
      <c r="O68" s="629"/>
    </row>
    <row r="69" spans="2:16">
      <c r="B69" s="629"/>
      <c r="C69" s="629"/>
      <c r="D69" s="629"/>
      <c r="E69" s="629"/>
      <c r="F69" s="629"/>
      <c r="G69" s="629"/>
      <c r="H69" s="629"/>
      <c r="I69" s="629"/>
      <c r="J69" s="629"/>
      <c r="K69" s="629"/>
      <c r="L69" s="629"/>
      <c r="M69" s="629"/>
      <c r="N69" s="629"/>
      <c r="O69" s="629"/>
      <c r="P69" s="629"/>
    </row>
    <row r="70" spans="2:16">
      <c r="M70" s="629"/>
      <c r="N70" s="632"/>
      <c r="O70" s="629"/>
    </row>
    <row r="71" spans="2:16">
      <c r="M71" s="629"/>
      <c r="N71" s="629"/>
      <c r="O71" s="629"/>
    </row>
    <row r="72" spans="2:16">
      <c r="M72" s="629"/>
      <c r="N72" s="632"/>
      <c r="O72" s="629"/>
    </row>
    <row r="73" spans="2:16">
      <c r="M73" s="629"/>
      <c r="N73" s="629"/>
      <c r="O73" s="629"/>
    </row>
    <row r="75" spans="2:16">
      <c r="N75" s="629" t="s">
        <v>564</v>
      </c>
      <c r="O75" s="629">
        <f>SUM(O43:O74)</f>
        <v>3.7697939452035878</v>
      </c>
      <c r="P75" s="629" t="s">
        <v>564</v>
      </c>
    </row>
    <row r="76" spans="2:16">
      <c r="N76" s="629"/>
      <c r="O76" s="629">
        <f>1/O75</f>
        <v>0.26526648791304031</v>
      </c>
      <c r="P76" s="629"/>
    </row>
    <row r="77" spans="2:16">
      <c r="N77" s="629"/>
      <c r="O77" s="629">
        <f>O76*(D38/1000)/D42</f>
        <v>7.3217590255185643</v>
      </c>
      <c r="P77" s="629"/>
    </row>
  </sheetData>
  <phoneticPr fontId="7"/>
  <printOptions gridLinesSet="0"/>
  <pageMargins left="1.1811023622047245" right="0.39370078740157483" top="1.9685039370078741" bottom="0.39370078740157483" header="0.51181102362204722" footer="0.51181102362204722"/>
  <pageSetup paperSize="9" scale="120" orientation="landscape" horizontalDpi="720" verticalDpi="720" r:id="rId1"/>
  <headerFooter alignWithMargins="0">
    <oddHeader>&amp;A</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A1:H35"/>
  <sheetViews>
    <sheetView showGridLines="0" zoomScale="150" zoomScaleNormal="150" workbookViewId="0"/>
  </sheetViews>
  <sheetFormatPr defaultRowHeight="13.2"/>
  <cols>
    <col min="1" max="3" width="12.6640625" customWidth="1"/>
    <col min="4" max="4" width="14.33203125" customWidth="1"/>
    <col min="5" max="5" width="12.6640625" customWidth="1"/>
    <col min="6" max="6" width="13.6640625" customWidth="1"/>
    <col min="7" max="7" width="12.6640625" customWidth="1"/>
  </cols>
  <sheetData>
    <row r="1" spans="1:8" ht="21">
      <c r="A1" s="10" t="s">
        <v>514</v>
      </c>
    </row>
    <row r="2" spans="1:8" ht="13.8" thickBot="1"/>
    <row r="3" spans="1:8" ht="13.8" thickBot="1">
      <c r="A3" s="2" t="s">
        <v>0</v>
      </c>
      <c r="B3" s="3" t="s">
        <v>1</v>
      </c>
      <c r="C3" s="3" t="s">
        <v>2</v>
      </c>
      <c r="D3" s="4" t="s">
        <v>3</v>
      </c>
      <c r="E3" s="5" t="s">
        <v>4</v>
      </c>
    </row>
    <row r="4" spans="1:8">
      <c r="A4">
        <v>7</v>
      </c>
      <c r="B4">
        <v>7</v>
      </c>
      <c r="C4" s="1">
        <v>1</v>
      </c>
      <c r="D4">
        <v>2</v>
      </c>
      <c r="E4">
        <v>10</v>
      </c>
    </row>
    <row r="5" spans="1:8" ht="13.8" thickBot="1"/>
    <row r="6" spans="1:8" ht="13.8" thickBot="1">
      <c r="A6" s="6" t="s">
        <v>5</v>
      </c>
      <c r="B6" s="7" t="s">
        <v>6</v>
      </c>
      <c r="C6" s="7" t="s">
        <v>7</v>
      </c>
      <c r="D6" s="7" t="s">
        <v>8</v>
      </c>
      <c r="E6" s="7" t="s">
        <v>9</v>
      </c>
      <c r="F6" s="41" t="s">
        <v>10</v>
      </c>
      <c r="G6" s="43" t="s">
        <v>11</v>
      </c>
      <c r="H6" s="42"/>
    </row>
    <row r="7" spans="1:8">
      <c r="A7" s="33">
        <v>1</v>
      </c>
      <c r="B7" s="33">
        <v>2</v>
      </c>
      <c r="C7" s="33">
        <f>0.01*0.017*60/0.0002</f>
        <v>51</v>
      </c>
      <c r="D7" s="34">
        <v>1</v>
      </c>
      <c r="E7" s="34">
        <v>2</v>
      </c>
      <c r="F7" s="35">
        <v>6</v>
      </c>
      <c r="G7" s="35">
        <v>25</v>
      </c>
      <c r="H7" s="35"/>
    </row>
    <row r="8" spans="1:8">
      <c r="A8" s="35">
        <v>1</v>
      </c>
      <c r="B8" s="35">
        <v>7</v>
      </c>
      <c r="C8" s="33">
        <f xml:space="preserve"> 0.000332*(2.51* 0.56*(ABS(B16-B22)/ 0.01)^0.25+ 0.92*0.0000000567*((B16+273.15)^2+(B22+273.15)^2)*((B16+273.15)+(B22+273.15)))</f>
        <v>6.1386615812256866E-3</v>
      </c>
      <c r="D8" s="37" t="s">
        <v>19</v>
      </c>
      <c r="E8" s="34"/>
      <c r="F8" s="35">
        <v>7</v>
      </c>
      <c r="G8" s="35">
        <v>45</v>
      </c>
      <c r="H8" s="35"/>
    </row>
    <row r="9" spans="1:8">
      <c r="A9" s="33">
        <v>2</v>
      </c>
      <c r="B9" s="33">
        <v>3</v>
      </c>
      <c r="C9" s="33">
        <f>0.01*0.000035*380/G13</f>
        <v>6.6500000000000004E-2</v>
      </c>
      <c r="D9" s="36" t="s">
        <v>23</v>
      </c>
      <c r="E9" s="37"/>
      <c r="F9" s="37"/>
      <c r="G9" s="33"/>
      <c r="H9" s="38"/>
    </row>
    <row r="10" spans="1:8">
      <c r="A10" s="35">
        <v>2</v>
      </c>
      <c r="B10" s="35">
        <v>4</v>
      </c>
      <c r="C10" s="33">
        <f>0.01*0.017*0.4/0.0016</f>
        <v>4.2500000000000003E-2</v>
      </c>
      <c r="D10" s="34" t="s">
        <v>21</v>
      </c>
      <c r="E10" s="37"/>
      <c r="F10" s="37"/>
      <c r="G10" s="33"/>
      <c r="H10" s="38"/>
    </row>
    <row r="11" spans="1:8" ht="13.8" thickBot="1">
      <c r="A11" s="33">
        <v>3</v>
      </c>
      <c r="B11" s="33">
        <v>4</v>
      </c>
      <c r="C11" s="33">
        <f>(0.0003*PI()*0.00002*G12*380)/0.0016</f>
        <v>8.9535390627309086E-2</v>
      </c>
      <c r="D11" s="37" t="s">
        <v>22</v>
      </c>
      <c r="E11" s="37"/>
      <c r="F11" s="37"/>
      <c r="G11" s="37"/>
      <c r="H11" s="37"/>
    </row>
    <row r="12" spans="1:8">
      <c r="A12" s="35">
        <v>4</v>
      </c>
      <c r="B12" s="35">
        <v>5</v>
      </c>
      <c r="C12" s="33">
        <f>0.01*0.02*2/0.002</f>
        <v>0.2</v>
      </c>
      <c r="D12" s="34" t="s">
        <v>24</v>
      </c>
      <c r="E12" s="37"/>
      <c r="F12" s="197" t="s">
        <v>20</v>
      </c>
      <c r="G12" s="52">
        <v>20</v>
      </c>
      <c r="H12" s="34" t="s">
        <v>98</v>
      </c>
    </row>
    <row r="13" spans="1:8" ht="13.8" thickBot="1">
      <c r="A13" s="35">
        <v>5</v>
      </c>
      <c r="B13" s="35">
        <v>6</v>
      </c>
      <c r="C13" s="33">
        <f xml:space="preserve"> 0.1*0.1*(2.51* 0.27*(ABS(B20-B21)/ 0.1)^0.25+ 0.85*0.0000000567*((B20+273.15)^2+(B21+273.15)^2)*((B20+273.15)+(B21+273.15)))</f>
        <v>8.2941376156572891E-2</v>
      </c>
      <c r="D13" s="34" t="s">
        <v>25</v>
      </c>
      <c r="E13" s="34"/>
      <c r="F13" s="198" t="s">
        <v>26</v>
      </c>
      <c r="G13" s="199">
        <v>2E-3</v>
      </c>
      <c r="H13" s="34" t="s">
        <v>97</v>
      </c>
    </row>
    <row r="14" spans="1:8">
      <c r="A14" s="35"/>
      <c r="B14" s="35"/>
      <c r="C14" s="33"/>
      <c r="D14" s="37"/>
      <c r="E14" s="34"/>
      <c r="G14" s="35"/>
      <c r="H14" s="34"/>
    </row>
    <row r="15" spans="1:8">
      <c r="A15" s="35" t="s">
        <v>95</v>
      </c>
      <c r="B15" s="35" t="s">
        <v>96</v>
      </c>
      <c r="C15" s="33"/>
      <c r="D15" s="37"/>
      <c r="E15" s="37"/>
      <c r="G15" s="33"/>
      <c r="H15" s="34"/>
    </row>
    <row r="16" spans="1:8">
      <c r="A16" s="35">
        <v>1</v>
      </c>
      <c r="B16" s="35">
        <v>77.979019165039063</v>
      </c>
      <c r="C16" s="33"/>
      <c r="D16" s="37"/>
      <c r="E16" s="37"/>
      <c r="G16" s="36"/>
      <c r="H16" s="34"/>
    </row>
    <row r="17" spans="1:8">
      <c r="A17" s="35">
        <v>2</v>
      </c>
      <c r="B17" s="35">
        <v>77.943771362304688</v>
      </c>
      <c r="C17" s="35"/>
      <c r="D17" s="37"/>
      <c r="E17" s="37"/>
    </row>
    <row r="18" spans="1:8">
      <c r="A18" s="35">
        <v>3</v>
      </c>
      <c r="B18" s="35">
        <v>65.156387329101563</v>
      </c>
      <c r="C18" s="35"/>
      <c r="D18" s="37"/>
      <c r="E18" s="35"/>
      <c r="F18" s="35"/>
    </row>
    <row r="19" spans="1:8">
      <c r="A19" s="35">
        <v>4</v>
      </c>
      <c r="B19" s="35">
        <v>55.658897399902344</v>
      </c>
      <c r="C19" s="35"/>
      <c r="D19" s="37"/>
      <c r="E19" s="37"/>
      <c r="F19" s="35"/>
    </row>
    <row r="20" spans="1:8">
      <c r="A20" s="35">
        <v>5</v>
      </c>
      <c r="B20" s="35">
        <v>46.671554565429688</v>
      </c>
      <c r="C20" s="35"/>
      <c r="D20" s="37"/>
      <c r="E20" s="37"/>
      <c r="F20" s="35"/>
    </row>
    <row r="21" spans="1:8">
      <c r="A21" s="35">
        <v>6</v>
      </c>
      <c r="B21" s="35">
        <v>25</v>
      </c>
      <c r="C21" s="35"/>
      <c r="D21" s="37"/>
      <c r="E21" s="37"/>
      <c r="F21" s="35"/>
    </row>
    <row r="22" spans="1:8">
      <c r="A22" s="35">
        <v>7</v>
      </c>
      <c r="B22" s="35">
        <v>45</v>
      </c>
      <c r="C22" s="35"/>
      <c r="D22" s="37"/>
      <c r="E22" s="37"/>
      <c r="F22" s="35"/>
      <c r="G22" s="37"/>
      <c r="H22" s="37"/>
    </row>
    <row r="23" spans="1:8">
      <c r="A23" s="35"/>
      <c r="B23" s="35"/>
      <c r="C23" s="33"/>
      <c r="D23" s="37"/>
      <c r="E23" s="37"/>
      <c r="F23" s="35"/>
      <c r="G23" s="37"/>
      <c r="H23" s="37"/>
    </row>
    <row r="24" spans="1:8">
      <c r="C24" s="9"/>
      <c r="E24" s="37"/>
      <c r="F24" s="35"/>
    </row>
    <row r="25" spans="1:8">
      <c r="C25" s="9"/>
    </row>
    <row r="26" spans="1:8">
      <c r="C26" s="9"/>
      <c r="F26" s="39"/>
      <c r="G26" s="33"/>
      <c r="H26" s="35"/>
    </row>
    <row r="27" spans="1:8">
      <c r="C27" s="34"/>
      <c r="F27" s="39"/>
      <c r="G27" s="37"/>
      <c r="H27" s="35"/>
    </row>
    <row r="28" spans="1:8">
      <c r="C28" s="34"/>
      <c r="F28" s="39"/>
      <c r="G28" s="37"/>
      <c r="H28" s="35"/>
    </row>
    <row r="29" spans="1:8">
      <c r="C29" s="9"/>
      <c r="F29" s="39"/>
      <c r="G29" s="37"/>
      <c r="H29" s="35"/>
    </row>
    <row r="30" spans="1:8">
      <c r="C30" s="9"/>
      <c r="F30" s="39"/>
      <c r="G30" s="37"/>
      <c r="H30" s="35"/>
    </row>
    <row r="31" spans="1:8">
      <c r="C31" s="9"/>
      <c r="F31" s="39"/>
    </row>
    <row r="32" spans="1:8">
      <c r="C32" s="9"/>
      <c r="F32" s="39"/>
    </row>
    <row r="33" spans="3:6">
      <c r="C33" s="9"/>
      <c r="F33" s="39"/>
    </row>
    <row r="34" spans="3:6">
      <c r="C34" s="9"/>
      <c r="F34" s="39"/>
    </row>
    <row r="35" spans="3:6">
      <c r="F35" s="39"/>
    </row>
  </sheetData>
  <phoneticPr fontId="7"/>
  <pageMargins left="0.75" right="0.75" top="1" bottom="1" header="0.51200000000000001" footer="0.51200000000000001"/>
  <pageSetup paperSize="9" orientation="portrait" horizontalDpi="0" verticalDpi="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J19"/>
  <sheetViews>
    <sheetView showGridLines="0" showRowColHeaders="0" zoomScale="160" zoomScaleNormal="160" workbookViewId="0"/>
  </sheetViews>
  <sheetFormatPr defaultRowHeight="13.2"/>
  <cols>
    <col min="1" max="1" width="14" customWidth="1"/>
    <col min="2" max="2" width="5.44140625" customWidth="1"/>
    <col min="3" max="3" width="8.88671875" customWidth="1"/>
    <col min="4" max="4" width="8.33203125" customWidth="1"/>
    <col min="6" max="6" width="5.21875" customWidth="1"/>
    <col min="7" max="7" width="12.88671875" customWidth="1"/>
    <col min="8" max="8" width="7.21875" customWidth="1"/>
  </cols>
  <sheetData>
    <row r="1" spans="1:10" ht="22.5" customHeight="1">
      <c r="A1" s="126" t="s">
        <v>148</v>
      </c>
      <c r="C1" s="125"/>
    </row>
    <row r="2" spans="1:10">
      <c r="D2" s="646" t="s">
        <v>147</v>
      </c>
      <c r="E2" s="646"/>
    </row>
    <row r="3" spans="1:10" ht="13.8" thickBot="1">
      <c r="A3" s="70" t="s">
        <v>146</v>
      </c>
      <c r="B3" s="70" t="s">
        <v>145</v>
      </c>
      <c r="C3" s="124" t="s">
        <v>27</v>
      </c>
      <c r="D3" s="70" t="s">
        <v>144</v>
      </c>
      <c r="E3" s="70" t="s">
        <v>143</v>
      </c>
      <c r="G3" t="s">
        <v>142</v>
      </c>
      <c r="H3" s="57"/>
    </row>
    <row r="4" spans="1:10">
      <c r="A4" s="123" t="s">
        <v>141</v>
      </c>
      <c r="B4" s="122" t="s">
        <v>140</v>
      </c>
      <c r="C4" s="121">
        <v>59600000</v>
      </c>
      <c r="D4" s="120">
        <v>59600000</v>
      </c>
      <c r="E4" s="119">
        <v>37700000</v>
      </c>
      <c r="G4" s="105" t="s">
        <v>139</v>
      </c>
      <c r="H4" s="114" t="s">
        <v>138</v>
      </c>
      <c r="I4" s="113">
        <v>1.1499999999999999</v>
      </c>
    </row>
    <row r="5" spans="1:10">
      <c r="A5" s="107" t="s">
        <v>137</v>
      </c>
      <c r="B5" s="98" t="s">
        <v>136</v>
      </c>
      <c r="C5" s="112">
        <v>1.6800000000000002E-8</v>
      </c>
      <c r="D5" s="118">
        <v>1.6800000000000002E-8</v>
      </c>
      <c r="E5" s="117">
        <v>2.6499999999999999E-8</v>
      </c>
      <c r="G5" s="105" t="s">
        <v>135</v>
      </c>
      <c r="H5" s="114" t="s">
        <v>134</v>
      </c>
      <c r="I5" s="113">
        <v>9.81</v>
      </c>
    </row>
    <row r="6" spans="1:10">
      <c r="A6" s="107" t="s">
        <v>133</v>
      </c>
      <c r="B6" s="98"/>
      <c r="C6" s="112">
        <v>4.3299999999999996E-3</v>
      </c>
      <c r="D6" s="118">
        <v>4.3299999999999996E-3</v>
      </c>
      <c r="E6" s="117">
        <v>4.0000000000000001E-3</v>
      </c>
      <c r="F6" s="42"/>
      <c r="G6" s="105" t="s">
        <v>132</v>
      </c>
      <c r="H6" s="114" t="s">
        <v>131</v>
      </c>
      <c r="I6" s="113">
        <v>1.7E-5</v>
      </c>
    </row>
    <row r="7" spans="1:10" ht="13.8" thickBot="1">
      <c r="A7" s="99" t="s">
        <v>48</v>
      </c>
      <c r="B7" s="104"/>
      <c r="C7" s="116">
        <v>0.85</v>
      </c>
      <c r="F7" s="42"/>
      <c r="G7" s="105" t="s">
        <v>130</v>
      </c>
      <c r="H7" s="114" t="s">
        <v>129</v>
      </c>
      <c r="I7" s="113">
        <v>0.71</v>
      </c>
    </row>
    <row r="8" spans="1:10" ht="13.8" thickBot="1">
      <c r="F8" s="42"/>
      <c r="G8" s="105" t="s">
        <v>128</v>
      </c>
      <c r="H8" s="114" t="s">
        <v>127</v>
      </c>
      <c r="I8" s="113">
        <f ca="1">(C19)*0.0000725+0.0241</f>
        <v>2.6398111553522244E-2</v>
      </c>
    </row>
    <row r="9" spans="1:10">
      <c r="A9" s="101" t="s">
        <v>126</v>
      </c>
      <c r="B9" s="115" t="s">
        <v>125</v>
      </c>
      <c r="C9" s="100">
        <v>105</v>
      </c>
      <c r="F9" s="42"/>
      <c r="G9" s="105" t="s">
        <v>124</v>
      </c>
      <c r="H9" s="114" t="s">
        <v>123</v>
      </c>
      <c r="I9" s="113">
        <f>1/320</f>
        <v>3.1250000000000002E-3</v>
      </c>
    </row>
    <row r="10" spans="1:10">
      <c r="A10" s="107" t="s">
        <v>122</v>
      </c>
      <c r="B10" s="98" t="s">
        <v>119</v>
      </c>
      <c r="C10" s="112">
        <v>10</v>
      </c>
      <c r="D10" s="42"/>
      <c r="E10" s="111"/>
      <c r="F10" s="42"/>
      <c r="G10" s="110" t="s">
        <v>121</v>
      </c>
      <c r="H10" s="42"/>
      <c r="I10" s="109"/>
      <c r="J10" s="57"/>
    </row>
    <row r="11" spans="1:10">
      <c r="A11" s="107" t="s">
        <v>120</v>
      </c>
      <c r="B11" s="98" t="s">
        <v>119</v>
      </c>
      <c r="C11" s="106">
        <v>200</v>
      </c>
      <c r="D11" s="42"/>
      <c r="E11" s="42"/>
      <c r="F11" s="57"/>
      <c r="G11" s="96" t="s">
        <v>113</v>
      </c>
      <c r="H11" s="95"/>
      <c r="I11" s="95">
        <f ca="1">I14</f>
        <v>6.6980903934102365</v>
      </c>
      <c r="J11" s="57"/>
    </row>
    <row r="12" spans="1:10">
      <c r="A12" s="107" t="s">
        <v>118</v>
      </c>
      <c r="B12" s="98"/>
      <c r="C12" s="106">
        <v>1</v>
      </c>
      <c r="D12" s="42"/>
      <c r="E12" s="108"/>
      <c r="G12" s="105" t="s">
        <v>117</v>
      </c>
      <c r="H12" s="95"/>
      <c r="I12" s="95">
        <f ca="1">C14+I11+273.15</f>
        <v>304.84809039341019</v>
      </c>
      <c r="J12" s="57"/>
    </row>
    <row r="13" spans="1:10">
      <c r="A13" s="107" t="s">
        <v>116</v>
      </c>
      <c r="B13" s="98" t="s">
        <v>115</v>
      </c>
      <c r="C13" s="106">
        <v>10</v>
      </c>
      <c r="G13" s="105" t="s">
        <v>114</v>
      </c>
      <c r="H13" s="95"/>
      <c r="I13" s="95">
        <f>C14+273.15</f>
        <v>298.14999999999998</v>
      </c>
      <c r="J13" s="57"/>
    </row>
    <row r="14" spans="1:10" ht="13.8" thickBot="1">
      <c r="A14" s="99" t="s">
        <v>68</v>
      </c>
      <c r="B14" s="104" t="s">
        <v>104</v>
      </c>
      <c r="C14" s="97">
        <v>25</v>
      </c>
      <c r="G14" s="96" t="s">
        <v>113</v>
      </c>
      <c r="H14" s="95"/>
      <c r="I14" s="95">
        <f ca="1">C17/(I18*(I16+I17))</f>
        <v>6.6980903934102365</v>
      </c>
      <c r="J14" s="57"/>
    </row>
    <row r="15" spans="1:10" ht="13.8" thickBot="1">
      <c r="C15" s="27"/>
      <c r="G15" s="103" t="s">
        <v>100</v>
      </c>
      <c r="H15" s="102"/>
      <c r="I15" s="102"/>
      <c r="J15" s="57"/>
    </row>
    <row r="16" spans="1:10">
      <c r="A16" s="101" t="s">
        <v>112</v>
      </c>
      <c r="B16" s="98" t="s">
        <v>111</v>
      </c>
      <c r="C16" s="100">
        <f>C5*(C11/1000)/(C10*C9*C12/1000000000)</f>
        <v>3.2000000000000006E-3</v>
      </c>
      <c r="G16" s="96" t="s">
        <v>110</v>
      </c>
      <c r="H16" s="95"/>
      <c r="I16" s="95">
        <f ca="1">I8/(C10/1000)*0.56*((I9*I5*(C10/1000)^3*I11/I6^2)*I7)^0.25</f>
        <v>7.0059740053070456</v>
      </c>
      <c r="J16" s="57"/>
    </row>
    <row r="17" spans="1:10" ht="13.8" thickBot="1">
      <c r="A17" s="99" t="s">
        <v>109</v>
      </c>
      <c r="B17" s="98" t="s">
        <v>108</v>
      </c>
      <c r="C17" s="97">
        <f ca="1">C13^2*C16*(1+C6*(I11+C14-25))</f>
        <v>0.32928087404910933</v>
      </c>
      <c r="G17" s="96" t="s">
        <v>107</v>
      </c>
      <c r="H17" s="95"/>
      <c r="I17" s="95">
        <f ca="1">0.0000000567*C7*(I12^2+I13^2)*(I12+I13)</f>
        <v>5.2841286474230822</v>
      </c>
      <c r="J17" s="57"/>
    </row>
    <row r="18" spans="1:10" ht="13.8" thickBot="1">
      <c r="G18" s="96" t="s">
        <v>106</v>
      </c>
      <c r="H18" s="95"/>
      <c r="I18" s="95">
        <f>C10*C11/1000000*2</f>
        <v>4.0000000000000001E-3</v>
      </c>
    </row>
    <row r="19" spans="1:10" ht="13.8" thickBot="1">
      <c r="A19" s="94" t="s">
        <v>105</v>
      </c>
      <c r="B19" s="93" t="s">
        <v>104</v>
      </c>
      <c r="C19" s="92">
        <f ca="1">I11+C14</f>
        <v>31.698090393410236</v>
      </c>
    </row>
  </sheetData>
  <mergeCells count="1">
    <mergeCell ref="D2:E2"/>
  </mergeCells>
  <phoneticPr fontId="7"/>
  <pageMargins left="0.75" right="0.75" top="1" bottom="1" header="0.51200000000000001" footer="0.51200000000000001"/>
  <pageSetup paperSize="9" orientation="portrait" horizontalDpi="4294967293" verticalDpi="0"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2" tint="-0.249977111117893"/>
  </sheetPr>
  <dimension ref="A1:K77"/>
  <sheetViews>
    <sheetView zoomScale="115" zoomScaleNormal="115" workbookViewId="0"/>
  </sheetViews>
  <sheetFormatPr defaultRowHeight="13.2"/>
  <cols>
    <col min="1" max="10" width="13.6640625" customWidth="1"/>
    <col min="11" max="11" width="10.6640625" customWidth="1"/>
  </cols>
  <sheetData>
    <row r="1" spans="1:11" ht="21">
      <c r="A1" s="10" t="s">
        <v>295</v>
      </c>
      <c r="I1" t="s">
        <v>99</v>
      </c>
      <c r="J1">
        <v>60</v>
      </c>
    </row>
    <row r="2" spans="1:11" ht="13.8" thickBot="1"/>
    <row r="3" spans="1:11" ht="26.4">
      <c r="A3" s="11" t="s">
        <v>0</v>
      </c>
      <c r="B3" s="12" t="s">
        <v>1</v>
      </c>
      <c r="C3" s="12" t="s">
        <v>2</v>
      </c>
      <c r="D3" s="13" t="s">
        <v>12</v>
      </c>
      <c r="E3" s="13" t="s">
        <v>13</v>
      </c>
      <c r="F3" s="12" t="s">
        <v>4</v>
      </c>
      <c r="G3" s="14" t="s">
        <v>14</v>
      </c>
      <c r="H3" s="15" t="s">
        <v>15</v>
      </c>
    </row>
    <row r="4" spans="1:11" ht="13.8" thickBot="1">
      <c r="A4" s="16">
        <v>3</v>
      </c>
      <c r="B4" s="17">
        <v>2</v>
      </c>
      <c r="C4" s="18">
        <v>1</v>
      </c>
      <c r="D4" s="17">
        <v>1</v>
      </c>
      <c r="E4" s="17">
        <v>2</v>
      </c>
      <c r="F4" s="17">
        <v>3</v>
      </c>
      <c r="G4" s="88">
        <v>1</v>
      </c>
      <c r="H4" s="88">
        <v>60</v>
      </c>
    </row>
    <row r="5" spans="1:11" ht="13.8" thickBot="1"/>
    <row r="6" spans="1:11" ht="27" thickBot="1">
      <c r="A6" s="19" t="s">
        <v>5</v>
      </c>
      <c r="B6" s="20" t="s">
        <v>6</v>
      </c>
      <c r="C6" s="20" t="s">
        <v>7</v>
      </c>
      <c r="D6" s="20" t="s">
        <v>8</v>
      </c>
      <c r="E6" s="20" t="s">
        <v>9</v>
      </c>
      <c r="F6" s="20" t="s">
        <v>10</v>
      </c>
      <c r="G6" s="20" t="s">
        <v>11</v>
      </c>
      <c r="H6" s="21" t="s">
        <v>16</v>
      </c>
      <c r="I6" s="21" t="s">
        <v>17</v>
      </c>
      <c r="J6" s="22" t="s">
        <v>18</v>
      </c>
    </row>
    <row r="7" spans="1:11">
      <c r="A7" s="46">
        <v>1</v>
      </c>
      <c r="B7" s="46">
        <v>2</v>
      </c>
      <c r="C7" s="303">
        <f>1/0.04</f>
        <v>25</v>
      </c>
      <c r="D7" s="33">
        <v>1</v>
      </c>
      <c r="E7" s="78">
        <v>150</v>
      </c>
      <c r="F7" s="78">
        <v>3</v>
      </c>
      <c r="G7" s="78">
        <v>0</v>
      </c>
      <c r="H7" s="78">
        <v>1</v>
      </c>
      <c r="I7" s="78">
        <v>204</v>
      </c>
      <c r="J7" s="78">
        <v>0</v>
      </c>
      <c r="K7" s="78"/>
    </row>
    <row r="8" spans="1:11">
      <c r="A8" s="46">
        <v>2</v>
      </c>
      <c r="B8" s="46">
        <v>3</v>
      </c>
      <c r="C8" s="303">
        <f>1/0.2</f>
        <v>5</v>
      </c>
      <c r="D8" s="33"/>
      <c r="E8" s="78"/>
      <c r="F8" s="46"/>
      <c r="G8" s="46"/>
      <c r="H8" s="46">
        <v>2</v>
      </c>
      <c r="I8" s="46">
        <v>490</v>
      </c>
      <c r="J8" s="46">
        <v>0</v>
      </c>
    </row>
    <row r="9" spans="1:11">
      <c r="C9" s="32"/>
    </row>
    <row r="10" spans="1:11">
      <c r="A10" t="s">
        <v>296</v>
      </c>
      <c r="B10">
        <v>60</v>
      </c>
      <c r="C10" s="32"/>
    </row>
    <row r="11" spans="1:11">
      <c r="A11">
        <v>1</v>
      </c>
      <c r="B11">
        <v>14.275642928363547</v>
      </c>
      <c r="C11" s="32"/>
    </row>
    <row r="12" spans="1:11">
      <c r="A12">
        <v>2</v>
      </c>
      <c r="B12">
        <v>9.5304336140790955</v>
      </c>
      <c r="C12" s="32"/>
      <c r="J12" s="9"/>
    </row>
    <row r="13" spans="1:11">
      <c r="A13">
        <v>3</v>
      </c>
      <c r="B13">
        <v>0</v>
      </c>
      <c r="C13" s="32"/>
    </row>
    <row r="14" spans="1:11">
      <c r="C14" s="32"/>
    </row>
    <row r="15" spans="1:11">
      <c r="C15" s="32"/>
    </row>
    <row r="16" spans="1:11">
      <c r="A16" t="s">
        <v>297</v>
      </c>
      <c r="B16" t="s">
        <v>298</v>
      </c>
      <c r="C16" s="32" t="s">
        <v>299</v>
      </c>
      <c r="D16" t="s">
        <v>300</v>
      </c>
    </row>
    <row r="17" spans="1:4">
      <c r="A17">
        <v>0</v>
      </c>
      <c r="B17">
        <v>0</v>
      </c>
      <c r="C17" s="32">
        <v>0</v>
      </c>
      <c r="D17">
        <v>0</v>
      </c>
    </row>
    <row r="18" spans="1:4">
      <c r="A18">
        <v>1</v>
      </c>
      <c r="B18">
        <v>0.65847790300113962</v>
      </c>
      <c r="C18" s="32">
        <v>3.165759149043941E-2</v>
      </c>
      <c r="D18">
        <v>0</v>
      </c>
    </row>
    <row r="19" spans="1:4">
      <c r="A19">
        <v>2</v>
      </c>
      <c r="B19">
        <v>1.2514384487452517</v>
      </c>
      <c r="C19" s="32">
        <v>8.9996502017205007E-2</v>
      </c>
      <c r="D19">
        <v>0</v>
      </c>
    </row>
    <row r="20" spans="1:4">
      <c r="A20">
        <v>3</v>
      </c>
      <c r="B20">
        <v>1.7884854821882323</v>
      </c>
      <c r="C20" s="32">
        <v>0.17078927508295436</v>
      </c>
      <c r="D20">
        <v>0</v>
      </c>
    </row>
    <row r="21" spans="1:4">
      <c r="A21">
        <v>4</v>
      </c>
      <c r="B21">
        <v>2.2777823525414198</v>
      </c>
      <c r="C21" s="32">
        <v>0.27044481462342906</v>
      </c>
      <c r="D21">
        <v>0</v>
      </c>
    </row>
    <row r="22" spans="1:4">
      <c r="A22">
        <v>5</v>
      </c>
      <c r="B22">
        <v>2.7262682110230116</v>
      </c>
      <c r="C22" s="32">
        <v>0.38591281623279911</v>
      </c>
      <c r="D22">
        <v>0</v>
      </c>
    </row>
    <row r="23" spans="1:4">
      <c r="A23">
        <v>6</v>
      </c>
      <c r="B23">
        <v>3.1398418287465524</v>
      </c>
      <c r="C23" s="32">
        <v>0.51460254937064498</v>
      </c>
      <c r="D23">
        <v>0</v>
      </c>
    </row>
    <row r="24" spans="1:4">
      <c r="A24">
        <v>7</v>
      </c>
      <c r="B24">
        <v>3.5235178120233397</v>
      </c>
      <c r="C24" s="9">
        <v>0.65431383556192213</v>
      </c>
      <c r="D24">
        <v>0</v>
      </c>
    </row>
    <row r="25" spans="1:4">
      <c r="A25">
        <v>8</v>
      </c>
      <c r="B25">
        <v>3.8815593599685063</v>
      </c>
      <c r="C25" s="9">
        <v>0.80317839120106627</v>
      </c>
      <c r="D25">
        <v>0</v>
      </c>
    </row>
    <row r="26" spans="1:4">
      <c r="A26">
        <v>9</v>
      </c>
      <c r="B26">
        <v>4.2175910868909892</v>
      </c>
      <c r="C26" s="9">
        <v>0.95960997857845609</v>
      </c>
      <c r="D26">
        <v>0</v>
      </c>
    </row>
    <row r="27" spans="1:4">
      <c r="A27">
        <v>10</v>
      </c>
      <c r="B27">
        <v>4.5346949030009895</v>
      </c>
      <c r="C27" s="9">
        <v>1.1222620424585927</v>
      </c>
      <c r="D27">
        <v>0</v>
      </c>
    </row>
    <row r="28" spans="1:4">
      <c r="A28">
        <v>11</v>
      </c>
      <c r="B28">
        <v>4.8354914974501941</v>
      </c>
      <c r="C28" s="9">
        <v>1.2899917081557026</v>
      </c>
      <c r="D28">
        <v>0</v>
      </c>
    </row>
    <row r="29" spans="1:4">
      <c r="A29">
        <v>12</v>
      </c>
      <c r="B29">
        <v>5.1222095857027901</v>
      </c>
      <c r="C29" s="9">
        <v>1.4618291858439694</v>
      </c>
      <c r="D29">
        <v>0</v>
      </c>
    </row>
    <row r="30" spans="1:4">
      <c r="A30">
        <v>13</v>
      </c>
      <c r="B30">
        <v>5.3967447585829271</v>
      </c>
      <c r="C30" s="9">
        <v>1.6369517692848428</v>
      </c>
      <c r="D30">
        <v>0</v>
      </c>
    </row>
    <row r="31" spans="1:4">
      <c r="A31">
        <v>14</v>
      </c>
      <c r="B31">
        <v>5.6607094944427523</v>
      </c>
      <c r="C31" s="9">
        <v>1.8146617390589266</v>
      </c>
      <c r="D31">
        <v>0</v>
      </c>
    </row>
    <row r="32" spans="1:4">
      <c r="A32">
        <v>15</v>
      </c>
      <c r="B32">
        <v>5.915475661423824</v>
      </c>
      <c r="C32" s="9">
        <v>1.9943675839893649</v>
      </c>
      <c r="D32">
        <v>0</v>
      </c>
    </row>
    <row r="33" spans="1:4">
      <c r="A33">
        <v>16</v>
      </c>
      <c r="B33">
        <v>6.1622106375223424</v>
      </c>
      <c r="C33" s="9">
        <v>2.1755680424862449</v>
      </c>
      <c r="D33">
        <v>0</v>
      </c>
    </row>
    <row r="34" spans="1:4">
      <c r="A34">
        <v>17</v>
      </c>
      <c r="B34">
        <v>6.4019080068281333</v>
      </c>
      <c r="C34">
        <v>2.357838540363391</v>
      </c>
      <c r="D34">
        <v>0</v>
      </c>
    </row>
    <row r="35" spans="1:4">
      <c r="A35">
        <v>18</v>
      </c>
      <c r="B35">
        <v>6.6354136463955085</v>
      </c>
      <c r="C35">
        <v>2.5408196652652872</v>
      </c>
      <c r="D35">
        <v>0</v>
      </c>
    </row>
    <row r="36" spans="1:4">
      <c r="A36">
        <v>19</v>
      </c>
      <c r="B36">
        <v>6.8634478959025396</v>
      </c>
      <c r="C36">
        <v>2.7242073718799125</v>
      </c>
      <c r="D36">
        <v>0</v>
      </c>
    </row>
    <row r="37" spans="1:4">
      <c r="A37">
        <v>20</v>
      </c>
      <c r="B37">
        <v>7.0866243983189428</v>
      </c>
      <c r="C37">
        <v>2.9077446580367901</v>
      </c>
      <c r="D37">
        <v>0</v>
      </c>
    </row>
    <row r="38" spans="1:4">
      <c r="A38">
        <v>21</v>
      </c>
      <c r="B38">
        <v>7.3054661114737591</v>
      </c>
      <c r="C38">
        <v>3.0912144908170602</v>
      </c>
      <c r="D38">
        <v>0</v>
      </c>
    </row>
    <row r="39" spans="1:4">
      <c r="A39">
        <v>22</v>
      </c>
      <c r="B39">
        <v>7.5204189153488272</v>
      </c>
      <c r="C39">
        <v>3.2744337949693851</v>
      </c>
      <c r="D39">
        <v>0</v>
      </c>
    </row>
    <row r="40" spans="1:4">
      <c r="A40">
        <v>23</v>
      </c>
      <c r="B40">
        <v>7.7318631761308385</v>
      </c>
      <c r="C40">
        <v>3.4572483441120569</v>
      </c>
      <c r="D40">
        <v>0</v>
      </c>
    </row>
    <row r="41" spans="1:4">
      <c r="A41">
        <v>24</v>
      </c>
      <c r="B41">
        <v>7.9401235738409692</v>
      </c>
      <c r="C41">
        <v>3.639528419155639</v>
      </c>
      <c r="D41">
        <v>0</v>
      </c>
    </row>
    <row r="42" spans="1:4">
      <c r="A42">
        <v>25</v>
      </c>
      <c r="B42">
        <v>8.1454774542881818</v>
      </c>
      <c r="C42">
        <v>3.8211651187374378</v>
      </c>
      <c r="D42">
        <v>0</v>
      </c>
    </row>
    <row r="43" spans="1:4">
      <c r="A43">
        <v>26</v>
      </c>
      <c r="B43">
        <v>8.3481619269378591</v>
      </c>
      <c r="C43">
        <v>4.0020672237592141</v>
      </c>
      <c r="D43">
        <v>0</v>
      </c>
    </row>
    <row r="44" spans="1:4">
      <c r="A44">
        <v>27</v>
      </c>
      <c r="B44">
        <v>8.5483798970125235</v>
      </c>
      <c r="C44">
        <v>4.1821585328217852</v>
      </c>
      <c r="D44">
        <v>0</v>
      </c>
    </row>
    <row r="45" spans="1:4">
      <c r="A45">
        <v>28</v>
      </c>
      <c r="B45">
        <v>8.7463051918632004</v>
      </c>
      <c r="C45">
        <v>4.3613755978447211</v>
      </c>
      <c r="D45">
        <v>0</v>
      </c>
    </row>
    <row r="46" spans="1:4">
      <c r="A46">
        <v>29</v>
      </c>
      <c r="B46">
        <v>8.9420869176180506</v>
      </c>
      <c r="C46">
        <v>4.5396657997776249</v>
      </c>
      <c r="D46">
        <v>0</v>
      </c>
    </row>
    <row r="47" spans="1:4">
      <c r="A47">
        <v>30</v>
      </c>
      <c r="B47">
        <v>9.135853161691772</v>
      </c>
      <c r="C47">
        <v>4.7169857133333286</v>
      </c>
      <c r="D47">
        <v>0</v>
      </c>
    </row>
    <row r="48" spans="1:4">
      <c r="A48">
        <v>31</v>
      </c>
      <c r="B48">
        <v>9.3277141393828575</v>
      </c>
      <c r="C48">
        <v>4.8932997173421198</v>
      </c>
      <c r="D48">
        <v>0</v>
      </c>
    </row>
    <row r="49" spans="1:4">
      <c r="A49">
        <v>32</v>
      </c>
      <c r="B49">
        <v>9.5177648680357478</v>
      </c>
      <c r="C49">
        <v>5.068578813843331</v>
      </c>
      <c r="D49">
        <v>0</v>
      </c>
    </row>
    <row r="50" spans="1:4">
      <c r="A50">
        <v>33</v>
      </c>
      <c r="B50">
        <v>9.7060874397097034</v>
      </c>
      <c r="C50">
        <v>5.2427996245691828</v>
      </c>
      <c r="D50">
        <v>0</v>
      </c>
    </row>
    <row r="51" spans="1:4">
      <c r="A51">
        <v>34</v>
      </c>
      <c r="B51">
        <v>9.8927529526434324</v>
      </c>
      <c r="C51">
        <v>5.4159435381826651</v>
      </c>
      <c r="D51">
        <v>0</v>
      </c>
    </row>
    <row r="52" spans="1:4">
      <c r="A52">
        <v>35</v>
      </c>
      <c r="B52">
        <v>10.077823152751279</v>
      </c>
      <c r="C52">
        <v>5.5879959856313235</v>
      </c>
      <c r="D52">
        <v>0</v>
      </c>
    </row>
    <row r="53" spans="1:4">
      <c r="A53">
        <v>36</v>
      </c>
      <c r="B53">
        <v>10.261351828693085</v>
      </c>
      <c r="C53">
        <v>5.7589458243782232</v>
      </c>
      <c r="D53">
        <v>0</v>
      </c>
    </row>
    <row r="54" spans="1:4">
      <c r="A54">
        <v>37</v>
      </c>
      <c r="B54">
        <v>10.443385997521386</v>
      </c>
      <c r="C54">
        <v>5.9287848151603155</v>
      </c>
      <c r="D54">
        <v>0</v>
      </c>
    </row>
    <row r="55" spans="1:4">
      <c r="A55">
        <v>38</v>
      </c>
      <c r="B55">
        <v>10.623966912353065</v>
      </c>
      <c r="C55">
        <v>6.0975071773795797</v>
      </c>
      <c r="D55">
        <v>0</v>
      </c>
    </row>
    <row r="56" spans="1:4">
      <c r="A56">
        <v>39</v>
      </c>
      <c r="B56">
        <v>10.803130918790369</v>
      </c>
      <c r="C56">
        <v>6.265109211318757</v>
      </c>
      <c r="D56">
        <v>0</v>
      </c>
    </row>
    <row r="57" spans="1:4">
      <c r="A57">
        <v>40</v>
      </c>
      <c r="B57">
        <v>10.980910182803065</v>
      </c>
      <c r="C57">
        <v>6.431588977146669</v>
      </c>
      <c r="D57">
        <v>0</v>
      </c>
    </row>
    <row r="58" spans="1:4">
      <c r="A58">
        <v>41</v>
      </c>
      <c r="B58">
        <v>11.157333309373143</v>
      </c>
      <c r="C58">
        <v>6.5969460221849934</v>
      </c>
      <c r="D58">
        <v>0</v>
      </c>
    </row>
    <row r="59" spans="1:4">
      <c r="A59">
        <v>42</v>
      </c>
      <c r="B59">
        <v>11.332425868305004</v>
      </c>
      <c r="C59">
        <v>6.7611811491889853</v>
      </c>
      <c r="D59">
        <v>0</v>
      </c>
    </row>
    <row r="60" spans="1:4">
      <c r="A60">
        <v>43</v>
      </c>
      <c r="B60">
        <v>11.506210841141023</v>
      </c>
      <c r="C60">
        <v>6.9242962194829403</v>
      </c>
      <c r="D60">
        <v>0</v>
      </c>
    </row>
    <row r="61" spans="1:4">
      <c r="A61">
        <v>44</v>
      </c>
      <c r="B61">
        <v>11.678709001029132</v>
      </c>
      <c r="C61">
        <v>7.0862939857160949</v>
      </c>
      <c r="D61">
        <v>0</v>
      </c>
    </row>
    <row r="62" spans="1:4">
      <c r="A62">
        <v>45</v>
      </c>
      <c r="B62">
        <v>11.849939235610085</v>
      </c>
      <c r="C62">
        <v>7.2471779497906521</v>
      </c>
      <c r="D62">
        <v>0</v>
      </c>
    </row>
    <row r="63" spans="1:4">
      <c r="A63">
        <v>46</v>
      </c>
      <c r="B63">
        <v>12.019918821480337</v>
      </c>
      <c r="C63">
        <v>7.4069522421815925</v>
      </c>
      <c r="D63">
        <v>0</v>
      </c>
    </row>
    <row r="64" spans="1:4">
      <c r="A64">
        <v>47</v>
      </c>
      <c r="B64">
        <v>12.188663657501657</v>
      </c>
      <c r="C64">
        <v>7.5656215194356191</v>
      </c>
      <c r="D64">
        <v>0</v>
      </c>
    </row>
    <row r="65" spans="1:4">
      <c r="A65">
        <v>48</v>
      </c>
      <c r="B65">
        <v>12.356188463136737</v>
      </c>
      <c r="C65">
        <v>7.7231908771189843</v>
      </c>
      <c r="D65">
        <v>0</v>
      </c>
    </row>
    <row r="66" spans="1:4">
      <c r="A66">
        <v>49</v>
      </c>
      <c r="B66">
        <v>12.522506947062197</v>
      </c>
      <c r="C66">
        <v>7.8796657758939572</v>
      </c>
      <c r="D66">
        <v>0</v>
      </c>
    </row>
    <row r="67" spans="1:4">
      <c r="A67">
        <v>50</v>
      </c>
      <c r="B67">
        <v>12.687631950521792</v>
      </c>
      <c r="C67">
        <v>8.0350519787520849</v>
      </c>
      <c r="D67">
        <v>0</v>
      </c>
    </row>
    <row r="68" spans="1:4">
      <c r="A68">
        <v>51</v>
      </c>
      <c r="B68">
        <v>12.851575569212486</v>
      </c>
      <c r="C68">
        <v>8.1893554977285277</v>
      </c>
      <c r="D68">
        <v>0</v>
      </c>
    </row>
    <row r="69" spans="1:4">
      <c r="A69">
        <v>52</v>
      </c>
      <c r="B69">
        <v>13.014349256926552</v>
      </c>
      <c r="C69">
        <v>8.3425825486733505</v>
      </c>
      <c r="D69">
        <v>0</v>
      </c>
    </row>
    <row r="70" spans="1:4">
      <c r="A70">
        <v>53</v>
      </c>
      <c r="B70">
        <v>13.175963913688888</v>
      </c>
      <c r="C70">
        <v>8.4947395128695469</v>
      </c>
      <c r="D70">
        <v>0</v>
      </c>
    </row>
    <row r="71" spans="1:4">
      <c r="A71">
        <v>54</v>
      </c>
      <c r="B71">
        <v>13.336429960717311</v>
      </c>
      <c r="C71">
        <v>8.6458329044692519</v>
      </c>
      <c r="D71">
        <v>0</v>
      </c>
    </row>
    <row r="72" spans="1:4">
      <c r="A72">
        <v>55</v>
      </c>
      <c r="B72">
        <v>13.495757404184211</v>
      </c>
      <c r="C72">
        <v>8.7958693428741146</v>
      </c>
      <c r="D72">
        <v>0</v>
      </c>
    </row>
    <row r="73" spans="1:4">
      <c r="A73">
        <v>56</v>
      </c>
      <c r="B73">
        <v>13.653955889460715</v>
      </c>
      <c r="C73">
        <v>8.9448555293169889</v>
      </c>
      <c r="D73">
        <v>0</v>
      </c>
    </row>
    <row r="74" spans="1:4">
      <c r="A74">
        <v>57</v>
      </c>
      <c r="B74">
        <v>13.811034747272178</v>
      </c>
      <c r="C74">
        <v>9.0927982270137111</v>
      </c>
      <c r="D74">
        <v>0</v>
      </c>
    </row>
    <row r="75" spans="1:4">
      <c r="A75">
        <v>58</v>
      </c>
      <c r="B75">
        <v>13.967003032979196</v>
      </c>
      <c r="C75">
        <v>9.2397042443484594</v>
      </c>
      <c r="D75">
        <v>0</v>
      </c>
    </row>
    <row r="76" spans="1:4">
      <c r="A76">
        <v>59</v>
      </c>
      <c r="B76">
        <v>14.121869560016053</v>
      </c>
      <c r="C76">
        <v>9.3855804206368187</v>
      </c>
      <c r="D76">
        <v>0</v>
      </c>
    </row>
    <row r="77" spans="1:4">
      <c r="A77">
        <v>60</v>
      </c>
      <c r="B77">
        <v>14.275642928363547</v>
      </c>
      <c r="C77">
        <v>9.5304336140790955</v>
      </c>
      <c r="D77">
        <v>0</v>
      </c>
    </row>
  </sheetData>
  <phoneticPr fontId="7"/>
  <pageMargins left="0.75" right="0.75" top="1" bottom="1" header="0.51200000000000001" footer="0.51200000000000001"/>
  <pageSetup paperSize="9" orientation="portrait" horizontalDpi="4294967293" verticalDpi="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tint="0.59999389629810485"/>
  </sheetPr>
  <dimension ref="B1:S59"/>
  <sheetViews>
    <sheetView showGridLines="0" zoomScale="115" zoomScaleNormal="115" workbookViewId="0">
      <selection activeCell="E6" sqref="E6"/>
    </sheetView>
  </sheetViews>
  <sheetFormatPr defaultRowHeight="13.2"/>
  <cols>
    <col min="1" max="1" width="2.88671875" customWidth="1"/>
    <col min="2" max="2" width="24.77734375" customWidth="1"/>
    <col min="3" max="3" width="13.33203125" customWidth="1"/>
    <col min="4" max="4" width="14.21875" customWidth="1"/>
    <col min="5" max="5" width="14.44140625" bestFit="1" customWidth="1"/>
    <col min="6" max="6" width="6.6640625" customWidth="1"/>
    <col min="7" max="7" width="4.6640625" customWidth="1"/>
    <col min="8" max="8" width="14.109375" customWidth="1"/>
    <col min="9" max="9" width="10.6640625" customWidth="1"/>
    <col min="10" max="10" width="11.33203125" customWidth="1"/>
    <col min="11" max="11" width="13.6640625" customWidth="1"/>
    <col min="12" max="12" width="13.21875" customWidth="1"/>
    <col min="257" max="257" width="2.88671875" customWidth="1"/>
    <col min="258" max="258" width="18.6640625" customWidth="1"/>
    <col min="259" max="259" width="13.33203125" customWidth="1"/>
    <col min="260" max="260" width="14.21875" customWidth="1"/>
    <col min="261" max="261" width="14.44140625" bestFit="1" customWidth="1"/>
    <col min="262" max="262" width="6.6640625" customWidth="1"/>
    <col min="263" max="263" width="4.6640625" customWidth="1"/>
    <col min="264" max="264" width="14.109375" customWidth="1"/>
    <col min="265" max="265" width="10.6640625" customWidth="1"/>
    <col min="266" max="266" width="11.33203125" customWidth="1"/>
    <col min="267" max="267" width="13.6640625" customWidth="1"/>
    <col min="268" max="268" width="13.21875" customWidth="1"/>
    <col min="513" max="513" width="2.88671875" customWidth="1"/>
    <col min="514" max="514" width="18.6640625" customWidth="1"/>
    <col min="515" max="515" width="13.33203125" customWidth="1"/>
    <col min="516" max="516" width="14.21875" customWidth="1"/>
    <col min="517" max="517" width="14.44140625" bestFit="1" customWidth="1"/>
    <col min="518" max="518" width="6.6640625" customWidth="1"/>
    <col min="519" max="519" width="4.6640625" customWidth="1"/>
    <col min="520" max="520" width="14.109375" customWidth="1"/>
    <col min="521" max="521" width="10.6640625" customWidth="1"/>
    <col min="522" max="522" width="11.33203125" customWidth="1"/>
    <col min="523" max="523" width="13.6640625" customWidth="1"/>
    <col min="524" max="524" width="13.21875" customWidth="1"/>
    <col min="769" max="769" width="2.88671875" customWidth="1"/>
    <col min="770" max="770" width="18.6640625" customWidth="1"/>
    <col min="771" max="771" width="13.33203125" customWidth="1"/>
    <col min="772" max="772" width="14.21875" customWidth="1"/>
    <col min="773" max="773" width="14.44140625" bestFit="1" customWidth="1"/>
    <col min="774" max="774" width="6.6640625" customWidth="1"/>
    <col min="775" max="775" width="4.6640625" customWidth="1"/>
    <col min="776" max="776" width="14.109375" customWidth="1"/>
    <col min="777" max="777" width="10.6640625" customWidth="1"/>
    <col min="778" max="778" width="11.33203125" customWidth="1"/>
    <col min="779" max="779" width="13.6640625" customWidth="1"/>
    <col min="780" max="780" width="13.21875" customWidth="1"/>
    <col min="1025" max="1025" width="2.88671875" customWidth="1"/>
    <col min="1026" max="1026" width="18.6640625" customWidth="1"/>
    <col min="1027" max="1027" width="13.33203125" customWidth="1"/>
    <col min="1028" max="1028" width="14.21875" customWidth="1"/>
    <col min="1029" max="1029" width="14.44140625" bestFit="1" customWidth="1"/>
    <col min="1030" max="1030" width="6.6640625" customWidth="1"/>
    <col min="1031" max="1031" width="4.6640625" customWidth="1"/>
    <col min="1032" max="1032" width="14.109375" customWidth="1"/>
    <col min="1033" max="1033" width="10.6640625" customWidth="1"/>
    <col min="1034" max="1034" width="11.33203125" customWidth="1"/>
    <col min="1035" max="1035" width="13.6640625" customWidth="1"/>
    <col min="1036" max="1036" width="13.21875" customWidth="1"/>
    <col min="1281" max="1281" width="2.88671875" customWidth="1"/>
    <col min="1282" max="1282" width="18.6640625" customWidth="1"/>
    <col min="1283" max="1283" width="13.33203125" customWidth="1"/>
    <col min="1284" max="1284" width="14.21875" customWidth="1"/>
    <col min="1285" max="1285" width="14.44140625" bestFit="1" customWidth="1"/>
    <col min="1286" max="1286" width="6.6640625" customWidth="1"/>
    <col min="1287" max="1287" width="4.6640625" customWidth="1"/>
    <col min="1288" max="1288" width="14.109375" customWidth="1"/>
    <col min="1289" max="1289" width="10.6640625" customWidth="1"/>
    <col min="1290" max="1290" width="11.33203125" customWidth="1"/>
    <col min="1291" max="1291" width="13.6640625" customWidth="1"/>
    <col min="1292" max="1292" width="13.21875" customWidth="1"/>
    <col min="1537" max="1537" width="2.88671875" customWidth="1"/>
    <col min="1538" max="1538" width="18.6640625" customWidth="1"/>
    <col min="1539" max="1539" width="13.33203125" customWidth="1"/>
    <col min="1540" max="1540" width="14.21875" customWidth="1"/>
    <col min="1541" max="1541" width="14.44140625" bestFit="1" customWidth="1"/>
    <col min="1542" max="1542" width="6.6640625" customWidth="1"/>
    <col min="1543" max="1543" width="4.6640625" customWidth="1"/>
    <col min="1544" max="1544" width="14.109375" customWidth="1"/>
    <col min="1545" max="1545" width="10.6640625" customWidth="1"/>
    <col min="1546" max="1546" width="11.33203125" customWidth="1"/>
    <col min="1547" max="1547" width="13.6640625" customWidth="1"/>
    <col min="1548" max="1548" width="13.21875" customWidth="1"/>
    <col min="1793" max="1793" width="2.88671875" customWidth="1"/>
    <col min="1794" max="1794" width="18.6640625" customWidth="1"/>
    <col min="1795" max="1795" width="13.33203125" customWidth="1"/>
    <col min="1796" max="1796" width="14.21875" customWidth="1"/>
    <col min="1797" max="1797" width="14.44140625" bestFit="1" customWidth="1"/>
    <col min="1798" max="1798" width="6.6640625" customWidth="1"/>
    <col min="1799" max="1799" width="4.6640625" customWidth="1"/>
    <col min="1800" max="1800" width="14.109375" customWidth="1"/>
    <col min="1801" max="1801" width="10.6640625" customWidth="1"/>
    <col min="1802" max="1802" width="11.33203125" customWidth="1"/>
    <col min="1803" max="1803" width="13.6640625" customWidth="1"/>
    <col min="1804" max="1804" width="13.21875" customWidth="1"/>
    <col min="2049" max="2049" width="2.88671875" customWidth="1"/>
    <col min="2050" max="2050" width="18.6640625" customWidth="1"/>
    <col min="2051" max="2051" width="13.33203125" customWidth="1"/>
    <col min="2052" max="2052" width="14.21875" customWidth="1"/>
    <col min="2053" max="2053" width="14.44140625" bestFit="1" customWidth="1"/>
    <col min="2054" max="2054" width="6.6640625" customWidth="1"/>
    <col min="2055" max="2055" width="4.6640625" customWidth="1"/>
    <col min="2056" max="2056" width="14.109375" customWidth="1"/>
    <col min="2057" max="2057" width="10.6640625" customWidth="1"/>
    <col min="2058" max="2058" width="11.33203125" customWidth="1"/>
    <col min="2059" max="2059" width="13.6640625" customWidth="1"/>
    <col min="2060" max="2060" width="13.21875" customWidth="1"/>
    <col min="2305" max="2305" width="2.88671875" customWidth="1"/>
    <col min="2306" max="2306" width="18.6640625" customWidth="1"/>
    <col min="2307" max="2307" width="13.33203125" customWidth="1"/>
    <col min="2308" max="2308" width="14.21875" customWidth="1"/>
    <col min="2309" max="2309" width="14.44140625" bestFit="1" customWidth="1"/>
    <col min="2310" max="2310" width="6.6640625" customWidth="1"/>
    <col min="2311" max="2311" width="4.6640625" customWidth="1"/>
    <col min="2312" max="2312" width="14.109375" customWidth="1"/>
    <col min="2313" max="2313" width="10.6640625" customWidth="1"/>
    <col min="2314" max="2314" width="11.33203125" customWidth="1"/>
    <col min="2315" max="2315" width="13.6640625" customWidth="1"/>
    <col min="2316" max="2316" width="13.21875" customWidth="1"/>
    <col min="2561" max="2561" width="2.88671875" customWidth="1"/>
    <col min="2562" max="2562" width="18.6640625" customWidth="1"/>
    <col min="2563" max="2563" width="13.33203125" customWidth="1"/>
    <col min="2564" max="2564" width="14.21875" customWidth="1"/>
    <col min="2565" max="2565" width="14.44140625" bestFit="1" customWidth="1"/>
    <col min="2566" max="2566" width="6.6640625" customWidth="1"/>
    <col min="2567" max="2567" width="4.6640625" customWidth="1"/>
    <col min="2568" max="2568" width="14.109375" customWidth="1"/>
    <col min="2569" max="2569" width="10.6640625" customWidth="1"/>
    <col min="2570" max="2570" width="11.33203125" customWidth="1"/>
    <col min="2571" max="2571" width="13.6640625" customWidth="1"/>
    <col min="2572" max="2572" width="13.21875" customWidth="1"/>
    <col min="2817" max="2817" width="2.88671875" customWidth="1"/>
    <col min="2818" max="2818" width="18.6640625" customWidth="1"/>
    <col min="2819" max="2819" width="13.33203125" customWidth="1"/>
    <col min="2820" max="2820" width="14.21875" customWidth="1"/>
    <col min="2821" max="2821" width="14.44140625" bestFit="1" customWidth="1"/>
    <col min="2822" max="2822" width="6.6640625" customWidth="1"/>
    <col min="2823" max="2823" width="4.6640625" customWidth="1"/>
    <col min="2824" max="2824" width="14.109375" customWidth="1"/>
    <col min="2825" max="2825" width="10.6640625" customWidth="1"/>
    <col min="2826" max="2826" width="11.33203125" customWidth="1"/>
    <col min="2827" max="2827" width="13.6640625" customWidth="1"/>
    <col min="2828" max="2828" width="13.21875" customWidth="1"/>
    <col min="3073" max="3073" width="2.88671875" customWidth="1"/>
    <col min="3074" max="3074" width="18.6640625" customWidth="1"/>
    <col min="3075" max="3075" width="13.33203125" customWidth="1"/>
    <col min="3076" max="3076" width="14.21875" customWidth="1"/>
    <col min="3077" max="3077" width="14.44140625" bestFit="1" customWidth="1"/>
    <col min="3078" max="3078" width="6.6640625" customWidth="1"/>
    <col min="3079" max="3079" width="4.6640625" customWidth="1"/>
    <col min="3080" max="3080" width="14.109375" customWidth="1"/>
    <col min="3081" max="3081" width="10.6640625" customWidth="1"/>
    <col min="3082" max="3082" width="11.33203125" customWidth="1"/>
    <col min="3083" max="3083" width="13.6640625" customWidth="1"/>
    <col min="3084" max="3084" width="13.21875" customWidth="1"/>
    <col min="3329" max="3329" width="2.88671875" customWidth="1"/>
    <col min="3330" max="3330" width="18.6640625" customWidth="1"/>
    <col min="3331" max="3331" width="13.33203125" customWidth="1"/>
    <col min="3332" max="3332" width="14.21875" customWidth="1"/>
    <col min="3333" max="3333" width="14.44140625" bestFit="1" customWidth="1"/>
    <col min="3334" max="3334" width="6.6640625" customWidth="1"/>
    <col min="3335" max="3335" width="4.6640625" customWidth="1"/>
    <col min="3336" max="3336" width="14.109375" customWidth="1"/>
    <col min="3337" max="3337" width="10.6640625" customWidth="1"/>
    <col min="3338" max="3338" width="11.33203125" customWidth="1"/>
    <col min="3339" max="3339" width="13.6640625" customWidth="1"/>
    <col min="3340" max="3340" width="13.21875" customWidth="1"/>
    <col min="3585" max="3585" width="2.88671875" customWidth="1"/>
    <col min="3586" max="3586" width="18.6640625" customWidth="1"/>
    <col min="3587" max="3587" width="13.33203125" customWidth="1"/>
    <col min="3588" max="3588" width="14.21875" customWidth="1"/>
    <col min="3589" max="3589" width="14.44140625" bestFit="1" customWidth="1"/>
    <col min="3590" max="3590" width="6.6640625" customWidth="1"/>
    <col min="3591" max="3591" width="4.6640625" customWidth="1"/>
    <col min="3592" max="3592" width="14.109375" customWidth="1"/>
    <col min="3593" max="3593" width="10.6640625" customWidth="1"/>
    <col min="3594" max="3594" width="11.33203125" customWidth="1"/>
    <col min="3595" max="3595" width="13.6640625" customWidth="1"/>
    <col min="3596" max="3596" width="13.21875" customWidth="1"/>
    <col min="3841" max="3841" width="2.88671875" customWidth="1"/>
    <col min="3842" max="3842" width="18.6640625" customWidth="1"/>
    <col min="3843" max="3843" width="13.33203125" customWidth="1"/>
    <col min="3844" max="3844" width="14.21875" customWidth="1"/>
    <col min="3845" max="3845" width="14.44140625" bestFit="1" customWidth="1"/>
    <col min="3846" max="3846" width="6.6640625" customWidth="1"/>
    <col min="3847" max="3847" width="4.6640625" customWidth="1"/>
    <col min="3848" max="3848" width="14.109375" customWidth="1"/>
    <col min="3849" max="3849" width="10.6640625" customWidth="1"/>
    <col min="3850" max="3850" width="11.33203125" customWidth="1"/>
    <col min="3851" max="3851" width="13.6640625" customWidth="1"/>
    <col min="3852" max="3852" width="13.21875" customWidth="1"/>
    <col min="4097" max="4097" width="2.88671875" customWidth="1"/>
    <col min="4098" max="4098" width="18.6640625" customWidth="1"/>
    <col min="4099" max="4099" width="13.33203125" customWidth="1"/>
    <col min="4100" max="4100" width="14.21875" customWidth="1"/>
    <col min="4101" max="4101" width="14.44140625" bestFit="1" customWidth="1"/>
    <col min="4102" max="4102" width="6.6640625" customWidth="1"/>
    <col min="4103" max="4103" width="4.6640625" customWidth="1"/>
    <col min="4104" max="4104" width="14.109375" customWidth="1"/>
    <col min="4105" max="4105" width="10.6640625" customWidth="1"/>
    <col min="4106" max="4106" width="11.33203125" customWidth="1"/>
    <col min="4107" max="4107" width="13.6640625" customWidth="1"/>
    <col min="4108" max="4108" width="13.21875" customWidth="1"/>
    <col min="4353" max="4353" width="2.88671875" customWidth="1"/>
    <col min="4354" max="4354" width="18.6640625" customWidth="1"/>
    <col min="4355" max="4355" width="13.33203125" customWidth="1"/>
    <col min="4356" max="4356" width="14.21875" customWidth="1"/>
    <col min="4357" max="4357" width="14.44140625" bestFit="1" customWidth="1"/>
    <col min="4358" max="4358" width="6.6640625" customWidth="1"/>
    <col min="4359" max="4359" width="4.6640625" customWidth="1"/>
    <col min="4360" max="4360" width="14.109375" customWidth="1"/>
    <col min="4361" max="4361" width="10.6640625" customWidth="1"/>
    <col min="4362" max="4362" width="11.33203125" customWidth="1"/>
    <col min="4363" max="4363" width="13.6640625" customWidth="1"/>
    <col min="4364" max="4364" width="13.21875" customWidth="1"/>
    <col min="4609" max="4609" width="2.88671875" customWidth="1"/>
    <col min="4610" max="4610" width="18.6640625" customWidth="1"/>
    <col min="4611" max="4611" width="13.33203125" customWidth="1"/>
    <col min="4612" max="4612" width="14.21875" customWidth="1"/>
    <col min="4613" max="4613" width="14.44140625" bestFit="1" customWidth="1"/>
    <col min="4614" max="4614" width="6.6640625" customWidth="1"/>
    <col min="4615" max="4615" width="4.6640625" customWidth="1"/>
    <col min="4616" max="4616" width="14.109375" customWidth="1"/>
    <col min="4617" max="4617" width="10.6640625" customWidth="1"/>
    <col min="4618" max="4618" width="11.33203125" customWidth="1"/>
    <col min="4619" max="4619" width="13.6640625" customWidth="1"/>
    <col min="4620" max="4620" width="13.21875" customWidth="1"/>
    <col min="4865" max="4865" width="2.88671875" customWidth="1"/>
    <col min="4866" max="4866" width="18.6640625" customWidth="1"/>
    <col min="4867" max="4867" width="13.33203125" customWidth="1"/>
    <col min="4868" max="4868" width="14.21875" customWidth="1"/>
    <col min="4869" max="4869" width="14.44140625" bestFit="1" customWidth="1"/>
    <col min="4870" max="4870" width="6.6640625" customWidth="1"/>
    <col min="4871" max="4871" width="4.6640625" customWidth="1"/>
    <col min="4872" max="4872" width="14.109375" customWidth="1"/>
    <col min="4873" max="4873" width="10.6640625" customWidth="1"/>
    <col min="4874" max="4874" width="11.33203125" customWidth="1"/>
    <col min="4875" max="4875" width="13.6640625" customWidth="1"/>
    <col min="4876" max="4876" width="13.21875" customWidth="1"/>
    <col min="5121" max="5121" width="2.88671875" customWidth="1"/>
    <col min="5122" max="5122" width="18.6640625" customWidth="1"/>
    <col min="5123" max="5123" width="13.33203125" customWidth="1"/>
    <col min="5124" max="5124" width="14.21875" customWidth="1"/>
    <col min="5125" max="5125" width="14.44140625" bestFit="1" customWidth="1"/>
    <col min="5126" max="5126" width="6.6640625" customWidth="1"/>
    <col min="5127" max="5127" width="4.6640625" customWidth="1"/>
    <col min="5128" max="5128" width="14.109375" customWidth="1"/>
    <col min="5129" max="5129" width="10.6640625" customWidth="1"/>
    <col min="5130" max="5130" width="11.33203125" customWidth="1"/>
    <col min="5131" max="5131" width="13.6640625" customWidth="1"/>
    <col min="5132" max="5132" width="13.21875" customWidth="1"/>
    <col min="5377" max="5377" width="2.88671875" customWidth="1"/>
    <col min="5378" max="5378" width="18.6640625" customWidth="1"/>
    <col min="5379" max="5379" width="13.33203125" customWidth="1"/>
    <col min="5380" max="5380" width="14.21875" customWidth="1"/>
    <col min="5381" max="5381" width="14.44140625" bestFit="1" customWidth="1"/>
    <col min="5382" max="5382" width="6.6640625" customWidth="1"/>
    <col min="5383" max="5383" width="4.6640625" customWidth="1"/>
    <col min="5384" max="5384" width="14.109375" customWidth="1"/>
    <col min="5385" max="5385" width="10.6640625" customWidth="1"/>
    <col min="5386" max="5386" width="11.33203125" customWidth="1"/>
    <col min="5387" max="5387" width="13.6640625" customWidth="1"/>
    <col min="5388" max="5388" width="13.21875" customWidth="1"/>
    <col min="5633" max="5633" width="2.88671875" customWidth="1"/>
    <col min="5634" max="5634" width="18.6640625" customWidth="1"/>
    <col min="5635" max="5635" width="13.33203125" customWidth="1"/>
    <col min="5636" max="5636" width="14.21875" customWidth="1"/>
    <col min="5637" max="5637" width="14.44140625" bestFit="1" customWidth="1"/>
    <col min="5638" max="5638" width="6.6640625" customWidth="1"/>
    <col min="5639" max="5639" width="4.6640625" customWidth="1"/>
    <col min="5640" max="5640" width="14.109375" customWidth="1"/>
    <col min="5641" max="5641" width="10.6640625" customWidth="1"/>
    <col min="5642" max="5642" width="11.33203125" customWidth="1"/>
    <col min="5643" max="5643" width="13.6640625" customWidth="1"/>
    <col min="5644" max="5644" width="13.21875" customWidth="1"/>
    <col min="5889" max="5889" width="2.88671875" customWidth="1"/>
    <col min="5890" max="5890" width="18.6640625" customWidth="1"/>
    <col min="5891" max="5891" width="13.33203125" customWidth="1"/>
    <col min="5892" max="5892" width="14.21875" customWidth="1"/>
    <col min="5893" max="5893" width="14.44140625" bestFit="1" customWidth="1"/>
    <col min="5894" max="5894" width="6.6640625" customWidth="1"/>
    <col min="5895" max="5895" width="4.6640625" customWidth="1"/>
    <col min="5896" max="5896" width="14.109375" customWidth="1"/>
    <col min="5897" max="5897" width="10.6640625" customWidth="1"/>
    <col min="5898" max="5898" width="11.33203125" customWidth="1"/>
    <col min="5899" max="5899" width="13.6640625" customWidth="1"/>
    <col min="5900" max="5900" width="13.21875" customWidth="1"/>
    <col min="6145" max="6145" width="2.88671875" customWidth="1"/>
    <col min="6146" max="6146" width="18.6640625" customWidth="1"/>
    <col min="6147" max="6147" width="13.33203125" customWidth="1"/>
    <col min="6148" max="6148" width="14.21875" customWidth="1"/>
    <col min="6149" max="6149" width="14.44140625" bestFit="1" customWidth="1"/>
    <col min="6150" max="6150" width="6.6640625" customWidth="1"/>
    <col min="6151" max="6151" width="4.6640625" customWidth="1"/>
    <col min="6152" max="6152" width="14.109375" customWidth="1"/>
    <col min="6153" max="6153" width="10.6640625" customWidth="1"/>
    <col min="6154" max="6154" width="11.33203125" customWidth="1"/>
    <col min="6155" max="6155" width="13.6640625" customWidth="1"/>
    <col min="6156" max="6156" width="13.21875" customWidth="1"/>
    <col min="6401" max="6401" width="2.88671875" customWidth="1"/>
    <col min="6402" max="6402" width="18.6640625" customWidth="1"/>
    <col min="6403" max="6403" width="13.33203125" customWidth="1"/>
    <col min="6404" max="6404" width="14.21875" customWidth="1"/>
    <col min="6405" max="6405" width="14.44140625" bestFit="1" customWidth="1"/>
    <col min="6406" max="6406" width="6.6640625" customWidth="1"/>
    <col min="6407" max="6407" width="4.6640625" customWidth="1"/>
    <col min="6408" max="6408" width="14.109375" customWidth="1"/>
    <col min="6409" max="6409" width="10.6640625" customWidth="1"/>
    <col min="6410" max="6410" width="11.33203125" customWidth="1"/>
    <col min="6411" max="6411" width="13.6640625" customWidth="1"/>
    <col min="6412" max="6412" width="13.21875" customWidth="1"/>
    <col min="6657" max="6657" width="2.88671875" customWidth="1"/>
    <col min="6658" max="6658" width="18.6640625" customWidth="1"/>
    <col min="6659" max="6659" width="13.33203125" customWidth="1"/>
    <col min="6660" max="6660" width="14.21875" customWidth="1"/>
    <col min="6661" max="6661" width="14.44140625" bestFit="1" customWidth="1"/>
    <col min="6662" max="6662" width="6.6640625" customWidth="1"/>
    <col min="6663" max="6663" width="4.6640625" customWidth="1"/>
    <col min="6664" max="6664" width="14.109375" customWidth="1"/>
    <col min="6665" max="6665" width="10.6640625" customWidth="1"/>
    <col min="6666" max="6666" width="11.33203125" customWidth="1"/>
    <col min="6667" max="6667" width="13.6640625" customWidth="1"/>
    <col min="6668" max="6668" width="13.21875" customWidth="1"/>
    <col min="6913" max="6913" width="2.88671875" customWidth="1"/>
    <col min="6914" max="6914" width="18.6640625" customWidth="1"/>
    <col min="6915" max="6915" width="13.33203125" customWidth="1"/>
    <col min="6916" max="6916" width="14.21875" customWidth="1"/>
    <col min="6917" max="6917" width="14.44140625" bestFit="1" customWidth="1"/>
    <col min="6918" max="6918" width="6.6640625" customWidth="1"/>
    <col min="6919" max="6919" width="4.6640625" customWidth="1"/>
    <col min="6920" max="6920" width="14.109375" customWidth="1"/>
    <col min="6921" max="6921" width="10.6640625" customWidth="1"/>
    <col min="6922" max="6922" width="11.33203125" customWidth="1"/>
    <col min="6923" max="6923" width="13.6640625" customWidth="1"/>
    <col min="6924" max="6924" width="13.21875" customWidth="1"/>
    <col min="7169" max="7169" width="2.88671875" customWidth="1"/>
    <col min="7170" max="7170" width="18.6640625" customWidth="1"/>
    <col min="7171" max="7171" width="13.33203125" customWidth="1"/>
    <col min="7172" max="7172" width="14.21875" customWidth="1"/>
    <col min="7173" max="7173" width="14.44140625" bestFit="1" customWidth="1"/>
    <col min="7174" max="7174" width="6.6640625" customWidth="1"/>
    <col min="7175" max="7175" width="4.6640625" customWidth="1"/>
    <col min="7176" max="7176" width="14.109375" customWidth="1"/>
    <col min="7177" max="7177" width="10.6640625" customWidth="1"/>
    <col min="7178" max="7178" width="11.33203125" customWidth="1"/>
    <col min="7179" max="7179" width="13.6640625" customWidth="1"/>
    <col min="7180" max="7180" width="13.21875" customWidth="1"/>
    <col min="7425" max="7425" width="2.88671875" customWidth="1"/>
    <col min="7426" max="7426" width="18.6640625" customWidth="1"/>
    <col min="7427" max="7427" width="13.33203125" customWidth="1"/>
    <col min="7428" max="7428" width="14.21875" customWidth="1"/>
    <col min="7429" max="7429" width="14.44140625" bestFit="1" customWidth="1"/>
    <col min="7430" max="7430" width="6.6640625" customWidth="1"/>
    <col min="7431" max="7431" width="4.6640625" customWidth="1"/>
    <col min="7432" max="7432" width="14.109375" customWidth="1"/>
    <col min="7433" max="7433" width="10.6640625" customWidth="1"/>
    <col min="7434" max="7434" width="11.33203125" customWidth="1"/>
    <col min="7435" max="7435" width="13.6640625" customWidth="1"/>
    <col min="7436" max="7436" width="13.21875" customWidth="1"/>
    <col min="7681" max="7681" width="2.88671875" customWidth="1"/>
    <col min="7682" max="7682" width="18.6640625" customWidth="1"/>
    <col min="7683" max="7683" width="13.33203125" customWidth="1"/>
    <col min="7684" max="7684" width="14.21875" customWidth="1"/>
    <col min="7685" max="7685" width="14.44140625" bestFit="1" customWidth="1"/>
    <col min="7686" max="7686" width="6.6640625" customWidth="1"/>
    <col min="7687" max="7687" width="4.6640625" customWidth="1"/>
    <col min="7688" max="7688" width="14.109375" customWidth="1"/>
    <col min="7689" max="7689" width="10.6640625" customWidth="1"/>
    <col min="7690" max="7690" width="11.33203125" customWidth="1"/>
    <col min="7691" max="7691" width="13.6640625" customWidth="1"/>
    <col min="7692" max="7692" width="13.21875" customWidth="1"/>
    <col min="7937" max="7937" width="2.88671875" customWidth="1"/>
    <col min="7938" max="7938" width="18.6640625" customWidth="1"/>
    <col min="7939" max="7939" width="13.33203125" customWidth="1"/>
    <col min="7940" max="7940" width="14.21875" customWidth="1"/>
    <col min="7941" max="7941" width="14.44140625" bestFit="1" customWidth="1"/>
    <col min="7942" max="7942" width="6.6640625" customWidth="1"/>
    <col min="7943" max="7943" width="4.6640625" customWidth="1"/>
    <col min="7944" max="7944" width="14.109375" customWidth="1"/>
    <col min="7945" max="7945" width="10.6640625" customWidth="1"/>
    <col min="7946" max="7946" width="11.33203125" customWidth="1"/>
    <col min="7947" max="7947" width="13.6640625" customWidth="1"/>
    <col min="7948" max="7948" width="13.21875" customWidth="1"/>
    <col min="8193" max="8193" width="2.88671875" customWidth="1"/>
    <col min="8194" max="8194" width="18.6640625" customWidth="1"/>
    <col min="8195" max="8195" width="13.33203125" customWidth="1"/>
    <col min="8196" max="8196" width="14.21875" customWidth="1"/>
    <col min="8197" max="8197" width="14.44140625" bestFit="1" customWidth="1"/>
    <col min="8198" max="8198" width="6.6640625" customWidth="1"/>
    <col min="8199" max="8199" width="4.6640625" customWidth="1"/>
    <col min="8200" max="8200" width="14.109375" customWidth="1"/>
    <col min="8201" max="8201" width="10.6640625" customWidth="1"/>
    <col min="8202" max="8202" width="11.33203125" customWidth="1"/>
    <col min="8203" max="8203" width="13.6640625" customWidth="1"/>
    <col min="8204" max="8204" width="13.21875" customWidth="1"/>
    <col min="8449" max="8449" width="2.88671875" customWidth="1"/>
    <col min="8450" max="8450" width="18.6640625" customWidth="1"/>
    <col min="8451" max="8451" width="13.33203125" customWidth="1"/>
    <col min="8452" max="8452" width="14.21875" customWidth="1"/>
    <col min="8453" max="8453" width="14.44140625" bestFit="1" customWidth="1"/>
    <col min="8454" max="8454" width="6.6640625" customWidth="1"/>
    <col min="8455" max="8455" width="4.6640625" customWidth="1"/>
    <col min="8456" max="8456" width="14.109375" customWidth="1"/>
    <col min="8457" max="8457" width="10.6640625" customWidth="1"/>
    <col min="8458" max="8458" width="11.33203125" customWidth="1"/>
    <col min="8459" max="8459" width="13.6640625" customWidth="1"/>
    <col min="8460" max="8460" width="13.21875" customWidth="1"/>
    <col min="8705" max="8705" width="2.88671875" customWidth="1"/>
    <col min="8706" max="8706" width="18.6640625" customWidth="1"/>
    <col min="8707" max="8707" width="13.33203125" customWidth="1"/>
    <col min="8708" max="8708" width="14.21875" customWidth="1"/>
    <col min="8709" max="8709" width="14.44140625" bestFit="1" customWidth="1"/>
    <col min="8710" max="8710" width="6.6640625" customWidth="1"/>
    <col min="8711" max="8711" width="4.6640625" customWidth="1"/>
    <col min="8712" max="8712" width="14.109375" customWidth="1"/>
    <col min="8713" max="8713" width="10.6640625" customWidth="1"/>
    <col min="8714" max="8714" width="11.33203125" customWidth="1"/>
    <col min="8715" max="8715" width="13.6640625" customWidth="1"/>
    <col min="8716" max="8716" width="13.21875" customWidth="1"/>
    <col min="8961" max="8961" width="2.88671875" customWidth="1"/>
    <col min="8962" max="8962" width="18.6640625" customWidth="1"/>
    <col min="8963" max="8963" width="13.33203125" customWidth="1"/>
    <col min="8964" max="8964" width="14.21875" customWidth="1"/>
    <col min="8965" max="8965" width="14.44140625" bestFit="1" customWidth="1"/>
    <col min="8966" max="8966" width="6.6640625" customWidth="1"/>
    <col min="8967" max="8967" width="4.6640625" customWidth="1"/>
    <col min="8968" max="8968" width="14.109375" customWidth="1"/>
    <col min="8969" max="8969" width="10.6640625" customWidth="1"/>
    <col min="8970" max="8970" width="11.33203125" customWidth="1"/>
    <col min="8971" max="8971" width="13.6640625" customWidth="1"/>
    <col min="8972" max="8972" width="13.21875" customWidth="1"/>
    <col min="9217" max="9217" width="2.88671875" customWidth="1"/>
    <col min="9218" max="9218" width="18.6640625" customWidth="1"/>
    <col min="9219" max="9219" width="13.33203125" customWidth="1"/>
    <col min="9220" max="9220" width="14.21875" customWidth="1"/>
    <col min="9221" max="9221" width="14.44140625" bestFit="1" customWidth="1"/>
    <col min="9222" max="9222" width="6.6640625" customWidth="1"/>
    <col min="9223" max="9223" width="4.6640625" customWidth="1"/>
    <col min="9224" max="9224" width="14.109375" customWidth="1"/>
    <col min="9225" max="9225" width="10.6640625" customWidth="1"/>
    <col min="9226" max="9226" width="11.33203125" customWidth="1"/>
    <col min="9227" max="9227" width="13.6640625" customWidth="1"/>
    <col min="9228" max="9228" width="13.21875" customWidth="1"/>
    <col min="9473" max="9473" width="2.88671875" customWidth="1"/>
    <col min="9474" max="9474" width="18.6640625" customWidth="1"/>
    <col min="9475" max="9475" width="13.33203125" customWidth="1"/>
    <col min="9476" max="9476" width="14.21875" customWidth="1"/>
    <col min="9477" max="9477" width="14.44140625" bestFit="1" customWidth="1"/>
    <col min="9478" max="9478" width="6.6640625" customWidth="1"/>
    <col min="9479" max="9479" width="4.6640625" customWidth="1"/>
    <col min="9480" max="9480" width="14.109375" customWidth="1"/>
    <col min="9481" max="9481" width="10.6640625" customWidth="1"/>
    <col min="9482" max="9482" width="11.33203125" customWidth="1"/>
    <col min="9483" max="9483" width="13.6640625" customWidth="1"/>
    <col min="9484" max="9484" width="13.21875" customWidth="1"/>
    <col min="9729" max="9729" width="2.88671875" customWidth="1"/>
    <col min="9730" max="9730" width="18.6640625" customWidth="1"/>
    <col min="9731" max="9731" width="13.33203125" customWidth="1"/>
    <col min="9732" max="9732" width="14.21875" customWidth="1"/>
    <col min="9733" max="9733" width="14.44140625" bestFit="1" customWidth="1"/>
    <col min="9734" max="9734" width="6.6640625" customWidth="1"/>
    <col min="9735" max="9735" width="4.6640625" customWidth="1"/>
    <col min="9736" max="9736" width="14.109375" customWidth="1"/>
    <col min="9737" max="9737" width="10.6640625" customWidth="1"/>
    <col min="9738" max="9738" width="11.33203125" customWidth="1"/>
    <col min="9739" max="9739" width="13.6640625" customWidth="1"/>
    <col min="9740" max="9740" width="13.21875" customWidth="1"/>
    <col min="9985" max="9985" width="2.88671875" customWidth="1"/>
    <col min="9986" max="9986" width="18.6640625" customWidth="1"/>
    <col min="9987" max="9987" width="13.33203125" customWidth="1"/>
    <col min="9988" max="9988" width="14.21875" customWidth="1"/>
    <col min="9989" max="9989" width="14.44140625" bestFit="1" customWidth="1"/>
    <col min="9990" max="9990" width="6.6640625" customWidth="1"/>
    <col min="9991" max="9991" width="4.6640625" customWidth="1"/>
    <col min="9992" max="9992" width="14.109375" customWidth="1"/>
    <col min="9993" max="9993" width="10.6640625" customWidth="1"/>
    <col min="9994" max="9994" width="11.33203125" customWidth="1"/>
    <col min="9995" max="9995" width="13.6640625" customWidth="1"/>
    <col min="9996" max="9996" width="13.21875" customWidth="1"/>
    <col min="10241" max="10241" width="2.88671875" customWidth="1"/>
    <col min="10242" max="10242" width="18.6640625" customWidth="1"/>
    <col min="10243" max="10243" width="13.33203125" customWidth="1"/>
    <col min="10244" max="10244" width="14.21875" customWidth="1"/>
    <col min="10245" max="10245" width="14.44140625" bestFit="1" customWidth="1"/>
    <col min="10246" max="10246" width="6.6640625" customWidth="1"/>
    <col min="10247" max="10247" width="4.6640625" customWidth="1"/>
    <col min="10248" max="10248" width="14.109375" customWidth="1"/>
    <col min="10249" max="10249" width="10.6640625" customWidth="1"/>
    <col min="10250" max="10250" width="11.33203125" customWidth="1"/>
    <col min="10251" max="10251" width="13.6640625" customWidth="1"/>
    <col min="10252" max="10252" width="13.21875" customWidth="1"/>
    <col min="10497" max="10497" width="2.88671875" customWidth="1"/>
    <col min="10498" max="10498" width="18.6640625" customWidth="1"/>
    <col min="10499" max="10499" width="13.33203125" customWidth="1"/>
    <col min="10500" max="10500" width="14.21875" customWidth="1"/>
    <col min="10501" max="10501" width="14.44140625" bestFit="1" customWidth="1"/>
    <col min="10502" max="10502" width="6.6640625" customWidth="1"/>
    <col min="10503" max="10503" width="4.6640625" customWidth="1"/>
    <col min="10504" max="10504" width="14.109375" customWidth="1"/>
    <col min="10505" max="10505" width="10.6640625" customWidth="1"/>
    <col min="10506" max="10506" width="11.33203125" customWidth="1"/>
    <col min="10507" max="10507" width="13.6640625" customWidth="1"/>
    <col min="10508" max="10508" width="13.21875" customWidth="1"/>
    <col min="10753" max="10753" width="2.88671875" customWidth="1"/>
    <col min="10754" max="10754" width="18.6640625" customWidth="1"/>
    <col min="10755" max="10755" width="13.33203125" customWidth="1"/>
    <col min="10756" max="10756" width="14.21875" customWidth="1"/>
    <col min="10757" max="10757" width="14.44140625" bestFit="1" customWidth="1"/>
    <col min="10758" max="10758" width="6.6640625" customWidth="1"/>
    <col min="10759" max="10759" width="4.6640625" customWidth="1"/>
    <col min="10760" max="10760" width="14.109375" customWidth="1"/>
    <col min="10761" max="10761" width="10.6640625" customWidth="1"/>
    <col min="10762" max="10762" width="11.33203125" customWidth="1"/>
    <col min="10763" max="10763" width="13.6640625" customWidth="1"/>
    <col min="10764" max="10764" width="13.21875" customWidth="1"/>
    <col min="11009" max="11009" width="2.88671875" customWidth="1"/>
    <col min="11010" max="11010" width="18.6640625" customWidth="1"/>
    <col min="11011" max="11011" width="13.33203125" customWidth="1"/>
    <col min="11012" max="11012" width="14.21875" customWidth="1"/>
    <col min="11013" max="11013" width="14.44140625" bestFit="1" customWidth="1"/>
    <col min="11014" max="11014" width="6.6640625" customWidth="1"/>
    <col min="11015" max="11015" width="4.6640625" customWidth="1"/>
    <col min="11016" max="11016" width="14.109375" customWidth="1"/>
    <col min="11017" max="11017" width="10.6640625" customWidth="1"/>
    <col min="11018" max="11018" width="11.33203125" customWidth="1"/>
    <col min="11019" max="11019" width="13.6640625" customWidth="1"/>
    <col min="11020" max="11020" width="13.21875" customWidth="1"/>
    <col min="11265" max="11265" width="2.88671875" customWidth="1"/>
    <col min="11266" max="11266" width="18.6640625" customWidth="1"/>
    <col min="11267" max="11267" width="13.33203125" customWidth="1"/>
    <col min="11268" max="11268" width="14.21875" customWidth="1"/>
    <col min="11269" max="11269" width="14.44140625" bestFit="1" customWidth="1"/>
    <col min="11270" max="11270" width="6.6640625" customWidth="1"/>
    <col min="11271" max="11271" width="4.6640625" customWidth="1"/>
    <col min="11272" max="11272" width="14.109375" customWidth="1"/>
    <col min="11273" max="11273" width="10.6640625" customWidth="1"/>
    <col min="11274" max="11274" width="11.33203125" customWidth="1"/>
    <col min="11275" max="11275" width="13.6640625" customWidth="1"/>
    <col min="11276" max="11276" width="13.21875" customWidth="1"/>
    <col min="11521" max="11521" width="2.88671875" customWidth="1"/>
    <col min="11522" max="11522" width="18.6640625" customWidth="1"/>
    <col min="11523" max="11523" width="13.33203125" customWidth="1"/>
    <col min="11524" max="11524" width="14.21875" customWidth="1"/>
    <col min="11525" max="11525" width="14.44140625" bestFit="1" customWidth="1"/>
    <col min="11526" max="11526" width="6.6640625" customWidth="1"/>
    <col min="11527" max="11527" width="4.6640625" customWidth="1"/>
    <col min="11528" max="11528" width="14.109375" customWidth="1"/>
    <col min="11529" max="11529" width="10.6640625" customWidth="1"/>
    <col min="11530" max="11530" width="11.33203125" customWidth="1"/>
    <col min="11531" max="11531" width="13.6640625" customWidth="1"/>
    <col min="11532" max="11532" width="13.21875" customWidth="1"/>
    <col min="11777" max="11777" width="2.88671875" customWidth="1"/>
    <col min="11778" max="11778" width="18.6640625" customWidth="1"/>
    <col min="11779" max="11779" width="13.33203125" customWidth="1"/>
    <col min="11780" max="11780" width="14.21875" customWidth="1"/>
    <col min="11781" max="11781" width="14.44140625" bestFit="1" customWidth="1"/>
    <col min="11782" max="11782" width="6.6640625" customWidth="1"/>
    <col min="11783" max="11783" width="4.6640625" customWidth="1"/>
    <col min="11784" max="11784" width="14.109375" customWidth="1"/>
    <col min="11785" max="11785" width="10.6640625" customWidth="1"/>
    <col min="11786" max="11786" width="11.33203125" customWidth="1"/>
    <col min="11787" max="11787" width="13.6640625" customWidth="1"/>
    <col min="11788" max="11788" width="13.21875" customWidth="1"/>
    <col min="12033" max="12033" width="2.88671875" customWidth="1"/>
    <col min="12034" max="12034" width="18.6640625" customWidth="1"/>
    <col min="12035" max="12035" width="13.33203125" customWidth="1"/>
    <col min="12036" max="12036" width="14.21875" customWidth="1"/>
    <col min="12037" max="12037" width="14.44140625" bestFit="1" customWidth="1"/>
    <col min="12038" max="12038" width="6.6640625" customWidth="1"/>
    <col min="12039" max="12039" width="4.6640625" customWidth="1"/>
    <col min="12040" max="12040" width="14.109375" customWidth="1"/>
    <col min="12041" max="12041" width="10.6640625" customWidth="1"/>
    <col min="12042" max="12042" width="11.33203125" customWidth="1"/>
    <col min="12043" max="12043" width="13.6640625" customWidth="1"/>
    <col min="12044" max="12044" width="13.21875" customWidth="1"/>
    <col min="12289" max="12289" width="2.88671875" customWidth="1"/>
    <col min="12290" max="12290" width="18.6640625" customWidth="1"/>
    <col min="12291" max="12291" width="13.33203125" customWidth="1"/>
    <col min="12292" max="12292" width="14.21875" customWidth="1"/>
    <col min="12293" max="12293" width="14.44140625" bestFit="1" customWidth="1"/>
    <col min="12294" max="12294" width="6.6640625" customWidth="1"/>
    <col min="12295" max="12295" width="4.6640625" customWidth="1"/>
    <col min="12296" max="12296" width="14.109375" customWidth="1"/>
    <col min="12297" max="12297" width="10.6640625" customWidth="1"/>
    <col min="12298" max="12298" width="11.33203125" customWidth="1"/>
    <col min="12299" max="12299" width="13.6640625" customWidth="1"/>
    <col min="12300" max="12300" width="13.21875" customWidth="1"/>
    <col min="12545" max="12545" width="2.88671875" customWidth="1"/>
    <col min="12546" max="12546" width="18.6640625" customWidth="1"/>
    <col min="12547" max="12547" width="13.33203125" customWidth="1"/>
    <col min="12548" max="12548" width="14.21875" customWidth="1"/>
    <col min="12549" max="12549" width="14.44140625" bestFit="1" customWidth="1"/>
    <col min="12550" max="12550" width="6.6640625" customWidth="1"/>
    <col min="12551" max="12551" width="4.6640625" customWidth="1"/>
    <col min="12552" max="12552" width="14.109375" customWidth="1"/>
    <col min="12553" max="12553" width="10.6640625" customWidth="1"/>
    <col min="12554" max="12554" width="11.33203125" customWidth="1"/>
    <col min="12555" max="12555" width="13.6640625" customWidth="1"/>
    <col min="12556" max="12556" width="13.21875" customWidth="1"/>
    <col min="12801" max="12801" width="2.88671875" customWidth="1"/>
    <col min="12802" max="12802" width="18.6640625" customWidth="1"/>
    <col min="12803" max="12803" width="13.33203125" customWidth="1"/>
    <col min="12804" max="12804" width="14.21875" customWidth="1"/>
    <col min="12805" max="12805" width="14.44140625" bestFit="1" customWidth="1"/>
    <col min="12806" max="12806" width="6.6640625" customWidth="1"/>
    <col min="12807" max="12807" width="4.6640625" customWidth="1"/>
    <col min="12808" max="12808" width="14.109375" customWidth="1"/>
    <col min="12809" max="12809" width="10.6640625" customWidth="1"/>
    <col min="12810" max="12810" width="11.33203125" customWidth="1"/>
    <col min="12811" max="12811" width="13.6640625" customWidth="1"/>
    <col min="12812" max="12812" width="13.21875" customWidth="1"/>
    <col min="13057" max="13057" width="2.88671875" customWidth="1"/>
    <col min="13058" max="13058" width="18.6640625" customWidth="1"/>
    <col min="13059" max="13059" width="13.33203125" customWidth="1"/>
    <col min="13060" max="13060" width="14.21875" customWidth="1"/>
    <col min="13061" max="13061" width="14.44140625" bestFit="1" customWidth="1"/>
    <col min="13062" max="13062" width="6.6640625" customWidth="1"/>
    <col min="13063" max="13063" width="4.6640625" customWidth="1"/>
    <col min="13064" max="13064" width="14.109375" customWidth="1"/>
    <col min="13065" max="13065" width="10.6640625" customWidth="1"/>
    <col min="13066" max="13066" width="11.33203125" customWidth="1"/>
    <col min="13067" max="13067" width="13.6640625" customWidth="1"/>
    <col min="13068" max="13068" width="13.21875" customWidth="1"/>
    <col min="13313" max="13313" width="2.88671875" customWidth="1"/>
    <col min="13314" max="13314" width="18.6640625" customWidth="1"/>
    <col min="13315" max="13315" width="13.33203125" customWidth="1"/>
    <col min="13316" max="13316" width="14.21875" customWidth="1"/>
    <col min="13317" max="13317" width="14.44140625" bestFit="1" customWidth="1"/>
    <col min="13318" max="13318" width="6.6640625" customWidth="1"/>
    <col min="13319" max="13319" width="4.6640625" customWidth="1"/>
    <col min="13320" max="13320" width="14.109375" customWidth="1"/>
    <col min="13321" max="13321" width="10.6640625" customWidth="1"/>
    <col min="13322" max="13322" width="11.33203125" customWidth="1"/>
    <col min="13323" max="13323" width="13.6640625" customWidth="1"/>
    <col min="13324" max="13324" width="13.21875" customWidth="1"/>
    <col min="13569" max="13569" width="2.88671875" customWidth="1"/>
    <col min="13570" max="13570" width="18.6640625" customWidth="1"/>
    <col min="13571" max="13571" width="13.33203125" customWidth="1"/>
    <col min="13572" max="13572" width="14.21875" customWidth="1"/>
    <col min="13573" max="13573" width="14.44140625" bestFit="1" customWidth="1"/>
    <col min="13574" max="13574" width="6.6640625" customWidth="1"/>
    <col min="13575" max="13575" width="4.6640625" customWidth="1"/>
    <col min="13576" max="13576" width="14.109375" customWidth="1"/>
    <col min="13577" max="13577" width="10.6640625" customWidth="1"/>
    <col min="13578" max="13578" width="11.33203125" customWidth="1"/>
    <col min="13579" max="13579" width="13.6640625" customWidth="1"/>
    <col min="13580" max="13580" width="13.21875" customWidth="1"/>
    <col min="13825" max="13825" width="2.88671875" customWidth="1"/>
    <col min="13826" max="13826" width="18.6640625" customWidth="1"/>
    <col min="13827" max="13827" width="13.33203125" customWidth="1"/>
    <col min="13828" max="13828" width="14.21875" customWidth="1"/>
    <col min="13829" max="13829" width="14.44140625" bestFit="1" customWidth="1"/>
    <col min="13830" max="13830" width="6.6640625" customWidth="1"/>
    <col min="13831" max="13831" width="4.6640625" customWidth="1"/>
    <col min="13832" max="13832" width="14.109375" customWidth="1"/>
    <col min="13833" max="13833" width="10.6640625" customWidth="1"/>
    <col min="13834" max="13834" width="11.33203125" customWidth="1"/>
    <col min="13835" max="13835" width="13.6640625" customWidth="1"/>
    <col min="13836" max="13836" width="13.21875" customWidth="1"/>
    <col min="14081" max="14081" width="2.88671875" customWidth="1"/>
    <col min="14082" max="14082" width="18.6640625" customWidth="1"/>
    <col min="14083" max="14083" width="13.33203125" customWidth="1"/>
    <col min="14084" max="14084" width="14.21875" customWidth="1"/>
    <col min="14085" max="14085" width="14.44140625" bestFit="1" customWidth="1"/>
    <col min="14086" max="14086" width="6.6640625" customWidth="1"/>
    <col min="14087" max="14087" width="4.6640625" customWidth="1"/>
    <col min="14088" max="14088" width="14.109375" customWidth="1"/>
    <col min="14089" max="14089" width="10.6640625" customWidth="1"/>
    <col min="14090" max="14090" width="11.33203125" customWidth="1"/>
    <col min="14091" max="14091" width="13.6640625" customWidth="1"/>
    <col min="14092" max="14092" width="13.21875" customWidth="1"/>
    <col min="14337" max="14337" width="2.88671875" customWidth="1"/>
    <col min="14338" max="14338" width="18.6640625" customWidth="1"/>
    <col min="14339" max="14339" width="13.33203125" customWidth="1"/>
    <col min="14340" max="14340" width="14.21875" customWidth="1"/>
    <col min="14341" max="14341" width="14.44140625" bestFit="1" customWidth="1"/>
    <col min="14342" max="14342" width="6.6640625" customWidth="1"/>
    <col min="14343" max="14343" width="4.6640625" customWidth="1"/>
    <col min="14344" max="14344" width="14.109375" customWidth="1"/>
    <col min="14345" max="14345" width="10.6640625" customWidth="1"/>
    <col min="14346" max="14346" width="11.33203125" customWidth="1"/>
    <col min="14347" max="14347" width="13.6640625" customWidth="1"/>
    <col min="14348" max="14348" width="13.21875" customWidth="1"/>
    <col min="14593" max="14593" width="2.88671875" customWidth="1"/>
    <col min="14594" max="14594" width="18.6640625" customWidth="1"/>
    <col min="14595" max="14595" width="13.33203125" customWidth="1"/>
    <col min="14596" max="14596" width="14.21875" customWidth="1"/>
    <col min="14597" max="14597" width="14.44140625" bestFit="1" customWidth="1"/>
    <col min="14598" max="14598" width="6.6640625" customWidth="1"/>
    <col min="14599" max="14599" width="4.6640625" customWidth="1"/>
    <col min="14600" max="14600" width="14.109375" customWidth="1"/>
    <col min="14601" max="14601" width="10.6640625" customWidth="1"/>
    <col min="14602" max="14602" width="11.33203125" customWidth="1"/>
    <col min="14603" max="14603" width="13.6640625" customWidth="1"/>
    <col min="14604" max="14604" width="13.21875" customWidth="1"/>
    <col min="14849" max="14849" width="2.88671875" customWidth="1"/>
    <col min="14850" max="14850" width="18.6640625" customWidth="1"/>
    <col min="14851" max="14851" width="13.33203125" customWidth="1"/>
    <col min="14852" max="14852" width="14.21875" customWidth="1"/>
    <col min="14853" max="14853" width="14.44140625" bestFit="1" customWidth="1"/>
    <col min="14854" max="14854" width="6.6640625" customWidth="1"/>
    <col min="14855" max="14855" width="4.6640625" customWidth="1"/>
    <col min="14856" max="14856" width="14.109375" customWidth="1"/>
    <col min="14857" max="14857" width="10.6640625" customWidth="1"/>
    <col min="14858" max="14858" width="11.33203125" customWidth="1"/>
    <col min="14859" max="14859" width="13.6640625" customWidth="1"/>
    <col min="14860" max="14860" width="13.21875" customWidth="1"/>
    <col min="15105" max="15105" width="2.88671875" customWidth="1"/>
    <col min="15106" max="15106" width="18.6640625" customWidth="1"/>
    <col min="15107" max="15107" width="13.33203125" customWidth="1"/>
    <col min="15108" max="15108" width="14.21875" customWidth="1"/>
    <col min="15109" max="15109" width="14.44140625" bestFit="1" customWidth="1"/>
    <col min="15110" max="15110" width="6.6640625" customWidth="1"/>
    <col min="15111" max="15111" width="4.6640625" customWidth="1"/>
    <col min="15112" max="15112" width="14.109375" customWidth="1"/>
    <col min="15113" max="15113" width="10.6640625" customWidth="1"/>
    <col min="15114" max="15114" width="11.33203125" customWidth="1"/>
    <col min="15115" max="15115" width="13.6640625" customWidth="1"/>
    <col min="15116" max="15116" width="13.21875" customWidth="1"/>
    <col min="15361" max="15361" width="2.88671875" customWidth="1"/>
    <col min="15362" max="15362" width="18.6640625" customWidth="1"/>
    <col min="15363" max="15363" width="13.33203125" customWidth="1"/>
    <col min="15364" max="15364" width="14.21875" customWidth="1"/>
    <col min="15365" max="15365" width="14.44140625" bestFit="1" customWidth="1"/>
    <col min="15366" max="15366" width="6.6640625" customWidth="1"/>
    <col min="15367" max="15367" width="4.6640625" customWidth="1"/>
    <col min="15368" max="15368" width="14.109375" customWidth="1"/>
    <col min="15369" max="15369" width="10.6640625" customWidth="1"/>
    <col min="15370" max="15370" width="11.33203125" customWidth="1"/>
    <col min="15371" max="15371" width="13.6640625" customWidth="1"/>
    <col min="15372" max="15372" width="13.21875" customWidth="1"/>
    <col min="15617" max="15617" width="2.88671875" customWidth="1"/>
    <col min="15618" max="15618" width="18.6640625" customWidth="1"/>
    <col min="15619" max="15619" width="13.33203125" customWidth="1"/>
    <col min="15620" max="15620" width="14.21875" customWidth="1"/>
    <col min="15621" max="15621" width="14.44140625" bestFit="1" customWidth="1"/>
    <col min="15622" max="15622" width="6.6640625" customWidth="1"/>
    <col min="15623" max="15623" width="4.6640625" customWidth="1"/>
    <col min="15624" max="15624" width="14.109375" customWidth="1"/>
    <col min="15625" max="15625" width="10.6640625" customWidth="1"/>
    <col min="15626" max="15626" width="11.33203125" customWidth="1"/>
    <col min="15627" max="15627" width="13.6640625" customWidth="1"/>
    <col min="15628" max="15628" width="13.21875" customWidth="1"/>
    <col min="15873" max="15873" width="2.88671875" customWidth="1"/>
    <col min="15874" max="15874" width="18.6640625" customWidth="1"/>
    <col min="15875" max="15875" width="13.33203125" customWidth="1"/>
    <col min="15876" max="15876" width="14.21875" customWidth="1"/>
    <col min="15877" max="15877" width="14.44140625" bestFit="1" customWidth="1"/>
    <col min="15878" max="15878" width="6.6640625" customWidth="1"/>
    <col min="15879" max="15879" width="4.6640625" customWidth="1"/>
    <col min="15880" max="15880" width="14.109375" customWidth="1"/>
    <col min="15881" max="15881" width="10.6640625" customWidth="1"/>
    <col min="15882" max="15882" width="11.33203125" customWidth="1"/>
    <col min="15883" max="15883" width="13.6640625" customWidth="1"/>
    <col min="15884" max="15884" width="13.21875" customWidth="1"/>
    <col min="16129" max="16129" width="2.88671875" customWidth="1"/>
    <col min="16130" max="16130" width="18.6640625" customWidth="1"/>
    <col min="16131" max="16131" width="13.33203125" customWidth="1"/>
    <col min="16132" max="16132" width="14.21875" customWidth="1"/>
    <col min="16133" max="16133" width="14.44140625" bestFit="1" customWidth="1"/>
    <col min="16134" max="16134" width="6.6640625" customWidth="1"/>
    <col min="16135" max="16135" width="4.6640625" customWidth="1"/>
    <col min="16136" max="16136" width="14.109375" customWidth="1"/>
    <col min="16137" max="16137" width="10.6640625" customWidth="1"/>
    <col min="16138" max="16138" width="11.33203125" customWidth="1"/>
    <col min="16139" max="16139" width="13.6640625" customWidth="1"/>
    <col min="16140" max="16140" width="13.21875" customWidth="1"/>
  </cols>
  <sheetData>
    <row r="1" spans="2:19" ht="19.2">
      <c r="B1" s="304" t="s">
        <v>518</v>
      </c>
      <c r="O1" s="42"/>
      <c r="P1" s="42"/>
      <c r="Q1" s="42"/>
      <c r="R1" s="42"/>
      <c r="S1" s="42"/>
    </row>
    <row r="2" spans="2:19" ht="12" customHeight="1" thickBot="1">
      <c r="B2" s="305"/>
      <c r="H2" s="401"/>
      <c r="I2" s="57"/>
      <c r="J2" s="57"/>
      <c r="K2" s="57"/>
      <c r="L2" s="57"/>
      <c r="O2" s="42"/>
      <c r="P2" s="42"/>
      <c r="Q2" s="42"/>
      <c r="R2" s="42"/>
      <c r="S2" s="42"/>
    </row>
    <row r="3" spans="2:19" ht="13.8">
      <c r="B3" s="307" t="s">
        <v>301</v>
      </c>
      <c r="C3" s="569">
        <v>4.0000000000000001E-3</v>
      </c>
      <c r="D3" s="308" t="s">
        <v>302</v>
      </c>
      <c r="E3" s="309">
        <f ca="1">0.3164*C11^-0.25</f>
        <v>3.0060939869159978E-2</v>
      </c>
      <c r="H3" s="402"/>
      <c r="I3" s="403"/>
      <c r="J3" s="403"/>
      <c r="K3" s="404"/>
      <c r="L3" s="405"/>
      <c r="O3" s="42"/>
      <c r="P3" s="310"/>
      <c r="Q3" s="42"/>
      <c r="R3" s="42"/>
      <c r="S3" s="42"/>
    </row>
    <row r="4" spans="2:19" ht="13.8" thickBot="1">
      <c r="B4" s="311" t="s">
        <v>304</v>
      </c>
      <c r="C4" s="570">
        <v>0.59</v>
      </c>
      <c r="D4" s="312" t="s">
        <v>305</v>
      </c>
      <c r="E4" s="313">
        <v>0.5</v>
      </c>
      <c r="H4" s="406"/>
      <c r="I4" s="407"/>
      <c r="J4" s="407"/>
      <c r="K4" s="408"/>
      <c r="L4" s="408"/>
      <c r="O4" s="42"/>
      <c r="P4" s="310"/>
      <c r="Q4" s="42"/>
      <c r="R4" s="42"/>
      <c r="S4" s="42"/>
    </row>
    <row r="5" spans="2:19" ht="13.8" thickBot="1">
      <c r="B5" s="311" t="s">
        <v>306</v>
      </c>
      <c r="C5" s="570">
        <v>0.151</v>
      </c>
      <c r="D5" s="314" t="s">
        <v>307</v>
      </c>
      <c r="E5" s="315"/>
      <c r="F5" s="57"/>
      <c r="H5" s="406"/>
      <c r="I5" s="407"/>
      <c r="J5" s="407"/>
      <c r="K5" s="408"/>
      <c r="L5" s="408"/>
      <c r="O5" s="42"/>
      <c r="P5" s="310"/>
      <c r="Q5" s="42"/>
      <c r="R5" s="42"/>
      <c r="S5" s="42"/>
    </row>
    <row r="6" spans="2:19">
      <c r="B6" s="311" t="s">
        <v>308</v>
      </c>
      <c r="C6" s="572">
        <v>200</v>
      </c>
      <c r="D6" s="316" t="s">
        <v>309</v>
      </c>
      <c r="E6" s="317">
        <f ca="1">(LOOKUP(E23,H16:H27,I16:I27)+LOOKUP(E23+10,H16:H27,I16:I27)+LOOKUP(E23-11,H16:H27,I16:I27))/3</f>
        <v>993.15666666666664</v>
      </c>
      <c r="H6" s="406"/>
      <c r="I6" s="407"/>
      <c r="J6" s="407"/>
      <c r="K6" s="408"/>
      <c r="L6" s="408"/>
      <c r="O6" s="42"/>
      <c r="P6" s="310"/>
      <c r="Q6" s="318"/>
      <c r="R6" s="318"/>
      <c r="S6" s="42"/>
    </row>
    <row r="7" spans="2:19">
      <c r="B7" s="311" t="s">
        <v>310</v>
      </c>
      <c r="C7" s="570">
        <v>40</v>
      </c>
      <c r="D7" s="319" t="s">
        <v>303</v>
      </c>
      <c r="E7" s="320">
        <f ca="1">(LOOKUP(E23,H16:H27,L16:L27)+LOOKUP(E23+10,H16:H27,L16:L27)+LOOKUP(E23-11,H16:H27,L16:L27))/3</f>
        <v>0.62393333333333334</v>
      </c>
      <c r="H7" s="406"/>
      <c r="I7" s="407"/>
      <c r="J7" s="407"/>
      <c r="K7" s="408"/>
      <c r="L7" s="408"/>
      <c r="O7" s="42"/>
      <c r="P7" s="310"/>
      <c r="Q7" s="318"/>
      <c r="R7" s="318"/>
      <c r="S7" s="42"/>
    </row>
    <row r="8" spans="2:19">
      <c r="B8" s="311" t="s">
        <v>311</v>
      </c>
      <c r="C8" s="573">
        <v>2</v>
      </c>
      <c r="D8" s="319" t="s">
        <v>312</v>
      </c>
      <c r="E8" s="320">
        <f ca="1">(LOOKUP(E23,H16:H27,J16:J27)+LOOKUP(E23+10,H16:H27,J16:J27)+LOOKUP(E23-11,H16:H27,J16:J27))/3*1000</f>
        <v>4179.333333333333</v>
      </c>
      <c r="H8" s="406"/>
      <c r="I8" s="407"/>
      <c r="J8" s="407"/>
      <c r="K8" s="408"/>
      <c r="L8" s="408"/>
      <c r="O8" s="42"/>
      <c r="P8" s="310"/>
      <c r="Q8" s="318"/>
      <c r="R8" s="318"/>
      <c r="S8" s="42"/>
    </row>
    <row r="9" spans="2:19" ht="13.8" thickBot="1">
      <c r="B9" s="400" t="s">
        <v>359</v>
      </c>
      <c r="C9" s="571">
        <v>9.5500000000000001E-4</v>
      </c>
      <c r="D9" s="321" t="s">
        <v>313</v>
      </c>
      <c r="E9" s="322">
        <f ca="1">FORECAST(E23,K16:K27,H16:H27)</f>
        <v>8.6455612675100698E-7</v>
      </c>
      <c r="H9" s="406"/>
      <c r="I9" s="407"/>
      <c r="J9" s="407"/>
      <c r="K9" s="408"/>
      <c r="L9" s="408"/>
      <c r="M9" s="323"/>
      <c r="O9" s="42"/>
      <c r="P9" s="310"/>
      <c r="Q9" s="318"/>
      <c r="R9" s="318"/>
      <c r="S9" s="42"/>
    </row>
    <row r="10" spans="2:19" ht="13.8" thickBot="1">
      <c r="B10" s="324" t="s">
        <v>314</v>
      </c>
      <c r="H10" s="406"/>
      <c r="I10" s="407"/>
      <c r="J10" s="407"/>
      <c r="K10" s="408"/>
      <c r="L10" s="408"/>
      <c r="O10" s="42"/>
      <c r="P10" s="310"/>
      <c r="Q10" s="318"/>
      <c r="R10" s="318"/>
      <c r="S10" s="42"/>
    </row>
    <row r="11" spans="2:19">
      <c r="B11" s="325" t="s">
        <v>315</v>
      </c>
      <c r="C11" s="326">
        <f ca="1">C3*C19/E9</f>
        <v>12272.574574577595</v>
      </c>
      <c r="D11" t="str">
        <f ca="1">IF(C11&gt;2300,"乱流","層流")</f>
        <v>乱流</v>
      </c>
      <c r="E11" s="57"/>
      <c r="G11" s="57"/>
      <c r="H11" s="57"/>
      <c r="I11" s="57"/>
      <c r="J11" s="57"/>
      <c r="K11" s="409"/>
      <c r="L11" s="410"/>
      <c r="O11" s="42"/>
      <c r="P11" s="310"/>
      <c r="Q11" s="318"/>
      <c r="R11" s="318"/>
      <c r="S11" s="42"/>
    </row>
    <row r="12" spans="2:19">
      <c r="B12" s="327" t="s">
        <v>316</v>
      </c>
      <c r="C12" s="328">
        <f ca="1">(LOOKUP(E23,H16:H27,N16:N27)+LOOKUP(E23+10,H16:H27,N16:N27)+LOOKUP(E23-11,H16:H27,N16:N27))/3</f>
        <v>4.7597164061423083</v>
      </c>
      <c r="D12" s="57"/>
      <c r="E12" s="57"/>
      <c r="G12" s="57"/>
      <c r="H12" s="61"/>
      <c r="I12" s="87"/>
      <c r="N12" s="329"/>
      <c r="O12" s="42"/>
      <c r="P12" s="310"/>
      <c r="Q12" s="318"/>
      <c r="R12" s="318"/>
      <c r="S12" s="42"/>
    </row>
    <row r="13" spans="2:19" ht="16.2" thickBot="1">
      <c r="B13" s="327" t="s">
        <v>317</v>
      </c>
      <c r="C13" s="330">
        <f>C8/1000/60</f>
        <v>3.3333333333333335E-5</v>
      </c>
      <c r="D13" s="57" t="s">
        <v>515</v>
      </c>
      <c r="E13" s="483"/>
      <c r="F13" s="57"/>
      <c r="G13" s="57"/>
      <c r="H13" s="331" t="s">
        <v>318</v>
      </c>
      <c r="I13" s="332"/>
      <c r="K13" t="s">
        <v>319</v>
      </c>
      <c r="N13" s="42"/>
      <c r="O13" s="42"/>
      <c r="P13" s="310"/>
      <c r="Q13" s="318"/>
      <c r="R13" s="318"/>
      <c r="S13" s="42"/>
    </row>
    <row r="14" spans="2:19" ht="15.6">
      <c r="B14" s="333" t="s">
        <v>320</v>
      </c>
      <c r="C14" s="330">
        <f>PI()*C3^2/4</f>
        <v>1.2566370614359172E-5</v>
      </c>
      <c r="D14" s="57" t="s">
        <v>516</v>
      </c>
      <c r="E14" s="57"/>
      <c r="F14" s="57"/>
      <c r="G14" s="57"/>
      <c r="H14" s="334" t="s">
        <v>321</v>
      </c>
      <c r="I14" s="335" t="s">
        <v>322</v>
      </c>
      <c r="J14" s="336" t="s">
        <v>323</v>
      </c>
      <c r="K14" s="336" t="s">
        <v>324</v>
      </c>
      <c r="L14" s="337" t="s">
        <v>325</v>
      </c>
      <c r="M14" s="338" t="s">
        <v>326</v>
      </c>
      <c r="N14" s="339" t="s">
        <v>327</v>
      </c>
      <c r="O14" s="42"/>
      <c r="P14" s="310"/>
      <c r="Q14" s="42"/>
      <c r="R14" s="318"/>
      <c r="S14" s="42"/>
    </row>
    <row r="15" spans="2:19" ht="15.6">
      <c r="B15" s="333" t="s">
        <v>328</v>
      </c>
      <c r="C15" s="330">
        <f>PI()*C3</f>
        <v>1.2566370614359173E-2</v>
      </c>
      <c r="D15" t="s">
        <v>97</v>
      </c>
      <c r="E15" s="61"/>
      <c r="F15" s="57"/>
      <c r="G15" s="57"/>
      <c r="H15" s="340" t="s">
        <v>329</v>
      </c>
      <c r="I15" s="341" t="s">
        <v>330</v>
      </c>
      <c r="J15" s="341" t="s">
        <v>331</v>
      </c>
      <c r="K15" s="342" t="s">
        <v>360</v>
      </c>
      <c r="L15" s="343" t="s">
        <v>332</v>
      </c>
      <c r="M15" s="344" t="s">
        <v>333</v>
      </c>
      <c r="N15" s="345"/>
      <c r="O15" s="42"/>
      <c r="P15" s="310"/>
      <c r="Q15" s="42"/>
      <c r="R15" s="42"/>
      <c r="S15" s="42"/>
    </row>
    <row r="16" spans="2:19" ht="15.6">
      <c r="B16" s="333" t="s">
        <v>334</v>
      </c>
      <c r="C16" s="330">
        <f>C15*(C4+C5)</f>
        <v>9.3116806252401471E-3</v>
      </c>
      <c r="D16" s="57" t="s">
        <v>516</v>
      </c>
      <c r="E16" s="57"/>
      <c r="F16" s="57"/>
      <c r="G16" s="57"/>
      <c r="H16" s="346">
        <v>0</v>
      </c>
      <c r="I16" s="347">
        <v>999.78</v>
      </c>
      <c r="J16" s="347">
        <v>4.2169999999999996</v>
      </c>
      <c r="K16" s="348">
        <v>1.792E-6</v>
      </c>
      <c r="L16" s="349">
        <v>0.56189999999999996</v>
      </c>
      <c r="M16" s="350">
        <v>0.1333</v>
      </c>
      <c r="N16" s="351">
        <f>K16/M16*1000000</f>
        <v>13.443360840210053</v>
      </c>
      <c r="P16" s="42"/>
      <c r="Q16" s="42"/>
      <c r="R16" s="42"/>
      <c r="S16" s="42"/>
    </row>
    <row r="17" spans="2:19">
      <c r="B17" s="333" t="s">
        <v>335</v>
      </c>
      <c r="C17" s="352">
        <f ca="1">0.023*C11^0.8*C12^0.4</f>
        <v>80.150975194259999</v>
      </c>
      <c r="D17" s="353" t="s">
        <v>361</v>
      </c>
      <c r="E17" s="57"/>
      <c r="F17" s="57"/>
      <c r="G17" s="57"/>
      <c r="H17" s="354">
        <v>6.83</v>
      </c>
      <c r="I17" s="347">
        <v>999.93</v>
      </c>
      <c r="J17" s="347">
        <v>4.1989999999999998</v>
      </c>
      <c r="K17" s="348">
        <v>1.435E-6</v>
      </c>
      <c r="L17" s="349">
        <v>0.57599999999999996</v>
      </c>
      <c r="M17" s="350">
        <v>0.13719999999999999</v>
      </c>
      <c r="N17" s="351">
        <f t="shared" ref="N17:N27" si="0">K17/M17*1000000</f>
        <v>10.45918367346939</v>
      </c>
      <c r="O17" s="42"/>
      <c r="P17" s="42"/>
      <c r="Q17" s="42"/>
      <c r="R17" s="355"/>
      <c r="S17" s="42"/>
    </row>
    <row r="18" spans="2:19" ht="15.6">
      <c r="B18" s="333" t="s">
        <v>336</v>
      </c>
      <c r="C18" s="330">
        <f ca="1">C17*E7/C3</f>
        <v>12502.216280717988</v>
      </c>
      <c r="D18" s="356" t="s">
        <v>517</v>
      </c>
      <c r="E18" s="357"/>
      <c r="F18" s="57"/>
      <c r="G18" s="57"/>
      <c r="H18" s="354">
        <f>H17+10</f>
        <v>16.829999999999998</v>
      </c>
      <c r="I18" s="347">
        <v>998.87</v>
      </c>
      <c r="J18" s="347">
        <v>4.1840000000000002</v>
      </c>
      <c r="K18" s="348">
        <v>1.0869999999999999E-6</v>
      </c>
      <c r="L18" s="349">
        <v>0.59429999999999994</v>
      </c>
      <c r="M18" s="350">
        <v>0.14219999999999999</v>
      </c>
      <c r="N18" s="351">
        <f t="shared" si="0"/>
        <v>7.6441631504922647</v>
      </c>
      <c r="O18" s="42"/>
      <c r="P18" s="42"/>
      <c r="Q18" s="42"/>
      <c r="R18" s="42"/>
      <c r="S18" s="42"/>
    </row>
    <row r="19" spans="2:19" ht="13.8" thickBot="1">
      <c r="B19" s="358" t="s">
        <v>337</v>
      </c>
      <c r="C19" s="313">
        <f>C13/C14</f>
        <v>2.6525823848649228</v>
      </c>
      <c r="D19" s="356" t="s">
        <v>191</v>
      </c>
      <c r="E19" s="145"/>
      <c r="F19" s="57"/>
      <c r="H19" s="354">
        <f t="shared" ref="H19:H27" si="1">H18+10</f>
        <v>26.83</v>
      </c>
      <c r="I19" s="347">
        <v>996.62</v>
      </c>
      <c r="J19" s="347">
        <v>4.1790000000000003</v>
      </c>
      <c r="K19" s="347">
        <v>8.5729999999999993E-7</v>
      </c>
      <c r="L19" s="349">
        <v>0.61039999999999994</v>
      </c>
      <c r="M19" s="350">
        <v>0.14660000000000001</v>
      </c>
      <c r="N19" s="351">
        <f t="shared" si="0"/>
        <v>5.8478854024556615</v>
      </c>
      <c r="O19" s="42"/>
      <c r="P19" s="42"/>
    </row>
    <row r="20" spans="2:19">
      <c r="H20" s="354">
        <f t="shared" si="1"/>
        <v>36.83</v>
      </c>
      <c r="I20" s="347">
        <v>993.42</v>
      </c>
      <c r="J20" s="347">
        <v>4.1790000000000003</v>
      </c>
      <c r="K20" s="347">
        <v>6.9830000000000005E-7</v>
      </c>
      <c r="L20" s="349">
        <v>0.62450000000000006</v>
      </c>
      <c r="M20" s="350">
        <v>0.15040000000000001</v>
      </c>
      <c r="N20" s="351">
        <f t="shared" si="0"/>
        <v>4.6429521276595747</v>
      </c>
      <c r="O20" s="359"/>
      <c r="P20" s="359"/>
    </row>
    <row r="21" spans="2:19">
      <c r="B21" s="57"/>
      <c r="H21" s="354">
        <f t="shared" si="1"/>
        <v>46.83</v>
      </c>
      <c r="I21" s="347">
        <v>989.43</v>
      </c>
      <c r="J21" s="347">
        <v>4.18</v>
      </c>
      <c r="K21" s="347">
        <v>5.834E-7</v>
      </c>
      <c r="L21" s="349">
        <v>0.63690000000000002</v>
      </c>
      <c r="M21" s="350">
        <v>0.154</v>
      </c>
      <c r="N21" s="351">
        <f t="shared" si="0"/>
        <v>3.7883116883116883</v>
      </c>
      <c r="O21" s="359"/>
      <c r="P21" s="359"/>
    </row>
    <row r="22" spans="2:19" ht="13.8" thickBot="1">
      <c r="B22" s="360" t="s">
        <v>338</v>
      </c>
      <c r="E22" s="361"/>
      <c r="F22" s="42"/>
      <c r="H22" s="354">
        <f t="shared" si="1"/>
        <v>56.83</v>
      </c>
      <c r="I22" s="347">
        <v>984.75</v>
      </c>
      <c r="J22" s="347">
        <v>4.1840000000000002</v>
      </c>
      <c r="K22" s="347">
        <v>4.9739999999999999E-7</v>
      </c>
      <c r="L22" s="349">
        <v>0.64790000000000003</v>
      </c>
      <c r="M22" s="350">
        <v>0.15720000000000001</v>
      </c>
      <c r="N22" s="351">
        <f t="shared" si="0"/>
        <v>3.16412213740458</v>
      </c>
      <c r="O22" s="42"/>
      <c r="P22" s="42"/>
    </row>
    <row r="23" spans="2:19">
      <c r="B23" s="362" t="s">
        <v>339</v>
      </c>
      <c r="C23" s="363">
        <f ca="1">C6/(E6*E8*C13)/2</f>
        <v>0.72276394840554803</v>
      </c>
      <c r="D23" s="42" t="s">
        <v>340</v>
      </c>
      <c r="E23" s="364">
        <f ca="1">C7+C23</f>
        <v>40.72276394840555</v>
      </c>
      <c r="F23" s="57" t="s">
        <v>104</v>
      </c>
      <c r="H23" s="354">
        <f t="shared" si="1"/>
        <v>66.83</v>
      </c>
      <c r="I23" s="347">
        <v>979.44</v>
      </c>
      <c r="J23" s="347">
        <v>4.1879999999999997</v>
      </c>
      <c r="K23" s="347">
        <v>4.3140000000000001E-7</v>
      </c>
      <c r="L23" s="349">
        <v>0.65679999999999994</v>
      </c>
      <c r="M23" s="350">
        <v>0.16009999999999999</v>
      </c>
      <c r="N23" s="351">
        <f t="shared" si="0"/>
        <v>2.6945658963148036</v>
      </c>
      <c r="O23" s="42"/>
      <c r="P23" s="42"/>
    </row>
    <row r="24" spans="2:19">
      <c r="B24" s="365" t="s">
        <v>341</v>
      </c>
      <c r="C24" s="366">
        <f ca="1">C6/C18/C16</f>
        <v>1.7179673903557908</v>
      </c>
      <c r="D24" s="42" t="s">
        <v>342</v>
      </c>
      <c r="E24" s="364">
        <f ca="1">E23+C24</f>
        <v>42.440731338761339</v>
      </c>
      <c r="F24" s="57" t="s">
        <v>104</v>
      </c>
      <c r="H24" s="354">
        <f t="shared" si="1"/>
        <v>76.83</v>
      </c>
      <c r="I24" s="347">
        <v>973.59</v>
      </c>
      <c r="J24" s="347">
        <v>4.194</v>
      </c>
      <c r="K24" s="347">
        <v>3.7940000000000002E-7</v>
      </c>
      <c r="L24" s="349">
        <v>0.66459999999999997</v>
      </c>
      <c r="M24" s="350">
        <v>0.1628</v>
      </c>
      <c r="N24" s="351">
        <f t="shared" si="0"/>
        <v>2.3304668304668303</v>
      </c>
      <c r="O24" s="42"/>
      <c r="P24" s="42"/>
    </row>
    <row r="25" spans="2:19">
      <c r="B25" s="365" t="s">
        <v>343</v>
      </c>
      <c r="C25" s="367">
        <f>C9*C6</f>
        <v>0.191</v>
      </c>
      <c r="D25" s="42"/>
      <c r="H25" s="354">
        <f t="shared" si="1"/>
        <v>86.83</v>
      </c>
      <c r="I25" s="347">
        <v>967.21</v>
      </c>
      <c r="J25" s="347">
        <v>4.202</v>
      </c>
      <c r="K25" s="347">
        <v>3.3779999999999997E-7</v>
      </c>
      <c r="L25" s="349">
        <v>0.67100000000000004</v>
      </c>
      <c r="M25" s="350">
        <v>0.1651</v>
      </c>
      <c r="N25" s="351">
        <f t="shared" si="0"/>
        <v>2.04603270745003</v>
      </c>
      <c r="O25" s="42"/>
      <c r="P25" s="42"/>
    </row>
    <row r="26" spans="2:19" ht="13.8" thickBot="1">
      <c r="B26" s="368" t="s">
        <v>344</v>
      </c>
      <c r="C26" s="369">
        <f ca="1">SUM(C23:C25)+C7</f>
        <v>42.631731338761341</v>
      </c>
      <c r="D26" s="42" t="s">
        <v>104</v>
      </c>
      <c r="E26" s="57"/>
      <c r="G26" s="42"/>
      <c r="H26" s="354">
        <f t="shared" si="1"/>
        <v>96.83</v>
      </c>
      <c r="I26" s="347">
        <v>960.37</v>
      </c>
      <c r="J26" s="347">
        <v>4.2119999999999997</v>
      </c>
      <c r="K26" s="347">
        <v>3.0390000000000001E-7</v>
      </c>
      <c r="L26" s="349">
        <v>0.67610000000000003</v>
      </c>
      <c r="M26" s="350">
        <v>0.1671</v>
      </c>
      <c r="N26" s="351">
        <f t="shared" si="0"/>
        <v>1.8186714542190308</v>
      </c>
      <c r="P26" s="42"/>
    </row>
    <row r="27" spans="2:19" ht="13.8" thickBot="1">
      <c r="B27" s="370" t="s">
        <v>345</v>
      </c>
      <c r="C27" s="64">
        <f ca="1">SUM(C23:C25)</f>
        <v>2.6317313387613388</v>
      </c>
      <c r="G27" s="57"/>
      <c r="H27" s="371">
        <f t="shared" si="1"/>
        <v>106.83</v>
      </c>
      <c r="I27" s="372">
        <v>953.08</v>
      </c>
      <c r="J27" s="372">
        <v>4.2240000000000002</v>
      </c>
      <c r="K27" s="372">
        <v>2.7589999999999998E-7</v>
      </c>
      <c r="L27" s="373">
        <v>0.68</v>
      </c>
      <c r="M27" s="374">
        <v>0.16889999999999999</v>
      </c>
      <c r="N27" s="375">
        <f t="shared" si="0"/>
        <v>1.6335109532267613</v>
      </c>
      <c r="P27" s="42"/>
    </row>
    <row r="28" spans="2:19" ht="5.25" customHeight="1">
      <c r="G28" s="57"/>
    </row>
    <row r="29" spans="2:19">
      <c r="B29" s="306" t="s">
        <v>346</v>
      </c>
      <c r="G29" s="57"/>
    </row>
    <row r="30" spans="2:19" ht="13.8" thickBot="1">
      <c r="C30" s="376"/>
      <c r="D30" s="376"/>
      <c r="E30" s="376"/>
      <c r="F30" s="57"/>
      <c r="G30" s="57"/>
      <c r="H30" t="s">
        <v>366</v>
      </c>
    </row>
    <row r="31" spans="2:19" ht="13.8" thickBot="1">
      <c r="B31" s="377" t="s">
        <v>362</v>
      </c>
      <c r="C31" s="378">
        <f ca="1">E3*(C4+C5)/C3</f>
        <v>5.5687891107618857</v>
      </c>
      <c r="D31" s="44"/>
      <c r="E31" s="44"/>
      <c r="F31" s="57"/>
      <c r="G31" s="57"/>
    </row>
    <row r="32" spans="2:19" ht="13.8" thickBot="1">
      <c r="B32" s="377" t="s">
        <v>363</v>
      </c>
      <c r="C32" s="378">
        <f>E4*E32/C4</f>
        <v>0.42372881355932207</v>
      </c>
      <c r="D32" s="411" t="s">
        <v>364</v>
      </c>
      <c r="E32" s="140">
        <v>0.5</v>
      </c>
      <c r="F32" s="57"/>
      <c r="G32" s="57"/>
    </row>
    <row r="33" spans="2:12" ht="13.8" thickBot="1">
      <c r="B33" s="324"/>
      <c r="C33" s="376" t="s">
        <v>347</v>
      </c>
      <c r="D33" s="376" t="s">
        <v>348</v>
      </c>
      <c r="E33" s="376" t="s">
        <v>349</v>
      </c>
      <c r="F33" s="57"/>
      <c r="G33" s="57"/>
    </row>
    <row r="34" spans="2:12">
      <c r="B34" s="379" t="s">
        <v>350</v>
      </c>
      <c r="C34" s="380">
        <v>1</v>
      </c>
      <c r="D34" s="381">
        <v>1</v>
      </c>
      <c r="E34" s="380">
        <v>1</v>
      </c>
      <c r="F34" s="42"/>
    </row>
    <row r="35" spans="2:12" ht="13.8" thickBot="1">
      <c r="B35" s="382" t="s">
        <v>351</v>
      </c>
      <c r="C35" s="383">
        <v>1</v>
      </c>
      <c r="D35" s="384">
        <v>1</v>
      </c>
      <c r="E35" s="383">
        <v>1</v>
      </c>
      <c r="F35" s="42"/>
    </row>
    <row r="36" spans="2:12" ht="17.25" hidden="1" customHeight="1">
      <c r="B36" s="385" t="s">
        <v>352</v>
      </c>
      <c r="C36" s="386">
        <f>C35*2.5*(1-C34)/C34^2</f>
        <v>0</v>
      </c>
      <c r="D36" s="386">
        <f>D35*2.5*(1-D34)/D34^2</f>
        <v>0</v>
      </c>
      <c r="E36" s="386">
        <f>E35*2.5*(1-E34)/E34^2</f>
        <v>0</v>
      </c>
      <c r="F36" s="42"/>
    </row>
    <row r="37" spans="2:12" ht="13.8" thickBot="1">
      <c r="B37" s="387"/>
      <c r="C37" s="44" t="s">
        <v>353</v>
      </c>
      <c r="D37" s="44" t="s">
        <v>354</v>
      </c>
      <c r="E37" s="44" t="s">
        <v>355</v>
      </c>
      <c r="F37" s="42"/>
    </row>
    <row r="38" spans="2:12" ht="13.8" thickBot="1">
      <c r="B38" s="377" t="s">
        <v>356</v>
      </c>
      <c r="C38" s="388">
        <v>0.01</v>
      </c>
      <c r="D38" s="388">
        <v>0.01</v>
      </c>
      <c r="E38" s="389">
        <v>0.01</v>
      </c>
      <c r="F38" s="42"/>
    </row>
    <row r="39" spans="2:12" ht="18" customHeight="1" thickBot="1">
      <c r="B39" s="390" t="s">
        <v>357</v>
      </c>
      <c r="C39" s="391">
        <v>0</v>
      </c>
      <c r="D39" s="391">
        <v>8</v>
      </c>
      <c r="E39" s="392">
        <v>0</v>
      </c>
      <c r="F39" s="42"/>
    </row>
    <row r="40" spans="2:12" ht="18" hidden="1" customHeight="1">
      <c r="B40" s="393" t="s">
        <v>358</v>
      </c>
      <c r="C40" s="394">
        <f ca="1">IF(C11*(C3/C38)^2&lt;365,(0.00515*C41*45*C11^-0.2*(C38/C3)^0.9)*C39,(0.00431*C41*45*C11^-0.17*(C38/C3)^0.849)*C39)</f>
        <v>0</v>
      </c>
      <c r="D40" s="394">
        <f ca="1">IF(C11*(C3/D38)^2&lt;365,(0.00515*D41*90*C11^-0.2*(D38/C3)^0.9)*D39,(0.00431*D41*90*C11^-0.17*(D38/C3)^0.849)*D39)</f>
        <v>2.2949906275389513</v>
      </c>
      <c r="E40" s="394">
        <f ca="1">IF(C11*(C3/E38)^2&lt;365,(0.00515*E41*180*C11^-0.2*(E38/C3)^0.9)*E39,(0.00431*E41*180*C11^-0.17*(E38/C3)^0.849)*E39)</f>
        <v>0</v>
      </c>
      <c r="F40" s="42"/>
    </row>
    <row r="41" spans="2:12" ht="9.75" hidden="1" customHeight="1">
      <c r="C41">
        <f>1+5.13*(C38/C3)^-1.47</f>
        <v>2.3339684323763858</v>
      </c>
      <c r="D41">
        <f>IF(D38/C3&lt;9.85,0.95+4.42*(D38/C3)^-1.96,1)</f>
        <v>1.6836008947402936</v>
      </c>
      <c r="E41" s="42">
        <f>1+5.06*(E38/C3)^-4.52</f>
        <v>1.0804380766467594</v>
      </c>
      <c r="F41" s="42"/>
    </row>
    <row r="42" spans="2:12" ht="15" customHeight="1" thickBot="1">
      <c r="F42" s="42"/>
    </row>
    <row r="43" spans="2:12" ht="13.8" thickBot="1">
      <c r="B43" s="395" t="s">
        <v>365</v>
      </c>
      <c r="C43" s="396">
        <f ca="1">((C31+C32+D31+E31+C36+D36+E36+E4+C40+D40+E40)*E6/2*C19^2)/1000</f>
        <v>30.703740702120086</v>
      </c>
      <c r="D43" s="42"/>
      <c r="F43" s="42"/>
      <c r="H43" s="397"/>
      <c r="I43" s="61"/>
      <c r="J43" s="61"/>
      <c r="K43" s="61"/>
      <c r="L43" s="61"/>
    </row>
    <row r="44" spans="2:12">
      <c r="F44" s="42"/>
      <c r="H44" s="397"/>
      <c r="I44" s="61"/>
      <c r="J44" s="61"/>
      <c r="K44" s="61"/>
      <c r="L44" s="61"/>
    </row>
    <row r="45" spans="2:12">
      <c r="F45" s="42"/>
      <c r="H45" s="397"/>
      <c r="I45" s="61"/>
      <c r="J45" s="61"/>
      <c r="K45" s="61"/>
      <c r="L45" s="61"/>
    </row>
    <row r="46" spans="2:12">
      <c r="F46" s="42"/>
      <c r="H46" s="397"/>
      <c r="I46" s="61"/>
      <c r="J46" s="61"/>
      <c r="K46" s="61"/>
      <c r="L46" s="61"/>
    </row>
    <row r="47" spans="2:12">
      <c r="B47" s="398"/>
      <c r="C47" s="42"/>
      <c r="D47" s="42"/>
      <c r="E47" s="42"/>
      <c r="F47" s="42"/>
      <c r="H47" s="397"/>
      <c r="I47" s="61"/>
      <c r="J47" s="61"/>
      <c r="K47" s="61"/>
      <c r="L47" s="61"/>
    </row>
    <row r="48" spans="2:12">
      <c r="B48" s="42"/>
      <c r="C48" s="42"/>
      <c r="D48" s="42"/>
      <c r="E48" s="42"/>
      <c r="F48" s="42"/>
      <c r="H48" s="397"/>
      <c r="I48" s="61"/>
      <c r="J48" s="61"/>
      <c r="K48" s="61"/>
      <c r="L48" s="61"/>
    </row>
    <row r="49" spans="2:12">
      <c r="B49" s="42"/>
      <c r="C49" s="42"/>
      <c r="D49" s="42"/>
      <c r="E49" s="42"/>
      <c r="F49" s="42"/>
      <c r="H49" s="397"/>
      <c r="I49" s="61"/>
      <c r="J49" s="61"/>
      <c r="K49" s="61"/>
      <c r="L49" s="61"/>
    </row>
    <row r="50" spans="2:12">
      <c r="B50" s="42"/>
      <c r="C50" s="399"/>
      <c r="D50" s="42"/>
      <c r="E50" s="42"/>
      <c r="F50" s="42"/>
      <c r="H50" s="397"/>
      <c r="I50" s="61"/>
      <c r="J50" s="61"/>
      <c r="K50" s="61"/>
      <c r="L50" s="61"/>
    </row>
    <row r="51" spans="2:12">
      <c r="B51" s="42"/>
      <c r="C51" s="42"/>
      <c r="D51" s="42"/>
      <c r="E51" s="42"/>
      <c r="F51" s="42"/>
      <c r="H51" s="397"/>
      <c r="I51" s="61"/>
      <c r="J51" s="61"/>
      <c r="K51" s="61"/>
      <c r="L51" s="61"/>
    </row>
    <row r="52" spans="2:12">
      <c r="B52" s="42"/>
      <c r="C52" s="42"/>
      <c r="D52" s="42"/>
      <c r="E52" s="42"/>
      <c r="F52" s="42"/>
      <c r="H52" s="397"/>
      <c r="I52" s="61"/>
      <c r="J52" s="61"/>
      <c r="K52" s="61"/>
      <c r="L52" s="61"/>
    </row>
    <row r="53" spans="2:12">
      <c r="H53" s="397"/>
      <c r="I53" s="61"/>
      <c r="J53" s="61"/>
      <c r="K53" s="61"/>
      <c r="L53" s="61"/>
    </row>
    <row r="54" spans="2:12">
      <c r="H54" s="397"/>
      <c r="I54" s="61"/>
      <c r="J54" s="61"/>
      <c r="K54" s="61"/>
      <c r="L54" s="61"/>
    </row>
    <row r="55" spans="2:12">
      <c r="H55" s="397"/>
      <c r="I55" s="61"/>
      <c r="J55" s="61"/>
      <c r="K55" s="61"/>
      <c r="L55" s="61"/>
    </row>
    <row r="56" spans="2:12">
      <c r="H56" s="397"/>
      <c r="I56" s="61"/>
      <c r="J56" s="61"/>
      <c r="K56" s="61"/>
      <c r="L56" s="61"/>
    </row>
    <row r="57" spans="2:12">
      <c r="H57" s="397"/>
      <c r="I57" s="61"/>
      <c r="J57" s="61"/>
      <c r="K57" s="61"/>
      <c r="L57" s="61"/>
    </row>
    <row r="58" spans="2:12">
      <c r="H58" s="397"/>
      <c r="I58" s="61"/>
      <c r="J58" s="61"/>
      <c r="K58" s="61"/>
      <c r="L58" s="61"/>
    </row>
    <row r="59" spans="2:12">
      <c r="H59" s="57"/>
      <c r="I59" s="57"/>
      <c r="J59" s="57"/>
      <c r="K59" s="57"/>
      <c r="L59" s="57"/>
    </row>
  </sheetData>
  <phoneticPr fontId="7"/>
  <pageMargins left="0.75" right="0.75" top="1" bottom="1" header="0.51200000000000001" footer="0.51200000000000001"/>
  <pageSetup paperSize="9" orientation="portrait" verticalDpi="1200"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3" tint="0.59999389629810485"/>
  </sheetPr>
  <dimension ref="A1:O36"/>
  <sheetViews>
    <sheetView showGridLines="0" zoomScale="130" zoomScaleNormal="130" workbookViewId="0"/>
  </sheetViews>
  <sheetFormatPr defaultRowHeight="13.2"/>
  <cols>
    <col min="1" max="7" width="14.6640625" customWidth="1"/>
    <col min="257" max="259" width="12.6640625" customWidth="1"/>
    <col min="260" max="260" width="14.33203125" customWidth="1"/>
    <col min="261" max="261" width="12.6640625" customWidth="1"/>
    <col min="262" max="262" width="14.109375" customWidth="1"/>
    <col min="263" max="263" width="12.6640625" customWidth="1"/>
    <col min="513" max="515" width="12.6640625" customWidth="1"/>
    <col min="516" max="516" width="14.33203125" customWidth="1"/>
    <col min="517" max="517" width="12.6640625" customWidth="1"/>
    <col min="518" max="518" width="14.109375" customWidth="1"/>
    <col min="519" max="519" width="12.6640625" customWidth="1"/>
    <col min="769" max="771" width="12.6640625" customWidth="1"/>
    <col min="772" max="772" width="14.33203125" customWidth="1"/>
    <col min="773" max="773" width="12.6640625" customWidth="1"/>
    <col min="774" max="774" width="14.109375" customWidth="1"/>
    <col min="775" max="775" width="12.6640625" customWidth="1"/>
    <col min="1025" max="1027" width="12.6640625" customWidth="1"/>
    <col min="1028" max="1028" width="14.33203125" customWidth="1"/>
    <col min="1029" max="1029" width="12.6640625" customWidth="1"/>
    <col min="1030" max="1030" width="14.109375" customWidth="1"/>
    <col min="1031" max="1031" width="12.6640625" customWidth="1"/>
    <col min="1281" max="1283" width="12.6640625" customWidth="1"/>
    <col min="1284" max="1284" width="14.33203125" customWidth="1"/>
    <col min="1285" max="1285" width="12.6640625" customWidth="1"/>
    <col min="1286" max="1286" width="14.109375" customWidth="1"/>
    <col min="1287" max="1287" width="12.6640625" customWidth="1"/>
    <col min="1537" max="1539" width="12.6640625" customWidth="1"/>
    <col min="1540" max="1540" width="14.33203125" customWidth="1"/>
    <col min="1541" max="1541" width="12.6640625" customWidth="1"/>
    <col min="1542" max="1542" width="14.109375" customWidth="1"/>
    <col min="1543" max="1543" width="12.6640625" customWidth="1"/>
    <col min="1793" max="1795" width="12.6640625" customWidth="1"/>
    <col min="1796" max="1796" width="14.33203125" customWidth="1"/>
    <col min="1797" max="1797" width="12.6640625" customWidth="1"/>
    <col min="1798" max="1798" width="14.109375" customWidth="1"/>
    <col min="1799" max="1799" width="12.6640625" customWidth="1"/>
    <col min="2049" max="2051" width="12.6640625" customWidth="1"/>
    <col min="2052" max="2052" width="14.33203125" customWidth="1"/>
    <col min="2053" max="2053" width="12.6640625" customWidth="1"/>
    <col min="2054" max="2054" width="14.109375" customWidth="1"/>
    <col min="2055" max="2055" width="12.6640625" customWidth="1"/>
    <col min="2305" max="2307" width="12.6640625" customWidth="1"/>
    <col min="2308" max="2308" width="14.33203125" customWidth="1"/>
    <col min="2309" max="2309" width="12.6640625" customWidth="1"/>
    <col min="2310" max="2310" width="14.109375" customWidth="1"/>
    <col min="2311" max="2311" width="12.6640625" customWidth="1"/>
    <col min="2561" max="2563" width="12.6640625" customWidth="1"/>
    <col min="2564" max="2564" width="14.33203125" customWidth="1"/>
    <col min="2565" max="2565" width="12.6640625" customWidth="1"/>
    <col min="2566" max="2566" width="14.109375" customWidth="1"/>
    <col min="2567" max="2567" width="12.6640625" customWidth="1"/>
    <col min="2817" max="2819" width="12.6640625" customWidth="1"/>
    <col min="2820" max="2820" width="14.33203125" customWidth="1"/>
    <col min="2821" max="2821" width="12.6640625" customWidth="1"/>
    <col min="2822" max="2822" width="14.109375" customWidth="1"/>
    <col min="2823" max="2823" width="12.6640625" customWidth="1"/>
    <col min="3073" max="3075" width="12.6640625" customWidth="1"/>
    <col min="3076" max="3076" width="14.33203125" customWidth="1"/>
    <col min="3077" max="3077" width="12.6640625" customWidth="1"/>
    <col min="3078" max="3078" width="14.109375" customWidth="1"/>
    <col min="3079" max="3079" width="12.6640625" customWidth="1"/>
    <col min="3329" max="3331" width="12.6640625" customWidth="1"/>
    <col min="3332" max="3332" width="14.33203125" customWidth="1"/>
    <col min="3333" max="3333" width="12.6640625" customWidth="1"/>
    <col min="3334" max="3334" width="14.109375" customWidth="1"/>
    <col min="3335" max="3335" width="12.6640625" customWidth="1"/>
    <col min="3585" max="3587" width="12.6640625" customWidth="1"/>
    <col min="3588" max="3588" width="14.33203125" customWidth="1"/>
    <col min="3589" max="3589" width="12.6640625" customWidth="1"/>
    <col min="3590" max="3590" width="14.109375" customWidth="1"/>
    <col min="3591" max="3591" width="12.6640625" customWidth="1"/>
    <col min="3841" max="3843" width="12.6640625" customWidth="1"/>
    <col min="3844" max="3844" width="14.33203125" customWidth="1"/>
    <col min="3845" max="3845" width="12.6640625" customWidth="1"/>
    <col min="3846" max="3846" width="14.109375" customWidth="1"/>
    <col min="3847" max="3847" width="12.6640625" customWidth="1"/>
    <col min="4097" max="4099" width="12.6640625" customWidth="1"/>
    <col min="4100" max="4100" width="14.33203125" customWidth="1"/>
    <col min="4101" max="4101" width="12.6640625" customWidth="1"/>
    <col min="4102" max="4102" width="14.109375" customWidth="1"/>
    <col min="4103" max="4103" width="12.6640625" customWidth="1"/>
    <col min="4353" max="4355" width="12.6640625" customWidth="1"/>
    <col min="4356" max="4356" width="14.33203125" customWidth="1"/>
    <col min="4357" max="4357" width="12.6640625" customWidth="1"/>
    <col min="4358" max="4358" width="14.109375" customWidth="1"/>
    <col min="4359" max="4359" width="12.6640625" customWidth="1"/>
    <col min="4609" max="4611" width="12.6640625" customWidth="1"/>
    <col min="4612" max="4612" width="14.33203125" customWidth="1"/>
    <col min="4613" max="4613" width="12.6640625" customWidth="1"/>
    <col min="4614" max="4614" width="14.109375" customWidth="1"/>
    <col min="4615" max="4615" width="12.6640625" customWidth="1"/>
    <col min="4865" max="4867" width="12.6640625" customWidth="1"/>
    <col min="4868" max="4868" width="14.33203125" customWidth="1"/>
    <col min="4869" max="4869" width="12.6640625" customWidth="1"/>
    <col min="4870" max="4870" width="14.109375" customWidth="1"/>
    <col min="4871" max="4871" width="12.6640625" customWidth="1"/>
    <col min="5121" max="5123" width="12.6640625" customWidth="1"/>
    <col min="5124" max="5124" width="14.33203125" customWidth="1"/>
    <col min="5125" max="5125" width="12.6640625" customWidth="1"/>
    <col min="5126" max="5126" width="14.109375" customWidth="1"/>
    <col min="5127" max="5127" width="12.6640625" customWidth="1"/>
    <col min="5377" max="5379" width="12.6640625" customWidth="1"/>
    <col min="5380" max="5380" width="14.33203125" customWidth="1"/>
    <col min="5381" max="5381" width="12.6640625" customWidth="1"/>
    <col min="5382" max="5382" width="14.109375" customWidth="1"/>
    <col min="5383" max="5383" width="12.6640625" customWidth="1"/>
    <col min="5633" max="5635" width="12.6640625" customWidth="1"/>
    <col min="5636" max="5636" width="14.33203125" customWidth="1"/>
    <col min="5637" max="5637" width="12.6640625" customWidth="1"/>
    <col min="5638" max="5638" width="14.109375" customWidth="1"/>
    <col min="5639" max="5639" width="12.6640625" customWidth="1"/>
    <col min="5889" max="5891" width="12.6640625" customWidth="1"/>
    <col min="5892" max="5892" width="14.33203125" customWidth="1"/>
    <col min="5893" max="5893" width="12.6640625" customWidth="1"/>
    <col min="5894" max="5894" width="14.109375" customWidth="1"/>
    <col min="5895" max="5895" width="12.6640625" customWidth="1"/>
    <col min="6145" max="6147" width="12.6640625" customWidth="1"/>
    <col min="6148" max="6148" width="14.33203125" customWidth="1"/>
    <col min="6149" max="6149" width="12.6640625" customWidth="1"/>
    <col min="6150" max="6150" width="14.109375" customWidth="1"/>
    <col min="6151" max="6151" width="12.6640625" customWidth="1"/>
    <col min="6401" max="6403" width="12.6640625" customWidth="1"/>
    <col min="6404" max="6404" width="14.33203125" customWidth="1"/>
    <col min="6405" max="6405" width="12.6640625" customWidth="1"/>
    <col min="6406" max="6406" width="14.109375" customWidth="1"/>
    <col min="6407" max="6407" width="12.6640625" customWidth="1"/>
    <col min="6657" max="6659" width="12.6640625" customWidth="1"/>
    <col min="6660" max="6660" width="14.33203125" customWidth="1"/>
    <col min="6661" max="6661" width="12.6640625" customWidth="1"/>
    <col min="6662" max="6662" width="14.109375" customWidth="1"/>
    <col min="6663" max="6663" width="12.6640625" customWidth="1"/>
    <col min="6913" max="6915" width="12.6640625" customWidth="1"/>
    <col min="6916" max="6916" width="14.33203125" customWidth="1"/>
    <col min="6917" max="6917" width="12.6640625" customWidth="1"/>
    <col min="6918" max="6918" width="14.109375" customWidth="1"/>
    <col min="6919" max="6919" width="12.6640625" customWidth="1"/>
    <col min="7169" max="7171" width="12.6640625" customWidth="1"/>
    <col min="7172" max="7172" width="14.33203125" customWidth="1"/>
    <col min="7173" max="7173" width="12.6640625" customWidth="1"/>
    <col min="7174" max="7174" width="14.109375" customWidth="1"/>
    <col min="7175" max="7175" width="12.6640625" customWidth="1"/>
    <col min="7425" max="7427" width="12.6640625" customWidth="1"/>
    <col min="7428" max="7428" width="14.33203125" customWidth="1"/>
    <col min="7429" max="7429" width="12.6640625" customWidth="1"/>
    <col min="7430" max="7430" width="14.109375" customWidth="1"/>
    <col min="7431" max="7431" width="12.6640625" customWidth="1"/>
    <col min="7681" max="7683" width="12.6640625" customWidth="1"/>
    <col min="7684" max="7684" width="14.33203125" customWidth="1"/>
    <col min="7685" max="7685" width="12.6640625" customWidth="1"/>
    <col min="7686" max="7686" width="14.109375" customWidth="1"/>
    <col min="7687" max="7687" width="12.6640625" customWidth="1"/>
    <col min="7937" max="7939" width="12.6640625" customWidth="1"/>
    <col min="7940" max="7940" width="14.33203125" customWidth="1"/>
    <col min="7941" max="7941" width="12.6640625" customWidth="1"/>
    <col min="7942" max="7942" width="14.109375" customWidth="1"/>
    <col min="7943" max="7943" width="12.6640625" customWidth="1"/>
    <col min="8193" max="8195" width="12.6640625" customWidth="1"/>
    <col min="8196" max="8196" width="14.33203125" customWidth="1"/>
    <col min="8197" max="8197" width="12.6640625" customWidth="1"/>
    <col min="8198" max="8198" width="14.109375" customWidth="1"/>
    <col min="8199" max="8199" width="12.6640625" customWidth="1"/>
    <col min="8449" max="8451" width="12.6640625" customWidth="1"/>
    <col min="8452" max="8452" width="14.33203125" customWidth="1"/>
    <col min="8453" max="8453" width="12.6640625" customWidth="1"/>
    <col min="8454" max="8454" width="14.109375" customWidth="1"/>
    <col min="8455" max="8455" width="12.6640625" customWidth="1"/>
    <col min="8705" max="8707" width="12.6640625" customWidth="1"/>
    <col min="8708" max="8708" width="14.33203125" customWidth="1"/>
    <col min="8709" max="8709" width="12.6640625" customWidth="1"/>
    <col min="8710" max="8710" width="14.109375" customWidth="1"/>
    <col min="8711" max="8711" width="12.6640625" customWidth="1"/>
    <col min="8961" max="8963" width="12.6640625" customWidth="1"/>
    <col min="8964" max="8964" width="14.33203125" customWidth="1"/>
    <col min="8965" max="8965" width="12.6640625" customWidth="1"/>
    <col min="8966" max="8966" width="14.109375" customWidth="1"/>
    <col min="8967" max="8967" width="12.6640625" customWidth="1"/>
    <col min="9217" max="9219" width="12.6640625" customWidth="1"/>
    <col min="9220" max="9220" width="14.33203125" customWidth="1"/>
    <col min="9221" max="9221" width="12.6640625" customWidth="1"/>
    <col min="9222" max="9222" width="14.109375" customWidth="1"/>
    <col min="9223" max="9223" width="12.6640625" customWidth="1"/>
    <col min="9473" max="9475" width="12.6640625" customWidth="1"/>
    <col min="9476" max="9476" width="14.33203125" customWidth="1"/>
    <col min="9477" max="9477" width="12.6640625" customWidth="1"/>
    <col min="9478" max="9478" width="14.109375" customWidth="1"/>
    <col min="9479" max="9479" width="12.6640625" customWidth="1"/>
    <col min="9729" max="9731" width="12.6640625" customWidth="1"/>
    <col min="9732" max="9732" width="14.33203125" customWidth="1"/>
    <col min="9733" max="9733" width="12.6640625" customWidth="1"/>
    <col min="9734" max="9734" width="14.109375" customWidth="1"/>
    <col min="9735" max="9735" width="12.6640625" customWidth="1"/>
    <col min="9985" max="9987" width="12.6640625" customWidth="1"/>
    <col min="9988" max="9988" width="14.33203125" customWidth="1"/>
    <col min="9989" max="9989" width="12.6640625" customWidth="1"/>
    <col min="9990" max="9990" width="14.109375" customWidth="1"/>
    <col min="9991" max="9991" width="12.6640625" customWidth="1"/>
    <col min="10241" max="10243" width="12.6640625" customWidth="1"/>
    <col min="10244" max="10244" width="14.33203125" customWidth="1"/>
    <col min="10245" max="10245" width="12.6640625" customWidth="1"/>
    <col min="10246" max="10246" width="14.109375" customWidth="1"/>
    <col min="10247" max="10247" width="12.6640625" customWidth="1"/>
    <col min="10497" max="10499" width="12.6640625" customWidth="1"/>
    <col min="10500" max="10500" width="14.33203125" customWidth="1"/>
    <col min="10501" max="10501" width="12.6640625" customWidth="1"/>
    <col min="10502" max="10502" width="14.109375" customWidth="1"/>
    <col min="10503" max="10503" width="12.6640625" customWidth="1"/>
    <col min="10753" max="10755" width="12.6640625" customWidth="1"/>
    <col min="10756" max="10756" width="14.33203125" customWidth="1"/>
    <col min="10757" max="10757" width="12.6640625" customWidth="1"/>
    <col min="10758" max="10758" width="14.109375" customWidth="1"/>
    <col min="10759" max="10759" width="12.6640625" customWidth="1"/>
    <col min="11009" max="11011" width="12.6640625" customWidth="1"/>
    <col min="11012" max="11012" width="14.33203125" customWidth="1"/>
    <col min="11013" max="11013" width="12.6640625" customWidth="1"/>
    <col min="11014" max="11014" width="14.109375" customWidth="1"/>
    <col min="11015" max="11015" width="12.6640625" customWidth="1"/>
    <col min="11265" max="11267" width="12.6640625" customWidth="1"/>
    <col min="11268" max="11268" width="14.33203125" customWidth="1"/>
    <col min="11269" max="11269" width="12.6640625" customWidth="1"/>
    <col min="11270" max="11270" width="14.109375" customWidth="1"/>
    <col min="11271" max="11271" width="12.6640625" customWidth="1"/>
    <col min="11521" max="11523" width="12.6640625" customWidth="1"/>
    <col min="11524" max="11524" width="14.33203125" customWidth="1"/>
    <col min="11525" max="11525" width="12.6640625" customWidth="1"/>
    <col min="11526" max="11526" width="14.109375" customWidth="1"/>
    <col min="11527" max="11527" width="12.6640625" customWidth="1"/>
    <col min="11777" max="11779" width="12.6640625" customWidth="1"/>
    <col min="11780" max="11780" width="14.33203125" customWidth="1"/>
    <col min="11781" max="11781" width="12.6640625" customWidth="1"/>
    <col min="11782" max="11782" width="14.109375" customWidth="1"/>
    <col min="11783" max="11783" width="12.6640625" customWidth="1"/>
    <col min="12033" max="12035" width="12.6640625" customWidth="1"/>
    <col min="12036" max="12036" width="14.33203125" customWidth="1"/>
    <col min="12037" max="12037" width="12.6640625" customWidth="1"/>
    <col min="12038" max="12038" width="14.109375" customWidth="1"/>
    <col min="12039" max="12039" width="12.6640625" customWidth="1"/>
    <col min="12289" max="12291" width="12.6640625" customWidth="1"/>
    <col min="12292" max="12292" width="14.33203125" customWidth="1"/>
    <col min="12293" max="12293" width="12.6640625" customWidth="1"/>
    <col min="12294" max="12294" width="14.109375" customWidth="1"/>
    <col min="12295" max="12295" width="12.6640625" customWidth="1"/>
    <col min="12545" max="12547" width="12.6640625" customWidth="1"/>
    <col min="12548" max="12548" width="14.33203125" customWidth="1"/>
    <col min="12549" max="12549" width="12.6640625" customWidth="1"/>
    <col min="12550" max="12550" width="14.109375" customWidth="1"/>
    <col min="12551" max="12551" width="12.6640625" customWidth="1"/>
    <col min="12801" max="12803" width="12.6640625" customWidth="1"/>
    <col min="12804" max="12804" width="14.33203125" customWidth="1"/>
    <col min="12805" max="12805" width="12.6640625" customWidth="1"/>
    <col min="12806" max="12806" width="14.109375" customWidth="1"/>
    <col min="12807" max="12807" width="12.6640625" customWidth="1"/>
    <col min="13057" max="13059" width="12.6640625" customWidth="1"/>
    <col min="13060" max="13060" width="14.33203125" customWidth="1"/>
    <col min="13061" max="13061" width="12.6640625" customWidth="1"/>
    <col min="13062" max="13062" width="14.109375" customWidth="1"/>
    <col min="13063" max="13063" width="12.6640625" customWidth="1"/>
    <col min="13313" max="13315" width="12.6640625" customWidth="1"/>
    <col min="13316" max="13316" width="14.33203125" customWidth="1"/>
    <col min="13317" max="13317" width="12.6640625" customWidth="1"/>
    <col min="13318" max="13318" width="14.109375" customWidth="1"/>
    <col min="13319" max="13319" width="12.6640625" customWidth="1"/>
    <col min="13569" max="13571" width="12.6640625" customWidth="1"/>
    <col min="13572" max="13572" width="14.33203125" customWidth="1"/>
    <col min="13573" max="13573" width="12.6640625" customWidth="1"/>
    <col min="13574" max="13574" width="14.109375" customWidth="1"/>
    <col min="13575" max="13575" width="12.6640625" customWidth="1"/>
    <col min="13825" max="13827" width="12.6640625" customWidth="1"/>
    <col min="13828" max="13828" width="14.33203125" customWidth="1"/>
    <col min="13829" max="13829" width="12.6640625" customWidth="1"/>
    <col min="13830" max="13830" width="14.109375" customWidth="1"/>
    <col min="13831" max="13831" width="12.6640625" customWidth="1"/>
    <col min="14081" max="14083" width="12.6640625" customWidth="1"/>
    <col min="14084" max="14084" width="14.33203125" customWidth="1"/>
    <col min="14085" max="14085" width="12.6640625" customWidth="1"/>
    <col min="14086" max="14086" width="14.109375" customWidth="1"/>
    <col min="14087" max="14087" width="12.6640625" customWidth="1"/>
    <col min="14337" max="14339" width="12.6640625" customWidth="1"/>
    <col min="14340" max="14340" width="14.33203125" customWidth="1"/>
    <col min="14341" max="14341" width="12.6640625" customWidth="1"/>
    <col min="14342" max="14342" width="14.109375" customWidth="1"/>
    <col min="14343" max="14343" width="12.6640625" customWidth="1"/>
    <col min="14593" max="14595" width="12.6640625" customWidth="1"/>
    <col min="14596" max="14596" width="14.33203125" customWidth="1"/>
    <col min="14597" max="14597" width="12.6640625" customWidth="1"/>
    <col min="14598" max="14598" width="14.109375" customWidth="1"/>
    <col min="14599" max="14599" width="12.6640625" customWidth="1"/>
    <col min="14849" max="14851" width="12.6640625" customWidth="1"/>
    <col min="14852" max="14852" width="14.33203125" customWidth="1"/>
    <col min="14853" max="14853" width="12.6640625" customWidth="1"/>
    <col min="14854" max="14854" width="14.109375" customWidth="1"/>
    <col min="14855" max="14855" width="12.6640625" customWidth="1"/>
    <col min="15105" max="15107" width="12.6640625" customWidth="1"/>
    <col min="15108" max="15108" width="14.33203125" customWidth="1"/>
    <col min="15109" max="15109" width="12.6640625" customWidth="1"/>
    <col min="15110" max="15110" width="14.109375" customWidth="1"/>
    <col min="15111" max="15111" width="12.6640625" customWidth="1"/>
    <col min="15361" max="15363" width="12.6640625" customWidth="1"/>
    <col min="15364" max="15364" width="14.33203125" customWidth="1"/>
    <col min="15365" max="15365" width="12.6640625" customWidth="1"/>
    <col min="15366" max="15366" width="14.109375" customWidth="1"/>
    <col min="15367" max="15367" width="12.6640625" customWidth="1"/>
    <col min="15617" max="15619" width="12.6640625" customWidth="1"/>
    <col min="15620" max="15620" width="14.33203125" customWidth="1"/>
    <col min="15621" max="15621" width="12.6640625" customWidth="1"/>
    <col min="15622" max="15622" width="14.109375" customWidth="1"/>
    <col min="15623" max="15623" width="12.6640625" customWidth="1"/>
    <col min="15873" max="15875" width="12.6640625" customWidth="1"/>
    <col min="15876" max="15876" width="14.33203125" customWidth="1"/>
    <col min="15877" max="15877" width="12.6640625" customWidth="1"/>
    <col min="15878" max="15878" width="14.109375" customWidth="1"/>
    <col min="15879" max="15879" width="12.6640625" customWidth="1"/>
    <col min="16129" max="16131" width="12.6640625" customWidth="1"/>
    <col min="16132" max="16132" width="14.33203125" customWidth="1"/>
    <col min="16133" max="16133" width="12.6640625" customWidth="1"/>
    <col min="16134" max="16134" width="14.109375" customWidth="1"/>
    <col min="16135" max="16135" width="12.6640625" customWidth="1"/>
  </cols>
  <sheetData>
    <row r="1" spans="1:15" ht="21" customHeight="1">
      <c r="A1" s="45" t="s">
        <v>101</v>
      </c>
      <c r="B1" s="89"/>
    </row>
    <row r="2" spans="1:15" ht="15" customHeight="1" thickBot="1"/>
    <row r="3" spans="1:15" ht="15" customHeight="1">
      <c r="A3" s="65" t="s">
        <v>0</v>
      </c>
      <c r="B3" s="66" t="s">
        <v>1</v>
      </c>
      <c r="C3" s="66" t="s">
        <v>2</v>
      </c>
      <c r="D3" s="67" t="s">
        <v>3</v>
      </c>
      <c r="E3" s="68" t="s">
        <v>4</v>
      </c>
    </row>
    <row r="4" spans="1:15" ht="15" customHeight="1" thickBot="1">
      <c r="A4" s="16">
        <v>9</v>
      </c>
      <c r="B4" s="17">
        <v>10</v>
      </c>
      <c r="C4" s="18">
        <v>4</v>
      </c>
      <c r="D4" s="17">
        <v>1</v>
      </c>
      <c r="E4" s="63">
        <v>10</v>
      </c>
    </row>
    <row r="5" spans="1:15" ht="15" customHeight="1" thickBot="1"/>
    <row r="6" spans="1:15" ht="15" customHeight="1" thickBot="1">
      <c r="A6" s="6" t="s">
        <v>5</v>
      </c>
      <c r="B6" s="7" t="s">
        <v>6</v>
      </c>
      <c r="C6" s="7" t="s">
        <v>7</v>
      </c>
      <c r="D6" s="7" t="s">
        <v>8</v>
      </c>
      <c r="E6" s="7" t="s">
        <v>9</v>
      </c>
      <c r="F6" s="7" t="s">
        <v>10</v>
      </c>
      <c r="G6" s="8" t="s">
        <v>11</v>
      </c>
    </row>
    <row r="7" spans="1:15" ht="15" customHeight="1">
      <c r="A7" s="35">
        <v>1</v>
      </c>
      <c r="B7" s="35">
        <v>2</v>
      </c>
      <c r="C7" s="33">
        <v>10000</v>
      </c>
      <c r="D7" s="37">
        <v>4</v>
      </c>
      <c r="E7" s="38">
        <f>-2*F18*F13*(B21+273.15)*F12</f>
        <v>-38.961166849009068</v>
      </c>
      <c r="F7" s="33">
        <v>9</v>
      </c>
      <c r="G7" s="35">
        <v>25</v>
      </c>
      <c r="I7" s="35"/>
      <c r="J7" s="35"/>
      <c r="K7" s="35"/>
      <c r="L7" s="48"/>
      <c r="M7" s="69"/>
      <c r="N7" s="69"/>
      <c r="O7" s="69"/>
    </row>
    <row r="8" spans="1:15" ht="15" customHeight="1">
      <c r="A8" s="33">
        <v>2</v>
      </c>
      <c r="B8" s="33">
        <v>3</v>
      </c>
      <c r="C8" s="37">
        <f>F20*F21*F19/(F23/2)</f>
        <v>20.491803278688526</v>
      </c>
      <c r="D8" s="34">
        <v>5</v>
      </c>
      <c r="E8" s="35">
        <f>2*F18*(F29*F12^2)</f>
        <v>25.029385425000005</v>
      </c>
      <c r="G8" s="33"/>
      <c r="H8" s="37"/>
      <c r="I8" s="37"/>
      <c r="J8" s="37"/>
      <c r="K8" s="35"/>
      <c r="L8" s="49"/>
      <c r="M8" s="48"/>
      <c r="N8" s="69"/>
      <c r="O8" s="69"/>
    </row>
    <row r="9" spans="1:15" ht="15" customHeight="1">
      <c r="A9" s="33">
        <v>3</v>
      </c>
      <c r="B9" s="33">
        <v>4</v>
      </c>
      <c r="C9" s="37">
        <f>F20*F21*F19/(F23/2)</f>
        <v>20.491803278688526</v>
      </c>
      <c r="D9" s="37">
        <v>6</v>
      </c>
      <c r="E9" s="38">
        <f>2*F18*(F12*F13*(B23+273.15))</f>
        <v>43.486506750674565</v>
      </c>
      <c r="G9" s="37"/>
      <c r="H9" s="37"/>
      <c r="I9" s="37"/>
      <c r="J9" s="37"/>
      <c r="K9" s="35"/>
      <c r="L9" s="37"/>
      <c r="M9" s="48"/>
      <c r="N9" s="69"/>
      <c r="O9" s="37"/>
    </row>
    <row r="10" spans="1:15" ht="15" customHeight="1">
      <c r="A10" s="33">
        <v>4</v>
      </c>
      <c r="B10" s="33">
        <v>5</v>
      </c>
      <c r="C10" s="33">
        <f>F15*F18*F17/(F14/2)*2</f>
        <v>0.40960000000000002</v>
      </c>
      <c r="D10" s="34">
        <v>1</v>
      </c>
      <c r="E10" s="35">
        <f>F24</f>
        <v>22.5</v>
      </c>
      <c r="G10" s="37"/>
      <c r="H10" s="37"/>
      <c r="I10" s="37"/>
      <c r="J10" s="37"/>
      <c r="K10" s="35"/>
      <c r="L10" s="49"/>
    </row>
    <row r="11" spans="1:15" ht="15" customHeight="1">
      <c r="A11" s="35">
        <v>5</v>
      </c>
      <c r="B11" s="35">
        <v>6</v>
      </c>
      <c r="C11" s="33">
        <f>F17*F15/(F14/2)*F18*2</f>
        <v>0.40960000000000002</v>
      </c>
      <c r="D11" s="37"/>
      <c r="E11" s="37"/>
      <c r="F11" s="37"/>
      <c r="G11" s="35"/>
      <c r="H11" s="34"/>
      <c r="I11" s="37"/>
      <c r="J11" s="37"/>
      <c r="K11" s="37"/>
      <c r="L11" s="37"/>
    </row>
    <row r="12" spans="1:15" ht="15" customHeight="1">
      <c r="A12" s="35">
        <v>6</v>
      </c>
      <c r="B12" s="35">
        <v>7</v>
      </c>
      <c r="C12" s="33">
        <f>F20*F21*F19/(F23/2)</f>
        <v>20.491803278688526</v>
      </c>
      <c r="E12" s="82" t="s">
        <v>49</v>
      </c>
      <c r="F12" s="90">
        <v>2.2000000000000002</v>
      </c>
      <c r="G12" s="79" t="s">
        <v>84</v>
      </c>
      <c r="H12" s="34"/>
      <c r="I12" s="37"/>
      <c r="J12" s="37"/>
      <c r="K12" s="37"/>
      <c r="L12" s="37"/>
    </row>
    <row r="13" spans="1:15" s="46" customFormat="1" ht="15" customHeight="1">
      <c r="A13" s="35">
        <v>7</v>
      </c>
      <c r="B13" s="35">
        <v>8</v>
      </c>
      <c r="C13" s="33">
        <f>F20*F21*F19/(F23/2)</f>
        <v>20.491803278688526</v>
      </c>
      <c r="E13" s="82" t="s">
        <v>50</v>
      </c>
      <c r="F13" s="40">
        <v>2.0689999999999999E-4</v>
      </c>
      <c r="G13" s="71" t="s">
        <v>61</v>
      </c>
      <c r="H13" s="80"/>
      <c r="I13" s="81"/>
      <c r="J13" s="81"/>
      <c r="K13" s="81"/>
      <c r="L13" s="81"/>
    </row>
    <row r="14" spans="1:15" ht="15" customHeight="1">
      <c r="A14" s="77">
        <v>8</v>
      </c>
      <c r="B14" s="77">
        <v>9</v>
      </c>
      <c r="C14" s="78">
        <f>1/F25</f>
        <v>1</v>
      </c>
      <c r="E14" s="82" t="s">
        <v>51</v>
      </c>
      <c r="F14" s="40">
        <v>1.2700000000000001E-3</v>
      </c>
      <c r="G14" s="71" t="s">
        <v>57</v>
      </c>
      <c r="I14" s="37"/>
      <c r="J14" s="37"/>
      <c r="K14" s="37"/>
      <c r="L14" s="37"/>
    </row>
    <row r="15" spans="1:15" ht="15" customHeight="1">
      <c r="A15" s="35">
        <v>2</v>
      </c>
      <c r="B15" s="35">
        <v>9</v>
      </c>
      <c r="C15" s="33">
        <f>1/F26</f>
        <v>1E-4</v>
      </c>
      <c r="E15" s="82" t="s">
        <v>52</v>
      </c>
      <c r="F15" s="40">
        <v>6.4000000000000001E-7</v>
      </c>
      <c r="G15" s="71" t="s">
        <v>89</v>
      </c>
      <c r="I15" s="37"/>
      <c r="J15" s="37"/>
      <c r="K15" s="37"/>
      <c r="L15" s="37"/>
    </row>
    <row r="16" spans="1:15" ht="15" customHeight="1">
      <c r="A16" s="35">
        <v>4</v>
      </c>
      <c r="B16" s="35">
        <v>6</v>
      </c>
      <c r="C16">
        <f>1/F27</f>
        <v>1E-4</v>
      </c>
      <c r="E16" s="82" t="s">
        <v>53</v>
      </c>
      <c r="F16" s="40">
        <v>1.026E-5</v>
      </c>
      <c r="G16" s="71" t="s">
        <v>90</v>
      </c>
      <c r="I16" s="37"/>
      <c r="J16" s="37"/>
      <c r="K16" s="37"/>
      <c r="L16" s="37"/>
    </row>
    <row r="17" spans="1:12" ht="15" customHeight="1">
      <c r="E17" s="82" t="s">
        <v>54</v>
      </c>
      <c r="F17" s="40">
        <v>1.6</v>
      </c>
      <c r="G17" s="71" t="s">
        <v>62</v>
      </c>
      <c r="I17" s="37"/>
      <c r="J17" s="37"/>
      <c r="K17" s="37"/>
      <c r="L17" s="37"/>
    </row>
    <row r="18" spans="1:12" ht="15" customHeight="1">
      <c r="A18" s="35" t="s">
        <v>102</v>
      </c>
      <c r="B18" s="35" t="s">
        <v>103</v>
      </c>
      <c r="E18" s="82" t="s">
        <v>93</v>
      </c>
      <c r="F18" s="40">
        <v>127</v>
      </c>
      <c r="G18" s="86" t="s">
        <v>94</v>
      </c>
      <c r="I18" s="37"/>
      <c r="J18" s="37"/>
      <c r="K18" s="37"/>
      <c r="L18" s="37"/>
    </row>
    <row r="19" spans="1:12" ht="15" customHeight="1">
      <c r="A19" s="35">
        <v>1</v>
      </c>
      <c r="B19" s="35">
        <v>64.937644958496094</v>
      </c>
      <c r="C19" s="76" t="s">
        <v>67</v>
      </c>
      <c r="E19" s="82" t="s">
        <v>55</v>
      </c>
      <c r="F19" s="91">
        <v>15</v>
      </c>
      <c r="G19" s="71" t="s">
        <v>62</v>
      </c>
      <c r="I19" s="37"/>
      <c r="J19" s="37"/>
      <c r="K19" s="37"/>
      <c r="L19" s="37"/>
    </row>
    <row r="20" spans="1:12" ht="15" customHeight="1">
      <c r="A20" s="35">
        <v>2</v>
      </c>
      <c r="B20" s="35">
        <v>64.935394287109375</v>
      </c>
      <c r="C20" s="75" t="s">
        <v>72</v>
      </c>
      <c r="E20" s="82" t="s">
        <v>56</v>
      </c>
      <c r="F20" s="91">
        <v>2.5000000000000001E-2</v>
      </c>
      <c r="G20" s="71" t="s">
        <v>63</v>
      </c>
      <c r="I20" s="37"/>
      <c r="J20" s="37"/>
      <c r="K20" s="37"/>
      <c r="L20" s="37"/>
    </row>
    <row r="21" spans="1:12" ht="15" customHeight="1">
      <c r="A21" s="35">
        <v>3</v>
      </c>
      <c r="B21" s="35">
        <v>63.838489532470703</v>
      </c>
      <c r="C21" s="75" t="s">
        <v>73</v>
      </c>
      <c r="E21" s="82" t="s">
        <v>58</v>
      </c>
      <c r="F21" s="91">
        <v>2.5000000000000001E-2</v>
      </c>
      <c r="G21" s="71" t="s">
        <v>63</v>
      </c>
      <c r="I21" s="37"/>
      <c r="J21" s="37"/>
      <c r="K21" s="37"/>
      <c r="L21" s="37"/>
    </row>
    <row r="22" spans="1:12" ht="15" customHeight="1">
      <c r="A22" s="35">
        <v>4</v>
      </c>
      <c r="B22" s="35">
        <v>62.741584777832031</v>
      </c>
      <c r="C22" s="75" t="s">
        <v>69</v>
      </c>
      <c r="E22" s="82" t="s">
        <v>59</v>
      </c>
      <c r="F22" s="91">
        <v>3.0999999999999999E-3</v>
      </c>
      <c r="G22" s="71" t="s">
        <v>57</v>
      </c>
      <c r="I22" s="37"/>
      <c r="J22" s="37"/>
      <c r="K22" s="37"/>
      <c r="L22" s="37"/>
    </row>
    <row r="23" spans="1:12" ht="15" customHeight="1">
      <c r="A23" s="35">
        <v>5</v>
      </c>
      <c r="B23" s="35">
        <v>102.97970581054687</v>
      </c>
      <c r="C23" s="75" t="s">
        <v>70</v>
      </c>
      <c r="E23" s="82" t="s">
        <v>60</v>
      </c>
      <c r="F23" s="91">
        <v>9.1500000000000001E-4</v>
      </c>
      <c r="G23" s="71" t="s">
        <v>57</v>
      </c>
      <c r="I23" s="37"/>
      <c r="J23" s="37"/>
      <c r="K23" s="37"/>
      <c r="L23" s="37"/>
    </row>
    <row r="24" spans="1:12" ht="15" customHeight="1">
      <c r="A24" s="35">
        <v>6</v>
      </c>
      <c r="B24" s="35">
        <v>82.110931396484375</v>
      </c>
      <c r="C24" s="75" t="s">
        <v>71</v>
      </c>
      <c r="E24" s="82" t="s">
        <v>91</v>
      </c>
      <c r="F24" s="91">
        <v>22.5</v>
      </c>
      <c r="G24" s="71" t="s">
        <v>92</v>
      </c>
      <c r="I24" s="37"/>
      <c r="J24" s="37"/>
      <c r="K24" s="37"/>
      <c r="L24" s="37"/>
    </row>
    <row r="25" spans="1:12" ht="15" customHeight="1">
      <c r="A25" s="35">
        <v>7</v>
      </c>
      <c r="B25" s="35">
        <v>79.571739196777344</v>
      </c>
      <c r="C25" s="75" t="s">
        <v>74</v>
      </c>
      <c r="E25" s="82" t="s">
        <v>83</v>
      </c>
      <c r="F25" s="62">
        <v>1</v>
      </c>
      <c r="G25" s="71" t="s">
        <v>78</v>
      </c>
      <c r="I25" s="37"/>
      <c r="J25" s="37"/>
      <c r="K25" s="37"/>
      <c r="L25" s="37"/>
    </row>
    <row r="26" spans="1:12" ht="15" customHeight="1">
      <c r="A26" s="35">
        <v>8</v>
      </c>
      <c r="B26" s="35">
        <v>77.032546997070313</v>
      </c>
      <c r="C26" s="75" t="s">
        <v>75</v>
      </c>
      <c r="E26" s="82" t="s">
        <v>80</v>
      </c>
      <c r="F26" s="62">
        <v>10000</v>
      </c>
      <c r="G26" s="71" t="s">
        <v>78</v>
      </c>
      <c r="I26" s="37"/>
      <c r="J26" s="37"/>
    </row>
    <row r="27" spans="1:12" ht="15" customHeight="1">
      <c r="A27">
        <v>9</v>
      </c>
      <c r="B27">
        <v>25</v>
      </c>
      <c r="C27" s="76" t="s">
        <v>68</v>
      </c>
      <c r="E27" s="82" t="s">
        <v>79</v>
      </c>
      <c r="F27" s="62">
        <v>10000</v>
      </c>
      <c r="G27" s="71" t="s">
        <v>78</v>
      </c>
      <c r="I27" s="37"/>
      <c r="J27" s="37"/>
    </row>
    <row r="28" spans="1:12" ht="15" customHeight="1">
      <c r="C28" s="9"/>
      <c r="E28" s="74"/>
      <c r="F28" s="9"/>
      <c r="G28" s="72"/>
      <c r="I28" s="37"/>
      <c r="J28" s="37"/>
    </row>
    <row r="29" spans="1:12" ht="15" customHeight="1">
      <c r="C29" s="85" t="s">
        <v>88</v>
      </c>
      <c r="D29" s="40">
        <f>B20-B25</f>
        <v>-14.636344909667969</v>
      </c>
      <c r="E29" s="83" t="s">
        <v>76</v>
      </c>
      <c r="F29" s="91">
        <f>F16*F14/F15</f>
        <v>2.0359687500000001E-2</v>
      </c>
      <c r="G29" s="71" t="s">
        <v>64</v>
      </c>
      <c r="I29" s="37"/>
      <c r="J29" s="37"/>
    </row>
    <row r="30" spans="1:12" ht="15" customHeight="1">
      <c r="C30" s="85" t="s">
        <v>87</v>
      </c>
      <c r="D30" s="40">
        <f>C8*(B20-B21)</f>
        <v>22.47755644751377</v>
      </c>
      <c r="E30" s="83" t="s">
        <v>77</v>
      </c>
      <c r="F30" s="62">
        <f>2*F29*F18</f>
        <v>5.1713606250000002</v>
      </c>
      <c r="G30" s="71" t="s">
        <v>64</v>
      </c>
    </row>
    <row r="31" spans="1:12" ht="15" customHeight="1">
      <c r="C31" s="85" t="s">
        <v>86</v>
      </c>
      <c r="D31" s="40">
        <f>F32</f>
        <v>25.029385425000005</v>
      </c>
      <c r="E31" s="84" t="s">
        <v>65</v>
      </c>
      <c r="F31" s="62">
        <f>F30*F12</f>
        <v>11.376993375000001</v>
      </c>
      <c r="G31" s="73" t="s">
        <v>81</v>
      </c>
    </row>
    <row r="32" spans="1:12" ht="15" customHeight="1">
      <c r="C32" s="85" t="s">
        <v>85</v>
      </c>
      <c r="D32" s="40">
        <f>D30/D31</f>
        <v>0.89804667856776854</v>
      </c>
      <c r="E32" s="84" t="s">
        <v>66</v>
      </c>
      <c r="F32" s="62">
        <f>F31*F12</f>
        <v>25.029385425000005</v>
      </c>
      <c r="G32" s="73" t="s">
        <v>82</v>
      </c>
    </row>
    <row r="33" spans="5:6">
      <c r="F33" s="33"/>
    </row>
    <row r="34" spans="5:6">
      <c r="E34" s="64"/>
    </row>
    <row r="36" spans="5:6">
      <c r="F36" s="61"/>
    </row>
  </sheetData>
  <phoneticPr fontId="7"/>
  <pageMargins left="0.75" right="0.75" top="1" bottom="1" header="0.51200000000000001" footer="0.51200000000000001"/>
  <pageSetup paperSize="9" orientation="portrait" horizontalDpi="0" verticalDpi="0"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FF"/>
  </sheetPr>
  <dimension ref="A1:H24"/>
  <sheetViews>
    <sheetView showGridLines="0" zoomScale="160" workbookViewId="0"/>
  </sheetViews>
  <sheetFormatPr defaultRowHeight="13.2"/>
  <cols>
    <col min="1" max="1" width="18.33203125" customWidth="1"/>
    <col min="2" max="2" width="10.33203125" customWidth="1"/>
    <col min="6" max="6" width="10.33203125" customWidth="1"/>
  </cols>
  <sheetData>
    <row r="1" spans="1:8" ht="24" customHeight="1" thickBot="1">
      <c r="A1" s="127" t="s">
        <v>463</v>
      </c>
      <c r="B1" s="89"/>
    </row>
    <row r="2" spans="1:8" ht="13.8" thickBot="1">
      <c r="A2" s="128" t="s">
        <v>28</v>
      </c>
      <c r="B2" s="129">
        <v>0.18</v>
      </c>
    </row>
    <row r="3" spans="1:8">
      <c r="A3" s="130" t="s">
        <v>29</v>
      </c>
      <c r="B3" s="131">
        <v>0.15</v>
      </c>
      <c r="C3" s="132" t="s">
        <v>149</v>
      </c>
      <c r="D3" s="133">
        <f>MIN(B2,B3)</f>
        <v>0.15</v>
      </c>
    </row>
    <row r="4" spans="1:8">
      <c r="A4" s="130" t="s">
        <v>30</v>
      </c>
      <c r="B4" s="131">
        <v>0.03</v>
      </c>
      <c r="C4" s="134" t="s">
        <v>150</v>
      </c>
      <c r="D4" s="56">
        <f>B2*B3+F4</f>
        <v>2.7E-2</v>
      </c>
    </row>
    <row r="5" spans="1:8">
      <c r="A5" s="130" t="s">
        <v>152</v>
      </c>
      <c r="B5" s="131">
        <v>0.85</v>
      </c>
      <c r="C5" s="134" t="s">
        <v>153</v>
      </c>
      <c r="D5" s="56">
        <f>(B2+B3)*2*B4</f>
        <v>1.9799999999999998E-2</v>
      </c>
      <c r="H5" s="57"/>
    </row>
    <row r="6" spans="1:8">
      <c r="A6" s="130" t="s">
        <v>155</v>
      </c>
      <c r="B6" s="131">
        <v>15.5</v>
      </c>
      <c r="C6" s="134" t="s">
        <v>156</v>
      </c>
      <c r="D6" s="56">
        <f>B2*B3</f>
        <v>2.7E-2</v>
      </c>
    </row>
    <row r="7" spans="1:8" ht="16.2" thickBot="1">
      <c r="A7" s="130" t="s">
        <v>158</v>
      </c>
      <c r="B7" s="131">
        <v>0</v>
      </c>
      <c r="C7" s="135" t="s">
        <v>159</v>
      </c>
      <c r="D7" s="136">
        <v>5.6699999999999998E-8</v>
      </c>
    </row>
    <row r="8" spans="1:8" ht="13.8" thickBot="1">
      <c r="A8" s="137" t="s">
        <v>161</v>
      </c>
      <c r="B8" s="138">
        <v>40</v>
      </c>
      <c r="C8" s="139" t="s">
        <v>162</v>
      </c>
      <c r="D8" s="140">
        <f>B4/2</f>
        <v>1.4999999999999999E-2</v>
      </c>
    </row>
    <row r="9" spans="1:8" ht="13.8" thickBot="1">
      <c r="B9" s="64">
        <f>B8+B10</f>
        <v>59.281485244798425</v>
      </c>
    </row>
    <row r="10" spans="1:8" ht="13.8" thickBot="1">
      <c r="A10" s="141" t="s">
        <v>163</v>
      </c>
      <c r="B10" s="160">
        <v>19.281485244798425</v>
      </c>
      <c r="C10" s="644" t="s">
        <v>164</v>
      </c>
      <c r="D10" s="645"/>
      <c r="E10" s="150">
        <f>B10*2</f>
        <v>38.56297048959685</v>
      </c>
    </row>
    <row r="11" spans="1:8" ht="13.8" thickBot="1">
      <c r="A11" s="141" t="s">
        <v>165</v>
      </c>
      <c r="B11" s="161">
        <f>B8+273.15</f>
        <v>313.14999999999998</v>
      </c>
      <c r="C11" s="644" t="s">
        <v>166</v>
      </c>
      <c r="D11" s="645"/>
      <c r="E11" s="150">
        <f>E10+B8</f>
        <v>78.56297048959685</v>
      </c>
    </row>
    <row r="12" spans="1:8" ht="13.8" thickBot="1">
      <c r="A12" s="141" t="s">
        <v>167</v>
      </c>
      <c r="B12" s="162">
        <f>B8+B10+273.15</f>
        <v>332.43148524479841</v>
      </c>
      <c r="C12" s="644" t="s">
        <v>168</v>
      </c>
      <c r="D12" s="645"/>
      <c r="E12" s="150">
        <f>B10+B8</f>
        <v>59.281485244798425</v>
      </c>
    </row>
    <row r="13" spans="1:8">
      <c r="E13" s="142"/>
      <c r="F13" s="142"/>
      <c r="G13" s="142"/>
      <c r="H13" s="142"/>
    </row>
    <row r="14" spans="1:8" ht="13.8" thickBot="1">
      <c r="B14" t="s">
        <v>100</v>
      </c>
      <c r="C14" t="s">
        <v>169</v>
      </c>
      <c r="D14" t="s">
        <v>170</v>
      </c>
      <c r="E14" s="142"/>
      <c r="F14" s="42"/>
      <c r="H14" s="142"/>
    </row>
    <row r="15" spans="1:8">
      <c r="A15" s="141" t="s">
        <v>171</v>
      </c>
      <c r="B15" s="151">
        <f>2.51*0.54*(B10/D3)^0.25</f>
        <v>4.5638334552622322</v>
      </c>
      <c r="C15" s="152">
        <f>B15*D4</f>
        <v>0.12322350329208026</v>
      </c>
      <c r="D15" s="153">
        <f>C15*$B$10</f>
        <v>2.3759321605386159</v>
      </c>
      <c r="E15" s="142"/>
      <c r="H15" s="142"/>
    </row>
    <row r="16" spans="1:8">
      <c r="A16" s="141" t="s">
        <v>172</v>
      </c>
      <c r="B16" s="154">
        <f>2.51*0.56*(B10/B4)^0.25</f>
        <v>7.0772828985423804</v>
      </c>
      <c r="C16" s="155">
        <f>B16*D5</f>
        <v>0.14013020139113913</v>
      </c>
      <c r="D16" s="156">
        <f>C16*$B$10</f>
        <v>2.7019184104738807</v>
      </c>
      <c r="E16" s="142"/>
      <c r="H16" s="142"/>
    </row>
    <row r="17" spans="1:8">
      <c r="A17" s="141" t="s">
        <v>173</v>
      </c>
      <c r="B17" s="154">
        <f>2.51*0.27*(B10/D3)^0.25</f>
        <v>2.2819167276311161</v>
      </c>
      <c r="C17" s="155">
        <f>B17*D6</f>
        <v>6.161175164604013E-2</v>
      </c>
      <c r="D17" s="156">
        <f>C17*$B$10</f>
        <v>1.1879660802693079</v>
      </c>
      <c r="E17" s="142"/>
    </row>
    <row r="18" spans="1:8">
      <c r="A18" s="141" t="s">
        <v>174</v>
      </c>
      <c r="B18" s="154">
        <f>D7*B5*(B12^2+B11^2)*(B12+B11)</f>
        <v>6.4895176722603454</v>
      </c>
      <c r="C18" s="155">
        <f>B18*(D4+D5+D6)</f>
        <v>0.47892640421281341</v>
      </c>
      <c r="D18" s="156">
        <f>C18*$B$10</f>
        <v>9.2344123961737274</v>
      </c>
      <c r="E18" s="142"/>
      <c r="F18" s="42"/>
      <c r="G18" s="42"/>
      <c r="H18" s="142"/>
    </row>
    <row r="19" spans="1:8">
      <c r="A19" s="141" t="s">
        <v>175</v>
      </c>
      <c r="B19" s="154"/>
      <c r="C19" s="155"/>
      <c r="D19" s="156">
        <f>1150*B7*0.1667*(D8*E10)^0.5*E10</f>
        <v>0</v>
      </c>
    </row>
    <row r="20" spans="1:8" ht="13.8" thickBot="1">
      <c r="A20" s="141" t="s">
        <v>176</v>
      </c>
      <c r="B20" s="157"/>
      <c r="C20" s="158"/>
      <c r="D20" s="159">
        <f>SUM(D15:D19)</f>
        <v>15.500229047455532</v>
      </c>
      <c r="F20" s="42"/>
    </row>
    <row r="22" spans="1:8">
      <c r="A22" s="143" t="s">
        <v>177</v>
      </c>
      <c r="B22" s="144">
        <f>B6-D20</f>
        <v>-2.2904745553198325E-4</v>
      </c>
    </row>
    <row r="24" spans="1:8">
      <c r="B24" s="145"/>
    </row>
  </sheetData>
  <mergeCells count="3">
    <mergeCell ref="C10:D10"/>
    <mergeCell ref="C11:D11"/>
    <mergeCell ref="C12:D12"/>
  </mergeCells>
  <phoneticPr fontId="7"/>
  <pageMargins left="0.75" right="0.75" top="1" bottom="1" header="0.51200000000000001" footer="0.51200000000000001"/>
  <pageSetup paperSize="9" orientation="portrait" horizontalDpi="0" verticalDpi="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00FF"/>
  </sheetPr>
  <dimension ref="A1:H24"/>
  <sheetViews>
    <sheetView showGridLines="0" zoomScale="160" workbookViewId="0"/>
  </sheetViews>
  <sheetFormatPr defaultRowHeight="13.2"/>
  <cols>
    <col min="1" max="1" width="18.33203125" customWidth="1"/>
    <col min="2" max="2" width="10.33203125" customWidth="1"/>
    <col min="6" max="6" width="10.33203125" customWidth="1"/>
  </cols>
  <sheetData>
    <row r="1" spans="1:8" ht="24" customHeight="1" thickBot="1">
      <c r="A1" s="127" t="s">
        <v>462</v>
      </c>
      <c r="B1" s="89"/>
    </row>
    <row r="2" spans="1:8" ht="13.8" thickBot="1">
      <c r="A2" s="128" t="s">
        <v>28</v>
      </c>
      <c r="B2" s="129">
        <v>0.16</v>
      </c>
    </row>
    <row r="3" spans="1:8">
      <c r="A3" s="130" t="s">
        <v>29</v>
      </c>
      <c r="B3" s="131">
        <v>0.13</v>
      </c>
      <c r="C3" s="132" t="s">
        <v>149</v>
      </c>
      <c r="D3" s="133">
        <f>MIN(B2,B3)</f>
        <v>0.13</v>
      </c>
    </row>
    <row r="4" spans="1:8">
      <c r="A4" s="130" t="s">
        <v>30</v>
      </c>
      <c r="B4" s="131">
        <v>1.6000000000000001E-3</v>
      </c>
      <c r="C4" s="134" t="s">
        <v>150</v>
      </c>
      <c r="D4" s="56">
        <f>B2*B3+F4</f>
        <v>2.0800000000000003E-2</v>
      </c>
    </row>
    <row r="5" spans="1:8">
      <c r="A5" s="130" t="s">
        <v>152</v>
      </c>
      <c r="B5" s="131">
        <v>0.85</v>
      </c>
      <c r="C5" s="134" t="s">
        <v>153</v>
      </c>
      <c r="D5" s="56">
        <f>(B2+B3)*2*B4</f>
        <v>9.2800000000000011E-4</v>
      </c>
      <c r="H5" s="57"/>
    </row>
    <row r="6" spans="1:8">
      <c r="A6" s="130" t="s">
        <v>155</v>
      </c>
      <c r="B6" s="131">
        <v>15.5</v>
      </c>
      <c r="C6" s="134" t="s">
        <v>156</v>
      </c>
      <c r="D6" s="56">
        <f>B2*B3</f>
        <v>2.0800000000000003E-2</v>
      </c>
    </row>
    <row r="7" spans="1:8" ht="16.2" thickBot="1">
      <c r="A7" s="130" t="s">
        <v>158</v>
      </c>
      <c r="B7" s="131">
        <v>0</v>
      </c>
      <c r="C7" s="135" t="s">
        <v>159</v>
      </c>
      <c r="D7" s="136">
        <v>5.6699999999999998E-8</v>
      </c>
    </row>
    <row r="8" spans="1:8" ht="13.8" thickBot="1">
      <c r="A8" s="137" t="s">
        <v>161</v>
      </c>
      <c r="B8" s="138">
        <f>'【事例1】　密閉機器筐体'!B8+'【事例1】　密閉機器筐体'!B10</f>
        <v>59.281485244798425</v>
      </c>
      <c r="C8" s="139" t="s">
        <v>162</v>
      </c>
      <c r="D8" s="140">
        <f>B4/2</f>
        <v>8.0000000000000004E-4</v>
      </c>
    </row>
    <row r="9" spans="1:8" ht="13.8" thickBot="1">
      <c r="B9" s="64">
        <f>B8+B10</f>
        <v>88.896204029954674</v>
      </c>
    </row>
    <row r="10" spans="1:8" ht="13.8" thickBot="1">
      <c r="A10" s="141" t="s">
        <v>163</v>
      </c>
      <c r="B10" s="160">
        <v>29.614718785156253</v>
      </c>
      <c r="C10" s="644" t="s">
        <v>164</v>
      </c>
      <c r="D10" s="645"/>
      <c r="E10" s="150">
        <f>B10*2</f>
        <v>59.229437570312506</v>
      </c>
    </row>
    <row r="11" spans="1:8" ht="13.8" thickBot="1">
      <c r="A11" s="141" t="s">
        <v>165</v>
      </c>
      <c r="B11" s="161">
        <f>B8+273.15</f>
        <v>332.43148524479841</v>
      </c>
      <c r="C11" s="644" t="s">
        <v>166</v>
      </c>
      <c r="D11" s="645"/>
      <c r="E11" s="150">
        <f>E10+B8</f>
        <v>118.51092281511093</v>
      </c>
    </row>
    <row r="12" spans="1:8" ht="13.8" thickBot="1">
      <c r="A12" s="141" t="s">
        <v>167</v>
      </c>
      <c r="B12" s="162">
        <f>B8+B10+273.15</f>
        <v>362.04620402995465</v>
      </c>
      <c r="C12" s="644" t="s">
        <v>168</v>
      </c>
      <c r="D12" s="645"/>
      <c r="E12" s="150">
        <f>B10+B8</f>
        <v>88.896204029954674</v>
      </c>
    </row>
    <row r="13" spans="1:8">
      <c r="E13" s="142"/>
      <c r="F13" s="142"/>
      <c r="G13" s="142"/>
      <c r="H13" s="142"/>
    </row>
    <row r="14" spans="1:8" ht="13.8" thickBot="1">
      <c r="B14" t="s">
        <v>100</v>
      </c>
      <c r="C14" t="s">
        <v>169</v>
      </c>
      <c r="D14" t="s">
        <v>170</v>
      </c>
      <c r="E14" s="142"/>
      <c r="F14" s="42"/>
      <c r="H14" s="142"/>
    </row>
    <row r="15" spans="1:8">
      <c r="A15" s="141" t="s">
        <v>171</v>
      </c>
      <c r="B15" s="151">
        <f>2.51*0.54*(B10/D3)^0.25</f>
        <v>5.2657295097785175</v>
      </c>
      <c r="C15" s="152">
        <f>B15*D4</f>
        <v>0.10952717380339318</v>
      </c>
      <c r="D15" s="153">
        <f>C15*$B$10</f>
        <v>3.2436164515204218</v>
      </c>
      <c r="E15" s="142"/>
      <c r="H15" s="142"/>
    </row>
    <row r="16" spans="1:8">
      <c r="A16" s="141" t="s">
        <v>172</v>
      </c>
      <c r="B16" s="154">
        <f>2.51*0.56*(B10/B4)^0.25</f>
        <v>16.394895622004668</v>
      </c>
      <c r="C16" s="155">
        <f>B16*D5</f>
        <v>1.5214463137220333E-2</v>
      </c>
      <c r="D16" s="156">
        <f>C16*$B$10</f>
        <v>0.45057204727590633</v>
      </c>
      <c r="E16" s="142"/>
      <c r="H16" s="142"/>
    </row>
    <row r="17" spans="1:8">
      <c r="A17" s="141" t="s">
        <v>173</v>
      </c>
      <c r="B17" s="154">
        <f>2.51*0.27*(B10/D3)^0.25</f>
        <v>2.6328647548892588</v>
      </c>
      <c r="C17" s="155">
        <f>B17*D6</f>
        <v>5.4763586901696588E-2</v>
      </c>
      <c r="D17" s="156">
        <f>C17*$B$10</f>
        <v>1.6218082257602109</v>
      </c>
      <c r="E17" s="142"/>
    </row>
    <row r="18" spans="1:8">
      <c r="A18" s="141" t="s">
        <v>174</v>
      </c>
      <c r="B18" s="154">
        <f>D7*B5*(B12^2+B11^2)*(B12+B11)</f>
        <v>8.0860403501740574</v>
      </c>
      <c r="C18" s="155">
        <f>B18*(D4+D5+D6)</f>
        <v>0.34388312401220239</v>
      </c>
      <c r="D18" s="156">
        <f>C18*$B$10</f>
        <v>10.184002012582388</v>
      </c>
      <c r="E18" s="142"/>
      <c r="F18" s="42"/>
      <c r="G18" s="42"/>
      <c r="H18" s="142"/>
    </row>
    <row r="19" spans="1:8">
      <c r="A19" s="141" t="s">
        <v>175</v>
      </c>
      <c r="B19" s="154"/>
      <c r="C19" s="155"/>
      <c r="D19" s="156">
        <f>1150*B7*0.1667*(D8*E10)^0.5*E10</f>
        <v>0</v>
      </c>
    </row>
    <row r="20" spans="1:8" ht="13.8" thickBot="1">
      <c r="A20" s="141" t="s">
        <v>176</v>
      </c>
      <c r="B20" s="157"/>
      <c r="C20" s="158"/>
      <c r="D20" s="159">
        <f>SUM(D15:D19)</f>
        <v>15.499998737138927</v>
      </c>
      <c r="F20" s="42"/>
    </row>
    <row r="22" spans="1:8">
      <c r="A22" s="143" t="s">
        <v>177</v>
      </c>
      <c r="B22" s="144">
        <f>B6-D20</f>
        <v>1.2628610726039824E-6</v>
      </c>
    </row>
    <row r="24" spans="1:8">
      <c r="B24" s="145"/>
    </row>
  </sheetData>
  <mergeCells count="3">
    <mergeCell ref="C10:D10"/>
    <mergeCell ref="C11:D11"/>
    <mergeCell ref="C12:D12"/>
  </mergeCells>
  <phoneticPr fontId="7"/>
  <pageMargins left="0.75" right="0.75" top="1" bottom="1" header="0.51200000000000001" footer="0.51200000000000001"/>
  <pageSetup paperSize="9" orientation="portrait" horizontalDpi="0" verticalDpi="0"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00FF"/>
  </sheetPr>
  <dimension ref="A2:X1744"/>
  <sheetViews>
    <sheetView showGridLines="0" zoomScale="85" zoomScaleNormal="85" workbookViewId="0">
      <selection activeCell="Q40" sqref="Q40"/>
    </sheetView>
  </sheetViews>
  <sheetFormatPr defaultColWidth="9" defaultRowHeight="13.2"/>
  <cols>
    <col min="1" max="12" width="10.109375" style="200" customWidth="1"/>
    <col min="13" max="13" width="9" style="200"/>
    <col min="14" max="14" width="11" style="200" customWidth="1"/>
    <col min="15" max="15" width="13.33203125" style="200" customWidth="1"/>
    <col min="16" max="16" width="9" style="200"/>
    <col min="17" max="17" width="12.77734375" style="200" customWidth="1"/>
    <col min="18" max="18" width="14.21875" style="200" customWidth="1"/>
    <col min="19" max="19" width="10.33203125" style="200" customWidth="1"/>
    <col min="20" max="20" width="12.77734375" style="200" bestFit="1" customWidth="1"/>
    <col min="21" max="16384" width="9" style="200"/>
  </cols>
  <sheetData>
    <row r="2" spans="3:18" ht="16.2">
      <c r="C2" s="201" t="s">
        <v>241</v>
      </c>
      <c r="K2" s="201" t="s">
        <v>242</v>
      </c>
    </row>
    <row r="4" spans="3:18">
      <c r="Q4" s="200" t="s">
        <v>243</v>
      </c>
    </row>
    <row r="5" spans="3:18">
      <c r="Q5" s="202" t="s">
        <v>244</v>
      </c>
      <c r="R5" s="202">
        <v>18</v>
      </c>
    </row>
    <row r="6" spans="3:18">
      <c r="Q6" s="203" t="s">
        <v>245</v>
      </c>
      <c r="R6" s="204"/>
    </row>
    <row r="7" spans="3:18">
      <c r="Q7" s="205" t="s">
        <v>246</v>
      </c>
      <c r="R7" s="202">
        <v>5</v>
      </c>
    </row>
    <row r="8" spans="3:18">
      <c r="Q8" s="205" t="s">
        <v>247</v>
      </c>
      <c r="R8" s="202">
        <v>20</v>
      </c>
    </row>
    <row r="35" spans="1:24" ht="27" customHeight="1" thickBot="1">
      <c r="A35" s="296" t="s">
        <v>294</v>
      </c>
      <c r="D35" s="206"/>
      <c r="G35" s="206" t="s">
        <v>248</v>
      </c>
    </row>
    <row r="36" spans="1:24" ht="24" customHeight="1" thickBot="1">
      <c r="A36" s="207" t="s">
        <v>249</v>
      </c>
      <c r="B36" s="208" t="s">
        <v>250</v>
      </c>
      <c r="C36" s="647" t="s">
        <v>251</v>
      </c>
      <c r="D36" s="648"/>
      <c r="E36" s="649"/>
      <c r="F36" s="209" t="s">
        <v>252</v>
      </c>
      <c r="G36" s="210" t="s">
        <v>253</v>
      </c>
      <c r="H36" s="211" t="s">
        <v>254</v>
      </c>
      <c r="I36" s="212" t="s">
        <v>255</v>
      </c>
      <c r="J36" s="650" t="s">
        <v>256</v>
      </c>
      <c r="K36" s="652" t="s">
        <v>257</v>
      </c>
      <c r="L36" s="213" t="s">
        <v>258</v>
      </c>
      <c r="M36" s="214">
        <f>'【事例1】　密閉機器基板'!B8</f>
        <v>59.281485244798425</v>
      </c>
      <c r="N36" s="215" t="s">
        <v>259</v>
      </c>
      <c r="O36" s="216">
        <v>0</v>
      </c>
      <c r="P36" s="654" t="s">
        <v>260</v>
      </c>
      <c r="Q36" s="656" t="s">
        <v>261</v>
      </c>
      <c r="R36" s="217"/>
    </row>
    <row r="37" spans="1:24" ht="21" customHeight="1" thickBot="1">
      <c r="A37" s="218"/>
      <c r="B37" s="219" t="s">
        <v>262</v>
      </c>
      <c r="C37" s="220" t="s">
        <v>263</v>
      </c>
      <c r="D37" s="220" t="s">
        <v>264</v>
      </c>
      <c r="E37" s="220" t="s">
        <v>265</v>
      </c>
      <c r="F37" s="221" t="s">
        <v>266</v>
      </c>
      <c r="G37" s="222" t="s">
        <v>197</v>
      </c>
      <c r="H37" s="223" t="s">
        <v>267</v>
      </c>
      <c r="I37" s="224" t="s">
        <v>268</v>
      </c>
      <c r="J37" s="651"/>
      <c r="K37" s="653"/>
      <c r="L37" s="225" t="s">
        <v>269</v>
      </c>
      <c r="M37" s="226" t="s">
        <v>270</v>
      </c>
      <c r="N37" s="227" t="s">
        <v>271</v>
      </c>
      <c r="O37" s="228" t="s">
        <v>272</v>
      </c>
      <c r="P37" s="655"/>
      <c r="Q37" s="657"/>
      <c r="R37" s="229"/>
    </row>
    <row r="38" spans="1:24">
      <c r="A38" s="230" t="s">
        <v>464</v>
      </c>
      <c r="B38" s="231">
        <v>90</v>
      </c>
      <c r="C38" s="232">
        <v>5</v>
      </c>
      <c r="D38" s="232">
        <v>4.9000000000000004</v>
      </c>
      <c r="E38" s="232">
        <v>1</v>
      </c>
      <c r="F38" s="232">
        <v>0.2</v>
      </c>
      <c r="G38" s="273">
        <f>(C38+D38)*2</f>
        <v>19.8</v>
      </c>
      <c r="H38" s="274">
        <f t="shared" ref="H38:H49" si="0">(C38*D38+D38*E38+E38*C38)*2</f>
        <v>68.8</v>
      </c>
      <c r="I38" s="275">
        <f t="shared" ref="I38:I49" si="1">F38/H38*1000000</f>
        <v>2906.9767441860467</v>
      </c>
      <c r="J38" s="497">
        <f t="shared" ref="J38:J39" si="2">1/H38/Q38*1000000</f>
        <v>688.86112450635903</v>
      </c>
      <c r="K38" s="498">
        <f>(B38-$M$36)/F38</f>
        <v>153.59257377600787</v>
      </c>
      <c r="L38" s="282" t="str">
        <f t="shared" ref="L38:L49" si="3">IF(J38&lt;K38,"○","×")</f>
        <v>×</v>
      </c>
      <c r="M38" s="283" t="str">
        <f t="shared" ref="M38:M49" si="4">IF(OR(K38&gt;=30,L38="○"),"○","×")</f>
        <v>○</v>
      </c>
      <c r="N38" s="284">
        <f t="shared" ref="N38:N49" si="5">J38/K38</f>
        <v>4.4849897854499234</v>
      </c>
      <c r="O38" s="285"/>
      <c r="P38" s="233">
        <v>0.9</v>
      </c>
      <c r="Q38" s="294">
        <f>IF($O$36&lt;&gt;0,3.86*($O$36/MIN(C38,D38)*1000)^0.5+0.0000000567*P38*(($M$36+273+(B38-$M$36))^2+($M$36+273)^2)*(($M$36+273+(B38-$M$36))+($M$36+273)),2.51*0.56*((B38-$M$36)/(MIN(C38,D38)/1000))^0.25+0.0000000567*P38*(($M$36+273+(B38-$M$36))^2+($M$36+273)^2)*(($M$36+273+(B38-$M$36))+($M$36+273)))</f>
        <v>21.099875147325225</v>
      </c>
      <c r="R38" s="229"/>
    </row>
    <row r="39" spans="1:24">
      <c r="A39" s="234" t="s">
        <v>465</v>
      </c>
      <c r="B39" s="231">
        <v>90</v>
      </c>
      <c r="C39" s="235">
        <v>17</v>
      </c>
      <c r="D39" s="235">
        <v>17</v>
      </c>
      <c r="E39" s="235">
        <v>1</v>
      </c>
      <c r="F39" s="235">
        <v>2</v>
      </c>
      <c r="G39" s="276">
        <f t="shared" ref="G39:G49" si="6">(C39+D39)*2</f>
        <v>68</v>
      </c>
      <c r="H39" s="277">
        <f t="shared" si="0"/>
        <v>646</v>
      </c>
      <c r="I39" s="278">
        <f t="shared" si="1"/>
        <v>3095.9752321981427</v>
      </c>
      <c r="J39" s="499">
        <f t="shared" si="2"/>
        <v>87.176664164653886</v>
      </c>
      <c r="K39" s="500">
        <f>(B39-$M$36)/F39</f>
        <v>15.359257377600787</v>
      </c>
      <c r="L39" s="286" t="str">
        <f t="shared" si="3"/>
        <v>×</v>
      </c>
      <c r="M39" s="287" t="str">
        <f t="shared" si="4"/>
        <v>×</v>
      </c>
      <c r="N39" s="288">
        <f t="shared" si="5"/>
        <v>5.6758384875943415</v>
      </c>
      <c r="O39" s="289"/>
      <c r="P39" s="236">
        <v>0.9</v>
      </c>
      <c r="Q39" s="294">
        <f>IF($O$36&lt;&gt;0,3.86*($O$36/MIN(C39,D39)*1000)^0.5+0.0000000567*P39*(($M$36+273+(B39-$M$36))^2+($M$36+273)^2)*(($M$36+273+(B39-$M$36))+($M$36+273)),2.51*0.56*((B39-$M$36)/(MIN(C39,D39)/1000))^0.25+0.0000000567*P39*(($M$36+273+(B39-$M$36))^2+($M$36+273)^2)*(($M$36+273+(B39-$M$36))+($M$36+273)))</f>
        <v>17.756903535277836</v>
      </c>
      <c r="R39" s="229"/>
    </row>
    <row r="40" spans="1:24">
      <c r="A40" s="234" t="s">
        <v>466</v>
      </c>
      <c r="B40" s="231">
        <v>90</v>
      </c>
      <c r="C40" s="235">
        <v>13</v>
      </c>
      <c r="D40" s="235">
        <v>13</v>
      </c>
      <c r="E40" s="235">
        <v>1.5</v>
      </c>
      <c r="F40" s="235">
        <v>1.7</v>
      </c>
      <c r="G40" s="276">
        <f t="shared" si="6"/>
        <v>52</v>
      </c>
      <c r="H40" s="277">
        <f t="shared" si="0"/>
        <v>416</v>
      </c>
      <c r="I40" s="278">
        <f t="shared" si="1"/>
        <v>4086.5384615384619</v>
      </c>
      <c r="J40" s="499">
        <f>1/H40/Q40*1000000</f>
        <v>130.69640926265262</v>
      </c>
      <c r="K40" s="500">
        <f t="shared" ref="K40:K49" si="7">(B40-$M$36)/F40</f>
        <v>18.069714561883281</v>
      </c>
      <c r="L40" s="286" t="str">
        <f t="shared" si="3"/>
        <v>×</v>
      </c>
      <c r="M40" s="287" t="str">
        <f t="shared" si="4"/>
        <v>×</v>
      </c>
      <c r="N40" s="288">
        <f t="shared" si="5"/>
        <v>7.2328983844795749</v>
      </c>
      <c r="O40" s="289"/>
      <c r="P40" s="236">
        <v>0.9</v>
      </c>
      <c r="Q40" s="294">
        <f t="shared" ref="Q40:Q49" si="8">IF($O$36&lt;&gt;0,3.86*($O$36/MIN(C40,D40)*1000)^0.5+0.0000000567*P40*(($M$36+273+(B40-$M$36))^2+($M$36+273)^2)*(($M$36+273+(B40-$M$36))+($M$36+273)),2.51*0.56*((B40-$M$36)/(MIN(C40,D40)/1000))^0.25+0.0000000567*P40*(($M$36+273+(B40-$M$36))^2+($M$36+273)^2)*(($M$36+273+(B40-$M$36))+($M$36+273)))</f>
        <v>18.392595232018124</v>
      </c>
      <c r="R40" s="237"/>
      <c r="S40" s="238"/>
      <c r="V40" s="239"/>
      <c r="W40" s="240"/>
    </row>
    <row r="41" spans="1:24">
      <c r="A41" s="234" t="s">
        <v>467</v>
      </c>
      <c r="B41" s="231">
        <v>90</v>
      </c>
      <c r="C41" s="235">
        <v>3.95</v>
      </c>
      <c r="D41" s="235">
        <v>4.9000000000000004</v>
      </c>
      <c r="E41" s="235">
        <v>1</v>
      </c>
      <c r="F41" s="235">
        <v>0.14000000000000001</v>
      </c>
      <c r="G41" s="276">
        <f t="shared" si="6"/>
        <v>17.700000000000003</v>
      </c>
      <c r="H41" s="277">
        <f t="shared" si="0"/>
        <v>56.410000000000004</v>
      </c>
      <c r="I41" s="278">
        <f t="shared" si="1"/>
        <v>2481.8294628611948</v>
      </c>
      <c r="J41" s="499">
        <f t="shared" ref="J41:J49" si="9">1/H41/Q41*1000000</f>
        <v>813.47049314025003</v>
      </c>
      <c r="K41" s="500">
        <f>(B41-$M$36)/F41</f>
        <v>219.4179625371541</v>
      </c>
      <c r="L41" s="286" t="str">
        <f>IF(J41&lt;K41,"○","×")</f>
        <v>×</v>
      </c>
      <c r="M41" s="287" t="str">
        <f t="shared" si="4"/>
        <v>○</v>
      </c>
      <c r="N41" s="288">
        <f t="shared" si="5"/>
        <v>3.7074015442218178</v>
      </c>
      <c r="O41" s="289"/>
      <c r="P41" s="236">
        <v>0.9</v>
      </c>
      <c r="Q41" s="294">
        <f t="shared" si="8"/>
        <v>21.79225117031384</v>
      </c>
      <c r="R41" s="237"/>
      <c r="S41" s="238"/>
      <c r="V41" s="239"/>
      <c r="W41" s="240"/>
      <c r="X41" s="240"/>
    </row>
    <row r="42" spans="1:24">
      <c r="A42" s="234" t="s">
        <v>468</v>
      </c>
      <c r="B42" s="231">
        <v>90</v>
      </c>
      <c r="C42" s="235">
        <v>3</v>
      </c>
      <c r="D42" s="235">
        <v>6.5</v>
      </c>
      <c r="E42" s="235">
        <v>1</v>
      </c>
      <c r="F42" s="235">
        <v>0.16</v>
      </c>
      <c r="G42" s="276">
        <f t="shared" si="6"/>
        <v>19</v>
      </c>
      <c r="H42" s="277">
        <f t="shared" si="0"/>
        <v>58</v>
      </c>
      <c r="I42" s="278">
        <f t="shared" si="1"/>
        <v>2758.6206896551726</v>
      </c>
      <c r="J42" s="499">
        <f t="shared" si="9"/>
        <v>758.46245294847859</v>
      </c>
      <c r="K42" s="500">
        <f t="shared" si="7"/>
        <v>191.99071722000983</v>
      </c>
      <c r="L42" s="286" t="str">
        <f t="shared" si="3"/>
        <v>×</v>
      </c>
      <c r="M42" s="287" t="str">
        <f t="shared" si="4"/>
        <v>○</v>
      </c>
      <c r="N42" s="288">
        <f t="shared" si="5"/>
        <v>3.9505162745932458</v>
      </c>
      <c r="O42" s="289"/>
      <c r="P42" s="236">
        <v>0.9</v>
      </c>
      <c r="Q42" s="294">
        <f t="shared" si="8"/>
        <v>22.732014278781985</v>
      </c>
      <c r="R42" s="237"/>
      <c r="W42" s="240"/>
      <c r="X42" s="240"/>
    </row>
    <row r="43" spans="1:24">
      <c r="A43" s="234" t="s">
        <v>469</v>
      </c>
      <c r="B43" s="231">
        <v>90</v>
      </c>
      <c r="C43" s="235">
        <v>9.25</v>
      </c>
      <c r="D43" s="235">
        <v>10</v>
      </c>
      <c r="E43" s="235">
        <v>3.5</v>
      </c>
      <c r="F43" s="235">
        <v>1.7</v>
      </c>
      <c r="G43" s="276">
        <f t="shared" si="6"/>
        <v>38.5</v>
      </c>
      <c r="H43" s="277">
        <f t="shared" si="0"/>
        <v>319.75</v>
      </c>
      <c r="I43" s="278">
        <f t="shared" si="1"/>
        <v>5316.6536356528532</v>
      </c>
      <c r="J43" s="499">
        <f t="shared" si="9"/>
        <v>162.35586134414569</v>
      </c>
      <c r="K43" s="500">
        <f t="shared" si="7"/>
        <v>18.069714561883281</v>
      </c>
      <c r="L43" s="286" t="str">
        <f t="shared" si="3"/>
        <v>×</v>
      </c>
      <c r="M43" s="287" t="str">
        <f t="shared" si="4"/>
        <v>×</v>
      </c>
      <c r="N43" s="288">
        <f t="shared" si="5"/>
        <v>8.9849710015134008</v>
      </c>
      <c r="O43" s="289"/>
      <c r="P43" s="236">
        <v>0.9</v>
      </c>
      <c r="Q43" s="294">
        <f t="shared" si="8"/>
        <v>19.262891337570334</v>
      </c>
      <c r="R43" s="237"/>
      <c r="W43" s="240"/>
      <c r="X43" s="240"/>
    </row>
    <row r="44" spans="1:24">
      <c r="A44" s="234" t="s">
        <v>470</v>
      </c>
      <c r="B44" s="231">
        <v>90</v>
      </c>
      <c r="C44" s="235">
        <v>6</v>
      </c>
      <c r="D44" s="235">
        <v>7.2</v>
      </c>
      <c r="E44" s="235">
        <v>1.7</v>
      </c>
      <c r="F44" s="235">
        <v>0.3</v>
      </c>
      <c r="G44" s="276">
        <f t="shared" si="6"/>
        <v>26.4</v>
      </c>
      <c r="H44" s="277">
        <f t="shared" si="0"/>
        <v>131.28</v>
      </c>
      <c r="I44" s="278">
        <f t="shared" si="1"/>
        <v>2285.1919561243144</v>
      </c>
      <c r="J44" s="499">
        <f t="shared" si="9"/>
        <v>371.89553259926481</v>
      </c>
      <c r="K44" s="500">
        <f t="shared" si="7"/>
        <v>102.39504918400526</v>
      </c>
      <c r="L44" s="286" t="str">
        <f>IF(J44&lt;K44,"○","×")</f>
        <v>×</v>
      </c>
      <c r="M44" s="287" t="str">
        <f>IF(OR(K44&gt;=30,L44="○"),"○","×")</f>
        <v>○</v>
      </c>
      <c r="N44" s="288">
        <f>J44/K44</f>
        <v>3.6319679082429426</v>
      </c>
      <c r="O44" s="289"/>
      <c r="P44" s="236">
        <v>0.9</v>
      </c>
      <c r="Q44" s="294">
        <f t="shared" si="8"/>
        <v>20.482382423836196</v>
      </c>
      <c r="R44" s="237"/>
      <c r="S44" s="238"/>
      <c r="V44" s="239"/>
      <c r="W44" s="240"/>
    </row>
    <row r="45" spans="1:24">
      <c r="A45" s="234" t="s">
        <v>471</v>
      </c>
      <c r="B45" s="231">
        <v>90</v>
      </c>
      <c r="C45" s="235">
        <v>5</v>
      </c>
      <c r="D45" s="235">
        <v>2.1</v>
      </c>
      <c r="E45" s="235">
        <v>1</v>
      </c>
      <c r="F45" s="235">
        <v>0.2</v>
      </c>
      <c r="G45" s="276">
        <f t="shared" si="6"/>
        <v>14.2</v>
      </c>
      <c r="H45" s="277">
        <f t="shared" si="0"/>
        <v>35.200000000000003</v>
      </c>
      <c r="I45" s="278">
        <f t="shared" si="1"/>
        <v>5681.818181818182</v>
      </c>
      <c r="J45" s="499">
        <f t="shared" si="9"/>
        <v>1181.2153974657119</v>
      </c>
      <c r="K45" s="500">
        <f t="shared" si="7"/>
        <v>153.59257377600787</v>
      </c>
      <c r="L45" s="286" t="str">
        <f t="shared" si="3"/>
        <v>×</v>
      </c>
      <c r="M45" s="287" t="str">
        <f t="shared" si="4"/>
        <v>○</v>
      </c>
      <c r="N45" s="288">
        <f t="shared" si="5"/>
        <v>7.690576233121404</v>
      </c>
      <c r="O45" s="289"/>
      <c r="P45" s="236">
        <v>0.9</v>
      </c>
      <c r="Q45" s="294">
        <f t="shared" si="8"/>
        <v>24.050728571641024</v>
      </c>
      <c r="R45" s="237"/>
      <c r="W45" s="240"/>
      <c r="X45" s="240"/>
    </row>
    <row r="46" spans="1:24">
      <c r="A46" s="234" t="s">
        <v>472</v>
      </c>
      <c r="B46" s="231">
        <v>90</v>
      </c>
      <c r="C46" s="235">
        <v>13.2</v>
      </c>
      <c r="D46" s="235">
        <v>14.5</v>
      </c>
      <c r="E46" s="235">
        <v>1.2</v>
      </c>
      <c r="F46" s="235">
        <v>2.2999999999999998</v>
      </c>
      <c r="G46" s="276">
        <f t="shared" si="6"/>
        <v>55.4</v>
      </c>
      <c r="H46" s="277">
        <f t="shared" si="0"/>
        <v>449.28</v>
      </c>
      <c r="I46" s="278">
        <f t="shared" si="1"/>
        <v>5119.3019943019945</v>
      </c>
      <c r="J46" s="499">
        <f t="shared" si="9"/>
        <v>121.26133471625401</v>
      </c>
      <c r="K46" s="500">
        <f t="shared" si="7"/>
        <v>13.355875980522425</v>
      </c>
      <c r="L46" s="286" t="str">
        <f t="shared" si="3"/>
        <v>×</v>
      </c>
      <c r="M46" s="287" t="str">
        <f t="shared" si="4"/>
        <v>×</v>
      </c>
      <c r="N46" s="288">
        <f t="shared" si="5"/>
        <v>9.0792498292957937</v>
      </c>
      <c r="O46" s="289"/>
      <c r="P46" s="236">
        <v>0.9</v>
      </c>
      <c r="Q46" s="294">
        <f t="shared" si="8"/>
        <v>18.355261229737472</v>
      </c>
      <c r="R46" s="237"/>
      <c r="W46" s="240"/>
      <c r="X46" s="240"/>
    </row>
    <row r="47" spans="1:24">
      <c r="A47" s="234" t="s">
        <v>473</v>
      </c>
      <c r="B47" s="231">
        <v>90</v>
      </c>
      <c r="C47" s="235">
        <v>7</v>
      </c>
      <c r="D47" s="241">
        <v>6</v>
      </c>
      <c r="E47" s="241">
        <v>1.5</v>
      </c>
      <c r="F47" s="241">
        <v>0.19</v>
      </c>
      <c r="G47" s="276">
        <f t="shared" si="6"/>
        <v>26</v>
      </c>
      <c r="H47" s="277">
        <f t="shared" si="0"/>
        <v>123</v>
      </c>
      <c r="I47" s="278">
        <f t="shared" si="1"/>
        <v>1544.7154471544716</v>
      </c>
      <c r="J47" s="499">
        <f t="shared" si="9"/>
        <v>396.93045137911776</v>
      </c>
      <c r="K47" s="500">
        <f t="shared" si="7"/>
        <v>161.67639344842934</v>
      </c>
      <c r="L47" s="286" t="str">
        <f>IF(J47&lt;K47,"○","×")</f>
        <v>×</v>
      </c>
      <c r="M47" s="287" t="str">
        <f>IF(OR(K47&gt;=30,L47="○"),"○","×")</f>
        <v>○</v>
      </c>
      <c r="N47" s="288">
        <f>J47/K47</f>
        <v>2.4550921931947256</v>
      </c>
      <c r="O47" s="289"/>
      <c r="P47" s="236">
        <v>0.9</v>
      </c>
      <c r="Q47" s="294">
        <f t="shared" si="8"/>
        <v>20.482382423836196</v>
      </c>
      <c r="R47" s="237"/>
      <c r="S47" s="238"/>
      <c r="V47" s="239"/>
      <c r="W47" s="240"/>
    </row>
    <row r="48" spans="1:24">
      <c r="A48" s="234" t="s">
        <v>474</v>
      </c>
      <c r="B48" s="231">
        <v>90</v>
      </c>
      <c r="C48" s="235">
        <v>10.5</v>
      </c>
      <c r="D48" s="235">
        <v>7.5</v>
      </c>
      <c r="E48" s="235">
        <v>2.5</v>
      </c>
      <c r="F48" s="235">
        <v>0.5</v>
      </c>
      <c r="G48" s="276">
        <f t="shared" si="6"/>
        <v>36</v>
      </c>
      <c r="H48" s="277">
        <f t="shared" si="0"/>
        <v>247.5</v>
      </c>
      <c r="I48" s="278">
        <f t="shared" si="1"/>
        <v>2020.2020202020201</v>
      </c>
      <c r="J48" s="499">
        <f t="shared" si="9"/>
        <v>203.67750717324361</v>
      </c>
      <c r="K48" s="500">
        <f t="shared" si="7"/>
        <v>61.43702951040315</v>
      </c>
      <c r="L48" s="286" t="str">
        <f t="shared" si="3"/>
        <v>×</v>
      </c>
      <c r="M48" s="287" t="str">
        <f t="shared" si="4"/>
        <v>○</v>
      </c>
      <c r="N48" s="288">
        <f t="shared" si="5"/>
        <v>3.3152238771367495</v>
      </c>
      <c r="O48" s="289"/>
      <c r="P48" s="236">
        <v>0.9</v>
      </c>
      <c r="Q48" s="294">
        <f t="shared" si="8"/>
        <v>19.837261838477634</v>
      </c>
      <c r="R48" s="237"/>
      <c r="W48" s="240"/>
      <c r="X48" s="240"/>
    </row>
    <row r="49" spans="1:24">
      <c r="A49" s="234" t="s">
        <v>475</v>
      </c>
      <c r="B49" s="231">
        <v>90</v>
      </c>
      <c r="C49" s="235">
        <v>11.3</v>
      </c>
      <c r="D49" s="235">
        <v>11.4</v>
      </c>
      <c r="E49" s="235">
        <v>2.5</v>
      </c>
      <c r="F49" s="235">
        <v>1.2</v>
      </c>
      <c r="G49" s="276">
        <f t="shared" si="6"/>
        <v>45.400000000000006</v>
      </c>
      <c r="H49" s="277">
        <f t="shared" si="0"/>
        <v>371.14000000000004</v>
      </c>
      <c r="I49" s="278">
        <f t="shared" si="1"/>
        <v>3233.2812415799963</v>
      </c>
      <c r="J49" s="499">
        <f t="shared" si="9"/>
        <v>143.76241785286476</v>
      </c>
      <c r="K49" s="500">
        <f t="shared" si="7"/>
        <v>25.598762296001315</v>
      </c>
      <c r="L49" s="286" t="str">
        <f t="shared" si="3"/>
        <v>×</v>
      </c>
      <c r="M49" s="287" t="str">
        <f t="shared" si="4"/>
        <v>×</v>
      </c>
      <c r="N49" s="288">
        <f t="shared" si="5"/>
        <v>5.6159909682555762</v>
      </c>
      <c r="O49" s="289"/>
      <c r="P49" s="236">
        <v>0.9</v>
      </c>
      <c r="Q49" s="294">
        <f t="shared" si="8"/>
        <v>18.742040339135169</v>
      </c>
      <c r="R49" s="237"/>
      <c r="W49" s="240"/>
      <c r="X49" s="240"/>
    </row>
    <row r="50" spans="1:24">
      <c r="A50" s="234"/>
      <c r="B50" s="231"/>
      <c r="C50" s="235"/>
      <c r="D50" s="235"/>
      <c r="E50" s="235"/>
      <c r="F50" s="235"/>
      <c r="G50" s="276"/>
      <c r="H50" s="277"/>
      <c r="I50" s="278"/>
      <c r="J50" s="499"/>
      <c r="K50" s="500"/>
      <c r="L50" s="286"/>
      <c r="M50" s="287"/>
      <c r="N50" s="288"/>
      <c r="O50" s="289"/>
      <c r="P50" s="236"/>
      <c r="Q50" s="294"/>
      <c r="R50" s="237"/>
      <c r="S50" s="238"/>
      <c r="V50" s="239"/>
      <c r="W50" s="240"/>
    </row>
    <row r="51" spans="1:24">
      <c r="A51" s="234"/>
      <c r="B51" s="231"/>
      <c r="C51" s="235"/>
      <c r="D51" s="235"/>
      <c r="E51" s="235"/>
      <c r="F51" s="235"/>
      <c r="G51" s="276"/>
      <c r="H51" s="277"/>
      <c r="I51" s="278"/>
      <c r="J51" s="499"/>
      <c r="K51" s="500"/>
      <c r="L51" s="286"/>
      <c r="M51" s="287"/>
      <c r="N51" s="288"/>
      <c r="O51" s="289"/>
      <c r="P51" s="236"/>
      <c r="Q51" s="294"/>
      <c r="R51" s="237"/>
      <c r="V51" s="239"/>
      <c r="W51" s="240"/>
    </row>
    <row r="52" spans="1:24">
      <c r="A52" s="242"/>
      <c r="B52" s="272"/>
      <c r="C52" s="241"/>
      <c r="D52" s="241"/>
      <c r="E52" s="241"/>
      <c r="F52" s="271"/>
      <c r="G52" s="276"/>
      <c r="H52" s="277"/>
      <c r="I52" s="278"/>
      <c r="J52" s="499"/>
      <c r="K52" s="500"/>
      <c r="L52" s="286"/>
      <c r="M52" s="287"/>
      <c r="N52" s="288"/>
      <c r="O52" s="289"/>
      <c r="P52" s="244"/>
      <c r="Q52" s="294"/>
      <c r="R52" s="237"/>
      <c r="V52" s="239"/>
      <c r="W52" s="240"/>
    </row>
    <row r="53" spans="1:24">
      <c r="A53" s="242"/>
      <c r="B53" s="272"/>
      <c r="C53" s="241"/>
      <c r="D53" s="241"/>
      <c r="E53" s="241"/>
      <c r="F53" s="271"/>
      <c r="G53" s="276"/>
      <c r="H53" s="277"/>
      <c r="I53" s="278"/>
      <c r="J53" s="499"/>
      <c r="K53" s="500"/>
      <c r="L53" s="286"/>
      <c r="M53" s="287"/>
      <c r="N53" s="288"/>
      <c r="O53" s="289"/>
      <c r="P53" s="244"/>
      <c r="Q53" s="294"/>
      <c r="R53" s="237"/>
      <c r="V53" s="239"/>
      <c r="W53" s="240"/>
    </row>
    <row r="54" spans="1:24">
      <c r="A54" s="242"/>
      <c r="B54" s="272"/>
      <c r="C54" s="241"/>
      <c r="D54" s="241"/>
      <c r="E54" s="241"/>
      <c r="F54" s="271"/>
      <c r="G54" s="276"/>
      <c r="H54" s="277"/>
      <c r="I54" s="278"/>
      <c r="J54" s="499"/>
      <c r="K54" s="500"/>
      <c r="L54" s="286"/>
      <c r="M54" s="287"/>
      <c r="N54" s="288"/>
      <c r="O54" s="289"/>
      <c r="P54" s="244"/>
      <c r="Q54" s="294"/>
      <c r="R54" s="237"/>
      <c r="V54" s="239"/>
      <c r="W54" s="240"/>
    </row>
    <row r="55" spans="1:24">
      <c r="A55" s="242"/>
      <c r="B55" s="272"/>
      <c r="C55" s="241"/>
      <c r="D55" s="241"/>
      <c r="E55" s="241"/>
      <c r="F55" s="243"/>
      <c r="G55" s="276"/>
      <c r="H55" s="277"/>
      <c r="I55" s="278"/>
      <c r="J55" s="499"/>
      <c r="K55" s="500"/>
      <c r="L55" s="286"/>
      <c r="M55" s="287"/>
      <c r="N55" s="288"/>
      <c r="O55" s="289"/>
      <c r="P55" s="244"/>
      <c r="Q55" s="294"/>
      <c r="R55" s="237"/>
      <c r="S55" s="245"/>
    </row>
    <row r="56" spans="1:24">
      <c r="A56" s="234"/>
      <c r="B56" s="246"/>
      <c r="C56" s="235"/>
      <c r="D56" s="235"/>
      <c r="E56" s="235"/>
      <c r="F56" s="247"/>
      <c r="G56" s="276"/>
      <c r="H56" s="277"/>
      <c r="I56" s="278"/>
      <c r="J56" s="499"/>
      <c r="K56" s="500"/>
      <c r="L56" s="286"/>
      <c r="M56" s="287"/>
      <c r="N56" s="288"/>
      <c r="O56" s="289"/>
      <c r="P56" s="236"/>
      <c r="Q56" s="294"/>
      <c r="R56" s="237"/>
      <c r="S56" s="245"/>
    </row>
    <row r="57" spans="1:24" ht="13.8" thickBot="1">
      <c r="A57" s="248"/>
      <c r="B57" s="249"/>
      <c r="C57" s="250"/>
      <c r="D57" s="250"/>
      <c r="E57" s="250"/>
      <c r="F57" s="251"/>
      <c r="G57" s="279"/>
      <c r="H57" s="280"/>
      <c r="I57" s="281"/>
      <c r="J57" s="501"/>
      <c r="K57" s="502"/>
      <c r="L57" s="290"/>
      <c r="M57" s="291"/>
      <c r="N57" s="292"/>
      <c r="O57" s="293"/>
      <c r="P57" s="252"/>
      <c r="Q57" s="295"/>
      <c r="R57" s="237"/>
      <c r="S57" s="245"/>
    </row>
    <row r="58" spans="1:24">
      <c r="A58" s="253"/>
      <c r="B58" s="253"/>
      <c r="C58" s="253"/>
      <c r="D58" s="253"/>
      <c r="E58" s="253"/>
      <c r="F58" s="253"/>
      <c r="G58" s="253"/>
      <c r="H58" s="254"/>
      <c r="I58" s="255"/>
      <c r="J58" s="253"/>
      <c r="K58" s="253"/>
      <c r="L58" s="253"/>
      <c r="M58" s="253"/>
      <c r="N58" s="253"/>
      <c r="O58" s="253"/>
      <c r="P58" s="253"/>
      <c r="Q58" s="253"/>
    </row>
    <row r="59" spans="1:24">
      <c r="A59" s="253"/>
      <c r="B59" s="253"/>
      <c r="C59" s="253"/>
      <c r="D59" s="253"/>
      <c r="E59" s="253"/>
      <c r="F59" s="253"/>
      <c r="G59" s="253"/>
      <c r="H59" s="256"/>
      <c r="I59" s="255"/>
      <c r="J59" s="253"/>
      <c r="K59" s="253"/>
      <c r="L59" s="253"/>
      <c r="M59" s="253"/>
      <c r="N59" s="253"/>
      <c r="O59" s="253"/>
      <c r="P59" s="253"/>
      <c r="Q59" s="253"/>
    </row>
    <row r="60" spans="1:24">
      <c r="A60" s="253"/>
      <c r="B60" s="253"/>
      <c r="C60" s="253"/>
      <c r="D60" s="253"/>
      <c r="E60" s="253"/>
      <c r="F60" s="253"/>
      <c r="G60" s="253"/>
      <c r="H60" s="253"/>
      <c r="I60" s="253"/>
      <c r="J60" s="253"/>
      <c r="K60" s="253"/>
      <c r="L60" s="253"/>
      <c r="M60" s="253"/>
      <c r="N60" s="253"/>
      <c r="O60" s="253"/>
      <c r="P60" s="253"/>
      <c r="Q60" s="253"/>
    </row>
    <row r="61" spans="1:24">
      <c r="A61" s="253"/>
      <c r="B61" s="253"/>
      <c r="C61" s="253"/>
      <c r="D61" s="253"/>
      <c r="E61" s="253"/>
      <c r="F61" s="253"/>
      <c r="G61" s="253"/>
      <c r="H61" s="253"/>
      <c r="I61" s="253"/>
      <c r="J61" s="253"/>
      <c r="K61" s="253"/>
      <c r="L61" s="253"/>
      <c r="M61" s="253"/>
      <c r="N61" s="253"/>
      <c r="O61" s="253"/>
      <c r="P61" s="253"/>
      <c r="Q61" s="253"/>
    </row>
    <row r="62" spans="1:24">
      <c r="A62" s="253"/>
      <c r="B62" s="253"/>
      <c r="C62" s="253"/>
      <c r="D62" s="253"/>
      <c r="E62" s="253"/>
      <c r="F62" s="253"/>
      <c r="G62" s="253"/>
      <c r="H62" s="253"/>
      <c r="I62" s="253"/>
      <c r="J62" s="253"/>
      <c r="K62" s="253"/>
      <c r="L62" s="253"/>
      <c r="M62" s="253"/>
      <c r="N62" s="253"/>
      <c r="O62" s="253"/>
      <c r="P62" s="253"/>
      <c r="Q62" s="253"/>
    </row>
    <row r="63" spans="1:24">
      <c r="A63" s="253"/>
      <c r="B63" s="253"/>
      <c r="C63" s="253"/>
      <c r="D63" s="253"/>
      <c r="E63" s="253"/>
      <c r="F63" s="253"/>
      <c r="G63" s="253"/>
      <c r="H63" s="253"/>
      <c r="I63" s="253"/>
      <c r="J63" s="253"/>
      <c r="K63" s="253"/>
      <c r="L63" s="253"/>
      <c r="M63" s="253"/>
      <c r="N63" s="253"/>
      <c r="O63" s="253"/>
      <c r="P63" s="253"/>
      <c r="Q63" s="253"/>
    </row>
    <row r="64" spans="1:24">
      <c r="A64" s="253"/>
      <c r="B64" s="253"/>
      <c r="C64" s="253"/>
      <c r="D64" s="253"/>
      <c r="E64" s="253"/>
      <c r="F64" s="253"/>
      <c r="G64" s="253"/>
      <c r="H64" s="253"/>
      <c r="I64" s="253"/>
      <c r="J64" s="253"/>
      <c r="K64" s="253"/>
      <c r="L64" s="253"/>
      <c r="M64" s="253"/>
      <c r="N64" s="253"/>
      <c r="O64" s="253"/>
      <c r="P64" s="253"/>
      <c r="Q64" s="253"/>
    </row>
    <row r="65" spans="1:17">
      <c r="A65" s="253"/>
      <c r="B65" s="253"/>
      <c r="C65" s="253"/>
      <c r="D65" s="253"/>
      <c r="E65" s="253"/>
      <c r="F65" s="253"/>
      <c r="G65" s="253"/>
      <c r="H65" s="253"/>
      <c r="I65" s="253"/>
      <c r="J65" s="253"/>
      <c r="K65" s="253"/>
      <c r="L65" s="253"/>
      <c r="M65" s="253"/>
      <c r="N65" s="253"/>
      <c r="O65" s="253"/>
      <c r="P65" s="253"/>
      <c r="Q65" s="253"/>
    </row>
    <row r="66" spans="1:17">
      <c r="A66" s="253"/>
      <c r="B66" s="253"/>
      <c r="C66" s="253"/>
      <c r="D66" s="253"/>
      <c r="E66" s="253"/>
      <c r="F66" s="253"/>
      <c r="G66" s="253"/>
      <c r="H66" s="253"/>
      <c r="I66" s="253"/>
      <c r="J66" s="253"/>
      <c r="K66" s="253"/>
      <c r="L66" s="253"/>
      <c r="M66" s="253"/>
      <c r="N66" s="253"/>
      <c r="O66" s="253"/>
      <c r="P66" s="253"/>
      <c r="Q66" s="253"/>
    </row>
    <row r="67" spans="1:17">
      <c r="A67" s="253"/>
      <c r="B67" s="253"/>
      <c r="C67" s="253"/>
      <c r="D67" s="253"/>
      <c r="E67" s="253"/>
      <c r="F67" s="253"/>
      <c r="G67" s="253"/>
      <c r="H67" s="253"/>
      <c r="I67" s="253"/>
      <c r="J67" s="253"/>
      <c r="K67" s="253"/>
      <c r="L67" s="253"/>
      <c r="M67" s="253"/>
      <c r="N67" s="253"/>
      <c r="O67" s="253"/>
      <c r="P67" s="253"/>
      <c r="Q67" s="253"/>
    </row>
    <row r="68" spans="1:17">
      <c r="A68" s="253"/>
      <c r="B68" s="253"/>
      <c r="C68" s="253"/>
      <c r="D68" s="253"/>
      <c r="E68" s="253"/>
      <c r="F68" s="253"/>
      <c r="G68" s="253"/>
      <c r="H68" s="253"/>
      <c r="I68" s="253"/>
      <c r="J68" s="253"/>
      <c r="K68" s="253"/>
      <c r="L68" s="253"/>
      <c r="M68" s="253"/>
      <c r="N68" s="253"/>
      <c r="O68" s="253"/>
      <c r="P68" s="253"/>
      <c r="Q68" s="253"/>
    </row>
    <row r="69" spans="1:17">
      <c r="A69" s="253"/>
      <c r="B69" s="253"/>
      <c r="C69" s="253"/>
      <c r="D69" s="253"/>
      <c r="E69" s="253"/>
      <c r="F69" s="253"/>
      <c r="G69" s="253"/>
      <c r="H69" s="253"/>
      <c r="I69" s="253"/>
      <c r="J69" s="253"/>
      <c r="K69" s="253"/>
      <c r="L69" s="253"/>
      <c r="M69" s="253"/>
      <c r="N69" s="253"/>
      <c r="O69" s="253"/>
      <c r="P69" s="253"/>
      <c r="Q69" s="253"/>
    </row>
    <row r="70" spans="1:17">
      <c r="A70" s="253"/>
      <c r="B70" s="253"/>
      <c r="C70" s="253"/>
      <c r="D70" s="253"/>
      <c r="E70" s="253"/>
      <c r="F70" s="253"/>
      <c r="G70" s="253"/>
      <c r="H70" s="253"/>
      <c r="I70" s="253"/>
      <c r="J70" s="253"/>
      <c r="K70" s="253"/>
      <c r="L70" s="253"/>
      <c r="M70" s="253"/>
      <c r="N70" s="253"/>
      <c r="O70" s="253"/>
      <c r="P70" s="253"/>
      <c r="Q70" s="253"/>
    </row>
    <row r="71" spans="1:17">
      <c r="A71" s="253"/>
      <c r="B71" s="253"/>
      <c r="C71" s="253"/>
      <c r="D71" s="253"/>
      <c r="E71" s="253"/>
      <c r="F71" s="253"/>
      <c r="G71" s="253"/>
      <c r="H71" s="253"/>
      <c r="I71" s="253"/>
      <c r="J71" s="253"/>
      <c r="K71" s="253"/>
      <c r="L71" s="253"/>
      <c r="M71" s="253"/>
      <c r="N71" s="253"/>
      <c r="O71" s="253"/>
      <c r="P71" s="253"/>
      <c r="Q71" s="253"/>
    </row>
    <row r="72" spans="1:17">
      <c r="A72" s="253"/>
      <c r="B72" s="253"/>
      <c r="C72" s="253"/>
      <c r="D72" s="253"/>
      <c r="E72" s="253"/>
      <c r="F72" s="253"/>
      <c r="G72" s="253"/>
      <c r="H72" s="253"/>
      <c r="I72" s="253"/>
      <c r="J72" s="253"/>
      <c r="K72" s="253"/>
      <c r="L72" s="253"/>
      <c r="M72" s="253"/>
      <c r="N72" s="253"/>
      <c r="O72" s="253"/>
      <c r="P72" s="253"/>
      <c r="Q72" s="253"/>
    </row>
    <row r="73" spans="1:17">
      <c r="A73" s="253"/>
      <c r="B73" s="253"/>
      <c r="C73" s="253"/>
      <c r="D73" s="253"/>
      <c r="E73" s="253"/>
      <c r="F73" s="253"/>
      <c r="G73" s="253"/>
      <c r="H73" s="253"/>
      <c r="I73" s="253"/>
      <c r="J73" s="253"/>
      <c r="K73" s="253"/>
      <c r="L73" s="253"/>
      <c r="M73" s="253"/>
      <c r="N73" s="253"/>
      <c r="O73" s="253"/>
      <c r="P73" s="253"/>
      <c r="Q73" s="253"/>
    </row>
    <row r="74" spans="1:17">
      <c r="A74" s="253"/>
      <c r="B74" s="253"/>
      <c r="C74" s="253"/>
      <c r="D74" s="253"/>
      <c r="E74" s="253"/>
      <c r="F74" s="253"/>
      <c r="G74" s="253"/>
      <c r="H74" s="253"/>
      <c r="I74" s="253"/>
      <c r="J74" s="253"/>
      <c r="K74" s="253"/>
      <c r="L74" s="253"/>
      <c r="M74" s="253"/>
      <c r="N74" s="253"/>
      <c r="O74" s="253"/>
      <c r="P74" s="253"/>
      <c r="Q74" s="253"/>
    </row>
    <row r="75" spans="1:17">
      <c r="A75" s="253"/>
      <c r="B75" s="253"/>
      <c r="C75" s="253"/>
      <c r="D75" s="253"/>
      <c r="E75" s="253"/>
      <c r="F75" s="253"/>
      <c r="G75" s="253"/>
      <c r="H75" s="253"/>
      <c r="I75" s="253"/>
      <c r="J75" s="253"/>
      <c r="K75" s="253"/>
      <c r="L75" s="253"/>
      <c r="M75" s="253"/>
      <c r="N75" s="253"/>
      <c r="O75" s="253"/>
      <c r="P75" s="253"/>
      <c r="Q75" s="253"/>
    </row>
    <row r="76" spans="1:17">
      <c r="A76" s="253"/>
      <c r="B76" s="253"/>
      <c r="C76" s="253"/>
      <c r="D76" s="253"/>
      <c r="E76" s="253"/>
      <c r="F76" s="253"/>
      <c r="G76" s="253"/>
      <c r="H76" s="253"/>
      <c r="I76" s="253"/>
      <c r="J76" s="253"/>
      <c r="K76" s="253"/>
      <c r="L76" s="253"/>
      <c r="M76" s="253"/>
      <c r="N76" s="253"/>
      <c r="O76" s="253"/>
      <c r="P76" s="253"/>
      <c r="Q76" s="253"/>
    </row>
    <row r="77" spans="1:17">
      <c r="A77" s="253"/>
      <c r="B77" s="253"/>
      <c r="C77" s="253"/>
      <c r="D77" s="253"/>
      <c r="E77" s="253"/>
      <c r="F77" s="253"/>
      <c r="G77" s="253"/>
      <c r="H77" s="253"/>
      <c r="I77" s="253"/>
      <c r="J77" s="253"/>
      <c r="K77" s="253"/>
      <c r="L77" s="253"/>
      <c r="M77" s="253"/>
      <c r="N77" s="253"/>
      <c r="O77" s="253"/>
      <c r="P77" s="253"/>
      <c r="Q77" s="253"/>
    </row>
    <row r="78" spans="1:17">
      <c r="A78" s="253"/>
      <c r="B78" s="253"/>
      <c r="C78" s="253"/>
      <c r="D78" s="253"/>
      <c r="E78" s="253"/>
      <c r="F78" s="253"/>
      <c r="G78" s="253"/>
      <c r="H78" s="253"/>
      <c r="I78" s="253"/>
      <c r="J78" s="253"/>
      <c r="K78" s="253"/>
      <c r="L78" s="253"/>
      <c r="M78" s="253"/>
      <c r="N78" s="253"/>
      <c r="O78" s="253"/>
      <c r="P78" s="253"/>
      <c r="Q78" s="253"/>
    </row>
    <row r="79" spans="1:17">
      <c r="A79" s="253"/>
      <c r="B79" s="253"/>
      <c r="C79" s="253"/>
      <c r="D79" s="253"/>
      <c r="E79" s="253"/>
      <c r="F79" s="253"/>
      <c r="G79" s="253"/>
      <c r="H79" s="253"/>
      <c r="I79" s="253"/>
      <c r="J79" s="253"/>
      <c r="K79" s="253"/>
      <c r="L79" s="253"/>
      <c r="M79" s="253"/>
      <c r="N79" s="253"/>
      <c r="O79" s="253"/>
      <c r="P79" s="253"/>
      <c r="Q79" s="253"/>
    </row>
    <row r="80" spans="1:17">
      <c r="A80" s="253"/>
      <c r="B80" s="253"/>
      <c r="C80" s="253"/>
      <c r="D80" s="253"/>
      <c r="E80" s="253"/>
      <c r="F80" s="253"/>
      <c r="G80" s="253"/>
      <c r="H80" s="253"/>
      <c r="I80" s="253"/>
      <c r="J80" s="253"/>
      <c r="K80" s="253"/>
      <c r="L80" s="253"/>
      <c r="M80" s="253"/>
      <c r="N80" s="253"/>
      <c r="O80" s="253"/>
      <c r="P80" s="253"/>
      <c r="Q80" s="253"/>
    </row>
    <row r="81" spans="1:19">
      <c r="A81" s="253"/>
      <c r="B81" s="253"/>
      <c r="C81" s="253"/>
      <c r="D81" s="253"/>
      <c r="E81" s="253"/>
      <c r="F81" s="253"/>
      <c r="G81" s="253"/>
      <c r="H81" s="253"/>
      <c r="I81" s="253"/>
      <c r="J81" s="253"/>
      <c r="K81" s="253"/>
      <c r="L81" s="253"/>
      <c r="M81" s="253"/>
      <c r="N81" s="253"/>
      <c r="O81" s="253"/>
      <c r="P81" s="253"/>
      <c r="Q81" s="253"/>
    </row>
    <row r="82" spans="1:19">
      <c r="A82" s="253"/>
      <c r="B82" s="253"/>
      <c r="C82" s="253"/>
      <c r="D82" s="253"/>
      <c r="E82" s="253"/>
      <c r="F82" s="253"/>
      <c r="G82" s="253"/>
      <c r="H82" s="253"/>
      <c r="I82" s="253"/>
      <c r="J82" s="253"/>
      <c r="K82" s="253"/>
      <c r="L82" s="253"/>
      <c r="M82" s="253"/>
      <c r="N82" s="253"/>
      <c r="O82" s="253"/>
      <c r="P82" s="253"/>
      <c r="Q82" s="253"/>
    </row>
    <row r="83" spans="1:19">
      <c r="A83" s="253"/>
      <c r="B83" s="253"/>
      <c r="C83" s="253"/>
      <c r="D83" s="253"/>
      <c r="E83" s="253"/>
      <c r="F83" s="253"/>
      <c r="G83" s="253"/>
      <c r="H83" s="253"/>
      <c r="I83" s="253"/>
      <c r="J83" s="253"/>
      <c r="K83" s="253"/>
      <c r="L83" s="253"/>
      <c r="M83" s="253"/>
      <c r="N83" s="253"/>
      <c r="O83" s="253"/>
      <c r="P83" s="253"/>
      <c r="Q83" s="253"/>
    </row>
    <row r="84" spans="1:19">
      <c r="A84" s="253"/>
      <c r="B84" s="253"/>
      <c r="C84" s="253"/>
      <c r="D84" s="253"/>
      <c r="E84" s="253"/>
      <c r="F84" s="253"/>
      <c r="G84" s="253"/>
      <c r="H84" s="253"/>
      <c r="I84" s="253"/>
      <c r="J84" s="253"/>
      <c r="K84" s="253"/>
      <c r="L84" s="253"/>
      <c r="M84" s="253"/>
      <c r="N84" s="253"/>
      <c r="O84" s="253"/>
      <c r="P84" s="253"/>
      <c r="Q84" s="253"/>
    </row>
    <row r="85" spans="1:19">
      <c r="A85" s="253"/>
      <c r="B85" s="253"/>
      <c r="C85" s="253"/>
      <c r="D85" s="253"/>
      <c r="E85" s="253"/>
      <c r="F85" s="253"/>
      <c r="G85" s="253"/>
      <c r="H85" s="253"/>
      <c r="I85" s="253"/>
      <c r="J85" s="253"/>
      <c r="K85" s="253"/>
      <c r="L85" s="253"/>
      <c r="M85" s="253"/>
      <c r="N85" s="253"/>
      <c r="O85" s="253"/>
      <c r="P85" s="253"/>
      <c r="Q85" s="253"/>
    </row>
    <row r="86" spans="1:19">
      <c r="A86" s="253"/>
      <c r="B86" s="253"/>
      <c r="C86" s="253"/>
      <c r="D86" s="253"/>
      <c r="E86" s="257"/>
      <c r="F86" s="257"/>
      <c r="G86" s="257"/>
      <c r="H86" s="257"/>
      <c r="I86" s="257"/>
      <c r="J86" s="257"/>
      <c r="K86" s="257"/>
      <c r="L86" s="257"/>
      <c r="M86" s="257"/>
      <c r="N86" s="257"/>
      <c r="O86" s="257"/>
      <c r="P86" s="257"/>
      <c r="Q86" s="257"/>
      <c r="R86" s="258"/>
      <c r="S86" s="258"/>
    </row>
    <row r="87" spans="1:19">
      <c r="A87" s="253"/>
      <c r="B87" s="253"/>
      <c r="C87" s="253"/>
      <c r="D87" s="253"/>
      <c r="E87" s="257"/>
      <c r="F87" s="257"/>
      <c r="G87" s="257"/>
      <c r="H87" s="257"/>
      <c r="I87" s="257"/>
      <c r="J87" s="257"/>
      <c r="K87" s="257"/>
      <c r="L87" s="257"/>
      <c r="M87" s="257"/>
      <c r="N87" s="257"/>
      <c r="O87" s="257"/>
      <c r="P87" s="257"/>
      <c r="Q87" s="257"/>
      <c r="R87" s="258"/>
      <c r="S87" s="258"/>
    </row>
    <row r="88" spans="1:19">
      <c r="A88" s="253"/>
      <c r="B88" s="253"/>
      <c r="C88" s="253"/>
      <c r="D88" s="253"/>
      <c r="E88" s="257"/>
      <c r="F88" s="257"/>
      <c r="G88" s="257"/>
      <c r="H88" s="257"/>
      <c r="I88" s="257"/>
      <c r="J88" s="257"/>
      <c r="K88" s="257"/>
      <c r="L88" s="257"/>
      <c r="M88" s="257"/>
      <c r="N88" s="257"/>
      <c r="O88" s="257"/>
      <c r="P88" s="257"/>
      <c r="Q88" s="257"/>
      <c r="R88" s="258"/>
      <c r="S88" s="258"/>
    </row>
    <row r="89" spans="1:19">
      <c r="A89" s="253"/>
      <c r="B89" s="253"/>
      <c r="C89" s="253"/>
      <c r="D89" s="253"/>
      <c r="E89" s="257"/>
      <c r="F89" s="257"/>
      <c r="G89" s="257"/>
      <c r="H89" s="257"/>
      <c r="I89" s="257"/>
      <c r="J89" s="257"/>
      <c r="K89" s="257"/>
      <c r="L89" s="257"/>
      <c r="M89" s="257"/>
      <c r="N89" s="257"/>
      <c r="O89" s="257"/>
      <c r="P89" s="257"/>
      <c r="Q89" s="257"/>
      <c r="R89" s="258"/>
      <c r="S89" s="258"/>
    </row>
    <row r="90" spans="1:19">
      <c r="A90" s="253"/>
      <c r="B90" s="253"/>
      <c r="C90" s="253"/>
      <c r="D90" s="253"/>
      <c r="E90" s="257"/>
      <c r="F90" s="257"/>
      <c r="G90" s="257"/>
      <c r="H90" s="257"/>
      <c r="I90" s="257"/>
      <c r="J90" s="257"/>
      <c r="K90" s="257"/>
      <c r="L90" s="257"/>
      <c r="M90" s="257"/>
      <c r="N90" s="257"/>
      <c r="O90" s="257"/>
      <c r="P90" s="257"/>
      <c r="Q90" s="257"/>
      <c r="R90" s="258"/>
      <c r="S90" s="258"/>
    </row>
    <row r="91" spans="1:19">
      <c r="A91" s="253"/>
      <c r="B91" s="253"/>
      <c r="C91" s="253"/>
      <c r="D91" s="253"/>
      <c r="E91" s="257"/>
      <c r="F91" s="257"/>
      <c r="G91" s="257"/>
      <c r="H91" s="257"/>
      <c r="I91" s="257"/>
      <c r="J91" s="257"/>
      <c r="K91" s="257"/>
      <c r="L91" s="257"/>
      <c r="M91" s="257"/>
      <c r="N91" s="257"/>
      <c r="O91" s="257"/>
      <c r="P91" s="257"/>
      <c r="Q91" s="257"/>
      <c r="R91" s="258"/>
      <c r="S91" s="258"/>
    </row>
    <row r="92" spans="1:19">
      <c r="A92" s="253"/>
      <c r="B92" s="253"/>
      <c r="C92" s="253"/>
      <c r="D92" s="253"/>
      <c r="E92" s="257"/>
      <c r="F92" s="257"/>
      <c r="G92" s="257"/>
      <c r="H92" s="257"/>
      <c r="I92" s="257"/>
      <c r="J92" s="257"/>
      <c r="K92" s="257"/>
      <c r="L92" s="257"/>
      <c r="M92" s="257"/>
      <c r="N92" s="257"/>
      <c r="O92" s="257"/>
      <c r="P92" s="257"/>
      <c r="Q92" s="257"/>
      <c r="R92" s="258"/>
      <c r="S92" s="258"/>
    </row>
    <row r="93" spans="1:19">
      <c r="A93" s="253"/>
      <c r="B93" s="253"/>
      <c r="C93" s="253"/>
      <c r="D93" s="253"/>
      <c r="E93" s="257"/>
      <c r="F93" s="257"/>
      <c r="G93" s="257"/>
      <c r="H93" s="257"/>
      <c r="I93" s="257"/>
      <c r="J93" s="257"/>
      <c r="K93" s="257"/>
      <c r="L93" s="257"/>
      <c r="M93" s="257"/>
      <c r="N93" s="257"/>
      <c r="O93" s="257"/>
      <c r="P93" s="257"/>
      <c r="Q93" s="257"/>
      <c r="R93" s="258"/>
      <c r="S93" s="258"/>
    </row>
    <row r="94" spans="1:19">
      <c r="A94" s="253"/>
      <c r="B94" s="253"/>
      <c r="C94" s="253"/>
      <c r="D94" s="253"/>
      <c r="E94" s="257"/>
      <c r="F94" s="257"/>
      <c r="G94" s="257"/>
      <c r="H94" s="257"/>
      <c r="I94" s="257"/>
      <c r="J94" s="257"/>
      <c r="K94" s="257"/>
      <c r="L94" s="257"/>
      <c r="M94" s="257"/>
      <c r="N94" s="257"/>
      <c r="O94" s="257"/>
      <c r="P94" s="257"/>
      <c r="Q94" s="257"/>
      <c r="R94" s="258"/>
      <c r="S94" s="258"/>
    </row>
    <row r="95" spans="1:19">
      <c r="A95" s="253"/>
      <c r="B95" s="253"/>
      <c r="C95" s="253"/>
      <c r="D95" s="253"/>
      <c r="E95" s="257"/>
      <c r="F95" s="257"/>
      <c r="G95" s="257"/>
      <c r="H95" s="257"/>
      <c r="I95" s="257"/>
      <c r="J95" s="257"/>
      <c r="K95" s="257"/>
      <c r="L95" s="257"/>
      <c r="M95" s="257"/>
      <c r="N95" s="257"/>
      <c r="O95" s="257"/>
      <c r="P95" s="257"/>
      <c r="Q95" s="257"/>
      <c r="R95" s="258"/>
      <c r="S95" s="258"/>
    </row>
    <row r="96" spans="1:19">
      <c r="A96" s="253"/>
      <c r="B96" s="253"/>
      <c r="C96" s="253"/>
      <c r="D96" s="253"/>
      <c r="E96" s="257"/>
      <c r="F96" s="257"/>
      <c r="G96" s="257"/>
      <c r="H96" s="237"/>
      <c r="I96" s="259"/>
      <c r="J96" s="260"/>
      <c r="K96" s="260"/>
      <c r="L96" s="260"/>
      <c r="M96" s="260"/>
      <c r="N96" s="260"/>
      <c r="O96" s="260"/>
      <c r="P96" s="260"/>
      <c r="Q96" s="260"/>
      <c r="R96" s="258"/>
      <c r="S96" s="258"/>
    </row>
    <row r="97" spans="1:19">
      <c r="A97" s="253"/>
      <c r="B97" s="253"/>
      <c r="C97" s="253"/>
      <c r="D97" s="253"/>
      <c r="E97" s="257"/>
      <c r="F97" s="257"/>
      <c r="G97" s="257"/>
      <c r="H97" s="237"/>
      <c r="I97" s="259"/>
      <c r="J97" s="260"/>
      <c r="K97" s="261"/>
      <c r="L97" s="260"/>
      <c r="M97" s="260"/>
      <c r="N97" s="260"/>
      <c r="O97" s="260"/>
      <c r="P97" s="260"/>
      <c r="Q97" s="260"/>
      <c r="R97" s="258"/>
      <c r="S97" s="258"/>
    </row>
    <row r="98" spans="1:19">
      <c r="A98" s="253"/>
      <c r="B98" s="253"/>
      <c r="C98" s="253"/>
      <c r="D98" s="253"/>
      <c r="E98" s="257"/>
      <c r="F98" s="257"/>
      <c r="G98" s="257"/>
      <c r="H98" s="237"/>
      <c r="I98" s="259"/>
      <c r="J98" s="260"/>
      <c r="K98" s="261"/>
      <c r="L98" s="260"/>
      <c r="M98" s="260"/>
      <c r="N98" s="260"/>
      <c r="O98" s="260"/>
      <c r="P98" s="260"/>
      <c r="Q98" s="260"/>
      <c r="R98" s="258"/>
      <c r="S98" s="258"/>
    </row>
    <row r="99" spans="1:19">
      <c r="A99" s="253"/>
      <c r="B99" s="253"/>
      <c r="C99" s="253"/>
      <c r="D99" s="253"/>
      <c r="E99" s="257"/>
      <c r="F99" s="257"/>
      <c r="G99" s="257"/>
      <c r="H99" s="237"/>
      <c r="I99" s="259"/>
      <c r="J99" s="260"/>
      <c r="K99" s="261"/>
      <c r="L99" s="260"/>
      <c r="M99" s="260"/>
      <c r="N99" s="260"/>
      <c r="O99" s="260"/>
      <c r="P99" s="260"/>
      <c r="Q99" s="260"/>
      <c r="R99" s="258"/>
      <c r="S99" s="258"/>
    </row>
    <row r="100" spans="1:19">
      <c r="A100" s="253"/>
      <c r="B100" s="253"/>
      <c r="C100" s="253"/>
      <c r="D100" s="253"/>
      <c r="E100" s="257"/>
      <c r="F100" s="257"/>
      <c r="G100" s="257"/>
      <c r="H100" s="237"/>
      <c r="I100" s="259"/>
      <c r="J100" s="260"/>
      <c r="K100" s="261"/>
      <c r="L100" s="260"/>
      <c r="M100" s="260"/>
      <c r="N100" s="260"/>
      <c r="O100" s="260"/>
      <c r="P100" s="260"/>
      <c r="Q100" s="260"/>
      <c r="R100" s="258"/>
      <c r="S100" s="258"/>
    </row>
    <row r="101" spans="1:19">
      <c r="A101" s="253"/>
      <c r="B101" s="253"/>
      <c r="C101" s="253"/>
      <c r="D101" s="253"/>
      <c r="E101" s="257"/>
      <c r="F101" s="257"/>
      <c r="G101" s="257"/>
      <c r="H101" s="237"/>
      <c r="I101" s="259"/>
      <c r="J101" s="260"/>
      <c r="K101" s="261"/>
      <c r="L101" s="260"/>
      <c r="M101" s="260"/>
      <c r="N101" s="260"/>
      <c r="O101" s="260"/>
      <c r="P101" s="260"/>
      <c r="Q101" s="260"/>
      <c r="R101" s="258"/>
      <c r="S101" s="258"/>
    </row>
    <row r="102" spans="1:19">
      <c r="A102" s="253"/>
      <c r="B102" s="253"/>
      <c r="C102" s="253"/>
      <c r="D102" s="253"/>
      <c r="E102" s="257"/>
      <c r="F102" s="257"/>
      <c r="G102" s="257"/>
      <c r="H102" s="237"/>
      <c r="I102" s="259"/>
      <c r="J102" s="260"/>
      <c r="K102" s="261"/>
      <c r="L102" s="260"/>
      <c r="M102" s="260"/>
      <c r="N102" s="260"/>
      <c r="O102" s="260"/>
      <c r="P102" s="260"/>
      <c r="Q102" s="260"/>
      <c r="R102" s="258"/>
      <c r="S102" s="258"/>
    </row>
    <row r="103" spans="1:19">
      <c r="A103" s="253"/>
      <c r="B103" s="253"/>
      <c r="C103" s="253"/>
      <c r="D103" s="253"/>
      <c r="E103" s="257"/>
      <c r="F103" s="257"/>
      <c r="G103" s="257"/>
      <c r="H103" s="237"/>
      <c r="I103" s="259"/>
      <c r="J103" s="260"/>
      <c r="K103" s="261"/>
      <c r="L103" s="260"/>
      <c r="M103" s="260"/>
      <c r="N103" s="260"/>
      <c r="O103" s="260"/>
      <c r="P103" s="260"/>
      <c r="Q103" s="260"/>
      <c r="R103" s="258"/>
      <c r="S103" s="258"/>
    </row>
    <row r="104" spans="1:19">
      <c r="A104" s="253"/>
      <c r="B104" s="253"/>
      <c r="C104" s="253"/>
      <c r="D104" s="253"/>
      <c r="E104" s="257"/>
      <c r="F104" s="257"/>
      <c r="G104" s="257"/>
      <c r="H104" s="237"/>
      <c r="I104" s="259"/>
      <c r="J104" s="260"/>
      <c r="K104" s="261"/>
      <c r="L104" s="260"/>
      <c r="M104" s="260"/>
      <c r="N104" s="260"/>
      <c r="O104" s="260"/>
      <c r="P104" s="260"/>
      <c r="Q104" s="260"/>
      <c r="R104" s="258"/>
      <c r="S104" s="258"/>
    </row>
    <row r="105" spans="1:19">
      <c r="A105" s="253"/>
      <c r="B105" s="253"/>
      <c r="C105" s="253"/>
      <c r="D105" s="253"/>
      <c r="E105" s="257"/>
      <c r="F105" s="257"/>
      <c r="G105" s="257"/>
      <c r="H105" s="237"/>
      <c r="I105" s="259"/>
      <c r="J105" s="260"/>
      <c r="K105" s="261"/>
      <c r="L105" s="260"/>
      <c r="M105" s="260"/>
      <c r="N105" s="260"/>
      <c r="O105" s="260"/>
      <c r="P105" s="260"/>
      <c r="Q105" s="260"/>
      <c r="R105" s="258"/>
      <c r="S105" s="258"/>
    </row>
    <row r="106" spans="1:19">
      <c r="A106" s="253"/>
      <c r="B106" s="253"/>
      <c r="C106" s="253"/>
      <c r="D106" s="253"/>
      <c r="E106" s="257"/>
      <c r="F106" s="257"/>
      <c r="G106" s="257"/>
      <c r="H106" s="237"/>
      <c r="I106" s="259"/>
      <c r="J106" s="260"/>
      <c r="K106" s="261"/>
      <c r="L106" s="260"/>
      <c r="M106" s="260"/>
      <c r="N106" s="260"/>
      <c r="O106" s="260"/>
      <c r="P106" s="260"/>
      <c r="Q106" s="260"/>
      <c r="R106" s="258"/>
      <c r="S106" s="258"/>
    </row>
    <row r="107" spans="1:19">
      <c r="A107" s="253"/>
      <c r="B107" s="253"/>
      <c r="C107" s="253"/>
      <c r="D107" s="253"/>
      <c r="E107" s="257"/>
      <c r="F107" s="257"/>
      <c r="G107" s="257"/>
      <c r="H107" s="237"/>
      <c r="I107" s="259"/>
      <c r="J107" s="260"/>
      <c r="K107" s="261"/>
      <c r="L107" s="260"/>
      <c r="M107" s="260"/>
      <c r="N107" s="260"/>
      <c r="O107" s="260"/>
      <c r="P107" s="260"/>
      <c r="Q107" s="260"/>
      <c r="R107" s="258"/>
      <c r="S107" s="258"/>
    </row>
    <row r="108" spans="1:19">
      <c r="A108" s="253"/>
      <c r="B108" s="253"/>
      <c r="C108" s="253"/>
      <c r="D108" s="253"/>
      <c r="E108" s="257"/>
      <c r="F108" s="257"/>
      <c r="G108" s="257"/>
      <c r="H108" s="237"/>
      <c r="I108" s="259"/>
      <c r="J108" s="260"/>
      <c r="K108" s="261"/>
      <c r="L108" s="260"/>
      <c r="M108" s="260"/>
      <c r="N108" s="260"/>
      <c r="O108" s="260"/>
      <c r="P108" s="260"/>
      <c r="Q108" s="260"/>
      <c r="R108" s="258"/>
      <c r="S108" s="258"/>
    </row>
    <row r="109" spans="1:19">
      <c r="A109" s="253"/>
      <c r="B109" s="253"/>
      <c r="C109" s="253"/>
      <c r="D109" s="253"/>
      <c r="E109" s="257"/>
      <c r="F109" s="257"/>
      <c r="G109" s="257"/>
      <c r="H109" s="237"/>
      <c r="I109" s="259"/>
      <c r="J109" s="260"/>
      <c r="K109" s="261"/>
      <c r="L109" s="260"/>
      <c r="M109" s="260"/>
      <c r="N109" s="260"/>
      <c r="O109" s="260"/>
      <c r="P109" s="260"/>
      <c r="Q109" s="260"/>
      <c r="R109" s="258"/>
      <c r="S109" s="258"/>
    </row>
    <row r="110" spans="1:19">
      <c r="A110" s="253"/>
      <c r="B110" s="253"/>
      <c r="C110" s="253"/>
      <c r="D110" s="253"/>
      <c r="E110" s="257"/>
      <c r="F110" s="257"/>
      <c r="G110" s="257"/>
      <c r="H110" s="257"/>
      <c r="I110" s="257"/>
      <c r="J110" s="257"/>
      <c r="K110" s="257"/>
      <c r="L110" s="257"/>
      <c r="M110" s="257"/>
      <c r="N110" s="257"/>
      <c r="O110" s="257"/>
      <c r="P110" s="257"/>
      <c r="Q110" s="257"/>
      <c r="R110" s="258"/>
      <c r="S110" s="258"/>
    </row>
    <row r="111" spans="1:19">
      <c r="A111" s="253"/>
      <c r="B111" s="253"/>
      <c r="C111" s="253"/>
      <c r="D111" s="253"/>
      <c r="E111" s="257"/>
      <c r="F111" s="257"/>
      <c r="G111" s="257"/>
      <c r="H111" s="257"/>
      <c r="I111" s="257"/>
      <c r="J111" s="257"/>
      <c r="K111" s="257"/>
      <c r="L111" s="257"/>
      <c r="M111" s="257"/>
      <c r="N111" s="257"/>
      <c r="O111" s="257"/>
      <c r="P111" s="257"/>
      <c r="Q111" s="257"/>
      <c r="R111" s="258"/>
      <c r="S111" s="258"/>
    </row>
    <row r="112" spans="1:19">
      <c r="A112" s="253"/>
      <c r="B112" s="253"/>
      <c r="C112" s="253"/>
      <c r="D112" s="253"/>
      <c r="E112" s="257"/>
      <c r="F112" s="257"/>
      <c r="G112" s="257"/>
      <c r="H112" s="257"/>
      <c r="I112" s="257"/>
      <c r="J112" s="257"/>
      <c r="K112" s="257"/>
      <c r="L112" s="257"/>
      <c r="M112" s="257"/>
      <c r="N112" s="257"/>
      <c r="O112" s="257"/>
      <c r="P112" s="257"/>
      <c r="Q112" s="257"/>
      <c r="R112" s="258"/>
      <c r="S112" s="258"/>
    </row>
    <row r="113" spans="1:19">
      <c r="A113" s="253"/>
      <c r="B113" s="253"/>
      <c r="C113" s="253"/>
      <c r="D113" s="253"/>
      <c r="E113" s="257"/>
      <c r="F113" s="257"/>
      <c r="G113" s="257"/>
      <c r="H113" s="257"/>
      <c r="I113" s="257"/>
      <c r="J113" s="257"/>
      <c r="K113" s="257"/>
      <c r="L113" s="257"/>
      <c r="M113" s="257"/>
      <c r="N113" s="257"/>
      <c r="O113" s="257"/>
      <c r="P113" s="257"/>
      <c r="Q113" s="257"/>
      <c r="R113" s="258"/>
      <c r="S113" s="258"/>
    </row>
    <row r="114" spans="1:19">
      <c r="A114" s="253"/>
      <c r="B114" s="253"/>
      <c r="C114" s="253"/>
      <c r="D114" s="253"/>
      <c r="E114" s="257"/>
      <c r="F114" s="257"/>
      <c r="G114" s="257"/>
      <c r="H114" s="257"/>
      <c r="I114" s="257"/>
      <c r="J114" s="257"/>
      <c r="K114" s="257"/>
      <c r="L114" s="257"/>
      <c r="M114" s="257"/>
      <c r="N114" s="257"/>
      <c r="O114" s="257"/>
      <c r="P114" s="257"/>
      <c r="Q114" s="257"/>
      <c r="R114" s="258"/>
      <c r="S114" s="258"/>
    </row>
    <row r="115" spans="1:19">
      <c r="A115" s="253"/>
      <c r="B115" s="253"/>
      <c r="C115" s="253"/>
      <c r="D115" s="253"/>
      <c r="E115" s="257"/>
      <c r="F115" s="257"/>
      <c r="G115" s="257"/>
      <c r="H115" s="257"/>
      <c r="I115" s="257"/>
      <c r="J115" s="257"/>
      <c r="K115" s="257"/>
      <c r="L115" s="257"/>
      <c r="M115" s="257"/>
      <c r="N115" s="257"/>
      <c r="O115" s="257"/>
      <c r="P115" s="257"/>
      <c r="Q115" s="257"/>
      <c r="R115" s="258"/>
      <c r="S115" s="258"/>
    </row>
    <row r="116" spans="1:19">
      <c r="A116" s="253"/>
      <c r="B116" s="253"/>
      <c r="C116" s="253"/>
      <c r="D116" s="253"/>
      <c r="E116" s="257"/>
      <c r="F116" s="257"/>
      <c r="G116" s="257"/>
      <c r="H116" s="257"/>
      <c r="I116" s="257"/>
      <c r="J116" s="257"/>
      <c r="K116" s="257"/>
      <c r="L116" s="257"/>
      <c r="M116" s="257"/>
      <c r="N116" s="257"/>
      <c r="O116" s="257"/>
      <c r="P116" s="257"/>
      <c r="Q116" s="257"/>
      <c r="R116" s="258"/>
      <c r="S116" s="258"/>
    </row>
    <row r="117" spans="1:19">
      <c r="A117" s="253"/>
      <c r="B117" s="253"/>
      <c r="C117" s="253"/>
      <c r="D117" s="253"/>
      <c r="E117" s="257"/>
      <c r="F117" s="257"/>
      <c r="G117" s="257"/>
      <c r="H117" s="257"/>
      <c r="I117" s="257"/>
      <c r="J117" s="257"/>
      <c r="K117" s="257"/>
      <c r="L117" s="257"/>
      <c r="M117" s="257"/>
      <c r="N117" s="257"/>
      <c r="O117" s="257"/>
      <c r="P117" s="257"/>
      <c r="Q117" s="257"/>
      <c r="R117" s="258"/>
      <c r="S117" s="258"/>
    </row>
    <row r="118" spans="1:19">
      <c r="A118" s="253"/>
      <c r="B118" s="253"/>
      <c r="C118" s="253"/>
      <c r="D118" s="253"/>
      <c r="E118" s="257"/>
      <c r="F118" s="257"/>
      <c r="G118" s="257"/>
      <c r="H118" s="257"/>
      <c r="I118" s="257"/>
      <c r="J118" s="257"/>
      <c r="K118" s="257"/>
      <c r="L118" s="257"/>
      <c r="M118" s="257"/>
      <c r="N118" s="257"/>
      <c r="O118" s="257"/>
      <c r="P118" s="257"/>
      <c r="Q118" s="257"/>
      <c r="R118" s="258"/>
      <c r="S118" s="258"/>
    </row>
    <row r="119" spans="1:19">
      <c r="A119" s="253"/>
      <c r="B119" s="253"/>
      <c r="C119" s="253"/>
      <c r="D119" s="253"/>
      <c r="E119" s="257"/>
      <c r="F119" s="257"/>
      <c r="G119" s="257"/>
      <c r="H119" s="257"/>
      <c r="I119" s="257"/>
      <c r="J119" s="257"/>
      <c r="K119" s="257"/>
      <c r="L119" s="257"/>
      <c r="M119" s="257"/>
      <c r="N119" s="257"/>
      <c r="O119" s="257"/>
      <c r="P119" s="257"/>
      <c r="Q119" s="257"/>
      <c r="R119" s="258"/>
      <c r="S119" s="258"/>
    </row>
    <row r="120" spans="1:19">
      <c r="A120" s="253"/>
      <c r="B120" s="253"/>
      <c r="C120" s="253"/>
      <c r="D120" s="253"/>
      <c r="E120" s="257"/>
      <c r="F120" s="257"/>
      <c r="G120" s="257"/>
      <c r="H120" s="257"/>
      <c r="I120" s="257"/>
      <c r="J120" s="257"/>
      <c r="K120" s="257"/>
      <c r="L120" s="257"/>
      <c r="M120" s="257"/>
      <c r="N120" s="257"/>
      <c r="O120" s="257"/>
      <c r="P120" s="257"/>
      <c r="Q120" s="257"/>
      <c r="R120" s="258"/>
      <c r="S120" s="258"/>
    </row>
    <row r="121" spans="1:19">
      <c r="A121" s="253"/>
      <c r="B121" s="253"/>
      <c r="C121" s="253"/>
      <c r="D121" s="253"/>
      <c r="E121" s="257"/>
      <c r="F121" s="257"/>
      <c r="G121" s="257"/>
      <c r="H121" s="257"/>
      <c r="I121" s="257"/>
      <c r="J121" s="257"/>
      <c r="K121" s="257"/>
      <c r="L121" s="257"/>
      <c r="M121" s="257"/>
      <c r="N121" s="257"/>
      <c r="O121" s="257"/>
      <c r="P121" s="257"/>
      <c r="Q121" s="257"/>
      <c r="R121" s="258"/>
      <c r="S121" s="258"/>
    </row>
    <row r="122" spans="1:19">
      <c r="A122" s="253"/>
      <c r="B122" s="253"/>
      <c r="C122" s="253"/>
      <c r="D122" s="253"/>
      <c r="E122" s="257"/>
      <c r="F122" s="257"/>
      <c r="G122" s="257"/>
      <c r="H122" s="257"/>
      <c r="I122" s="257"/>
      <c r="J122" s="257"/>
      <c r="K122" s="257"/>
      <c r="L122" s="257"/>
      <c r="M122" s="257"/>
      <c r="N122" s="257"/>
      <c r="O122" s="257"/>
      <c r="P122" s="257"/>
      <c r="Q122" s="257"/>
      <c r="R122" s="258"/>
      <c r="S122" s="258"/>
    </row>
    <row r="123" spans="1:19">
      <c r="A123" s="253"/>
      <c r="B123" s="253"/>
      <c r="C123" s="253"/>
      <c r="D123" s="253"/>
      <c r="E123" s="257"/>
      <c r="F123" s="257"/>
      <c r="G123" s="257"/>
      <c r="H123" s="257"/>
      <c r="I123" s="257"/>
      <c r="J123" s="257"/>
      <c r="K123" s="257"/>
      <c r="L123" s="257"/>
      <c r="M123" s="257"/>
      <c r="N123" s="257"/>
      <c r="O123" s="257"/>
      <c r="P123" s="257"/>
      <c r="Q123" s="257"/>
      <c r="R123" s="258"/>
      <c r="S123" s="258"/>
    </row>
    <row r="124" spans="1:19">
      <c r="A124" s="253"/>
      <c r="B124" s="253"/>
      <c r="C124" s="253"/>
      <c r="D124" s="253"/>
      <c r="E124" s="257"/>
      <c r="F124" s="257"/>
      <c r="G124" s="257"/>
      <c r="H124" s="257"/>
      <c r="I124" s="257"/>
      <c r="J124" s="257"/>
      <c r="K124" s="257"/>
      <c r="L124" s="257"/>
      <c r="M124" s="257"/>
      <c r="N124" s="257"/>
      <c r="O124" s="257"/>
      <c r="P124" s="257"/>
      <c r="Q124" s="257"/>
      <c r="R124" s="258"/>
      <c r="S124" s="258"/>
    </row>
    <row r="125" spans="1:19">
      <c r="A125" s="253"/>
      <c r="B125" s="253"/>
      <c r="C125" s="253"/>
      <c r="D125" s="253"/>
      <c r="E125" s="257"/>
      <c r="F125" s="257"/>
      <c r="G125" s="257"/>
      <c r="H125" s="257"/>
      <c r="I125" s="257"/>
      <c r="J125" s="257"/>
      <c r="K125" s="257"/>
      <c r="L125" s="257"/>
      <c r="M125" s="257"/>
      <c r="N125" s="257"/>
      <c r="O125" s="257"/>
      <c r="P125" s="257"/>
      <c r="Q125" s="257"/>
      <c r="R125" s="258"/>
      <c r="S125" s="258"/>
    </row>
    <row r="126" spans="1:19">
      <c r="A126" s="253"/>
      <c r="B126" s="253"/>
      <c r="C126" s="253"/>
      <c r="D126" s="253"/>
      <c r="E126" s="257"/>
      <c r="F126" s="257"/>
      <c r="G126" s="257"/>
      <c r="H126" s="257"/>
      <c r="I126" s="257"/>
      <c r="J126" s="257"/>
      <c r="K126" s="257"/>
      <c r="L126" s="257"/>
      <c r="M126" s="257"/>
      <c r="N126" s="257"/>
      <c r="O126" s="257"/>
      <c r="P126" s="257"/>
      <c r="Q126" s="257"/>
      <c r="R126" s="258"/>
      <c r="S126" s="258"/>
    </row>
    <row r="127" spans="1:19">
      <c r="A127" s="253"/>
      <c r="B127" s="253"/>
      <c r="C127" s="253"/>
      <c r="D127" s="253"/>
      <c r="E127" s="257"/>
      <c r="F127" s="257"/>
      <c r="G127" s="257"/>
      <c r="H127" s="257"/>
      <c r="I127" s="257"/>
      <c r="J127" s="257"/>
      <c r="K127" s="257"/>
      <c r="L127" s="257"/>
      <c r="M127" s="257"/>
      <c r="N127" s="257"/>
      <c r="O127" s="257"/>
      <c r="P127" s="257"/>
      <c r="Q127" s="257"/>
      <c r="R127" s="258"/>
      <c r="S127" s="258"/>
    </row>
    <row r="128" spans="1:19">
      <c r="A128" s="253"/>
      <c r="B128" s="253"/>
      <c r="C128" s="253"/>
      <c r="D128" s="253"/>
      <c r="E128" s="257"/>
      <c r="F128" s="257"/>
      <c r="G128" s="257"/>
      <c r="H128" s="257"/>
      <c r="I128" s="257"/>
      <c r="J128" s="257"/>
      <c r="K128" s="257"/>
      <c r="L128" s="257"/>
      <c r="M128" s="257"/>
      <c r="N128" s="257"/>
      <c r="O128" s="257"/>
      <c r="P128" s="257"/>
      <c r="Q128" s="257"/>
      <c r="R128" s="258"/>
      <c r="S128" s="258"/>
    </row>
    <row r="129" spans="1:19">
      <c r="A129" s="253"/>
      <c r="B129" s="253"/>
      <c r="C129" s="253"/>
      <c r="D129" s="253"/>
      <c r="E129" s="257"/>
      <c r="F129" s="257"/>
      <c r="G129" s="257"/>
      <c r="H129" s="257"/>
      <c r="I129" s="257"/>
      <c r="J129" s="257"/>
      <c r="K129" s="257"/>
      <c r="L129" s="257"/>
      <c r="M129" s="257"/>
      <c r="N129" s="257"/>
      <c r="O129" s="257"/>
      <c r="P129" s="257"/>
      <c r="Q129" s="257"/>
      <c r="R129" s="258"/>
      <c r="S129" s="258"/>
    </row>
    <row r="130" spans="1:19">
      <c r="A130" s="253"/>
      <c r="B130" s="253"/>
      <c r="C130" s="253"/>
      <c r="D130" s="253"/>
      <c r="E130" s="257"/>
      <c r="F130" s="257"/>
      <c r="G130" s="257"/>
      <c r="H130" s="257"/>
      <c r="I130" s="257"/>
      <c r="J130" s="257"/>
      <c r="K130" s="257"/>
      <c r="L130" s="257"/>
      <c r="M130" s="257"/>
      <c r="N130" s="257"/>
      <c r="O130" s="257"/>
      <c r="P130" s="257"/>
      <c r="Q130" s="257"/>
      <c r="R130" s="258"/>
      <c r="S130" s="258"/>
    </row>
    <row r="131" spans="1:19">
      <c r="A131" s="253"/>
      <c r="B131" s="253"/>
      <c r="C131" s="253"/>
      <c r="D131" s="253"/>
      <c r="E131" s="257"/>
      <c r="F131" s="257"/>
      <c r="G131" s="257"/>
      <c r="H131" s="257"/>
      <c r="I131" s="257"/>
      <c r="J131" s="257"/>
      <c r="K131" s="257"/>
      <c r="L131" s="257"/>
      <c r="M131" s="257"/>
      <c r="N131" s="257"/>
      <c r="O131" s="257"/>
      <c r="P131" s="257"/>
      <c r="Q131" s="257"/>
      <c r="R131" s="258"/>
      <c r="S131" s="258"/>
    </row>
    <row r="132" spans="1:19">
      <c r="A132" s="253"/>
      <c r="B132" s="253"/>
      <c r="C132" s="253"/>
      <c r="D132" s="253"/>
      <c r="E132" s="257"/>
      <c r="F132" s="257"/>
      <c r="G132" s="257"/>
      <c r="H132" s="257"/>
      <c r="I132" s="257"/>
      <c r="J132" s="257"/>
      <c r="K132" s="257"/>
      <c r="L132" s="257"/>
      <c r="M132" s="257"/>
      <c r="N132" s="257"/>
      <c r="O132" s="257"/>
      <c r="P132" s="257"/>
      <c r="Q132" s="257"/>
      <c r="R132" s="258"/>
      <c r="S132" s="258"/>
    </row>
    <row r="133" spans="1:19">
      <c r="A133" s="253"/>
      <c r="B133" s="253"/>
      <c r="C133" s="253"/>
      <c r="D133" s="253"/>
      <c r="E133" s="257"/>
      <c r="F133" s="257"/>
      <c r="G133" s="257"/>
      <c r="H133" s="257"/>
      <c r="I133" s="257"/>
      <c r="J133" s="257"/>
      <c r="K133" s="257"/>
      <c r="L133" s="257"/>
      <c r="M133" s="257"/>
      <c r="N133" s="257"/>
      <c r="O133" s="257"/>
      <c r="P133" s="257"/>
      <c r="Q133" s="257"/>
      <c r="R133" s="258"/>
      <c r="S133" s="258"/>
    </row>
    <row r="134" spans="1:19">
      <c r="A134" s="253"/>
      <c r="B134" s="253"/>
      <c r="C134" s="253"/>
      <c r="D134" s="253"/>
      <c r="E134" s="257"/>
      <c r="F134" s="257"/>
      <c r="G134" s="257"/>
      <c r="H134" s="257"/>
      <c r="I134" s="257"/>
      <c r="J134" s="257"/>
      <c r="K134" s="257"/>
      <c r="L134" s="257"/>
      <c r="M134" s="257"/>
      <c r="N134" s="257"/>
      <c r="O134" s="257"/>
      <c r="P134" s="257"/>
      <c r="Q134" s="257"/>
      <c r="R134" s="258"/>
      <c r="S134" s="258"/>
    </row>
    <row r="135" spans="1:19">
      <c r="A135" s="253"/>
      <c r="B135" s="253"/>
      <c r="C135" s="253"/>
      <c r="D135" s="253"/>
      <c r="E135" s="257"/>
      <c r="F135" s="257"/>
      <c r="G135" s="257"/>
      <c r="H135" s="257"/>
      <c r="I135" s="257"/>
      <c r="J135" s="257"/>
      <c r="K135" s="257"/>
      <c r="L135" s="257"/>
      <c r="M135" s="257"/>
      <c r="N135" s="257"/>
      <c r="O135" s="257"/>
      <c r="P135" s="257"/>
      <c r="Q135" s="257"/>
      <c r="R135" s="258"/>
      <c r="S135" s="258"/>
    </row>
    <row r="136" spans="1:19">
      <c r="A136" s="253"/>
      <c r="B136" s="253"/>
      <c r="C136" s="253"/>
      <c r="D136" s="253"/>
      <c r="E136" s="257"/>
      <c r="F136" s="257"/>
      <c r="G136" s="257"/>
      <c r="H136" s="257"/>
      <c r="I136" s="257"/>
      <c r="J136" s="257"/>
      <c r="K136" s="257"/>
      <c r="L136" s="257"/>
      <c r="M136" s="257"/>
      <c r="N136" s="257"/>
      <c r="O136" s="257"/>
      <c r="P136" s="257"/>
      <c r="Q136" s="257"/>
      <c r="R136" s="258"/>
      <c r="S136" s="258"/>
    </row>
    <row r="137" spans="1:19">
      <c r="A137" s="253"/>
      <c r="B137" s="253"/>
      <c r="C137" s="253"/>
      <c r="D137" s="253"/>
      <c r="E137" s="257"/>
      <c r="F137" s="257"/>
      <c r="G137" s="257"/>
      <c r="H137" s="257"/>
      <c r="I137" s="257"/>
      <c r="J137" s="257"/>
      <c r="K137" s="257"/>
      <c r="L137" s="257"/>
      <c r="M137" s="257"/>
      <c r="N137" s="257"/>
      <c r="O137" s="257"/>
      <c r="P137" s="257"/>
      <c r="Q137" s="257"/>
      <c r="R137" s="258"/>
      <c r="S137" s="258"/>
    </row>
    <row r="138" spans="1:19">
      <c r="A138" s="253"/>
      <c r="B138" s="253"/>
      <c r="C138" s="253"/>
      <c r="D138" s="253"/>
      <c r="E138" s="257"/>
      <c r="F138" s="257"/>
      <c r="G138" s="257"/>
      <c r="H138" s="257"/>
      <c r="I138" s="257"/>
      <c r="J138" s="257"/>
      <c r="K138" s="257"/>
      <c r="L138" s="257"/>
      <c r="M138" s="257"/>
      <c r="N138" s="257"/>
      <c r="O138" s="257"/>
      <c r="P138" s="257"/>
      <c r="Q138" s="257"/>
      <c r="R138" s="258"/>
      <c r="S138" s="258"/>
    </row>
    <row r="139" spans="1:19">
      <c r="A139" s="253"/>
      <c r="B139" s="253"/>
      <c r="C139" s="253"/>
      <c r="D139" s="253"/>
      <c r="E139" s="257"/>
      <c r="F139" s="257"/>
      <c r="G139" s="257"/>
      <c r="H139" s="257"/>
      <c r="I139" s="257"/>
      <c r="J139" s="257"/>
      <c r="K139" s="257"/>
      <c r="L139" s="257"/>
      <c r="M139" s="257"/>
      <c r="N139" s="257"/>
      <c r="O139" s="257"/>
      <c r="P139" s="257"/>
      <c r="Q139" s="257"/>
      <c r="R139" s="258"/>
      <c r="S139" s="258"/>
    </row>
    <row r="140" spans="1:19">
      <c r="A140" s="253"/>
      <c r="B140" s="253"/>
      <c r="C140" s="253"/>
      <c r="D140" s="253"/>
      <c r="E140" s="257"/>
      <c r="F140" s="257"/>
      <c r="G140" s="257"/>
      <c r="H140" s="257"/>
      <c r="I140" s="257"/>
      <c r="J140" s="257"/>
      <c r="K140" s="257"/>
      <c r="L140" s="257"/>
      <c r="M140" s="257"/>
      <c r="N140" s="257"/>
      <c r="O140" s="257"/>
      <c r="P140" s="257"/>
      <c r="Q140" s="257"/>
      <c r="R140" s="258"/>
      <c r="S140" s="258"/>
    </row>
    <row r="141" spans="1:19">
      <c r="A141" s="253"/>
      <c r="B141" s="253"/>
      <c r="C141" s="253"/>
      <c r="D141" s="253"/>
      <c r="E141" s="257"/>
      <c r="F141" s="257"/>
      <c r="G141" s="257"/>
      <c r="H141" s="257"/>
      <c r="I141" s="257"/>
      <c r="J141" s="257"/>
      <c r="K141" s="257"/>
      <c r="L141" s="257"/>
      <c r="M141" s="257"/>
      <c r="N141" s="257"/>
      <c r="O141" s="257"/>
      <c r="P141" s="257"/>
      <c r="Q141" s="257"/>
      <c r="R141" s="258"/>
      <c r="S141" s="258"/>
    </row>
    <row r="142" spans="1:19">
      <c r="A142" s="253"/>
      <c r="B142" s="253"/>
      <c r="C142" s="253"/>
      <c r="D142" s="253"/>
      <c r="E142" s="257"/>
      <c r="F142" s="257"/>
      <c r="G142" s="257"/>
      <c r="H142" s="257"/>
      <c r="I142" s="257"/>
      <c r="J142" s="257"/>
      <c r="K142" s="257"/>
      <c r="L142" s="257"/>
      <c r="M142" s="257"/>
      <c r="N142" s="257"/>
      <c r="O142" s="257"/>
      <c r="P142" s="257"/>
      <c r="Q142" s="257"/>
      <c r="R142" s="258"/>
      <c r="S142" s="258"/>
    </row>
    <row r="143" spans="1:19">
      <c r="A143" s="253"/>
      <c r="B143" s="253"/>
      <c r="C143" s="253"/>
      <c r="D143" s="253"/>
      <c r="E143" s="257"/>
      <c r="F143" s="257"/>
      <c r="G143" s="257"/>
      <c r="H143" s="257"/>
      <c r="I143" s="257"/>
      <c r="J143" s="257"/>
      <c r="K143" s="257"/>
      <c r="L143" s="257"/>
      <c r="M143" s="257"/>
      <c r="N143" s="257"/>
      <c r="O143" s="257"/>
      <c r="P143" s="257"/>
      <c r="Q143" s="257"/>
      <c r="R143" s="258"/>
      <c r="S143" s="258"/>
    </row>
    <row r="144" spans="1:19">
      <c r="A144" s="253"/>
      <c r="B144" s="253"/>
      <c r="C144" s="253"/>
      <c r="D144" s="253"/>
      <c r="E144" s="257"/>
      <c r="F144" s="257"/>
      <c r="G144" s="257"/>
      <c r="H144" s="257"/>
      <c r="I144" s="257"/>
      <c r="J144" s="257"/>
      <c r="K144" s="257"/>
      <c r="L144" s="257"/>
      <c r="M144" s="257"/>
      <c r="N144" s="257"/>
      <c r="O144" s="257"/>
      <c r="P144" s="257"/>
      <c r="Q144" s="257"/>
      <c r="R144" s="258"/>
      <c r="S144" s="258"/>
    </row>
    <row r="145" spans="1:19">
      <c r="A145" s="253"/>
      <c r="B145" s="253"/>
      <c r="C145" s="253"/>
      <c r="D145" s="253"/>
      <c r="E145" s="257"/>
      <c r="F145" s="257"/>
      <c r="G145" s="257"/>
      <c r="H145" s="257"/>
      <c r="I145" s="257"/>
      <c r="J145" s="257"/>
      <c r="K145" s="257"/>
      <c r="L145" s="257"/>
      <c r="M145" s="257"/>
      <c r="N145" s="257"/>
      <c r="O145" s="257"/>
      <c r="P145" s="257"/>
      <c r="Q145" s="257"/>
      <c r="R145" s="258"/>
      <c r="S145" s="258"/>
    </row>
    <row r="146" spans="1:19">
      <c r="A146" s="253"/>
      <c r="B146" s="253"/>
      <c r="C146" s="253"/>
      <c r="D146" s="253"/>
      <c r="E146" s="257"/>
      <c r="F146" s="257"/>
      <c r="G146" s="257"/>
      <c r="H146" s="257"/>
      <c r="I146" s="257"/>
      <c r="J146" s="257"/>
      <c r="K146" s="257"/>
      <c r="L146" s="257"/>
      <c r="M146" s="257"/>
      <c r="N146" s="257"/>
      <c r="O146" s="257"/>
      <c r="P146" s="257"/>
      <c r="Q146" s="257"/>
      <c r="R146" s="258"/>
      <c r="S146" s="258"/>
    </row>
    <row r="147" spans="1:19">
      <c r="A147" s="253"/>
      <c r="B147" s="253"/>
      <c r="C147" s="253"/>
      <c r="D147" s="253"/>
      <c r="E147" s="257"/>
      <c r="F147" s="257"/>
      <c r="G147" s="257"/>
      <c r="H147" s="257"/>
      <c r="I147" s="257"/>
      <c r="J147" s="257"/>
      <c r="K147" s="257"/>
      <c r="L147" s="257"/>
      <c r="M147" s="257"/>
      <c r="N147" s="257"/>
      <c r="O147" s="257"/>
      <c r="P147" s="257"/>
      <c r="Q147" s="257"/>
      <c r="R147" s="258"/>
      <c r="S147" s="258"/>
    </row>
    <row r="148" spans="1:19">
      <c r="A148" s="253"/>
      <c r="B148" s="253"/>
      <c r="C148" s="253"/>
      <c r="D148" s="253"/>
      <c r="E148" s="257"/>
      <c r="F148" s="257"/>
      <c r="G148" s="257"/>
      <c r="H148" s="257"/>
      <c r="I148" s="257"/>
      <c r="J148" s="257"/>
      <c r="K148" s="257"/>
      <c r="L148" s="257"/>
      <c r="M148" s="257"/>
      <c r="N148" s="257"/>
      <c r="O148" s="257"/>
      <c r="P148" s="257"/>
      <c r="Q148" s="257"/>
      <c r="R148" s="258"/>
      <c r="S148" s="258"/>
    </row>
    <row r="149" spans="1:19">
      <c r="A149" s="253"/>
      <c r="B149" s="253"/>
      <c r="C149" s="253"/>
      <c r="D149" s="253"/>
      <c r="E149" s="257"/>
      <c r="F149" s="257"/>
      <c r="G149" s="257"/>
      <c r="H149" s="257"/>
      <c r="I149" s="257"/>
      <c r="J149" s="257"/>
      <c r="K149" s="257"/>
      <c r="L149" s="257"/>
      <c r="M149" s="257"/>
      <c r="N149" s="257"/>
      <c r="O149" s="257"/>
      <c r="P149" s="257"/>
      <c r="Q149" s="257"/>
      <c r="R149" s="258"/>
      <c r="S149" s="258"/>
    </row>
    <row r="150" spans="1:19">
      <c r="A150" s="253"/>
      <c r="B150" s="253"/>
      <c r="C150" s="253"/>
      <c r="D150" s="253"/>
      <c r="E150" s="257"/>
      <c r="F150" s="257"/>
      <c r="G150" s="257"/>
      <c r="H150" s="257"/>
      <c r="I150" s="257"/>
      <c r="J150" s="257"/>
      <c r="K150" s="257"/>
      <c r="L150" s="257"/>
      <c r="M150" s="257"/>
      <c r="N150" s="257"/>
      <c r="O150" s="257"/>
      <c r="P150" s="257"/>
      <c r="Q150" s="257"/>
      <c r="R150" s="258"/>
      <c r="S150" s="258"/>
    </row>
    <row r="151" spans="1:19">
      <c r="A151" s="253"/>
      <c r="B151" s="253"/>
      <c r="C151" s="253"/>
      <c r="D151" s="253"/>
      <c r="E151" s="257"/>
      <c r="F151" s="257"/>
      <c r="G151" s="257"/>
      <c r="H151" s="257"/>
      <c r="I151" s="257"/>
      <c r="J151" s="257"/>
      <c r="K151" s="257"/>
      <c r="L151" s="257"/>
      <c r="M151" s="257"/>
      <c r="N151" s="257"/>
      <c r="O151" s="257"/>
      <c r="P151" s="257"/>
      <c r="Q151" s="257"/>
      <c r="R151" s="258"/>
      <c r="S151" s="258"/>
    </row>
    <row r="152" spans="1:19">
      <c r="A152" s="253"/>
      <c r="B152" s="253"/>
      <c r="C152" s="253"/>
      <c r="D152" s="253"/>
      <c r="E152" s="257"/>
      <c r="F152" s="257"/>
      <c r="G152" s="257"/>
      <c r="H152" s="257"/>
      <c r="I152" s="257"/>
      <c r="J152" s="257"/>
      <c r="K152" s="257"/>
      <c r="L152" s="257"/>
      <c r="M152" s="257"/>
      <c r="N152" s="257"/>
      <c r="O152" s="257"/>
      <c r="P152" s="257"/>
      <c r="Q152" s="257"/>
      <c r="R152" s="258"/>
      <c r="S152" s="258"/>
    </row>
    <row r="153" spans="1:19">
      <c r="A153" s="253"/>
      <c r="B153" s="253"/>
      <c r="C153" s="253"/>
      <c r="D153" s="253"/>
      <c r="E153" s="253"/>
      <c r="F153" s="253"/>
      <c r="G153" s="253"/>
      <c r="H153" s="253"/>
      <c r="I153" s="253"/>
      <c r="J153" s="253"/>
      <c r="K153" s="253"/>
      <c r="L153" s="253"/>
      <c r="M153" s="253"/>
      <c r="N153" s="253"/>
      <c r="O153" s="253"/>
      <c r="P153" s="253"/>
      <c r="Q153" s="253"/>
    </row>
    <row r="154" spans="1:19">
      <c r="A154" s="253"/>
      <c r="B154" s="253"/>
      <c r="C154" s="253"/>
      <c r="D154" s="253"/>
      <c r="E154" s="253"/>
      <c r="F154" s="253"/>
      <c r="G154" s="253"/>
      <c r="H154" s="253"/>
      <c r="I154" s="253"/>
      <c r="J154" s="253"/>
      <c r="K154" s="253"/>
      <c r="L154" s="253"/>
      <c r="M154" s="253"/>
      <c r="N154" s="253"/>
      <c r="O154" s="253"/>
      <c r="P154" s="253"/>
      <c r="Q154" s="253"/>
    </row>
    <row r="155" spans="1:19">
      <c r="A155" s="253"/>
      <c r="B155" s="253"/>
      <c r="C155" s="253"/>
      <c r="D155" s="253"/>
      <c r="E155" s="253"/>
      <c r="F155" s="253"/>
      <c r="G155" s="253"/>
      <c r="H155" s="253"/>
      <c r="I155" s="253"/>
      <c r="J155" s="253"/>
      <c r="K155" s="253"/>
      <c r="L155" s="253"/>
      <c r="M155" s="253"/>
      <c r="N155" s="253"/>
      <c r="O155" s="253"/>
      <c r="P155" s="253"/>
      <c r="Q155" s="253"/>
    </row>
    <row r="156" spans="1:19">
      <c r="A156" s="253"/>
      <c r="B156" s="253"/>
      <c r="C156" s="253"/>
      <c r="D156" s="253"/>
      <c r="E156" s="253"/>
      <c r="F156" s="253"/>
      <c r="G156" s="253"/>
      <c r="H156" s="253"/>
      <c r="I156" s="253"/>
      <c r="J156" s="253"/>
      <c r="K156" s="253"/>
      <c r="L156" s="253"/>
      <c r="M156" s="253"/>
      <c r="N156" s="253"/>
      <c r="O156" s="253"/>
      <c r="P156" s="253"/>
      <c r="Q156" s="253"/>
    </row>
    <row r="157" spans="1:19">
      <c r="A157" s="253"/>
      <c r="B157" s="253"/>
      <c r="C157" s="253"/>
      <c r="D157" s="253"/>
      <c r="E157" s="253"/>
      <c r="F157" s="253"/>
      <c r="G157" s="253"/>
      <c r="H157" s="253"/>
      <c r="I157" s="253"/>
      <c r="J157" s="253"/>
      <c r="K157" s="253"/>
      <c r="L157" s="253"/>
      <c r="M157" s="253"/>
      <c r="N157" s="253"/>
      <c r="O157" s="253"/>
      <c r="P157" s="253"/>
      <c r="Q157" s="253"/>
    </row>
    <row r="158" spans="1:19">
      <c r="A158" s="253"/>
      <c r="B158" s="253"/>
      <c r="C158" s="253"/>
      <c r="D158" s="253"/>
      <c r="E158" s="253"/>
      <c r="F158" s="253"/>
      <c r="G158" s="253"/>
      <c r="H158" s="253"/>
      <c r="I158" s="253"/>
      <c r="J158" s="253"/>
      <c r="K158" s="253"/>
      <c r="L158" s="253"/>
      <c r="M158" s="253"/>
      <c r="N158" s="253"/>
      <c r="O158" s="253"/>
      <c r="P158" s="253"/>
      <c r="Q158" s="253"/>
    </row>
    <row r="159" spans="1:19">
      <c r="A159" s="253"/>
      <c r="B159" s="253"/>
      <c r="C159" s="253"/>
      <c r="D159" s="253"/>
      <c r="E159" s="253"/>
      <c r="F159" s="253"/>
      <c r="G159" s="253"/>
      <c r="H159" s="253"/>
      <c r="I159" s="253"/>
      <c r="J159" s="253"/>
      <c r="K159" s="253"/>
      <c r="L159" s="253"/>
      <c r="M159" s="253"/>
      <c r="N159" s="253"/>
      <c r="O159" s="253"/>
      <c r="P159" s="253"/>
      <c r="Q159" s="253"/>
    </row>
    <row r="160" spans="1:19">
      <c r="A160" s="253"/>
      <c r="B160" s="253"/>
      <c r="C160" s="253"/>
      <c r="D160" s="253"/>
      <c r="E160" s="253"/>
      <c r="F160" s="253"/>
      <c r="G160" s="253"/>
      <c r="H160" s="253"/>
      <c r="I160" s="253"/>
      <c r="J160" s="253"/>
      <c r="K160" s="253"/>
      <c r="L160" s="253"/>
      <c r="M160" s="253"/>
      <c r="N160" s="253"/>
      <c r="O160" s="253"/>
      <c r="P160" s="253"/>
      <c r="Q160" s="253"/>
    </row>
    <row r="161" spans="1:17">
      <c r="A161" s="253"/>
      <c r="B161" s="253"/>
      <c r="C161" s="253"/>
      <c r="D161" s="253"/>
      <c r="E161" s="253"/>
      <c r="F161" s="253"/>
      <c r="G161" s="253"/>
      <c r="H161" s="253"/>
      <c r="I161" s="253"/>
      <c r="J161" s="253"/>
      <c r="K161" s="253"/>
      <c r="L161" s="253"/>
      <c r="M161" s="253"/>
      <c r="N161" s="253"/>
      <c r="O161" s="253"/>
      <c r="P161" s="253"/>
      <c r="Q161" s="253"/>
    </row>
    <row r="162" spans="1:17">
      <c r="A162" s="253"/>
      <c r="B162" s="253"/>
      <c r="C162" s="253"/>
      <c r="D162" s="253"/>
      <c r="E162" s="253"/>
      <c r="F162" s="253"/>
      <c r="G162" s="253"/>
      <c r="H162" s="253"/>
      <c r="I162" s="253"/>
      <c r="J162" s="253"/>
      <c r="K162" s="253"/>
      <c r="L162" s="253"/>
      <c r="M162" s="253"/>
      <c r="N162" s="253"/>
      <c r="O162" s="253"/>
      <c r="P162" s="253"/>
      <c r="Q162" s="253"/>
    </row>
    <row r="163" spans="1:17">
      <c r="A163" s="253"/>
      <c r="B163" s="253"/>
      <c r="C163" s="253"/>
      <c r="D163" s="253"/>
      <c r="E163" s="253"/>
      <c r="F163" s="253"/>
      <c r="G163" s="253"/>
      <c r="H163" s="253"/>
      <c r="I163" s="253"/>
      <c r="J163" s="253"/>
      <c r="K163" s="253"/>
      <c r="L163" s="253"/>
      <c r="M163" s="253"/>
      <c r="N163" s="253"/>
      <c r="O163" s="253"/>
      <c r="P163" s="253"/>
      <c r="Q163" s="253"/>
    </row>
    <row r="164" spans="1:17">
      <c r="A164" s="253"/>
      <c r="B164" s="253"/>
      <c r="C164" s="253"/>
      <c r="D164" s="253"/>
      <c r="E164" s="253"/>
      <c r="F164" s="253"/>
      <c r="G164" s="253"/>
      <c r="H164" s="253"/>
      <c r="I164" s="253"/>
      <c r="J164" s="253"/>
      <c r="K164" s="253"/>
      <c r="L164" s="253"/>
      <c r="M164" s="253"/>
      <c r="N164" s="253"/>
      <c r="O164" s="253"/>
      <c r="P164" s="253"/>
      <c r="Q164" s="253"/>
    </row>
    <row r="165" spans="1:17">
      <c r="A165" s="253"/>
      <c r="B165" s="253"/>
      <c r="C165" s="253"/>
      <c r="D165" s="253"/>
      <c r="E165" s="253"/>
      <c r="F165" s="253"/>
      <c r="G165" s="253"/>
      <c r="H165" s="253"/>
      <c r="I165" s="253"/>
      <c r="J165" s="253"/>
      <c r="K165" s="253"/>
      <c r="L165" s="253"/>
      <c r="M165" s="253"/>
      <c r="N165" s="253"/>
      <c r="O165" s="253"/>
      <c r="P165" s="253"/>
      <c r="Q165" s="253"/>
    </row>
    <row r="166" spans="1:17">
      <c r="A166" s="253"/>
      <c r="B166" s="253"/>
      <c r="C166" s="253"/>
      <c r="D166" s="253"/>
      <c r="E166" s="253"/>
      <c r="F166" s="253"/>
      <c r="G166" s="253"/>
      <c r="H166" s="253"/>
      <c r="I166" s="253"/>
      <c r="J166" s="253"/>
      <c r="K166" s="253"/>
      <c r="L166" s="253"/>
      <c r="M166" s="253"/>
      <c r="N166" s="253"/>
      <c r="O166" s="253"/>
      <c r="P166" s="253"/>
      <c r="Q166" s="253"/>
    </row>
    <row r="167" spans="1:17">
      <c r="A167" s="253"/>
      <c r="B167" s="253"/>
      <c r="C167" s="253"/>
      <c r="D167" s="253"/>
      <c r="E167" s="253"/>
      <c r="F167" s="253"/>
      <c r="G167" s="253"/>
      <c r="H167" s="253"/>
      <c r="I167" s="253"/>
      <c r="J167" s="253"/>
      <c r="K167" s="253"/>
      <c r="L167" s="253"/>
      <c r="M167" s="253"/>
      <c r="N167" s="253"/>
      <c r="O167" s="253"/>
      <c r="P167" s="253"/>
      <c r="Q167" s="253"/>
    </row>
    <row r="168" spans="1:17">
      <c r="A168" s="253"/>
      <c r="B168" s="253"/>
      <c r="C168" s="253"/>
      <c r="D168" s="253"/>
      <c r="E168" s="253"/>
      <c r="F168" s="253"/>
      <c r="G168" s="253"/>
      <c r="H168" s="253"/>
      <c r="I168" s="253"/>
      <c r="J168" s="253"/>
      <c r="K168" s="253"/>
      <c r="L168" s="253"/>
      <c r="M168" s="253"/>
      <c r="N168" s="253"/>
      <c r="O168" s="253"/>
      <c r="P168" s="253"/>
      <c r="Q168" s="253"/>
    </row>
    <row r="169" spans="1:17">
      <c r="A169" s="253"/>
      <c r="B169" s="253"/>
      <c r="C169" s="253"/>
      <c r="D169" s="253"/>
      <c r="E169" s="253"/>
      <c r="F169" s="253"/>
      <c r="G169" s="253"/>
      <c r="H169" s="253"/>
      <c r="I169" s="253"/>
      <c r="J169" s="253"/>
      <c r="K169" s="253"/>
      <c r="L169" s="253"/>
      <c r="M169" s="253"/>
      <c r="N169" s="253"/>
      <c r="O169" s="253"/>
      <c r="P169" s="253"/>
      <c r="Q169" s="253"/>
    </row>
    <row r="170" spans="1:17">
      <c r="A170" s="253"/>
      <c r="B170" s="253"/>
      <c r="C170" s="253"/>
      <c r="D170" s="253"/>
      <c r="E170" s="253"/>
      <c r="F170" s="253"/>
      <c r="G170" s="253"/>
      <c r="H170" s="253"/>
      <c r="I170" s="253"/>
      <c r="J170" s="253"/>
      <c r="K170" s="253"/>
      <c r="L170" s="253"/>
      <c r="M170" s="253"/>
      <c r="N170" s="253"/>
      <c r="O170" s="253"/>
      <c r="P170" s="253"/>
      <c r="Q170" s="253"/>
    </row>
    <row r="171" spans="1:17">
      <c r="A171" s="253"/>
      <c r="B171" s="253"/>
      <c r="C171" s="253"/>
      <c r="D171" s="253"/>
      <c r="E171" s="253"/>
      <c r="F171" s="253"/>
      <c r="G171" s="253"/>
      <c r="H171" s="253"/>
      <c r="I171" s="253"/>
      <c r="J171" s="253"/>
      <c r="K171" s="253"/>
      <c r="L171" s="253"/>
      <c r="M171" s="253"/>
      <c r="N171" s="253"/>
      <c r="O171" s="253"/>
      <c r="P171" s="253"/>
      <c r="Q171" s="253"/>
    </row>
    <row r="172" spans="1:17">
      <c r="A172" s="253"/>
      <c r="B172" s="253"/>
      <c r="C172" s="253"/>
      <c r="D172" s="253"/>
      <c r="E172" s="253"/>
      <c r="F172" s="253"/>
      <c r="G172" s="253"/>
      <c r="H172" s="253"/>
      <c r="I172" s="253"/>
      <c r="J172" s="253"/>
      <c r="K172" s="253"/>
      <c r="L172" s="253"/>
      <c r="M172" s="253"/>
      <c r="N172" s="253"/>
      <c r="O172" s="253"/>
      <c r="P172" s="253"/>
      <c r="Q172" s="253"/>
    </row>
    <row r="173" spans="1:17">
      <c r="A173" s="253"/>
      <c r="B173" s="253"/>
      <c r="C173" s="253"/>
      <c r="D173" s="253"/>
      <c r="E173" s="253"/>
      <c r="F173" s="253"/>
      <c r="G173" s="253"/>
      <c r="H173" s="253"/>
      <c r="I173" s="253"/>
      <c r="J173" s="253"/>
      <c r="K173" s="253"/>
      <c r="L173" s="253"/>
      <c r="M173" s="253"/>
      <c r="N173" s="253"/>
      <c r="O173" s="253"/>
      <c r="P173" s="253"/>
      <c r="Q173" s="253"/>
    </row>
    <row r="174" spans="1:17">
      <c r="A174" s="253"/>
      <c r="B174" s="253"/>
      <c r="C174" s="253"/>
      <c r="D174" s="253"/>
      <c r="E174" s="253"/>
      <c r="F174" s="253"/>
      <c r="G174" s="253"/>
      <c r="H174" s="253"/>
      <c r="I174" s="253"/>
      <c r="J174" s="253"/>
      <c r="K174" s="253"/>
      <c r="L174" s="253"/>
      <c r="M174" s="253"/>
      <c r="N174" s="253"/>
      <c r="O174" s="253"/>
      <c r="P174" s="253"/>
      <c r="Q174" s="253"/>
    </row>
    <row r="175" spans="1:17">
      <c r="A175" s="253"/>
      <c r="B175" s="253"/>
      <c r="C175" s="253"/>
      <c r="D175" s="253"/>
      <c r="E175" s="253"/>
      <c r="F175" s="253"/>
      <c r="G175" s="253"/>
      <c r="H175" s="253"/>
      <c r="I175" s="253"/>
      <c r="J175" s="253"/>
      <c r="K175" s="253"/>
      <c r="L175" s="253"/>
      <c r="M175" s="253"/>
      <c r="N175" s="253"/>
      <c r="O175" s="253"/>
      <c r="P175" s="253"/>
      <c r="Q175" s="253"/>
    </row>
    <row r="176" spans="1:17">
      <c r="A176" s="253"/>
      <c r="B176" s="253"/>
      <c r="C176" s="253"/>
      <c r="D176" s="253"/>
      <c r="E176" s="253"/>
      <c r="F176" s="253"/>
      <c r="G176" s="253"/>
      <c r="H176" s="253"/>
      <c r="I176" s="253"/>
      <c r="J176" s="253"/>
      <c r="K176" s="253"/>
      <c r="L176" s="253"/>
      <c r="M176" s="253"/>
      <c r="N176" s="253"/>
      <c r="O176" s="253"/>
      <c r="P176" s="253"/>
      <c r="Q176" s="253"/>
    </row>
    <row r="177" spans="1:17">
      <c r="A177" s="253"/>
      <c r="B177" s="253"/>
      <c r="C177" s="253"/>
      <c r="D177" s="253"/>
      <c r="E177" s="253"/>
      <c r="F177" s="253"/>
      <c r="G177" s="253"/>
      <c r="H177" s="253"/>
      <c r="I177" s="253"/>
      <c r="J177" s="253"/>
      <c r="K177" s="253"/>
      <c r="L177" s="253"/>
      <c r="M177" s="253"/>
      <c r="N177" s="253"/>
      <c r="O177" s="253"/>
      <c r="P177" s="253"/>
      <c r="Q177" s="253"/>
    </row>
    <row r="178" spans="1:17">
      <c r="A178" s="253"/>
      <c r="B178" s="253"/>
      <c r="C178" s="253"/>
      <c r="D178" s="253"/>
      <c r="E178" s="253"/>
      <c r="F178" s="253"/>
      <c r="G178" s="253"/>
      <c r="H178" s="253"/>
      <c r="I178" s="253"/>
      <c r="J178" s="253"/>
      <c r="K178" s="253"/>
      <c r="L178" s="253"/>
      <c r="M178" s="253"/>
      <c r="N178" s="253"/>
      <c r="O178" s="253"/>
      <c r="P178" s="253"/>
      <c r="Q178" s="253"/>
    </row>
    <row r="179" spans="1:17">
      <c r="A179" s="253"/>
      <c r="B179" s="253"/>
      <c r="C179" s="253"/>
      <c r="D179" s="253"/>
      <c r="E179" s="253"/>
      <c r="F179" s="253"/>
      <c r="G179" s="253"/>
      <c r="H179" s="253"/>
      <c r="I179" s="253"/>
      <c r="J179" s="253"/>
      <c r="K179" s="253"/>
      <c r="L179" s="253"/>
      <c r="M179" s="253"/>
      <c r="N179" s="253"/>
      <c r="O179" s="253"/>
      <c r="P179" s="253"/>
      <c r="Q179" s="253"/>
    </row>
    <row r="180" spans="1:17">
      <c r="A180" s="253"/>
      <c r="B180" s="253"/>
      <c r="C180" s="253"/>
      <c r="D180" s="253"/>
      <c r="E180" s="253"/>
      <c r="F180" s="253"/>
      <c r="G180" s="253"/>
      <c r="H180" s="253"/>
      <c r="I180" s="253"/>
      <c r="J180" s="253"/>
      <c r="K180" s="253"/>
      <c r="L180" s="253"/>
      <c r="M180" s="253"/>
      <c r="N180" s="253"/>
      <c r="O180" s="253"/>
      <c r="P180" s="253"/>
      <c r="Q180" s="253"/>
    </row>
    <row r="181" spans="1:17">
      <c r="A181" s="253"/>
      <c r="B181" s="253"/>
      <c r="C181" s="253"/>
      <c r="D181" s="253"/>
      <c r="E181" s="253"/>
      <c r="F181" s="253"/>
      <c r="G181" s="253"/>
      <c r="H181" s="253"/>
      <c r="I181" s="253"/>
      <c r="J181" s="253"/>
      <c r="K181" s="253"/>
      <c r="L181" s="253"/>
      <c r="M181" s="253"/>
      <c r="N181" s="253"/>
      <c r="O181" s="253"/>
      <c r="P181" s="253"/>
      <c r="Q181" s="253"/>
    </row>
    <row r="182" spans="1:17">
      <c r="A182" s="253"/>
      <c r="B182" s="253"/>
      <c r="C182" s="253"/>
      <c r="D182" s="253"/>
      <c r="E182" s="253"/>
      <c r="F182" s="253"/>
      <c r="G182" s="253"/>
      <c r="H182" s="253"/>
      <c r="I182" s="253"/>
      <c r="J182" s="253"/>
      <c r="K182" s="253"/>
      <c r="L182" s="253"/>
      <c r="M182" s="253"/>
      <c r="N182" s="253"/>
      <c r="O182" s="253"/>
      <c r="P182" s="253"/>
      <c r="Q182" s="253"/>
    </row>
    <row r="183" spans="1:17">
      <c r="A183" s="253"/>
      <c r="B183" s="253"/>
      <c r="C183" s="253"/>
      <c r="D183" s="253"/>
      <c r="E183" s="253"/>
      <c r="F183" s="253"/>
      <c r="G183" s="253"/>
      <c r="H183" s="253"/>
      <c r="I183" s="253"/>
      <c r="J183" s="253"/>
      <c r="K183" s="253"/>
      <c r="L183" s="253"/>
      <c r="M183" s="253"/>
      <c r="N183" s="253"/>
      <c r="O183" s="253"/>
      <c r="P183" s="253"/>
      <c r="Q183" s="253"/>
    </row>
    <row r="184" spans="1:17">
      <c r="A184" s="253"/>
      <c r="B184" s="253"/>
      <c r="C184" s="253"/>
      <c r="D184" s="253"/>
      <c r="E184" s="253"/>
      <c r="F184" s="253"/>
      <c r="G184" s="253"/>
      <c r="H184" s="253"/>
      <c r="I184" s="253"/>
      <c r="J184" s="253"/>
      <c r="K184" s="253"/>
      <c r="L184" s="253"/>
      <c r="M184" s="253"/>
      <c r="N184" s="253"/>
      <c r="O184" s="253"/>
      <c r="P184" s="253"/>
      <c r="Q184" s="253"/>
    </row>
    <row r="185" spans="1:17">
      <c r="A185" s="253"/>
      <c r="B185" s="253"/>
      <c r="C185" s="253"/>
      <c r="D185" s="253"/>
      <c r="E185" s="253"/>
      <c r="F185" s="253"/>
      <c r="G185" s="253"/>
      <c r="H185" s="253"/>
      <c r="I185" s="253"/>
      <c r="J185" s="253"/>
      <c r="K185" s="253"/>
      <c r="L185" s="253"/>
      <c r="M185" s="253"/>
      <c r="N185" s="253"/>
      <c r="O185" s="253"/>
      <c r="P185" s="253"/>
      <c r="Q185" s="253"/>
    </row>
    <row r="186" spans="1:17">
      <c r="A186" s="253"/>
      <c r="B186" s="253"/>
      <c r="C186" s="253"/>
      <c r="D186" s="253"/>
      <c r="E186" s="253"/>
      <c r="F186" s="253"/>
      <c r="G186" s="253"/>
      <c r="H186" s="253"/>
      <c r="I186" s="253"/>
      <c r="J186" s="253"/>
      <c r="K186" s="253"/>
      <c r="L186" s="253"/>
      <c r="M186" s="253"/>
      <c r="N186" s="253"/>
      <c r="O186" s="253"/>
      <c r="P186" s="253"/>
      <c r="Q186" s="253"/>
    </row>
    <row r="187" spans="1:17">
      <c r="A187" s="253"/>
      <c r="B187" s="253"/>
      <c r="C187" s="253"/>
      <c r="D187" s="253"/>
      <c r="E187" s="253"/>
      <c r="F187" s="253"/>
      <c r="G187" s="253"/>
      <c r="H187" s="253"/>
      <c r="I187" s="253"/>
      <c r="J187" s="253"/>
      <c r="K187" s="253"/>
      <c r="L187" s="253"/>
      <c r="M187" s="253"/>
      <c r="N187" s="253"/>
      <c r="O187" s="253"/>
      <c r="P187" s="253"/>
      <c r="Q187" s="253"/>
    </row>
    <row r="188" spans="1:17">
      <c r="A188" s="253"/>
      <c r="B188" s="253"/>
      <c r="C188" s="253"/>
      <c r="D188" s="253"/>
      <c r="E188" s="253"/>
      <c r="F188" s="253"/>
      <c r="G188" s="253"/>
      <c r="H188" s="253"/>
      <c r="I188" s="253"/>
      <c r="J188" s="253"/>
      <c r="K188" s="253"/>
      <c r="L188" s="253"/>
      <c r="M188" s="253"/>
      <c r="N188" s="253"/>
      <c r="O188" s="253"/>
      <c r="P188" s="253"/>
      <c r="Q188" s="253"/>
    </row>
    <row r="189" spans="1:17">
      <c r="A189" s="253"/>
      <c r="B189" s="253"/>
      <c r="C189" s="253"/>
      <c r="D189" s="253"/>
      <c r="E189" s="253"/>
      <c r="F189" s="253"/>
      <c r="G189" s="253"/>
      <c r="H189" s="253"/>
      <c r="I189" s="253"/>
      <c r="J189" s="253"/>
      <c r="K189" s="253"/>
      <c r="L189" s="253"/>
      <c r="M189" s="253"/>
      <c r="N189" s="253"/>
      <c r="O189" s="253"/>
      <c r="P189" s="253"/>
      <c r="Q189" s="253"/>
    </row>
    <row r="190" spans="1:17">
      <c r="A190" s="253"/>
      <c r="B190" s="253"/>
      <c r="C190" s="253"/>
      <c r="D190" s="253"/>
      <c r="E190" s="253"/>
      <c r="F190" s="253"/>
      <c r="G190" s="253"/>
      <c r="H190" s="253"/>
      <c r="I190" s="253"/>
      <c r="J190" s="253"/>
      <c r="K190" s="253"/>
      <c r="L190" s="253"/>
      <c r="M190" s="253"/>
      <c r="N190" s="253"/>
      <c r="O190" s="253"/>
      <c r="P190" s="253"/>
      <c r="Q190" s="253"/>
    </row>
    <row r="191" spans="1:17">
      <c r="A191" s="253"/>
      <c r="B191" s="253"/>
      <c r="C191" s="253"/>
      <c r="D191" s="253"/>
      <c r="E191" s="253"/>
      <c r="F191" s="253"/>
      <c r="G191" s="253"/>
      <c r="H191" s="253"/>
      <c r="I191" s="253"/>
      <c r="J191" s="253"/>
      <c r="K191" s="253"/>
      <c r="L191" s="253"/>
      <c r="M191" s="253"/>
      <c r="N191" s="253"/>
      <c r="O191" s="253"/>
      <c r="P191" s="253"/>
      <c r="Q191" s="253"/>
    </row>
    <row r="192" spans="1:17">
      <c r="A192" s="253"/>
      <c r="B192" s="253"/>
      <c r="C192" s="253"/>
      <c r="D192" s="253"/>
      <c r="E192" s="253"/>
      <c r="F192" s="253"/>
      <c r="G192" s="253"/>
      <c r="H192" s="253"/>
      <c r="I192" s="253"/>
      <c r="J192" s="253"/>
      <c r="K192" s="253"/>
      <c r="L192" s="253"/>
      <c r="M192" s="253"/>
      <c r="N192" s="253"/>
      <c r="O192" s="253"/>
      <c r="P192" s="253"/>
      <c r="Q192" s="253"/>
    </row>
    <row r="193" spans="1:17">
      <c r="A193" s="253"/>
      <c r="B193" s="253"/>
      <c r="C193" s="253"/>
      <c r="D193" s="253"/>
      <c r="E193" s="253"/>
      <c r="F193" s="253"/>
      <c r="G193" s="253"/>
      <c r="H193" s="253"/>
      <c r="I193" s="253"/>
      <c r="J193" s="253"/>
      <c r="K193" s="253"/>
      <c r="L193" s="253"/>
      <c r="M193" s="253"/>
      <c r="N193" s="253"/>
      <c r="O193" s="253"/>
      <c r="P193" s="253"/>
      <c r="Q193" s="253"/>
    </row>
    <row r="194" spans="1:17">
      <c r="A194" s="253"/>
      <c r="B194" s="253"/>
      <c r="C194" s="253"/>
      <c r="D194" s="253"/>
      <c r="E194" s="253"/>
      <c r="F194" s="253"/>
      <c r="G194" s="253"/>
      <c r="H194" s="253"/>
      <c r="I194" s="253"/>
      <c r="J194" s="253"/>
      <c r="K194" s="253"/>
      <c r="L194" s="253"/>
      <c r="M194" s="253"/>
      <c r="N194" s="253"/>
      <c r="O194" s="253"/>
      <c r="P194" s="253"/>
      <c r="Q194" s="253"/>
    </row>
    <row r="195" spans="1:17">
      <c r="A195" s="253"/>
      <c r="B195" s="253"/>
      <c r="C195" s="253"/>
      <c r="D195" s="253"/>
      <c r="E195" s="253"/>
      <c r="F195" s="253"/>
      <c r="G195" s="253"/>
      <c r="H195" s="253"/>
      <c r="I195" s="253"/>
      <c r="J195" s="253"/>
      <c r="K195" s="253"/>
      <c r="L195" s="253"/>
      <c r="M195" s="253"/>
      <c r="N195" s="253"/>
      <c r="O195" s="253"/>
      <c r="P195" s="253"/>
      <c r="Q195" s="253"/>
    </row>
    <row r="196" spans="1:17">
      <c r="A196" s="253"/>
      <c r="B196" s="253"/>
      <c r="C196" s="253"/>
      <c r="D196" s="253"/>
      <c r="E196" s="253"/>
      <c r="F196" s="253"/>
      <c r="G196" s="253"/>
      <c r="H196" s="253"/>
      <c r="I196" s="253"/>
      <c r="J196" s="253"/>
      <c r="K196" s="253"/>
      <c r="L196" s="253"/>
      <c r="M196" s="253"/>
      <c r="N196" s="253"/>
      <c r="O196" s="253"/>
      <c r="P196" s="253"/>
      <c r="Q196" s="253"/>
    </row>
    <row r="197" spans="1:17">
      <c r="A197" s="253"/>
      <c r="B197" s="253"/>
      <c r="C197" s="253"/>
      <c r="D197" s="253"/>
      <c r="E197" s="253"/>
      <c r="F197" s="253"/>
      <c r="G197" s="253"/>
      <c r="H197" s="253"/>
      <c r="I197" s="253"/>
      <c r="J197" s="253"/>
      <c r="K197" s="253"/>
      <c r="L197" s="253"/>
      <c r="M197" s="253"/>
      <c r="N197" s="253"/>
      <c r="O197" s="253"/>
      <c r="P197" s="253"/>
      <c r="Q197" s="253"/>
    </row>
    <row r="198" spans="1:17">
      <c r="A198" s="253"/>
      <c r="B198" s="253"/>
      <c r="C198" s="253"/>
      <c r="D198" s="253"/>
      <c r="E198" s="253"/>
      <c r="F198" s="253"/>
      <c r="G198" s="253"/>
      <c r="H198" s="253"/>
      <c r="I198" s="253"/>
      <c r="J198" s="253"/>
      <c r="K198" s="253"/>
      <c r="L198" s="253"/>
      <c r="M198" s="253"/>
      <c r="N198" s="253"/>
      <c r="O198" s="253"/>
      <c r="P198" s="253"/>
      <c r="Q198" s="253"/>
    </row>
    <row r="199" spans="1:17">
      <c r="A199" s="253"/>
      <c r="B199" s="253"/>
      <c r="C199" s="253"/>
      <c r="D199" s="253"/>
      <c r="E199" s="253"/>
      <c r="F199" s="253"/>
      <c r="G199" s="253"/>
      <c r="H199" s="253"/>
      <c r="I199" s="253"/>
      <c r="J199" s="253"/>
      <c r="K199" s="253"/>
      <c r="L199" s="253"/>
      <c r="M199" s="253"/>
      <c r="N199" s="253"/>
      <c r="O199" s="253"/>
      <c r="P199" s="253"/>
      <c r="Q199" s="253"/>
    </row>
    <row r="200" spans="1:17">
      <c r="A200" s="253"/>
      <c r="B200" s="253"/>
      <c r="C200" s="253"/>
      <c r="D200" s="253"/>
      <c r="E200" s="253"/>
      <c r="F200" s="253"/>
      <c r="G200" s="253"/>
      <c r="H200" s="253"/>
      <c r="I200" s="253"/>
      <c r="J200" s="253"/>
      <c r="K200" s="253"/>
      <c r="L200" s="253"/>
      <c r="M200" s="253"/>
      <c r="N200" s="253"/>
      <c r="O200" s="253"/>
      <c r="P200" s="253"/>
      <c r="Q200" s="253"/>
    </row>
    <row r="201" spans="1:17">
      <c r="A201" s="253"/>
      <c r="B201" s="253"/>
      <c r="C201" s="253"/>
      <c r="D201" s="253"/>
      <c r="E201" s="253"/>
      <c r="F201" s="253"/>
      <c r="G201" s="253"/>
      <c r="H201" s="253"/>
      <c r="I201" s="253"/>
      <c r="J201" s="253"/>
      <c r="K201" s="253"/>
      <c r="L201" s="253"/>
      <c r="M201" s="253"/>
      <c r="N201" s="253"/>
      <c r="O201" s="253"/>
      <c r="P201" s="253"/>
      <c r="Q201" s="253"/>
    </row>
    <row r="202" spans="1:17">
      <c r="A202" s="253"/>
      <c r="B202" s="253"/>
      <c r="C202" s="253"/>
      <c r="D202" s="253"/>
      <c r="E202" s="253"/>
      <c r="F202" s="253"/>
      <c r="G202" s="253"/>
      <c r="H202" s="253"/>
      <c r="I202" s="253"/>
      <c r="J202" s="253"/>
      <c r="K202" s="253"/>
      <c r="L202" s="253"/>
      <c r="M202" s="253"/>
      <c r="N202" s="253"/>
      <c r="O202" s="253"/>
      <c r="P202" s="253"/>
      <c r="Q202" s="253"/>
    </row>
    <row r="203" spans="1:17">
      <c r="A203" s="253"/>
      <c r="B203" s="253"/>
      <c r="C203" s="253"/>
      <c r="D203" s="253"/>
      <c r="E203" s="253"/>
      <c r="F203" s="253"/>
      <c r="G203" s="253"/>
      <c r="H203" s="253"/>
      <c r="I203" s="253"/>
      <c r="J203" s="253"/>
      <c r="K203" s="253"/>
      <c r="L203" s="253"/>
      <c r="M203" s="253"/>
      <c r="N203" s="253"/>
      <c r="O203" s="253"/>
      <c r="P203" s="253"/>
      <c r="Q203" s="253"/>
    </row>
    <row r="204" spans="1:17">
      <c r="A204" s="253"/>
      <c r="B204" s="253"/>
      <c r="C204" s="253"/>
      <c r="D204" s="253"/>
      <c r="E204" s="253"/>
      <c r="F204" s="253"/>
      <c r="G204" s="253"/>
      <c r="H204" s="253"/>
      <c r="I204" s="253"/>
      <c r="J204" s="253"/>
      <c r="K204" s="253"/>
      <c r="L204" s="253"/>
      <c r="M204" s="253"/>
      <c r="N204" s="253"/>
      <c r="O204" s="253"/>
      <c r="P204" s="253"/>
      <c r="Q204" s="253"/>
    </row>
    <row r="205" spans="1:17">
      <c r="A205" s="253"/>
      <c r="B205" s="253"/>
      <c r="C205" s="253"/>
      <c r="D205" s="253"/>
      <c r="E205" s="253"/>
      <c r="F205" s="253"/>
      <c r="G205" s="253"/>
      <c r="H205" s="253"/>
      <c r="I205" s="253"/>
      <c r="J205" s="253"/>
      <c r="K205" s="253"/>
      <c r="L205" s="253"/>
      <c r="M205" s="253"/>
      <c r="N205" s="253"/>
      <c r="O205" s="253"/>
      <c r="P205" s="253"/>
      <c r="Q205" s="253"/>
    </row>
    <row r="206" spans="1:17">
      <c r="A206" s="253"/>
      <c r="B206" s="253"/>
      <c r="C206" s="253"/>
      <c r="D206" s="253"/>
      <c r="E206" s="253"/>
      <c r="F206" s="253"/>
      <c r="G206" s="253"/>
      <c r="H206" s="253"/>
      <c r="I206" s="253"/>
      <c r="J206" s="253"/>
      <c r="K206" s="253"/>
      <c r="L206" s="253"/>
      <c r="M206" s="253"/>
      <c r="N206" s="253"/>
      <c r="O206" s="253"/>
      <c r="P206" s="253"/>
      <c r="Q206" s="253"/>
    </row>
    <row r="207" spans="1:17">
      <c r="A207" s="253"/>
      <c r="B207" s="253"/>
      <c r="C207" s="253"/>
      <c r="D207" s="253"/>
      <c r="E207" s="253"/>
      <c r="F207" s="253"/>
      <c r="G207" s="253"/>
      <c r="H207" s="253"/>
      <c r="I207" s="253"/>
      <c r="J207" s="253"/>
      <c r="K207" s="253"/>
      <c r="L207" s="253"/>
      <c r="M207" s="253"/>
      <c r="N207" s="253"/>
      <c r="O207" s="253"/>
      <c r="P207" s="253"/>
      <c r="Q207" s="253"/>
    </row>
    <row r="208" spans="1:17">
      <c r="A208" s="253"/>
      <c r="B208" s="253"/>
      <c r="C208" s="253"/>
      <c r="D208" s="253"/>
      <c r="E208" s="253"/>
      <c r="F208" s="253"/>
      <c r="G208" s="253"/>
      <c r="H208" s="253"/>
      <c r="I208" s="253"/>
      <c r="J208" s="253"/>
      <c r="K208" s="253"/>
      <c r="L208" s="253"/>
      <c r="M208" s="253"/>
      <c r="N208" s="253"/>
      <c r="O208" s="253"/>
      <c r="P208" s="253"/>
      <c r="Q208" s="253"/>
    </row>
    <row r="209" spans="1:17">
      <c r="A209" s="253"/>
      <c r="B209" s="253"/>
      <c r="C209" s="253"/>
      <c r="D209" s="253"/>
      <c r="E209" s="253"/>
      <c r="F209" s="253"/>
      <c r="G209" s="253"/>
      <c r="H209" s="253"/>
      <c r="I209" s="253"/>
      <c r="J209" s="253"/>
      <c r="K209" s="253"/>
      <c r="L209" s="253"/>
      <c r="M209" s="253"/>
      <c r="N209" s="253"/>
      <c r="O209" s="253"/>
      <c r="P209" s="253"/>
      <c r="Q209" s="253"/>
    </row>
    <row r="210" spans="1:17">
      <c r="A210" s="253"/>
      <c r="B210" s="253"/>
      <c r="C210" s="253"/>
      <c r="D210" s="253"/>
      <c r="E210" s="253"/>
      <c r="F210" s="253"/>
      <c r="G210" s="253"/>
      <c r="H210" s="253"/>
      <c r="I210" s="253"/>
      <c r="J210" s="253"/>
      <c r="K210" s="253"/>
      <c r="L210" s="253"/>
      <c r="M210" s="253"/>
      <c r="N210" s="253"/>
      <c r="O210" s="253"/>
      <c r="P210" s="253"/>
      <c r="Q210" s="253"/>
    </row>
    <row r="211" spans="1:17">
      <c r="A211" s="253"/>
      <c r="B211" s="253"/>
      <c r="C211" s="253"/>
      <c r="D211" s="253"/>
      <c r="E211" s="253"/>
      <c r="F211" s="253"/>
      <c r="G211" s="253"/>
      <c r="H211" s="253"/>
      <c r="I211" s="253"/>
      <c r="J211" s="253"/>
      <c r="K211" s="253"/>
      <c r="L211" s="253"/>
      <c r="M211" s="253"/>
      <c r="N211" s="253"/>
      <c r="O211" s="253"/>
      <c r="P211" s="253"/>
      <c r="Q211" s="253"/>
    </row>
    <row r="212" spans="1:17">
      <c r="A212" s="253"/>
      <c r="B212" s="253"/>
      <c r="C212" s="253"/>
      <c r="D212" s="253"/>
      <c r="E212" s="253"/>
      <c r="F212" s="253"/>
      <c r="G212" s="253"/>
      <c r="H212" s="253"/>
      <c r="I212" s="253"/>
      <c r="J212" s="253"/>
      <c r="K212" s="253"/>
      <c r="L212" s="253"/>
      <c r="M212" s="253"/>
      <c r="N212" s="253"/>
      <c r="O212" s="253"/>
      <c r="P212" s="253"/>
      <c r="Q212" s="253"/>
    </row>
    <row r="213" spans="1:17">
      <c r="A213" s="253"/>
      <c r="B213" s="253"/>
      <c r="C213" s="253"/>
      <c r="D213" s="253"/>
      <c r="E213" s="253"/>
      <c r="F213" s="253"/>
      <c r="G213" s="253"/>
      <c r="H213" s="253"/>
      <c r="I213" s="253"/>
      <c r="J213" s="253"/>
      <c r="K213" s="253"/>
      <c r="L213" s="253"/>
      <c r="M213" s="253"/>
      <c r="N213" s="253"/>
      <c r="O213" s="253"/>
      <c r="P213" s="253"/>
      <c r="Q213" s="253"/>
    </row>
    <row r="214" spans="1:17">
      <c r="A214" s="253"/>
      <c r="B214" s="253"/>
      <c r="C214" s="253"/>
      <c r="D214" s="253"/>
      <c r="E214" s="253"/>
      <c r="F214" s="253"/>
      <c r="G214" s="253"/>
      <c r="H214" s="253"/>
      <c r="I214" s="253"/>
      <c r="J214" s="253"/>
      <c r="K214" s="253"/>
      <c r="L214" s="253"/>
      <c r="M214" s="253"/>
      <c r="N214" s="253"/>
      <c r="O214" s="253"/>
      <c r="P214" s="253"/>
      <c r="Q214" s="253"/>
    </row>
    <row r="215" spans="1:17">
      <c r="A215" s="253"/>
      <c r="B215" s="253"/>
      <c r="C215" s="253"/>
      <c r="D215" s="253"/>
      <c r="E215" s="253"/>
      <c r="F215" s="253"/>
      <c r="G215" s="253"/>
      <c r="H215" s="253"/>
      <c r="I215" s="253"/>
      <c r="J215" s="253"/>
      <c r="K215" s="253"/>
      <c r="L215" s="253"/>
      <c r="M215" s="253"/>
      <c r="N215" s="253"/>
      <c r="O215" s="253"/>
      <c r="P215" s="253"/>
      <c r="Q215" s="253"/>
    </row>
    <row r="216" spans="1:17">
      <c r="A216" s="253"/>
      <c r="B216" s="253"/>
      <c r="C216" s="253"/>
      <c r="D216" s="253"/>
      <c r="E216" s="253"/>
      <c r="F216" s="253"/>
      <c r="G216" s="253"/>
      <c r="H216" s="253"/>
      <c r="I216" s="253"/>
      <c r="J216" s="253"/>
      <c r="K216" s="253"/>
      <c r="L216" s="253"/>
      <c r="M216" s="253"/>
      <c r="N216" s="253"/>
      <c r="O216" s="253"/>
      <c r="P216" s="253"/>
      <c r="Q216" s="253"/>
    </row>
    <row r="217" spans="1:17">
      <c r="A217" s="253"/>
      <c r="B217" s="253"/>
      <c r="C217" s="253"/>
      <c r="D217" s="253"/>
      <c r="E217" s="253"/>
      <c r="F217" s="253"/>
      <c r="G217" s="253"/>
      <c r="H217" s="253"/>
      <c r="I217" s="253"/>
      <c r="J217" s="253"/>
      <c r="K217" s="253"/>
      <c r="L217" s="253"/>
      <c r="M217" s="253"/>
      <c r="N217" s="253"/>
      <c r="O217" s="253"/>
      <c r="P217" s="253"/>
      <c r="Q217" s="253"/>
    </row>
    <row r="218" spans="1:17">
      <c r="A218" s="253"/>
      <c r="B218" s="253"/>
      <c r="C218" s="253"/>
      <c r="D218" s="253"/>
      <c r="E218" s="253"/>
      <c r="F218" s="253"/>
      <c r="G218" s="253"/>
      <c r="H218" s="253"/>
      <c r="I218" s="253"/>
      <c r="J218" s="253"/>
      <c r="K218" s="253"/>
      <c r="L218" s="253"/>
      <c r="M218" s="253"/>
      <c r="N218" s="253"/>
      <c r="O218" s="253"/>
      <c r="P218" s="253"/>
      <c r="Q218" s="253"/>
    </row>
    <row r="219" spans="1:17">
      <c r="A219" s="253"/>
      <c r="B219" s="253"/>
      <c r="C219" s="253"/>
      <c r="D219" s="253"/>
      <c r="E219" s="253"/>
      <c r="F219" s="253"/>
      <c r="G219" s="253"/>
      <c r="H219" s="253"/>
      <c r="I219" s="253"/>
      <c r="J219" s="253"/>
      <c r="K219" s="253"/>
      <c r="L219" s="253"/>
      <c r="M219" s="253"/>
      <c r="N219" s="253"/>
      <c r="O219" s="253"/>
      <c r="P219" s="253"/>
      <c r="Q219" s="253"/>
    </row>
    <row r="220" spans="1:17">
      <c r="A220" s="253"/>
      <c r="B220" s="253"/>
      <c r="C220" s="253"/>
      <c r="D220" s="253"/>
      <c r="E220" s="253"/>
      <c r="F220" s="253"/>
      <c r="G220" s="253"/>
      <c r="H220" s="253"/>
      <c r="I220" s="253"/>
      <c r="J220" s="253"/>
      <c r="K220" s="253"/>
      <c r="L220" s="253"/>
      <c r="M220" s="253"/>
      <c r="N220" s="253"/>
      <c r="O220" s="253"/>
      <c r="P220" s="253"/>
      <c r="Q220" s="253"/>
    </row>
    <row r="221" spans="1:17">
      <c r="A221" s="253"/>
      <c r="B221" s="253"/>
      <c r="C221" s="253"/>
      <c r="D221" s="253"/>
      <c r="E221" s="253"/>
      <c r="F221" s="253"/>
      <c r="G221" s="253"/>
      <c r="H221" s="253"/>
      <c r="I221" s="253"/>
      <c r="J221" s="253"/>
      <c r="K221" s="253"/>
      <c r="L221" s="253"/>
      <c r="M221" s="253"/>
      <c r="N221" s="253"/>
      <c r="O221" s="253"/>
      <c r="P221" s="253"/>
      <c r="Q221" s="253"/>
    </row>
    <row r="222" spans="1:17">
      <c r="A222" s="253"/>
      <c r="B222" s="253"/>
      <c r="C222" s="253"/>
      <c r="D222" s="253"/>
      <c r="E222" s="253"/>
      <c r="F222" s="253"/>
      <c r="G222" s="253"/>
      <c r="H222" s="253"/>
      <c r="I222" s="253"/>
      <c r="J222" s="253"/>
      <c r="K222" s="253"/>
      <c r="L222" s="253"/>
      <c r="M222" s="253"/>
      <c r="N222" s="253"/>
      <c r="O222" s="253"/>
      <c r="P222" s="253"/>
      <c r="Q222" s="253"/>
    </row>
    <row r="223" spans="1:17">
      <c r="A223" s="253"/>
      <c r="B223" s="253"/>
      <c r="C223" s="253"/>
      <c r="D223" s="253"/>
      <c r="E223" s="253"/>
      <c r="F223" s="253"/>
      <c r="G223" s="253"/>
      <c r="H223" s="253"/>
      <c r="I223" s="253"/>
      <c r="J223" s="253"/>
      <c r="K223" s="253"/>
      <c r="L223" s="253"/>
      <c r="M223" s="253"/>
      <c r="N223" s="253"/>
      <c r="O223" s="253"/>
      <c r="P223" s="253"/>
      <c r="Q223" s="253"/>
    </row>
    <row r="224" spans="1:17">
      <c r="A224" s="253"/>
      <c r="B224" s="253"/>
      <c r="C224" s="253"/>
      <c r="D224" s="253"/>
      <c r="E224" s="253"/>
      <c r="F224" s="253"/>
      <c r="G224" s="253"/>
      <c r="H224" s="253"/>
      <c r="I224" s="253"/>
      <c r="J224" s="253"/>
      <c r="K224" s="253"/>
      <c r="L224" s="253"/>
      <c r="M224" s="253"/>
      <c r="N224" s="253"/>
      <c r="O224" s="253"/>
      <c r="P224" s="253"/>
      <c r="Q224" s="253"/>
    </row>
    <row r="225" spans="1:17">
      <c r="A225" s="253"/>
      <c r="B225" s="253"/>
      <c r="C225" s="253"/>
      <c r="D225" s="253"/>
      <c r="E225" s="253"/>
      <c r="F225" s="253"/>
      <c r="G225" s="253"/>
      <c r="H225" s="253"/>
      <c r="I225" s="253"/>
      <c r="J225" s="253"/>
      <c r="K225" s="253"/>
      <c r="L225" s="253"/>
      <c r="M225" s="253"/>
      <c r="N225" s="253"/>
      <c r="O225" s="253"/>
      <c r="P225" s="253"/>
      <c r="Q225" s="253"/>
    </row>
    <row r="226" spans="1:17">
      <c r="A226" s="253"/>
      <c r="B226" s="253"/>
      <c r="C226" s="253"/>
      <c r="D226" s="253"/>
      <c r="E226" s="253"/>
      <c r="F226" s="253"/>
      <c r="G226" s="253"/>
      <c r="H226" s="253"/>
      <c r="I226" s="253"/>
      <c r="J226" s="253"/>
      <c r="K226" s="253"/>
      <c r="L226" s="253"/>
      <c r="M226" s="253"/>
      <c r="N226" s="253"/>
      <c r="O226" s="253"/>
      <c r="P226" s="253"/>
      <c r="Q226" s="253"/>
    </row>
    <row r="227" spans="1:17">
      <c r="A227" s="253"/>
      <c r="B227" s="253"/>
      <c r="C227" s="253"/>
      <c r="D227" s="253"/>
      <c r="E227" s="253"/>
      <c r="F227" s="253"/>
      <c r="G227" s="253"/>
      <c r="H227" s="253"/>
      <c r="I227" s="253"/>
      <c r="J227" s="253"/>
      <c r="K227" s="253"/>
      <c r="L227" s="253"/>
      <c r="M227" s="253"/>
      <c r="N227" s="253"/>
      <c r="O227" s="253"/>
      <c r="P227" s="253"/>
      <c r="Q227" s="253"/>
    </row>
    <row r="228" spans="1:17">
      <c r="A228" s="253"/>
      <c r="B228" s="253"/>
      <c r="C228" s="253"/>
      <c r="D228" s="253"/>
      <c r="E228" s="253"/>
      <c r="F228" s="253"/>
      <c r="G228" s="253"/>
      <c r="H228" s="253"/>
      <c r="I228" s="253"/>
      <c r="J228" s="253"/>
      <c r="K228" s="253"/>
      <c r="L228" s="253"/>
      <c r="M228" s="253"/>
      <c r="N228" s="253"/>
      <c r="O228" s="253"/>
      <c r="P228" s="253"/>
      <c r="Q228" s="253"/>
    </row>
    <row r="229" spans="1:17">
      <c r="A229" s="253"/>
      <c r="B229" s="253"/>
      <c r="C229" s="253"/>
      <c r="D229" s="253"/>
      <c r="E229" s="253"/>
      <c r="F229" s="253"/>
      <c r="G229" s="253"/>
      <c r="H229" s="253"/>
      <c r="I229" s="253"/>
      <c r="J229" s="253"/>
      <c r="K229" s="253"/>
      <c r="L229" s="253"/>
      <c r="M229" s="253"/>
      <c r="N229" s="253"/>
      <c r="O229" s="253"/>
      <c r="P229" s="253"/>
      <c r="Q229" s="253"/>
    </row>
    <row r="230" spans="1:17">
      <c r="A230" s="253"/>
      <c r="B230" s="253"/>
      <c r="C230" s="253"/>
      <c r="D230" s="253"/>
      <c r="E230" s="253"/>
      <c r="F230" s="253"/>
      <c r="G230" s="253"/>
      <c r="H230" s="253"/>
      <c r="I230" s="253"/>
      <c r="J230" s="253"/>
      <c r="K230" s="253"/>
      <c r="L230" s="253"/>
      <c r="M230" s="253"/>
      <c r="N230" s="253"/>
      <c r="O230" s="253"/>
      <c r="P230" s="253"/>
      <c r="Q230" s="253"/>
    </row>
    <row r="231" spans="1:17">
      <c r="A231" s="253"/>
      <c r="B231" s="253"/>
      <c r="C231" s="253"/>
      <c r="D231" s="253"/>
      <c r="E231" s="253"/>
      <c r="F231" s="253"/>
      <c r="G231" s="253"/>
      <c r="H231" s="253"/>
      <c r="I231" s="253"/>
      <c r="J231" s="253"/>
      <c r="K231" s="253"/>
      <c r="L231" s="253"/>
      <c r="M231" s="253"/>
      <c r="N231" s="253"/>
      <c r="O231" s="253"/>
      <c r="P231" s="253"/>
      <c r="Q231" s="253"/>
    </row>
    <row r="232" spans="1:17">
      <c r="A232" s="253"/>
      <c r="B232" s="253"/>
      <c r="C232" s="253"/>
      <c r="D232" s="253"/>
      <c r="E232" s="253"/>
      <c r="F232" s="253"/>
      <c r="G232" s="253"/>
      <c r="H232" s="253"/>
      <c r="I232" s="253"/>
      <c r="J232" s="253"/>
      <c r="K232" s="253"/>
      <c r="L232" s="253"/>
      <c r="M232" s="253"/>
      <c r="N232" s="253"/>
      <c r="O232" s="253"/>
      <c r="P232" s="253"/>
      <c r="Q232" s="253"/>
    </row>
    <row r="233" spans="1:17">
      <c r="A233" s="253"/>
      <c r="B233" s="253"/>
      <c r="C233" s="253"/>
      <c r="D233" s="253"/>
      <c r="E233" s="253"/>
      <c r="F233" s="253"/>
      <c r="G233" s="253"/>
      <c r="H233" s="253"/>
      <c r="I233" s="253"/>
      <c r="J233" s="253"/>
      <c r="K233" s="253"/>
      <c r="L233" s="253"/>
      <c r="M233" s="253"/>
      <c r="N233" s="253"/>
      <c r="O233" s="253"/>
      <c r="P233" s="253"/>
      <c r="Q233" s="253"/>
    </row>
    <row r="234" spans="1:17">
      <c r="A234" s="253"/>
      <c r="B234" s="253"/>
      <c r="C234" s="253"/>
      <c r="D234" s="253"/>
      <c r="E234" s="253"/>
      <c r="F234" s="253"/>
      <c r="G234" s="253"/>
      <c r="H234" s="253"/>
      <c r="I234" s="253"/>
      <c r="J234" s="253"/>
      <c r="K234" s="253"/>
      <c r="L234" s="253"/>
      <c r="M234" s="253"/>
      <c r="N234" s="253"/>
      <c r="O234" s="253"/>
      <c r="P234" s="253"/>
      <c r="Q234" s="253"/>
    </row>
    <row r="235" spans="1:17">
      <c r="A235" s="253"/>
      <c r="B235" s="253"/>
      <c r="C235" s="253"/>
      <c r="D235" s="253"/>
      <c r="E235" s="253"/>
      <c r="F235" s="253"/>
      <c r="G235" s="253"/>
      <c r="H235" s="253"/>
      <c r="I235" s="253"/>
      <c r="J235" s="253"/>
      <c r="K235" s="253"/>
      <c r="L235" s="253"/>
      <c r="M235" s="253"/>
      <c r="N235" s="253"/>
      <c r="O235" s="253"/>
      <c r="P235" s="253"/>
      <c r="Q235" s="253"/>
    </row>
    <row r="236" spans="1:17">
      <c r="A236" s="253"/>
      <c r="B236" s="253"/>
      <c r="C236" s="253"/>
      <c r="D236" s="253"/>
      <c r="E236" s="253"/>
      <c r="F236" s="253"/>
      <c r="G236" s="253"/>
      <c r="H236" s="253"/>
      <c r="I236" s="253"/>
      <c r="J236" s="253"/>
      <c r="K236" s="253"/>
      <c r="L236" s="253"/>
      <c r="M236" s="253"/>
      <c r="N236" s="253"/>
      <c r="O236" s="253"/>
      <c r="P236" s="253"/>
      <c r="Q236" s="253"/>
    </row>
    <row r="237" spans="1:17">
      <c r="A237" s="253"/>
      <c r="B237" s="253"/>
      <c r="C237" s="253"/>
      <c r="D237" s="253"/>
      <c r="E237" s="253"/>
      <c r="F237" s="253"/>
      <c r="G237" s="253"/>
      <c r="H237" s="253"/>
      <c r="I237" s="253"/>
      <c r="J237" s="253"/>
      <c r="K237" s="253"/>
      <c r="L237" s="253"/>
      <c r="M237" s="253"/>
      <c r="N237" s="253"/>
      <c r="O237" s="253"/>
      <c r="P237" s="253"/>
      <c r="Q237" s="253"/>
    </row>
    <row r="238" spans="1:17">
      <c r="A238" s="253"/>
      <c r="B238" s="253"/>
      <c r="C238" s="253"/>
      <c r="D238" s="253"/>
      <c r="E238" s="253"/>
      <c r="F238" s="253"/>
      <c r="G238" s="253"/>
      <c r="H238" s="253"/>
      <c r="I238" s="253"/>
      <c r="J238" s="253"/>
      <c r="K238" s="253"/>
      <c r="L238" s="253"/>
      <c r="M238" s="253"/>
      <c r="N238" s="253"/>
      <c r="O238" s="253"/>
      <c r="P238" s="253"/>
      <c r="Q238" s="253"/>
    </row>
    <row r="239" spans="1:17">
      <c r="A239" s="253"/>
      <c r="B239" s="253"/>
      <c r="C239" s="253"/>
      <c r="D239" s="253"/>
      <c r="E239" s="253"/>
      <c r="F239" s="253"/>
      <c r="G239" s="253"/>
      <c r="H239" s="253"/>
      <c r="I239" s="253"/>
      <c r="J239" s="253"/>
      <c r="K239" s="253"/>
      <c r="L239" s="253"/>
      <c r="M239" s="253"/>
      <c r="N239" s="253"/>
      <c r="O239" s="253"/>
      <c r="P239" s="253"/>
      <c r="Q239" s="253"/>
    </row>
    <row r="240" spans="1:17">
      <c r="A240" s="253"/>
      <c r="B240" s="253"/>
      <c r="C240" s="253"/>
      <c r="D240" s="253"/>
      <c r="E240" s="253"/>
      <c r="F240" s="253"/>
      <c r="G240" s="253"/>
      <c r="H240" s="253"/>
      <c r="I240" s="253"/>
      <c r="J240" s="253"/>
      <c r="K240" s="253"/>
      <c r="L240" s="253"/>
      <c r="M240" s="253"/>
      <c r="N240" s="253"/>
      <c r="O240" s="253"/>
      <c r="P240" s="253"/>
      <c r="Q240" s="253"/>
    </row>
    <row r="241" spans="1:17">
      <c r="A241" s="253"/>
      <c r="B241" s="253"/>
      <c r="C241" s="253"/>
      <c r="D241" s="253"/>
      <c r="E241" s="253"/>
      <c r="F241" s="253"/>
      <c r="G241" s="253"/>
      <c r="H241" s="253"/>
      <c r="I241" s="253"/>
      <c r="J241" s="253"/>
      <c r="K241" s="253"/>
      <c r="L241" s="253"/>
      <c r="M241" s="253"/>
      <c r="N241" s="253"/>
      <c r="O241" s="253"/>
      <c r="P241" s="253"/>
      <c r="Q241" s="253"/>
    </row>
    <row r="242" spans="1:17">
      <c r="A242" s="253"/>
      <c r="B242" s="253"/>
      <c r="C242" s="253"/>
      <c r="D242" s="253"/>
      <c r="E242" s="253"/>
      <c r="F242" s="253"/>
      <c r="G242" s="253"/>
      <c r="H242" s="253"/>
      <c r="I242" s="253"/>
      <c r="J242" s="253"/>
      <c r="K242" s="253"/>
      <c r="L242" s="253"/>
      <c r="M242" s="253"/>
      <c r="N242" s="253"/>
      <c r="O242" s="253"/>
      <c r="P242" s="253"/>
      <c r="Q242" s="253"/>
    </row>
    <row r="243" spans="1:17">
      <c r="A243" s="253"/>
      <c r="B243" s="253"/>
      <c r="C243" s="253"/>
      <c r="D243" s="253"/>
      <c r="E243" s="253"/>
      <c r="F243" s="253"/>
      <c r="G243" s="253"/>
      <c r="H243" s="253"/>
      <c r="I243" s="253"/>
      <c r="J243" s="253"/>
      <c r="K243" s="253"/>
      <c r="L243" s="253"/>
      <c r="M243" s="253"/>
      <c r="N243" s="253"/>
      <c r="O243" s="253"/>
      <c r="P243" s="253"/>
      <c r="Q243" s="253"/>
    </row>
    <row r="244" spans="1:17">
      <c r="A244" s="253"/>
      <c r="B244" s="253"/>
      <c r="C244" s="253"/>
      <c r="D244" s="253"/>
      <c r="E244" s="253"/>
      <c r="F244" s="253"/>
      <c r="G244" s="253"/>
      <c r="H244" s="253"/>
      <c r="I244" s="253"/>
      <c r="J244" s="253"/>
      <c r="K244" s="253"/>
      <c r="L244" s="253"/>
      <c r="M244" s="253"/>
      <c r="N244" s="253"/>
      <c r="O244" s="253"/>
      <c r="P244" s="253"/>
      <c r="Q244" s="253"/>
    </row>
    <row r="245" spans="1:17">
      <c r="A245" s="253"/>
      <c r="B245" s="253"/>
      <c r="C245" s="253"/>
      <c r="D245" s="253"/>
      <c r="E245" s="253"/>
      <c r="F245" s="253"/>
      <c r="G245" s="253"/>
      <c r="H245" s="253"/>
      <c r="I245" s="253"/>
      <c r="J245" s="253"/>
      <c r="K245" s="253"/>
      <c r="L245" s="253"/>
      <c r="M245" s="253"/>
      <c r="N245" s="253"/>
      <c r="O245" s="253"/>
      <c r="P245" s="253"/>
      <c r="Q245" s="253"/>
    </row>
    <row r="246" spans="1:17">
      <c r="A246" s="253"/>
      <c r="B246" s="253"/>
      <c r="C246" s="253"/>
      <c r="D246" s="253"/>
      <c r="E246" s="253"/>
      <c r="F246" s="253"/>
      <c r="G246" s="253"/>
      <c r="H246" s="253"/>
      <c r="I246" s="253"/>
      <c r="J246" s="253"/>
      <c r="K246" s="253"/>
      <c r="L246" s="253"/>
      <c r="M246" s="253"/>
      <c r="N246" s="253"/>
      <c r="O246" s="253"/>
      <c r="P246" s="253"/>
      <c r="Q246" s="253"/>
    </row>
    <row r="247" spans="1:17">
      <c r="A247" s="253"/>
      <c r="B247" s="253"/>
      <c r="C247" s="253"/>
      <c r="D247" s="253"/>
      <c r="E247" s="253"/>
      <c r="F247" s="253"/>
      <c r="G247" s="253"/>
      <c r="H247" s="253"/>
      <c r="I247" s="253"/>
      <c r="J247" s="253"/>
      <c r="K247" s="253"/>
      <c r="L247" s="253"/>
      <c r="M247" s="253"/>
      <c r="N247" s="253"/>
      <c r="O247" s="253"/>
      <c r="P247" s="253"/>
      <c r="Q247" s="253"/>
    </row>
    <row r="248" spans="1:17">
      <c r="A248" s="253"/>
      <c r="B248" s="253"/>
      <c r="C248" s="253"/>
      <c r="D248" s="253"/>
      <c r="E248" s="253"/>
      <c r="F248" s="253"/>
      <c r="G248" s="253"/>
      <c r="H248" s="253"/>
      <c r="I248" s="253"/>
      <c r="J248" s="253"/>
      <c r="K248" s="253"/>
      <c r="L248" s="253"/>
      <c r="M248" s="253"/>
      <c r="N248" s="253"/>
      <c r="O248" s="253"/>
      <c r="P248" s="253"/>
      <c r="Q248" s="253"/>
    </row>
    <row r="249" spans="1:17">
      <c r="A249" s="253"/>
      <c r="B249" s="253"/>
      <c r="C249" s="253"/>
      <c r="D249" s="253"/>
      <c r="E249" s="253"/>
      <c r="F249" s="253"/>
      <c r="G249" s="253"/>
      <c r="H249" s="253"/>
      <c r="I249" s="253"/>
      <c r="J249" s="253"/>
      <c r="K249" s="253"/>
      <c r="L249" s="253"/>
      <c r="M249" s="253"/>
      <c r="N249" s="253"/>
      <c r="O249" s="253"/>
      <c r="P249" s="253"/>
      <c r="Q249" s="253"/>
    </row>
    <row r="250" spans="1:17">
      <c r="A250" s="253"/>
      <c r="B250" s="253"/>
      <c r="C250" s="253"/>
      <c r="D250" s="253"/>
      <c r="E250" s="253"/>
      <c r="F250" s="253"/>
      <c r="G250" s="253"/>
      <c r="H250" s="253"/>
      <c r="I250" s="253"/>
      <c r="J250" s="253"/>
      <c r="K250" s="253"/>
      <c r="L250" s="253"/>
      <c r="M250" s="253"/>
      <c r="N250" s="253"/>
      <c r="O250" s="253"/>
      <c r="P250" s="253"/>
      <c r="Q250" s="253"/>
    </row>
    <row r="251" spans="1:17">
      <c r="A251" s="253"/>
      <c r="B251" s="253"/>
      <c r="C251" s="253"/>
      <c r="D251" s="253"/>
      <c r="E251" s="253"/>
      <c r="F251" s="253"/>
      <c r="G251" s="253"/>
      <c r="H251" s="253"/>
      <c r="I251" s="253"/>
      <c r="J251" s="253"/>
      <c r="K251" s="253"/>
      <c r="L251" s="253"/>
      <c r="M251" s="253"/>
      <c r="N251" s="253"/>
      <c r="O251" s="253"/>
      <c r="P251" s="253"/>
      <c r="Q251" s="253"/>
    </row>
    <row r="252" spans="1:17">
      <c r="A252" s="253"/>
      <c r="B252" s="253"/>
      <c r="C252" s="253"/>
      <c r="D252" s="253"/>
      <c r="E252" s="253"/>
      <c r="F252" s="253"/>
      <c r="G252" s="253"/>
      <c r="H252" s="253"/>
      <c r="I252" s="253"/>
      <c r="J252" s="253"/>
      <c r="K252" s="253"/>
      <c r="L252" s="253"/>
      <c r="M252" s="253"/>
      <c r="N252" s="253"/>
      <c r="O252" s="253"/>
      <c r="P252" s="253"/>
      <c r="Q252" s="253"/>
    </row>
    <row r="253" spans="1:17">
      <c r="A253" s="253"/>
      <c r="B253" s="253"/>
      <c r="C253" s="253"/>
      <c r="D253" s="253"/>
      <c r="E253" s="253"/>
      <c r="F253" s="253"/>
      <c r="G253" s="253"/>
      <c r="H253" s="253"/>
      <c r="I253" s="253"/>
      <c r="J253" s="253"/>
      <c r="K253" s="253"/>
      <c r="L253" s="253"/>
      <c r="M253" s="253"/>
      <c r="N253" s="253"/>
      <c r="O253" s="253"/>
      <c r="P253" s="253"/>
      <c r="Q253" s="253"/>
    </row>
    <row r="254" spans="1:17">
      <c r="A254" s="253"/>
      <c r="B254" s="253"/>
      <c r="C254" s="253"/>
      <c r="D254" s="253"/>
      <c r="E254" s="253"/>
      <c r="F254" s="253"/>
      <c r="G254" s="253"/>
      <c r="H254" s="253"/>
      <c r="I254" s="253"/>
      <c r="J254" s="253"/>
      <c r="K254" s="253"/>
      <c r="L254" s="253"/>
      <c r="M254" s="253"/>
      <c r="N254" s="253"/>
      <c r="O254" s="253"/>
      <c r="P254" s="253"/>
      <c r="Q254" s="253"/>
    </row>
    <row r="255" spans="1:17">
      <c r="A255" s="253"/>
      <c r="B255" s="253"/>
      <c r="C255" s="253"/>
      <c r="D255" s="253"/>
      <c r="E255" s="253"/>
      <c r="F255" s="253"/>
      <c r="G255" s="253"/>
      <c r="H255" s="253"/>
      <c r="I255" s="253"/>
      <c r="J255" s="253"/>
      <c r="K255" s="253"/>
      <c r="L255" s="253"/>
      <c r="M255" s="253"/>
      <c r="N255" s="253"/>
      <c r="O255" s="253"/>
      <c r="P255" s="253"/>
      <c r="Q255" s="253"/>
    </row>
    <row r="256" spans="1:17">
      <c r="A256" s="253"/>
      <c r="B256" s="253"/>
      <c r="C256" s="253"/>
      <c r="D256" s="253"/>
      <c r="E256" s="253"/>
      <c r="F256" s="253"/>
      <c r="G256" s="253"/>
      <c r="H256" s="253"/>
      <c r="I256" s="253"/>
      <c r="J256" s="253"/>
      <c r="K256" s="253"/>
      <c r="L256" s="253"/>
      <c r="M256" s="253"/>
      <c r="N256" s="253"/>
      <c r="O256" s="253"/>
      <c r="P256" s="253"/>
      <c r="Q256" s="253"/>
    </row>
    <row r="257" spans="1:17">
      <c r="A257" s="253"/>
      <c r="B257" s="253"/>
      <c r="C257" s="253"/>
      <c r="D257" s="253"/>
      <c r="E257" s="253"/>
      <c r="F257" s="253"/>
      <c r="G257" s="253"/>
      <c r="H257" s="253"/>
      <c r="I257" s="253"/>
      <c r="J257" s="253"/>
      <c r="K257" s="253"/>
      <c r="L257" s="253"/>
      <c r="M257" s="253"/>
      <c r="N257" s="253"/>
      <c r="O257" s="253"/>
      <c r="P257" s="253"/>
      <c r="Q257" s="253"/>
    </row>
    <row r="258" spans="1:17">
      <c r="A258" s="253"/>
      <c r="B258" s="253"/>
      <c r="C258" s="253"/>
      <c r="D258" s="253"/>
      <c r="E258" s="253"/>
      <c r="F258" s="253"/>
      <c r="G258" s="253"/>
      <c r="H258" s="253"/>
      <c r="I258" s="253"/>
      <c r="J258" s="253"/>
      <c r="K258" s="253"/>
      <c r="L258" s="253"/>
      <c r="M258" s="253"/>
      <c r="N258" s="253"/>
      <c r="O258" s="253"/>
      <c r="P258" s="253"/>
      <c r="Q258" s="253"/>
    </row>
    <row r="259" spans="1:17">
      <c r="A259" s="253"/>
      <c r="B259" s="253"/>
      <c r="C259" s="253"/>
      <c r="D259" s="253"/>
      <c r="E259" s="253"/>
      <c r="F259" s="253"/>
      <c r="G259" s="253"/>
      <c r="H259" s="253"/>
      <c r="I259" s="253"/>
      <c r="J259" s="253"/>
      <c r="K259" s="253"/>
      <c r="L259" s="253"/>
      <c r="M259" s="253"/>
      <c r="N259" s="253"/>
      <c r="O259" s="253"/>
      <c r="P259" s="253"/>
      <c r="Q259" s="253"/>
    </row>
    <row r="260" spans="1:17">
      <c r="A260" s="253"/>
      <c r="B260" s="253"/>
      <c r="C260" s="253"/>
      <c r="D260" s="253"/>
      <c r="E260" s="253"/>
      <c r="F260" s="253"/>
      <c r="G260" s="253"/>
      <c r="H260" s="253"/>
      <c r="I260" s="253"/>
      <c r="J260" s="253"/>
      <c r="K260" s="253"/>
      <c r="L260" s="253"/>
      <c r="M260" s="253"/>
      <c r="N260" s="253"/>
      <c r="O260" s="253"/>
      <c r="P260" s="253"/>
      <c r="Q260" s="253"/>
    </row>
    <row r="261" spans="1:17">
      <c r="A261" s="253"/>
      <c r="B261" s="253"/>
      <c r="C261" s="253"/>
      <c r="D261" s="253"/>
      <c r="E261" s="253"/>
      <c r="F261" s="253"/>
      <c r="G261" s="253"/>
      <c r="H261" s="253"/>
      <c r="I261" s="253"/>
      <c r="J261" s="253"/>
      <c r="K261" s="253"/>
      <c r="L261" s="253"/>
      <c r="M261" s="253"/>
      <c r="N261" s="253"/>
      <c r="O261" s="253"/>
      <c r="P261" s="253"/>
      <c r="Q261" s="253"/>
    </row>
    <row r="262" spans="1:17">
      <c r="A262" s="253"/>
      <c r="B262" s="253"/>
      <c r="C262" s="253"/>
      <c r="D262" s="253"/>
      <c r="E262" s="253"/>
      <c r="F262" s="253"/>
      <c r="G262" s="253"/>
      <c r="H262" s="253"/>
      <c r="I262" s="253"/>
      <c r="J262" s="253"/>
      <c r="K262" s="253"/>
      <c r="L262" s="253"/>
      <c r="M262" s="253"/>
      <c r="N262" s="253"/>
      <c r="O262" s="253"/>
      <c r="P262" s="253"/>
      <c r="Q262" s="253"/>
    </row>
    <row r="263" spans="1:17">
      <c r="A263" s="253"/>
      <c r="B263" s="253"/>
      <c r="C263" s="253"/>
      <c r="D263" s="253"/>
      <c r="E263" s="253"/>
      <c r="F263" s="253"/>
      <c r="G263" s="253"/>
      <c r="H263" s="253"/>
      <c r="I263" s="253"/>
      <c r="J263" s="253"/>
      <c r="K263" s="253"/>
      <c r="L263" s="253"/>
      <c r="M263" s="253"/>
      <c r="N263" s="253"/>
      <c r="O263" s="253"/>
      <c r="P263" s="253"/>
      <c r="Q263" s="253"/>
    </row>
    <row r="264" spans="1:17">
      <c r="A264" s="253"/>
      <c r="B264" s="253"/>
      <c r="C264" s="253"/>
      <c r="D264" s="253"/>
      <c r="E264" s="253"/>
      <c r="F264" s="253"/>
      <c r="G264" s="253"/>
      <c r="H264" s="253"/>
      <c r="I264" s="253"/>
      <c r="J264" s="253"/>
      <c r="K264" s="253"/>
      <c r="L264" s="253"/>
      <c r="M264" s="253"/>
      <c r="N264" s="253"/>
      <c r="O264" s="253"/>
      <c r="P264" s="253"/>
      <c r="Q264" s="253"/>
    </row>
    <row r="265" spans="1:17">
      <c r="A265" s="253"/>
      <c r="B265" s="253"/>
      <c r="C265" s="253"/>
      <c r="D265" s="253"/>
      <c r="E265" s="253"/>
      <c r="F265" s="253"/>
      <c r="G265" s="253"/>
      <c r="H265" s="253"/>
      <c r="I265" s="253"/>
      <c r="J265" s="253"/>
      <c r="K265" s="253"/>
      <c r="L265" s="253"/>
      <c r="M265" s="253"/>
      <c r="N265" s="253"/>
      <c r="O265" s="253"/>
      <c r="P265" s="253"/>
      <c r="Q265" s="253"/>
    </row>
    <row r="266" spans="1:17">
      <c r="A266" s="253"/>
      <c r="B266" s="253"/>
      <c r="C266" s="253"/>
      <c r="D266" s="253"/>
      <c r="E266" s="253"/>
      <c r="F266" s="253"/>
      <c r="G266" s="253"/>
      <c r="H266" s="253"/>
      <c r="I266" s="253"/>
      <c r="J266" s="253"/>
      <c r="K266" s="253"/>
      <c r="L266" s="253"/>
      <c r="M266" s="253"/>
      <c r="N266" s="253"/>
      <c r="O266" s="253"/>
      <c r="P266" s="253"/>
      <c r="Q266" s="253"/>
    </row>
    <row r="267" spans="1:17">
      <c r="A267" s="253"/>
      <c r="B267" s="253"/>
      <c r="C267" s="253"/>
      <c r="D267" s="253"/>
      <c r="E267" s="253"/>
      <c r="F267" s="253"/>
      <c r="G267" s="253"/>
      <c r="H267" s="253"/>
      <c r="I267" s="253"/>
      <c r="J267" s="253"/>
      <c r="K267" s="253"/>
      <c r="L267" s="253"/>
      <c r="M267" s="253"/>
      <c r="N267" s="253"/>
      <c r="O267" s="253"/>
      <c r="P267" s="253"/>
      <c r="Q267" s="253"/>
    </row>
    <row r="268" spans="1:17">
      <c r="A268" s="253"/>
      <c r="B268" s="253"/>
      <c r="C268" s="253"/>
      <c r="D268" s="253"/>
      <c r="E268" s="253"/>
      <c r="F268" s="253"/>
      <c r="G268" s="253"/>
      <c r="H268" s="253"/>
      <c r="I268" s="253"/>
      <c r="J268" s="253"/>
      <c r="K268" s="253"/>
      <c r="L268" s="253"/>
      <c r="M268" s="253"/>
      <c r="N268" s="253"/>
      <c r="O268" s="253"/>
      <c r="P268" s="253"/>
      <c r="Q268" s="253"/>
    </row>
    <row r="269" spans="1:17">
      <c r="A269" s="253"/>
      <c r="B269" s="253"/>
      <c r="C269" s="253"/>
      <c r="D269" s="253"/>
      <c r="E269" s="253"/>
      <c r="F269" s="253"/>
      <c r="G269" s="253"/>
      <c r="H269" s="253"/>
      <c r="I269" s="253"/>
      <c r="J269" s="253"/>
      <c r="K269" s="253"/>
      <c r="L269" s="253"/>
      <c r="M269" s="253"/>
      <c r="N269" s="253"/>
      <c r="O269" s="253"/>
      <c r="P269" s="253"/>
      <c r="Q269" s="253"/>
    </row>
    <row r="270" spans="1:17">
      <c r="A270" s="253"/>
      <c r="B270" s="253"/>
      <c r="C270" s="253"/>
      <c r="D270" s="253"/>
      <c r="E270" s="253"/>
      <c r="F270" s="253"/>
      <c r="G270" s="253"/>
      <c r="H270" s="253"/>
      <c r="I270" s="253"/>
      <c r="J270" s="253"/>
      <c r="K270" s="253"/>
      <c r="L270" s="253"/>
      <c r="M270" s="253"/>
      <c r="N270" s="253"/>
      <c r="O270" s="253"/>
      <c r="P270" s="253"/>
      <c r="Q270" s="253"/>
    </row>
    <row r="271" spans="1:17">
      <c r="A271" s="253"/>
      <c r="B271" s="253"/>
      <c r="C271" s="253"/>
      <c r="D271" s="253"/>
      <c r="E271" s="253"/>
      <c r="F271" s="253"/>
      <c r="G271" s="253"/>
      <c r="H271" s="253"/>
      <c r="I271" s="253"/>
      <c r="J271" s="253"/>
      <c r="K271" s="253"/>
      <c r="L271" s="253"/>
      <c r="M271" s="253"/>
      <c r="N271" s="253"/>
      <c r="O271" s="253"/>
      <c r="P271" s="253"/>
      <c r="Q271" s="253"/>
    </row>
    <row r="272" spans="1:17">
      <c r="A272" s="253"/>
      <c r="B272" s="253"/>
      <c r="C272" s="253"/>
      <c r="D272" s="253"/>
      <c r="E272" s="253"/>
      <c r="F272" s="253"/>
      <c r="G272" s="253"/>
      <c r="H272" s="253"/>
      <c r="I272" s="253"/>
      <c r="J272" s="253"/>
      <c r="K272" s="253"/>
      <c r="L272" s="253"/>
      <c r="M272" s="253"/>
      <c r="N272" s="253"/>
      <c r="O272" s="253"/>
      <c r="P272" s="253"/>
      <c r="Q272" s="253"/>
    </row>
    <row r="273" spans="1:17">
      <c r="A273" s="253"/>
      <c r="B273" s="253"/>
      <c r="C273" s="253"/>
      <c r="D273" s="253"/>
      <c r="E273" s="253"/>
      <c r="F273" s="253"/>
      <c r="G273" s="253"/>
      <c r="H273" s="253"/>
      <c r="I273" s="253"/>
      <c r="J273" s="253"/>
      <c r="K273" s="253"/>
      <c r="L273" s="253"/>
      <c r="M273" s="253"/>
      <c r="N273" s="253"/>
      <c r="O273" s="253"/>
      <c r="P273" s="253"/>
      <c r="Q273" s="253"/>
    </row>
    <row r="274" spans="1:17">
      <c r="A274" s="253"/>
      <c r="B274" s="253"/>
      <c r="C274" s="253"/>
      <c r="D274" s="253"/>
      <c r="E274" s="253"/>
      <c r="F274" s="253"/>
      <c r="G274" s="253"/>
      <c r="H274" s="253"/>
      <c r="I274" s="253"/>
      <c r="J274" s="253"/>
      <c r="K274" s="253"/>
      <c r="L274" s="253"/>
      <c r="M274" s="253"/>
      <c r="N274" s="253"/>
      <c r="O274" s="253"/>
      <c r="P274" s="253"/>
      <c r="Q274" s="253"/>
    </row>
    <row r="275" spans="1:17">
      <c r="A275" s="253"/>
      <c r="B275" s="253"/>
      <c r="C275" s="253"/>
      <c r="D275" s="253"/>
      <c r="E275" s="253"/>
      <c r="F275" s="253"/>
      <c r="G275" s="253"/>
      <c r="H275" s="253"/>
      <c r="I275" s="253"/>
      <c r="J275" s="253"/>
      <c r="K275" s="253"/>
      <c r="L275" s="253"/>
      <c r="M275" s="253"/>
      <c r="N275" s="253"/>
      <c r="O275" s="253"/>
      <c r="P275" s="253"/>
      <c r="Q275" s="253"/>
    </row>
    <row r="276" spans="1:17">
      <c r="A276" s="253"/>
      <c r="B276" s="253"/>
      <c r="C276" s="253"/>
      <c r="D276" s="253"/>
      <c r="E276" s="253"/>
      <c r="F276" s="253"/>
      <c r="G276" s="253"/>
      <c r="H276" s="253"/>
      <c r="I276" s="253"/>
      <c r="J276" s="253"/>
      <c r="K276" s="253"/>
      <c r="L276" s="253"/>
      <c r="M276" s="253"/>
      <c r="N276" s="253"/>
      <c r="O276" s="253"/>
      <c r="P276" s="253"/>
      <c r="Q276" s="253"/>
    </row>
    <row r="277" spans="1:17">
      <c r="A277" s="253"/>
      <c r="B277" s="253"/>
      <c r="C277" s="253"/>
      <c r="D277" s="253"/>
      <c r="E277" s="253"/>
      <c r="F277" s="253"/>
      <c r="G277" s="253"/>
      <c r="H277" s="253"/>
      <c r="I277" s="253"/>
      <c r="J277" s="253"/>
      <c r="K277" s="253"/>
      <c r="L277" s="253"/>
      <c r="M277" s="253"/>
      <c r="N277" s="253"/>
      <c r="O277" s="253"/>
      <c r="P277" s="253"/>
      <c r="Q277" s="253"/>
    </row>
    <row r="278" spans="1:17">
      <c r="A278" s="253"/>
      <c r="B278" s="253"/>
      <c r="C278" s="253"/>
      <c r="D278" s="253"/>
      <c r="E278" s="253"/>
      <c r="F278" s="253"/>
      <c r="G278" s="253"/>
      <c r="H278" s="253"/>
      <c r="I278" s="253"/>
      <c r="J278" s="253"/>
      <c r="K278" s="253"/>
      <c r="L278" s="253"/>
      <c r="M278" s="253"/>
      <c r="N278" s="253"/>
      <c r="O278" s="253"/>
      <c r="P278" s="253"/>
      <c r="Q278" s="253"/>
    </row>
    <row r="279" spans="1:17">
      <c r="A279" s="253"/>
      <c r="B279" s="253"/>
      <c r="C279" s="253"/>
      <c r="D279" s="253"/>
      <c r="E279" s="253"/>
      <c r="F279" s="253"/>
      <c r="G279" s="253"/>
      <c r="H279" s="253"/>
      <c r="I279" s="253"/>
      <c r="J279" s="253"/>
      <c r="K279" s="253"/>
      <c r="L279" s="253"/>
      <c r="M279" s="253"/>
      <c r="N279" s="253"/>
      <c r="O279" s="253"/>
      <c r="P279" s="253"/>
      <c r="Q279" s="253"/>
    </row>
    <row r="280" spans="1:17">
      <c r="A280" s="253"/>
      <c r="B280" s="253"/>
      <c r="C280" s="253"/>
      <c r="D280" s="253"/>
      <c r="E280" s="253"/>
      <c r="F280" s="253"/>
      <c r="G280" s="253"/>
      <c r="H280" s="253"/>
      <c r="I280" s="253"/>
      <c r="J280" s="253"/>
      <c r="K280" s="253"/>
      <c r="L280" s="253"/>
      <c r="M280" s="253"/>
      <c r="N280" s="253"/>
      <c r="O280" s="253"/>
      <c r="P280" s="253"/>
      <c r="Q280" s="253"/>
    </row>
    <row r="281" spans="1:17">
      <c r="A281" s="253"/>
      <c r="B281" s="253"/>
      <c r="C281" s="253"/>
      <c r="D281" s="253"/>
      <c r="E281" s="253"/>
      <c r="F281" s="253"/>
      <c r="G281" s="253"/>
      <c r="H281" s="253"/>
      <c r="I281" s="253"/>
      <c r="J281" s="253"/>
      <c r="K281" s="253"/>
      <c r="L281" s="253"/>
      <c r="M281" s="253"/>
      <c r="N281" s="253"/>
      <c r="O281" s="253"/>
      <c r="P281" s="253"/>
      <c r="Q281" s="253"/>
    </row>
    <row r="282" spans="1:17">
      <c r="A282" s="253"/>
      <c r="B282" s="253"/>
      <c r="C282" s="253"/>
      <c r="D282" s="253"/>
      <c r="E282" s="253"/>
      <c r="F282" s="253"/>
      <c r="G282" s="253"/>
      <c r="H282" s="253"/>
      <c r="I282" s="253"/>
      <c r="J282" s="253"/>
      <c r="K282" s="253"/>
      <c r="L282" s="253"/>
      <c r="M282" s="253"/>
      <c r="N282" s="253"/>
      <c r="O282" s="253"/>
      <c r="P282" s="253"/>
      <c r="Q282" s="253"/>
    </row>
    <row r="283" spans="1:17">
      <c r="A283" s="253"/>
      <c r="B283" s="253"/>
      <c r="C283" s="253"/>
      <c r="D283" s="253"/>
      <c r="E283" s="253"/>
      <c r="F283" s="253"/>
      <c r="G283" s="253"/>
      <c r="H283" s="253"/>
      <c r="I283" s="253"/>
      <c r="J283" s="253"/>
      <c r="K283" s="253"/>
      <c r="L283" s="253"/>
      <c r="M283" s="253"/>
      <c r="N283" s="253"/>
      <c r="O283" s="253"/>
      <c r="P283" s="253"/>
      <c r="Q283" s="253"/>
    </row>
    <row r="284" spans="1:17">
      <c r="A284" s="253"/>
      <c r="B284" s="253"/>
      <c r="C284" s="253"/>
      <c r="D284" s="253"/>
      <c r="E284" s="253"/>
      <c r="F284" s="253"/>
      <c r="G284" s="253"/>
      <c r="H284" s="253"/>
      <c r="I284" s="253"/>
      <c r="J284" s="253"/>
      <c r="K284" s="253"/>
      <c r="L284" s="253"/>
      <c r="M284" s="253"/>
      <c r="N284" s="253"/>
      <c r="O284" s="253"/>
      <c r="P284" s="253"/>
      <c r="Q284" s="253"/>
    </row>
    <row r="285" spans="1:17">
      <c r="A285" s="253"/>
      <c r="B285" s="253"/>
      <c r="C285" s="253"/>
      <c r="D285" s="253"/>
      <c r="E285" s="253"/>
      <c r="F285" s="253"/>
      <c r="G285" s="253"/>
      <c r="H285" s="253"/>
      <c r="I285" s="253"/>
      <c r="J285" s="253"/>
      <c r="K285" s="253"/>
      <c r="L285" s="253"/>
      <c r="M285" s="253"/>
      <c r="N285" s="253"/>
      <c r="O285" s="253"/>
      <c r="P285" s="253"/>
      <c r="Q285" s="253"/>
    </row>
    <row r="286" spans="1:17">
      <c r="A286" s="253"/>
      <c r="B286" s="253"/>
      <c r="C286" s="253"/>
      <c r="D286" s="253"/>
      <c r="E286" s="253"/>
      <c r="F286" s="253"/>
      <c r="G286" s="253"/>
      <c r="H286" s="253"/>
      <c r="I286" s="253"/>
      <c r="J286" s="253"/>
      <c r="K286" s="253"/>
      <c r="L286" s="253"/>
      <c r="M286" s="253"/>
      <c r="N286" s="253"/>
      <c r="O286" s="253"/>
      <c r="P286" s="253"/>
      <c r="Q286" s="253"/>
    </row>
    <row r="287" spans="1:17">
      <c r="A287" s="253"/>
      <c r="B287" s="253"/>
      <c r="C287" s="253"/>
      <c r="D287" s="253"/>
      <c r="E287" s="253"/>
      <c r="F287" s="253"/>
      <c r="G287" s="253"/>
      <c r="H287" s="253"/>
      <c r="I287" s="253"/>
      <c r="J287" s="253"/>
      <c r="K287" s="253"/>
      <c r="L287" s="253"/>
      <c r="M287" s="253"/>
      <c r="N287" s="253"/>
      <c r="O287" s="253"/>
      <c r="P287" s="253"/>
      <c r="Q287" s="253"/>
    </row>
    <row r="288" spans="1:17">
      <c r="A288" s="253"/>
      <c r="B288" s="253"/>
      <c r="C288" s="253"/>
      <c r="D288" s="253"/>
      <c r="E288" s="253"/>
      <c r="F288" s="253"/>
      <c r="G288" s="253"/>
      <c r="H288" s="253"/>
      <c r="I288" s="253"/>
      <c r="J288" s="253"/>
      <c r="K288" s="253"/>
      <c r="L288" s="253"/>
      <c r="M288" s="253"/>
      <c r="N288" s="253"/>
      <c r="O288" s="253"/>
      <c r="P288" s="253"/>
      <c r="Q288" s="253"/>
    </row>
    <row r="289" spans="1:17">
      <c r="A289" s="253"/>
      <c r="B289" s="253"/>
      <c r="C289" s="253"/>
      <c r="D289" s="253"/>
      <c r="E289" s="253"/>
      <c r="F289" s="253"/>
      <c r="G289" s="253"/>
      <c r="H289" s="253"/>
      <c r="I289" s="253"/>
      <c r="J289" s="253"/>
      <c r="K289" s="253"/>
      <c r="L289" s="253"/>
      <c r="M289" s="253"/>
      <c r="N289" s="253"/>
      <c r="O289" s="253"/>
      <c r="P289" s="253"/>
      <c r="Q289" s="253"/>
    </row>
    <row r="290" spans="1:17">
      <c r="A290" s="253"/>
      <c r="B290" s="253"/>
      <c r="C290" s="253"/>
      <c r="D290" s="253"/>
      <c r="E290" s="253"/>
      <c r="F290" s="253"/>
      <c r="G290" s="253"/>
      <c r="H290" s="253"/>
      <c r="I290" s="253"/>
      <c r="J290" s="253"/>
      <c r="K290" s="253"/>
      <c r="L290" s="253"/>
      <c r="M290" s="253"/>
      <c r="N290" s="253"/>
      <c r="O290" s="253"/>
      <c r="P290" s="253"/>
      <c r="Q290" s="253"/>
    </row>
    <row r="291" spans="1:17">
      <c r="A291" s="253"/>
      <c r="B291" s="253"/>
      <c r="C291" s="253"/>
      <c r="D291" s="253"/>
      <c r="E291" s="253"/>
      <c r="F291" s="253"/>
      <c r="G291" s="253"/>
      <c r="H291" s="253"/>
      <c r="I291" s="253"/>
      <c r="J291" s="253"/>
      <c r="K291" s="253"/>
      <c r="L291" s="253"/>
      <c r="M291" s="253"/>
      <c r="N291" s="253"/>
      <c r="O291" s="253"/>
      <c r="P291" s="253"/>
      <c r="Q291" s="253"/>
    </row>
    <row r="292" spans="1:17">
      <c r="A292" s="253"/>
      <c r="B292" s="253"/>
      <c r="C292" s="253"/>
      <c r="D292" s="253"/>
      <c r="E292" s="253"/>
      <c r="F292" s="253"/>
      <c r="G292" s="253"/>
      <c r="H292" s="253"/>
      <c r="I292" s="253"/>
      <c r="J292" s="253"/>
      <c r="K292" s="253"/>
      <c r="L292" s="253"/>
      <c r="M292" s="253"/>
      <c r="N292" s="253"/>
      <c r="O292" s="253"/>
      <c r="P292" s="253"/>
      <c r="Q292" s="253"/>
    </row>
    <row r="293" spans="1:17">
      <c r="A293" s="253"/>
      <c r="B293" s="253"/>
      <c r="C293" s="253"/>
      <c r="D293" s="253"/>
      <c r="E293" s="253"/>
      <c r="F293" s="253"/>
      <c r="G293" s="253"/>
      <c r="H293" s="253"/>
      <c r="I293" s="253"/>
      <c r="J293" s="253"/>
      <c r="K293" s="253"/>
      <c r="L293" s="253"/>
      <c r="M293" s="253"/>
      <c r="N293" s="253"/>
      <c r="O293" s="253"/>
      <c r="P293" s="253"/>
      <c r="Q293" s="253"/>
    </row>
    <row r="294" spans="1:17">
      <c r="A294" s="253"/>
      <c r="B294" s="253"/>
      <c r="C294" s="253"/>
      <c r="D294" s="253"/>
      <c r="E294" s="253"/>
      <c r="F294" s="253"/>
      <c r="G294" s="253"/>
      <c r="H294" s="253"/>
      <c r="I294" s="253"/>
      <c r="J294" s="253"/>
      <c r="K294" s="253"/>
      <c r="L294" s="253"/>
      <c r="M294" s="253"/>
      <c r="N294" s="253"/>
      <c r="O294" s="253"/>
      <c r="P294" s="253"/>
      <c r="Q294" s="253"/>
    </row>
    <row r="295" spans="1:17">
      <c r="A295" s="253"/>
      <c r="B295" s="253"/>
      <c r="C295" s="253"/>
      <c r="D295" s="253"/>
      <c r="E295" s="253"/>
      <c r="F295" s="253"/>
      <c r="G295" s="253"/>
      <c r="H295" s="253"/>
      <c r="I295" s="253"/>
      <c r="J295" s="253"/>
      <c r="K295" s="253"/>
      <c r="L295" s="253"/>
      <c r="M295" s="253"/>
      <c r="N295" s="253"/>
      <c r="O295" s="253"/>
      <c r="P295" s="253"/>
      <c r="Q295" s="253"/>
    </row>
    <row r="296" spans="1:17">
      <c r="A296" s="253"/>
      <c r="B296" s="253"/>
      <c r="C296" s="253"/>
      <c r="D296" s="253"/>
      <c r="E296" s="253"/>
      <c r="F296" s="253"/>
      <c r="G296" s="253"/>
      <c r="H296" s="253"/>
      <c r="I296" s="253"/>
      <c r="J296" s="253"/>
      <c r="K296" s="253"/>
      <c r="L296" s="253"/>
      <c r="M296" s="253"/>
      <c r="N296" s="253"/>
      <c r="O296" s="253"/>
      <c r="P296" s="253"/>
      <c r="Q296" s="253"/>
    </row>
    <row r="297" spans="1:17">
      <c r="A297" s="253"/>
      <c r="B297" s="253"/>
      <c r="C297" s="253"/>
      <c r="D297" s="253"/>
      <c r="E297" s="253"/>
      <c r="F297" s="253"/>
      <c r="G297" s="253"/>
      <c r="H297" s="253"/>
      <c r="I297" s="253"/>
      <c r="J297" s="253"/>
      <c r="K297" s="253"/>
      <c r="L297" s="253"/>
      <c r="M297" s="253"/>
      <c r="N297" s="253"/>
      <c r="O297" s="253"/>
      <c r="P297" s="253"/>
      <c r="Q297" s="253"/>
    </row>
    <row r="298" spans="1:17">
      <c r="A298" s="253"/>
      <c r="B298" s="253"/>
      <c r="C298" s="253"/>
      <c r="D298" s="253"/>
      <c r="E298" s="253"/>
      <c r="F298" s="253"/>
      <c r="G298" s="253"/>
      <c r="H298" s="253"/>
      <c r="I298" s="253"/>
      <c r="J298" s="253"/>
      <c r="K298" s="253"/>
      <c r="L298" s="253"/>
      <c r="M298" s="253"/>
      <c r="N298" s="253"/>
      <c r="O298" s="253"/>
      <c r="P298" s="253"/>
      <c r="Q298" s="253"/>
    </row>
    <row r="299" spans="1:17">
      <c r="A299" s="253"/>
      <c r="B299" s="253"/>
      <c r="C299" s="253"/>
      <c r="D299" s="253"/>
      <c r="E299" s="253"/>
      <c r="F299" s="253"/>
      <c r="G299" s="253"/>
      <c r="H299" s="253"/>
      <c r="I299" s="253"/>
      <c r="J299" s="253"/>
      <c r="K299" s="253"/>
      <c r="L299" s="253"/>
      <c r="M299" s="253"/>
      <c r="N299" s="253"/>
      <c r="O299" s="253"/>
      <c r="P299" s="253"/>
      <c r="Q299" s="253"/>
    </row>
    <row r="300" spans="1:17">
      <c r="A300" s="253"/>
      <c r="B300" s="253"/>
      <c r="C300" s="253"/>
      <c r="D300" s="253"/>
      <c r="E300" s="253"/>
      <c r="F300" s="253"/>
      <c r="G300" s="253"/>
      <c r="H300" s="253"/>
      <c r="I300" s="253"/>
      <c r="J300" s="253"/>
      <c r="K300" s="253"/>
      <c r="L300" s="253"/>
      <c r="M300" s="253"/>
      <c r="N300" s="253"/>
      <c r="O300" s="253"/>
      <c r="P300" s="253"/>
      <c r="Q300" s="253"/>
    </row>
    <row r="301" spans="1:17">
      <c r="A301" s="253"/>
      <c r="B301" s="253"/>
      <c r="C301" s="253"/>
      <c r="D301" s="253"/>
      <c r="E301" s="253"/>
      <c r="F301" s="253"/>
      <c r="G301" s="253"/>
      <c r="H301" s="253"/>
      <c r="I301" s="253"/>
      <c r="J301" s="253"/>
      <c r="K301" s="253"/>
      <c r="L301" s="253"/>
      <c r="M301" s="253"/>
      <c r="N301" s="253"/>
      <c r="O301" s="253"/>
      <c r="P301" s="253"/>
      <c r="Q301" s="253"/>
    </row>
    <row r="302" spans="1:17">
      <c r="A302" s="253"/>
      <c r="B302" s="253"/>
      <c r="C302" s="253"/>
      <c r="D302" s="253"/>
      <c r="E302" s="253"/>
      <c r="F302" s="253"/>
      <c r="G302" s="253"/>
      <c r="H302" s="253"/>
      <c r="I302" s="253"/>
      <c r="J302" s="253"/>
      <c r="K302" s="253"/>
      <c r="L302" s="253"/>
      <c r="M302" s="253"/>
      <c r="N302" s="253"/>
      <c r="O302" s="253"/>
      <c r="P302" s="253"/>
      <c r="Q302" s="253"/>
    </row>
    <row r="303" spans="1:17">
      <c r="A303" s="253"/>
      <c r="B303" s="253"/>
      <c r="C303" s="253"/>
      <c r="D303" s="253"/>
      <c r="E303" s="253"/>
      <c r="F303" s="253"/>
      <c r="G303" s="253"/>
      <c r="H303" s="253"/>
      <c r="I303" s="253"/>
      <c r="J303" s="253"/>
      <c r="K303" s="253"/>
      <c r="L303" s="253"/>
      <c r="M303" s="253"/>
      <c r="N303" s="253"/>
      <c r="O303" s="253"/>
      <c r="P303" s="253"/>
      <c r="Q303" s="253"/>
    </row>
    <row r="304" spans="1:17">
      <c r="A304" s="253"/>
      <c r="B304" s="253"/>
      <c r="C304" s="253"/>
      <c r="D304" s="253"/>
      <c r="E304" s="253"/>
      <c r="F304" s="253"/>
      <c r="G304" s="253"/>
      <c r="H304" s="253"/>
      <c r="I304" s="253"/>
      <c r="J304" s="253"/>
      <c r="K304" s="253"/>
      <c r="L304" s="253"/>
      <c r="M304" s="253"/>
      <c r="N304" s="253"/>
      <c r="O304" s="253"/>
      <c r="P304" s="253"/>
      <c r="Q304" s="253"/>
    </row>
    <row r="305" spans="1:17">
      <c r="A305" s="253"/>
      <c r="B305" s="253"/>
      <c r="C305" s="253"/>
      <c r="D305" s="253"/>
      <c r="E305" s="253"/>
      <c r="F305" s="253"/>
      <c r="G305" s="253"/>
      <c r="H305" s="253"/>
      <c r="I305" s="253"/>
      <c r="J305" s="253"/>
      <c r="K305" s="253"/>
      <c r="L305" s="253"/>
      <c r="M305" s="253"/>
      <c r="N305" s="253"/>
      <c r="O305" s="253"/>
      <c r="P305" s="253"/>
      <c r="Q305" s="253"/>
    </row>
    <row r="306" spans="1:17">
      <c r="A306" s="253"/>
      <c r="B306" s="253"/>
      <c r="C306" s="253"/>
      <c r="D306" s="253"/>
      <c r="E306" s="253"/>
      <c r="F306" s="253"/>
      <c r="G306" s="253"/>
      <c r="H306" s="253"/>
      <c r="I306" s="253"/>
      <c r="J306" s="253"/>
      <c r="K306" s="253"/>
      <c r="L306" s="253"/>
      <c r="M306" s="253"/>
      <c r="N306" s="253"/>
      <c r="O306" s="253"/>
      <c r="P306" s="253"/>
      <c r="Q306" s="253"/>
    </row>
    <row r="307" spans="1:17">
      <c r="A307" s="253"/>
      <c r="B307" s="253"/>
      <c r="C307" s="253"/>
      <c r="D307" s="253"/>
      <c r="E307" s="253"/>
      <c r="F307" s="253"/>
      <c r="G307" s="253"/>
      <c r="H307" s="253"/>
      <c r="I307" s="253"/>
      <c r="J307" s="253"/>
      <c r="K307" s="253"/>
      <c r="L307" s="253"/>
      <c r="M307" s="253"/>
      <c r="N307" s="253"/>
      <c r="O307" s="253"/>
      <c r="P307" s="253"/>
      <c r="Q307" s="253"/>
    </row>
    <row r="308" spans="1:17">
      <c r="A308" s="253"/>
      <c r="B308" s="253"/>
      <c r="C308" s="253"/>
      <c r="D308" s="253"/>
      <c r="E308" s="253"/>
      <c r="F308" s="253"/>
      <c r="G308" s="253"/>
      <c r="H308" s="253"/>
      <c r="I308" s="253"/>
      <c r="J308" s="253"/>
      <c r="K308" s="253"/>
      <c r="L308" s="253"/>
      <c r="M308" s="253"/>
      <c r="N308" s="253"/>
      <c r="O308" s="253"/>
      <c r="P308" s="253"/>
      <c r="Q308" s="253"/>
    </row>
    <row r="309" spans="1:17">
      <c r="A309" s="253"/>
      <c r="B309" s="253"/>
      <c r="C309" s="253"/>
      <c r="D309" s="253"/>
      <c r="E309" s="253"/>
      <c r="F309" s="253"/>
      <c r="G309" s="253"/>
      <c r="H309" s="253"/>
      <c r="I309" s="253"/>
      <c r="J309" s="253"/>
      <c r="K309" s="253"/>
      <c r="L309" s="253"/>
      <c r="M309" s="253"/>
      <c r="N309" s="253"/>
      <c r="O309" s="253"/>
      <c r="P309" s="253"/>
      <c r="Q309" s="253"/>
    </row>
    <row r="310" spans="1:17">
      <c r="A310" s="253"/>
      <c r="B310" s="253"/>
      <c r="C310" s="253"/>
      <c r="D310" s="253"/>
      <c r="E310" s="253"/>
      <c r="F310" s="253"/>
      <c r="G310" s="253"/>
      <c r="H310" s="253"/>
      <c r="I310" s="253"/>
      <c r="J310" s="253"/>
      <c r="K310" s="253"/>
      <c r="L310" s="253"/>
      <c r="M310" s="253"/>
      <c r="N310" s="253"/>
      <c r="O310" s="253"/>
      <c r="P310" s="253"/>
      <c r="Q310" s="253"/>
    </row>
    <row r="311" spans="1:17">
      <c r="A311" s="253"/>
      <c r="B311" s="253"/>
      <c r="C311" s="253"/>
      <c r="D311" s="253"/>
      <c r="E311" s="253"/>
      <c r="F311" s="253"/>
      <c r="G311" s="253"/>
      <c r="H311" s="253"/>
      <c r="I311" s="253"/>
      <c r="J311" s="253"/>
      <c r="K311" s="253"/>
      <c r="L311" s="253"/>
      <c r="M311" s="253"/>
      <c r="N311" s="253"/>
      <c r="O311" s="253"/>
      <c r="P311" s="253"/>
      <c r="Q311" s="253"/>
    </row>
    <row r="312" spans="1:17">
      <c r="A312" s="253"/>
      <c r="B312" s="253"/>
      <c r="C312" s="253"/>
      <c r="D312" s="253"/>
      <c r="E312" s="253"/>
      <c r="F312" s="253"/>
      <c r="G312" s="253"/>
      <c r="H312" s="253"/>
      <c r="I312" s="253"/>
      <c r="J312" s="253"/>
      <c r="K312" s="253"/>
      <c r="L312" s="253"/>
      <c r="M312" s="253"/>
      <c r="N312" s="253"/>
      <c r="O312" s="253"/>
      <c r="P312" s="253"/>
      <c r="Q312" s="253"/>
    </row>
    <row r="313" spans="1:17">
      <c r="A313" s="253"/>
      <c r="B313" s="253"/>
      <c r="C313" s="253"/>
      <c r="D313" s="253"/>
      <c r="E313" s="253"/>
      <c r="F313" s="253"/>
      <c r="G313" s="253"/>
      <c r="H313" s="253"/>
      <c r="I313" s="253"/>
      <c r="J313" s="253"/>
      <c r="K313" s="253"/>
      <c r="L313" s="253"/>
      <c r="M313" s="253"/>
      <c r="N313" s="253"/>
      <c r="O313" s="253"/>
      <c r="P313" s="253"/>
      <c r="Q313" s="253"/>
    </row>
    <row r="314" spans="1:17">
      <c r="A314" s="253"/>
      <c r="B314" s="253"/>
      <c r="C314" s="253"/>
      <c r="D314" s="253"/>
      <c r="E314" s="253"/>
      <c r="F314" s="253"/>
      <c r="G314" s="253"/>
      <c r="H314" s="253"/>
      <c r="I314" s="253"/>
      <c r="J314" s="253"/>
      <c r="K314" s="253"/>
      <c r="L314" s="253"/>
      <c r="M314" s="253"/>
      <c r="N314" s="253"/>
      <c r="O314" s="253"/>
      <c r="P314" s="253"/>
      <c r="Q314" s="253"/>
    </row>
    <row r="315" spans="1:17">
      <c r="A315" s="253"/>
      <c r="B315" s="253"/>
      <c r="C315" s="253"/>
      <c r="D315" s="253"/>
      <c r="E315" s="253"/>
      <c r="F315" s="253"/>
      <c r="G315" s="253"/>
      <c r="H315" s="253"/>
      <c r="I315" s="253"/>
      <c r="J315" s="253"/>
      <c r="K315" s="253"/>
      <c r="L315" s="253"/>
      <c r="M315" s="253"/>
      <c r="N315" s="253"/>
      <c r="O315" s="253"/>
      <c r="P315" s="253"/>
      <c r="Q315" s="253"/>
    </row>
    <row r="316" spans="1:17">
      <c r="A316" s="253"/>
      <c r="B316" s="253"/>
      <c r="C316" s="253"/>
      <c r="D316" s="253"/>
      <c r="E316" s="253"/>
      <c r="F316" s="253"/>
      <c r="G316" s="253"/>
      <c r="H316" s="253"/>
      <c r="I316" s="253"/>
      <c r="J316" s="253"/>
      <c r="K316" s="253"/>
      <c r="L316" s="253"/>
      <c r="M316" s="253"/>
      <c r="N316" s="253"/>
      <c r="O316" s="253"/>
      <c r="P316" s="253"/>
      <c r="Q316" s="253"/>
    </row>
    <row r="317" spans="1:17">
      <c r="A317" s="253"/>
      <c r="B317" s="253"/>
      <c r="C317" s="253"/>
      <c r="D317" s="253"/>
      <c r="E317" s="253"/>
      <c r="F317" s="253"/>
      <c r="G317" s="253"/>
      <c r="H317" s="253"/>
      <c r="I317" s="253"/>
      <c r="J317" s="253"/>
      <c r="K317" s="253"/>
      <c r="L317" s="253"/>
      <c r="M317" s="253"/>
      <c r="N317" s="253"/>
      <c r="O317" s="253"/>
      <c r="P317" s="253"/>
      <c r="Q317" s="253"/>
    </row>
    <row r="318" spans="1:17">
      <c r="A318" s="253"/>
      <c r="B318" s="253"/>
      <c r="C318" s="253"/>
      <c r="D318" s="253"/>
      <c r="E318" s="253"/>
      <c r="F318" s="253"/>
      <c r="G318" s="253"/>
      <c r="H318" s="253"/>
      <c r="I318" s="253"/>
      <c r="J318" s="253"/>
      <c r="K318" s="253"/>
      <c r="L318" s="253"/>
      <c r="M318" s="253"/>
      <c r="N318" s="253"/>
      <c r="O318" s="253"/>
      <c r="P318" s="253"/>
      <c r="Q318" s="253"/>
    </row>
    <row r="319" spans="1:17">
      <c r="A319" s="253"/>
      <c r="B319" s="253"/>
      <c r="C319" s="253"/>
      <c r="D319" s="253"/>
      <c r="E319" s="253"/>
      <c r="F319" s="253"/>
      <c r="G319" s="253"/>
      <c r="H319" s="253"/>
      <c r="I319" s="253"/>
      <c r="J319" s="253"/>
      <c r="K319" s="253"/>
      <c r="L319" s="253"/>
      <c r="M319" s="253"/>
      <c r="N319" s="253"/>
      <c r="O319" s="253"/>
      <c r="P319" s="253"/>
      <c r="Q319" s="253"/>
    </row>
    <row r="320" spans="1:17">
      <c r="A320" s="253"/>
      <c r="B320" s="253"/>
      <c r="C320" s="253"/>
      <c r="D320" s="253"/>
      <c r="E320" s="253"/>
      <c r="F320" s="253"/>
      <c r="G320" s="253"/>
      <c r="H320" s="253"/>
      <c r="I320" s="253"/>
      <c r="J320" s="253"/>
      <c r="K320" s="253"/>
      <c r="L320" s="253"/>
      <c r="M320" s="253"/>
      <c r="N320" s="253"/>
      <c r="O320" s="253"/>
      <c r="P320" s="253"/>
      <c r="Q320" s="253"/>
    </row>
    <row r="321" spans="1:17">
      <c r="A321" s="253"/>
      <c r="B321" s="253"/>
      <c r="C321" s="253"/>
      <c r="D321" s="253"/>
      <c r="E321" s="253"/>
      <c r="F321" s="253"/>
      <c r="G321" s="253"/>
      <c r="H321" s="253"/>
      <c r="I321" s="253"/>
      <c r="J321" s="253"/>
      <c r="K321" s="253"/>
      <c r="L321" s="253"/>
      <c r="M321" s="253"/>
      <c r="N321" s="253"/>
      <c r="O321" s="253"/>
      <c r="P321" s="253"/>
      <c r="Q321" s="253"/>
    </row>
    <row r="322" spans="1:17">
      <c r="A322" s="253"/>
      <c r="B322" s="253"/>
      <c r="C322" s="253"/>
      <c r="D322" s="253"/>
      <c r="E322" s="253"/>
      <c r="F322" s="253"/>
      <c r="G322" s="253"/>
      <c r="H322" s="253"/>
      <c r="I322" s="253"/>
      <c r="J322" s="253"/>
      <c r="K322" s="253"/>
      <c r="L322" s="253"/>
      <c r="M322" s="253"/>
      <c r="N322" s="253"/>
      <c r="O322" s="253"/>
      <c r="P322" s="253"/>
      <c r="Q322" s="253"/>
    </row>
    <row r="323" spans="1:17">
      <c r="A323" s="253"/>
      <c r="B323" s="253"/>
      <c r="C323" s="253"/>
      <c r="D323" s="253"/>
      <c r="E323" s="253"/>
      <c r="F323" s="253"/>
      <c r="G323" s="253"/>
      <c r="H323" s="253"/>
      <c r="I323" s="253"/>
      <c r="J323" s="253"/>
      <c r="K323" s="253"/>
      <c r="L323" s="253"/>
      <c r="M323" s="253"/>
      <c r="N323" s="253"/>
      <c r="O323" s="253"/>
      <c r="P323" s="253"/>
      <c r="Q323" s="253"/>
    </row>
    <row r="324" spans="1:17">
      <c r="A324" s="253"/>
      <c r="B324" s="253"/>
      <c r="C324" s="253"/>
      <c r="D324" s="253"/>
      <c r="E324" s="253"/>
      <c r="F324" s="253"/>
      <c r="G324" s="253"/>
      <c r="H324" s="253"/>
      <c r="I324" s="253"/>
      <c r="J324" s="253"/>
      <c r="K324" s="253"/>
      <c r="L324" s="253"/>
      <c r="M324" s="253"/>
      <c r="N324" s="253"/>
      <c r="O324" s="253"/>
      <c r="P324" s="253"/>
      <c r="Q324" s="253"/>
    </row>
    <row r="325" spans="1:17">
      <c r="A325" s="253"/>
      <c r="B325" s="253"/>
      <c r="C325" s="253"/>
      <c r="D325" s="253"/>
      <c r="E325" s="253"/>
      <c r="F325" s="253"/>
      <c r="G325" s="253"/>
      <c r="H325" s="253"/>
      <c r="I325" s="253"/>
      <c r="J325" s="253"/>
      <c r="K325" s="253"/>
      <c r="L325" s="253"/>
      <c r="M325" s="253"/>
      <c r="N325" s="253"/>
      <c r="O325" s="253"/>
      <c r="P325" s="253"/>
      <c r="Q325" s="253"/>
    </row>
    <row r="326" spans="1:17">
      <c r="A326" s="253"/>
      <c r="B326" s="253"/>
      <c r="C326" s="253"/>
      <c r="D326" s="253"/>
      <c r="E326" s="253"/>
      <c r="F326" s="253"/>
      <c r="G326" s="253"/>
      <c r="H326" s="253"/>
      <c r="I326" s="253"/>
      <c r="J326" s="253"/>
      <c r="K326" s="253"/>
      <c r="L326" s="253"/>
      <c r="M326" s="253"/>
      <c r="N326" s="253"/>
      <c r="O326" s="253"/>
      <c r="P326" s="253"/>
      <c r="Q326" s="253"/>
    </row>
    <row r="327" spans="1:17">
      <c r="A327" s="253"/>
      <c r="B327" s="253"/>
      <c r="C327" s="253"/>
      <c r="D327" s="253"/>
      <c r="E327" s="253"/>
      <c r="F327" s="253"/>
      <c r="G327" s="253"/>
      <c r="H327" s="253"/>
      <c r="I327" s="253"/>
      <c r="J327" s="253"/>
      <c r="K327" s="253"/>
      <c r="L327" s="253"/>
      <c r="M327" s="253"/>
      <c r="N327" s="253"/>
      <c r="O327" s="253"/>
      <c r="P327" s="253"/>
      <c r="Q327" s="253"/>
    </row>
    <row r="328" spans="1:17">
      <c r="A328" s="253"/>
      <c r="B328" s="253"/>
      <c r="C328" s="253"/>
      <c r="D328" s="253"/>
      <c r="E328" s="253"/>
      <c r="F328" s="253"/>
      <c r="G328" s="253"/>
      <c r="H328" s="253"/>
      <c r="I328" s="253"/>
      <c r="J328" s="253"/>
      <c r="K328" s="253"/>
      <c r="L328" s="253"/>
      <c r="M328" s="253"/>
      <c r="N328" s="253"/>
      <c r="O328" s="253"/>
      <c r="P328" s="253"/>
      <c r="Q328" s="253"/>
    </row>
    <row r="329" spans="1:17">
      <c r="A329" s="253"/>
      <c r="B329" s="253"/>
      <c r="C329" s="253"/>
      <c r="D329" s="253"/>
      <c r="E329" s="253"/>
      <c r="F329" s="253"/>
      <c r="G329" s="253"/>
      <c r="H329" s="253"/>
      <c r="I329" s="253"/>
      <c r="J329" s="253"/>
      <c r="K329" s="253"/>
      <c r="L329" s="253"/>
      <c r="M329" s="253"/>
      <c r="N329" s="253"/>
      <c r="O329" s="253"/>
      <c r="P329" s="253"/>
      <c r="Q329" s="253"/>
    </row>
    <row r="330" spans="1:17">
      <c r="A330" s="253"/>
      <c r="B330" s="253"/>
      <c r="C330" s="253"/>
      <c r="D330" s="253"/>
      <c r="E330" s="253"/>
      <c r="F330" s="253"/>
      <c r="G330" s="253"/>
      <c r="H330" s="253"/>
      <c r="I330" s="253"/>
      <c r="J330" s="253"/>
      <c r="K330" s="253"/>
      <c r="L330" s="253"/>
      <c r="M330" s="253"/>
      <c r="N330" s="253"/>
      <c r="O330" s="253"/>
      <c r="P330" s="253"/>
      <c r="Q330" s="253"/>
    </row>
    <row r="331" spans="1:17">
      <c r="A331" s="253"/>
      <c r="B331" s="253"/>
      <c r="C331" s="253"/>
      <c r="D331" s="253"/>
      <c r="E331" s="253"/>
      <c r="F331" s="253"/>
      <c r="G331" s="253"/>
      <c r="H331" s="253"/>
      <c r="I331" s="253"/>
      <c r="J331" s="253"/>
      <c r="K331" s="253"/>
      <c r="L331" s="253"/>
      <c r="M331" s="253"/>
      <c r="N331" s="253"/>
      <c r="O331" s="253"/>
      <c r="P331" s="253"/>
      <c r="Q331" s="253"/>
    </row>
    <row r="332" spans="1:17">
      <c r="A332" s="253"/>
      <c r="B332" s="253"/>
      <c r="C332" s="253"/>
      <c r="D332" s="253"/>
      <c r="E332" s="253"/>
      <c r="F332" s="253"/>
      <c r="G332" s="253"/>
      <c r="H332" s="253"/>
      <c r="I332" s="253"/>
      <c r="J332" s="253"/>
      <c r="K332" s="253"/>
      <c r="L332" s="253"/>
      <c r="M332" s="253"/>
      <c r="N332" s="253"/>
      <c r="O332" s="253"/>
      <c r="P332" s="253"/>
      <c r="Q332" s="253"/>
    </row>
    <row r="333" spans="1:17">
      <c r="A333" s="253"/>
      <c r="B333" s="253"/>
      <c r="C333" s="253"/>
      <c r="D333" s="253"/>
      <c r="E333" s="253"/>
      <c r="F333" s="253"/>
      <c r="G333" s="253"/>
      <c r="H333" s="253"/>
      <c r="I333" s="253"/>
      <c r="J333" s="253"/>
      <c r="K333" s="253"/>
      <c r="L333" s="253"/>
      <c r="M333" s="253"/>
      <c r="N333" s="253"/>
      <c r="O333" s="253"/>
      <c r="P333" s="253"/>
      <c r="Q333" s="253"/>
    </row>
    <row r="334" spans="1:17">
      <c r="A334" s="253"/>
      <c r="B334" s="253"/>
      <c r="C334" s="253"/>
      <c r="D334" s="253"/>
      <c r="E334" s="253"/>
      <c r="F334" s="253"/>
      <c r="G334" s="253"/>
      <c r="H334" s="253"/>
      <c r="I334" s="253"/>
      <c r="J334" s="253"/>
      <c r="K334" s="253"/>
      <c r="L334" s="253"/>
      <c r="M334" s="253"/>
      <c r="N334" s="253"/>
      <c r="O334" s="253"/>
      <c r="P334" s="253"/>
      <c r="Q334" s="253"/>
    </row>
    <row r="335" spans="1:17">
      <c r="A335" s="253"/>
      <c r="B335" s="253"/>
      <c r="C335" s="253"/>
      <c r="D335" s="253"/>
      <c r="E335" s="253"/>
      <c r="F335" s="253"/>
      <c r="G335" s="253"/>
      <c r="H335" s="253"/>
      <c r="I335" s="253"/>
      <c r="J335" s="253"/>
      <c r="K335" s="253"/>
      <c r="L335" s="253"/>
      <c r="M335" s="253"/>
      <c r="N335" s="253"/>
      <c r="O335" s="253"/>
      <c r="P335" s="253"/>
      <c r="Q335" s="253"/>
    </row>
    <row r="336" spans="1:17">
      <c r="A336" s="253"/>
      <c r="B336" s="253"/>
      <c r="C336" s="253"/>
      <c r="D336" s="253"/>
      <c r="E336" s="253"/>
      <c r="F336" s="253"/>
      <c r="G336" s="253"/>
      <c r="H336" s="253"/>
      <c r="I336" s="253"/>
      <c r="J336" s="253"/>
      <c r="K336" s="253"/>
      <c r="L336" s="253"/>
      <c r="M336" s="253"/>
      <c r="N336" s="253"/>
      <c r="O336" s="253"/>
      <c r="P336" s="253"/>
      <c r="Q336" s="253"/>
    </row>
    <row r="337" spans="1:17">
      <c r="A337" s="253"/>
      <c r="B337" s="253"/>
      <c r="C337" s="253"/>
      <c r="D337" s="253"/>
      <c r="E337" s="253"/>
      <c r="F337" s="253"/>
      <c r="G337" s="253"/>
      <c r="H337" s="253"/>
      <c r="I337" s="253"/>
      <c r="J337" s="253"/>
      <c r="K337" s="253"/>
      <c r="L337" s="253"/>
      <c r="M337" s="253"/>
      <c r="N337" s="253"/>
      <c r="O337" s="253"/>
      <c r="P337" s="253"/>
      <c r="Q337" s="253"/>
    </row>
    <row r="338" spans="1:17">
      <c r="A338" s="253"/>
      <c r="B338" s="253"/>
      <c r="C338" s="253"/>
      <c r="D338" s="253"/>
      <c r="E338" s="253"/>
      <c r="F338" s="253"/>
      <c r="G338" s="253"/>
      <c r="H338" s="253"/>
      <c r="I338" s="253"/>
      <c r="J338" s="253"/>
      <c r="K338" s="253"/>
      <c r="L338" s="253"/>
      <c r="M338" s="253"/>
      <c r="N338" s="253"/>
      <c r="O338" s="253"/>
      <c r="P338" s="253"/>
      <c r="Q338" s="253"/>
    </row>
    <row r="339" spans="1:17">
      <c r="A339" s="253"/>
      <c r="B339" s="253"/>
      <c r="C339" s="253"/>
      <c r="D339" s="253"/>
      <c r="E339" s="253"/>
      <c r="F339" s="253"/>
      <c r="G339" s="253"/>
      <c r="H339" s="253"/>
      <c r="I339" s="253"/>
      <c r="J339" s="253"/>
      <c r="K339" s="253"/>
      <c r="L339" s="253"/>
      <c r="M339" s="253"/>
      <c r="N339" s="253"/>
      <c r="O339" s="253"/>
      <c r="P339" s="253"/>
      <c r="Q339" s="253"/>
    </row>
    <row r="340" spans="1:17">
      <c r="A340" s="253"/>
      <c r="B340" s="253"/>
      <c r="C340" s="253"/>
      <c r="D340" s="253"/>
      <c r="E340" s="253"/>
      <c r="F340" s="253"/>
      <c r="G340" s="253"/>
      <c r="H340" s="253"/>
      <c r="I340" s="253"/>
      <c r="J340" s="253"/>
      <c r="K340" s="253"/>
      <c r="L340" s="253"/>
      <c r="M340" s="253"/>
      <c r="N340" s="253"/>
      <c r="O340" s="253"/>
      <c r="P340" s="253"/>
      <c r="Q340" s="253"/>
    </row>
    <row r="341" spans="1:17">
      <c r="A341" s="253"/>
      <c r="B341" s="253"/>
      <c r="C341" s="253"/>
      <c r="D341" s="253"/>
      <c r="E341" s="253"/>
      <c r="F341" s="253"/>
      <c r="G341" s="253"/>
      <c r="H341" s="253"/>
      <c r="I341" s="253"/>
      <c r="J341" s="253"/>
      <c r="K341" s="253"/>
      <c r="L341" s="253"/>
      <c r="M341" s="253"/>
      <c r="N341" s="253"/>
      <c r="O341" s="253"/>
      <c r="P341" s="253"/>
      <c r="Q341" s="253"/>
    </row>
    <row r="342" spans="1:17">
      <c r="A342" s="253"/>
      <c r="B342" s="253"/>
      <c r="C342" s="253"/>
      <c r="D342" s="253"/>
      <c r="E342" s="253"/>
      <c r="F342" s="253"/>
      <c r="G342" s="253"/>
      <c r="H342" s="253"/>
      <c r="I342" s="253"/>
      <c r="J342" s="253"/>
      <c r="K342" s="253"/>
      <c r="L342" s="253"/>
      <c r="M342" s="253"/>
      <c r="N342" s="253"/>
      <c r="O342" s="253"/>
      <c r="P342" s="253"/>
      <c r="Q342" s="253"/>
    </row>
    <row r="343" spans="1:17">
      <c r="A343" s="253"/>
      <c r="B343" s="253"/>
      <c r="C343" s="253"/>
      <c r="D343" s="253"/>
      <c r="E343" s="253"/>
      <c r="F343" s="253"/>
      <c r="G343" s="253"/>
      <c r="H343" s="253"/>
      <c r="I343" s="253"/>
      <c r="J343" s="253"/>
      <c r="K343" s="253"/>
      <c r="L343" s="253"/>
      <c r="M343" s="253"/>
      <c r="N343" s="253"/>
      <c r="O343" s="253"/>
      <c r="P343" s="253"/>
      <c r="Q343" s="253"/>
    </row>
    <row r="344" spans="1:17">
      <c r="A344" s="253"/>
      <c r="B344" s="253"/>
      <c r="C344" s="253"/>
      <c r="D344" s="253"/>
      <c r="E344" s="253"/>
      <c r="F344" s="253"/>
      <c r="G344" s="253"/>
      <c r="H344" s="253"/>
      <c r="I344" s="253"/>
      <c r="J344" s="253"/>
      <c r="K344" s="253"/>
      <c r="L344" s="253"/>
      <c r="M344" s="253"/>
      <c r="N344" s="253"/>
      <c r="O344" s="253"/>
      <c r="P344" s="253"/>
      <c r="Q344" s="253"/>
    </row>
    <row r="345" spans="1:17">
      <c r="A345" s="253"/>
      <c r="B345" s="253"/>
      <c r="C345" s="253"/>
      <c r="D345" s="253"/>
      <c r="E345" s="253"/>
      <c r="F345" s="253"/>
      <c r="G345" s="253"/>
      <c r="H345" s="253"/>
      <c r="I345" s="253"/>
      <c r="J345" s="253"/>
      <c r="K345" s="253"/>
      <c r="L345" s="253"/>
      <c r="M345" s="253"/>
      <c r="N345" s="253"/>
      <c r="O345" s="253"/>
      <c r="P345" s="253"/>
      <c r="Q345" s="253"/>
    </row>
    <row r="346" spans="1:17">
      <c r="A346" s="253"/>
      <c r="B346" s="253"/>
      <c r="C346" s="253"/>
      <c r="D346" s="253"/>
      <c r="E346" s="253"/>
      <c r="F346" s="253"/>
      <c r="G346" s="253"/>
      <c r="H346" s="253"/>
      <c r="I346" s="253"/>
      <c r="J346" s="253"/>
      <c r="K346" s="253"/>
      <c r="L346" s="253"/>
      <c r="M346" s="253"/>
      <c r="N346" s="253"/>
      <c r="O346" s="253"/>
      <c r="P346" s="253"/>
      <c r="Q346" s="253"/>
    </row>
    <row r="347" spans="1:17">
      <c r="A347" s="253"/>
      <c r="B347" s="253"/>
      <c r="C347" s="253"/>
      <c r="D347" s="253"/>
      <c r="E347" s="253"/>
      <c r="F347" s="253"/>
      <c r="G347" s="253"/>
      <c r="H347" s="253"/>
      <c r="I347" s="253"/>
      <c r="J347" s="253"/>
      <c r="K347" s="253"/>
      <c r="L347" s="253"/>
      <c r="M347" s="253"/>
      <c r="N347" s="253"/>
      <c r="O347" s="253"/>
      <c r="P347" s="253"/>
      <c r="Q347" s="253"/>
    </row>
    <row r="348" spans="1:17">
      <c r="A348" s="253"/>
      <c r="B348" s="253"/>
      <c r="C348" s="253"/>
      <c r="D348" s="253"/>
      <c r="E348" s="253"/>
      <c r="F348" s="253"/>
      <c r="G348" s="253"/>
      <c r="H348" s="253"/>
      <c r="I348" s="253"/>
      <c r="J348" s="253"/>
      <c r="K348" s="253"/>
      <c r="L348" s="253"/>
      <c r="M348" s="253"/>
      <c r="N348" s="253"/>
      <c r="O348" s="253"/>
      <c r="P348" s="253"/>
      <c r="Q348" s="253"/>
    </row>
    <row r="349" spans="1:17">
      <c r="A349" s="253"/>
      <c r="B349" s="253"/>
      <c r="C349" s="253"/>
      <c r="D349" s="253"/>
      <c r="E349" s="253"/>
      <c r="F349" s="253"/>
      <c r="G349" s="253"/>
      <c r="H349" s="253"/>
      <c r="I349" s="253"/>
      <c r="J349" s="253"/>
      <c r="K349" s="253"/>
      <c r="L349" s="253"/>
      <c r="M349" s="253"/>
      <c r="N349" s="253"/>
      <c r="O349" s="253"/>
      <c r="P349" s="253"/>
      <c r="Q349" s="253"/>
    </row>
    <row r="350" spans="1:17">
      <c r="A350" s="253"/>
      <c r="B350" s="253"/>
      <c r="C350" s="253"/>
      <c r="D350" s="253"/>
      <c r="E350" s="253"/>
      <c r="F350" s="253"/>
      <c r="G350" s="253"/>
      <c r="H350" s="253"/>
      <c r="I350" s="253"/>
      <c r="J350" s="253"/>
      <c r="K350" s="253"/>
      <c r="L350" s="253"/>
      <c r="M350" s="253"/>
      <c r="N350" s="253"/>
      <c r="O350" s="253"/>
      <c r="P350" s="253"/>
      <c r="Q350" s="253"/>
    </row>
    <row r="351" spans="1:17">
      <c r="A351" s="253"/>
      <c r="B351" s="253"/>
      <c r="C351" s="253"/>
      <c r="D351" s="253"/>
      <c r="E351" s="253"/>
      <c r="F351" s="253"/>
      <c r="G351" s="253"/>
      <c r="H351" s="253"/>
      <c r="I351" s="253"/>
      <c r="J351" s="253"/>
      <c r="K351" s="253"/>
      <c r="L351" s="253"/>
      <c r="M351" s="253"/>
      <c r="N351" s="253"/>
      <c r="O351" s="253"/>
      <c r="P351" s="253"/>
      <c r="Q351" s="253"/>
    </row>
    <row r="352" spans="1:17">
      <c r="A352" s="253"/>
      <c r="B352" s="253"/>
      <c r="C352" s="253"/>
      <c r="D352" s="253"/>
      <c r="E352" s="253"/>
      <c r="F352" s="253"/>
      <c r="G352" s="253"/>
      <c r="H352" s="253"/>
      <c r="I352" s="253"/>
      <c r="J352" s="253"/>
      <c r="K352" s="253"/>
      <c r="L352" s="253"/>
      <c r="M352" s="253"/>
      <c r="N352" s="253"/>
      <c r="O352" s="253"/>
      <c r="P352" s="253"/>
      <c r="Q352" s="253"/>
    </row>
    <row r="353" spans="1:17">
      <c r="A353" s="253"/>
      <c r="B353" s="253"/>
      <c r="C353" s="253"/>
      <c r="D353" s="253"/>
      <c r="E353" s="253"/>
      <c r="F353" s="253"/>
      <c r="G353" s="253"/>
      <c r="H353" s="253"/>
      <c r="I353" s="253"/>
      <c r="J353" s="253"/>
      <c r="K353" s="253"/>
      <c r="L353" s="253"/>
      <c r="M353" s="253"/>
      <c r="N353" s="253"/>
      <c r="O353" s="253"/>
      <c r="P353" s="253"/>
      <c r="Q353" s="253"/>
    </row>
    <row r="354" spans="1:17">
      <c r="A354" s="253"/>
      <c r="B354" s="253"/>
      <c r="C354" s="253"/>
      <c r="D354" s="253"/>
      <c r="E354" s="253"/>
      <c r="F354" s="253"/>
      <c r="G354" s="253"/>
      <c r="H354" s="253"/>
      <c r="I354" s="253"/>
      <c r="J354" s="253"/>
      <c r="K354" s="253"/>
      <c r="L354" s="253"/>
      <c r="M354" s="253"/>
      <c r="N354" s="253"/>
      <c r="O354" s="253"/>
      <c r="P354" s="253"/>
      <c r="Q354" s="253"/>
    </row>
    <row r="355" spans="1:17">
      <c r="A355" s="253"/>
      <c r="B355" s="253"/>
      <c r="C355" s="253"/>
      <c r="D355" s="253"/>
      <c r="E355" s="253"/>
      <c r="F355" s="253"/>
      <c r="G355" s="253"/>
      <c r="H355" s="253"/>
      <c r="I355" s="253"/>
      <c r="J355" s="253"/>
      <c r="K355" s="253"/>
      <c r="L355" s="253"/>
      <c r="M355" s="253"/>
      <c r="N355" s="253"/>
      <c r="O355" s="253"/>
      <c r="P355" s="253"/>
      <c r="Q355" s="253"/>
    </row>
    <row r="356" spans="1:17">
      <c r="A356" s="253"/>
      <c r="B356" s="253"/>
      <c r="C356" s="253"/>
      <c r="D356" s="253"/>
      <c r="E356" s="253"/>
      <c r="F356" s="253"/>
      <c r="G356" s="253"/>
      <c r="H356" s="253"/>
      <c r="I356" s="253"/>
      <c r="J356" s="253"/>
      <c r="K356" s="253"/>
      <c r="L356" s="253"/>
      <c r="M356" s="253"/>
      <c r="N356" s="253"/>
      <c r="O356" s="253"/>
      <c r="P356" s="253"/>
      <c r="Q356" s="253"/>
    </row>
    <row r="357" spans="1:17">
      <c r="A357" s="253"/>
      <c r="B357" s="253"/>
      <c r="C357" s="253"/>
      <c r="D357" s="253"/>
      <c r="E357" s="253"/>
      <c r="F357" s="253"/>
      <c r="G357" s="253"/>
      <c r="H357" s="253"/>
      <c r="I357" s="253"/>
      <c r="J357" s="253"/>
      <c r="K357" s="253"/>
      <c r="L357" s="253"/>
      <c r="M357" s="253"/>
      <c r="N357" s="253"/>
      <c r="O357" s="253"/>
      <c r="P357" s="253"/>
      <c r="Q357" s="253"/>
    </row>
    <row r="358" spans="1:17">
      <c r="A358" s="253"/>
      <c r="B358" s="253"/>
      <c r="C358" s="253"/>
      <c r="D358" s="253"/>
      <c r="E358" s="253"/>
      <c r="F358" s="253"/>
      <c r="G358" s="253"/>
      <c r="H358" s="253"/>
      <c r="I358" s="253"/>
      <c r="J358" s="253"/>
      <c r="K358" s="253"/>
      <c r="L358" s="253"/>
      <c r="M358" s="253"/>
      <c r="N358" s="253"/>
      <c r="O358" s="253"/>
      <c r="P358" s="253"/>
      <c r="Q358" s="253"/>
    </row>
    <row r="359" spans="1:17">
      <c r="A359" s="253"/>
      <c r="B359" s="253"/>
      <c r="C359" s="253"/>
      <c r="D359" s="253"/>
      <c r="E359" s="253"/>
      <c r="F359" s="253"/>
      <c r="G359" s="253"/>
      <c r="H359" s="253"/>
      <c r="I359" s="253"/>
      <c r="J359" s="253"/>
      <c r="K359" s="253"/>
      <c r="L359" s="253"/>
      <c r="M359" s="253"/>
      <c r="N359" s="253"/>
      <c r="O359" s="253"/>
      <c r="P359" s="253"/>
      <c r="Q359" s="253"/>
    </row>
    <row r="360" spans="1:17">
      <c r="A360" s="253"/>
      <c r="B360" s="253"/>
      <c r="C360" s="253"/>
      <c r="D360" s="253"/>
      <c r="E360" s="253"/>
      <c r="F360" s="253"/>
      <c r="G360" s="253"/>
      <c r="H360" s="253"/>
      <c r="I360" s="253"/>
      <c r="J360" s="253"/>
      <c r="K360" s="253"/>
      <c r="L360" s="253"/>
      <c r="M360" s="253"/>
      <c r="N360" s="253"/>
      <c r="O360" s="253"/>
      <c r="P360" s="253"/>
      <c r="Q360" s="253"/>
    </row>
    <row r="361" spans="1:17">
      <c r="A361" s="253"/>
      <c r="B361" s="253"/>
      <c r="C361" s="253"/>
      <c r="D361" s="253"/>
      <c r="E361" s="253"/>
      <c r="F361" s="253"/>
      <c r="G361" s="253"/>
      <c r="H361" s="253"/>
      <c r="I361" s="253"/>
      <c r="J361" s="253"/>
      <c r="K361" s="253"/>
      <c r="L361" s="253"/>
      <c r="M361" s="253"/>
      <c r="N361" s="253"/>
      <c r="O361" s="253"/>
      <c r="P361" s="253"/>
      <c r="Q361" s="253"/>
    </row>
    <row r="362" spans="1:17">
      <c r="A362" s="253"/>
      <c r="B362" s="253"/>
      <c r="C362" s="253"/>
      <c r="D362" s="253"/>
      <c r="E362" s="253"/>
      <c r="F362" s="253"/>
      <c r="G362" s="253"/>
      <c r="H362" s="253"/>
      <c r="I362" s="253"/>
      <c r="J362" s="253"/>
      <c r="K362" s="253"/>
      <c r="L362" s="253"/>
      <c r="M362" s="253"/>
      <c r="N362" s="253"/>
      <c r="O362" s="253"/>
      <c r="P362" s="253"/>
      <c r="Q362" s="253"/>
    </row>
    <row r="363" spans="1:17">
      <c r="A363" s="253"/>
      <c r="B363" s="253"/>
      <c r="C363" s="253"/>
      <c r="D363" s="253"/>
      <c r="E363" s="253"/>
      <c r="F363" s="253"/>
      <c r="G363" s="253"/>
      <c r="H363" s="253"/>
      <c r="I363" s="253"/>
      <c r="J363" s="253"/>
      <c r="K363" s="253"/>
      <c r="L363" s="253"/>
      <c r="M363" s="253"/>
      <c r="N363" s="253"/>
      <c r="O363" s="253"/>
      <c r="P363" s="253"/>
      <c r="Q363" s="253"/>
    </row>
    <row r="364" spans="1:17">
      <c r="A364" s="253"/>
      <c r="B364" s="253"/>
      <c r="C364" s="253"/>
      <c r="D364" s="253"/>
      <c r="E364" s="253"/>
      <c r="F364" s="253"/>
      <c r="G364" s="253"/>
      <c r="H364" s="253"/>
      <c r="I364" s="253"/>
      <c r="J364" s="253"/>
      <c r="K364" s="253"/>
      <c r="L364" s="253"/>
      <c r="M364" s="253"/>
      <c r="N364" s="253"/>
      <c r="O364" s="253"/>
      <c r="P364" s="253"/>
      <c r="Q364" s="253"/>
    </row>
    <row r="365" spans="1:17">
      <c r="A365" s="253"/>
      <c r="B365" s="253"/>
      <c r="C365" s="253"/>
      <c r="D365" s="253"/>
      <c r="E365" s="253"/>
      <c r="F365" s="253"/>
      <c r="G365" s="253"/>
      <c r="H365" s="253"/>
      <c r="I365" s="253"/>
      <c r="J365" s="253"/>
      <c r="K365" s="253"/>
      <c r="L365" s="253"/>
      <c r="M365" s="253"/>
      <c r="N365" s="253"/>
      <c r="O365" s="253"/>
      <c r="P365" s="253"/>
      <c r="Q365" s="253"/>
    </row>
    <row r="366" spans="1:17">
      <c r="A366" s="253"/>
      <c r="B366" s="253"/>
      <c r="C366" s="253"/>
      <c r="D366" s="253"/>
      <c r="E366" s="253"/>
      <c r="F366" s="253"/>
      <c r="G366" s="253"/>
      <c r="H366" s="253"/>
      <c r="I366" s="253"/>
      <c r="J366" s="253"/>
      <c r="K366" s="253"/>
      <c r="L366" s="253"/>
      <c r="M366" s="253"/>
      <c r="N366" s="253"/>
      <c r="O366" s="253"/>
      <c r="P366" s="253"/>
      <c r="Q366" s="253"/>
    </row>
    <row r="367" spans="1:17">
      <c r="A367" s="253"/>
      <c r="B367" s="253"/>
      <c r="C367" s="253"/>
      <c r="D367" s="253"/>
      <c r="E367" s="253"/>
      <c r="F367" s="253"/>
      <c r="G367" s="253"/>
      <c r="H367" s="253"/>
      <c r="I367" s="253"/>
      <c r="J367" s="253"/>
      <c r="K367" s="253"/>
      <c r="L367" s="253"/>
      <c r="M367" s="253"/>
      <c r="N367" s="253"/>
      <c r="O367" s="253"/>
      <c r="P367" s="253"/>
      <c r="Q367" s="253"/>
    </row>
    <row r="368" spans="1:17">
      <c r="A368" s="253"/>
      <c r="B368" s="253"/>
      <c r="C368" s="253"/>
      <c r="D368" s="253"/>
      <c r="E368" s="253"/>
      <c r="F368" s="253"/>
      <c r="G368" s="253"/>
      <c r="H368" s="253"/>
      <c r="I368" s="253"/>
      <c r="J368" s="253"/>
      <c r="K368" s="253"/>
      <c r="L368" s="253"/>
      <c r="M368" s="253"/>
      <c r="N368" s="253"/>
      <c r="O368" s="253"/>
      <c r="P368" s="253"/>
      <c r="Q368" s="253"/>
    </row>
    <row r="369" spans="1:17">
      <c r="A369" s="253"/>
      <c r="B369" s="253"/>
      <c r="C369" s="253"/>
      <c r="D369" s="253"/>
      <c r="E369" s="253"/>
      <c r="F369" s="253"/>
      <c r="G369" s="253"/>
      <c r="H369" s="253"/>
      <c r="I369" s="253"/>
      <c r="J369" s="253"/>
      <c r="K369" s="253"/>
      <c r="L369" s="253"/>
      <c r="M369" s="253"/>
      <c r="N369" s="253"/>
      <c r="O369" s="253"/>
      <c r="P369" s="253"/>
      <c r="Q369" s="253"/>
    </row>
    <row r="370" spans="1:17">
      <c r="A370" s="253"/>
      <c r="B370" s="253"/>
      <c r="C370" s="253"/>
      <c r="D370" s="253"/>
      <c r="E370" s="253"/>
      <c r="F370" s="253"/>
      <c r="G370" s="253"/>
      <c r="H370" s="253"/>
      <c r="I370" s="253"/>
      <c r="J370" s="253"/>
      <c r="K370" s="253"/>
      <c r="L370" s="253"/>
      <c r="M370" s="253"/>
      <c r="N370" s="253"/>
      <c r="O370" s="253"/>
      <c r="P370" s="253"/>
      <c r="Q370" s="253"/>
    </row>
    <row r="371" spans="1:17">
      <c r="A371" s="253"/>
      <c r="B371" s="253"/>
      <c r="C371" s="253"/>
      <c r="D371" s="253"/>
      <c r="E371" s="253"/>
      <c r="F371" s="253"/>
      <c r="G371" s="253"/>
      <c r="H371" s="253"/>
      <c r="I371" s="253"/>
      <c r="J371" s="253"/>
      <c r="K371" s="253"/>
      <c r="L371" s="253"/>
      <c r="M371" s="253"/>
      <c r="N371" s="253"/>
      <c r="O371" s="253"/>
      <c r="P371" s="253"/>
      <c r="Q371" s="253"/>
    </row>
    <row r="372" spans="1:17">
      <c r="A372" s="253"/>
      <c r="B372" s="253"/>
      <c r="C372" s="253"/>
      <c r="D372" s="253"/>
      <c r="E372" s="253"/>
      <c r="F372" s="253"/>
      <c r="G372" s="253"/>
      <c r="H372" s="253"/>
      <c r="I372" s="253"/>
      <c r="J372" s="253"/>
      <c r="K372" s="253"/>
      <c r="L372" s="253"/>
      <c r="M372" s="253"/>
      <c r="N372" s="253"/>
      <c r="O372" s="253"/>
      <c r="P372" s="253"/>
      <c r="Q372" s="253"/>
    </row>
    <row r="373" spans="1:17">
      <c r="A373" s="253"/>
      <c r="B373" s="253"/>
      <c r="C373" s="253"/>
      <c r="D373" s="253"/>
      <c r="E373" s="253"/>
      <c r="F373" s="253"/>
      <c r="G373" s="253"/>
      <c r="H373" s="253"/>
      <c r="I373" s="253"/>
      <c r="J373" s="253"/>
      <c r="K373" s="253"/>
      <c r="L373" s="253"/>
      <c r="M373" s="253"/>
      <c r="N373" s="253"/>
      <c r="O373" s="253"/>
      <c r="P373" s="253"/>
      <c r="Q373" s="253"/>
    </row>
    <row r="374" spans="1:17">
      <c r="A374" s="253"/>
      <c r="B374" s="253"/>
      <c r="C374" s="253"/>
      <c r="D374" s="253"/>
      <c r="E374" s="253"/>
      <c r="F374" s="253"/>
      <c r="G374" s="253"/>
      <c r="H374" s="253"/>
      <c r="I374" s="253"/>
      <c r="J374" s="253"/>
      <c r="K374" s="253"/>
      <c r="L374" s="253"/>
      <c r="M374" s="253"/>
      <c r="N374" s="253"/>
      <c r="O374" s="253"/>
      <c r="P374" s="253"/>
      <c r="Q374" s="253"/>
    </row>
    <row r="375" spans="1:17">
      <c r="A375" s="253"/>
      <c r="B375" s="253"/>
      <c r="C375" s="253"/>
      <c r="D375" s="253"/>
      <c r="E375" s="253"/>
      <c r="F375" s="253"/>
      <c r="G375" s="253"/>
      <c r="H375" s="253"/>
      <c r="I375" s="253"/>
      <c r="J375" s="253"/>
      <c r="K375" s="253"/>
      <c r="L375" s="253"/>
      <c r="M375" s="253"/>
      <c r="N375" s="253"/>
      <c r="O375" s="253"/>
      <c r="P375" s="253"/>
      <c r="Q375" s="253"/>
    </row>
    <row r="376" spans="1:17">
      <c r="A376" s="253"/>
      <c r="B376" s="253"/>
      <c r="C376" s="253"/>
      <c r="D376" s="253"/>
      <c r="E376" s="253"/>
      <c r="F376" s="253"/>
      <c r="G376" s="253"/>
      <c r="H376" s="253"/>
      <c r="I376" s="253"/>
      <c r="J376" s="253"/>
      <c r="K376" s="253"/>
      <c r="L376" s="253"/>
      <c r="M376" s="253"/>
      <c r="N376" s="253"/>
      <c r="O376" s="253"/>
      <c r="P376" s="253"/>
      <c r="Q376" s="253"/>
    </row>
    <row r="377" spans="1:17">
      <c r="A377" s="253"/>
      <c r="B377" s="253"/>
      <c r="C377" s="253"/>
      <c r="D377" s="253"/>
      <c r="E377" s="253"/>
      <c r="F377" s="253"/>
      <c r="G377" s="253"/>
      <c r="H377" s="253"/>
      <c r="I377" s="253"/>
      <c r="J377" s="253"/>
      <c r="K377" s="253"/>
      <c r="L377" s="253"/>
      <c r="M377" s="253"/>
      <c r="N377" s="253"/>
      <c r="O377" s="253"/>
      <c r="P377" s="253"/>
      <c r="Q377" s="253"/>
    </row>
    <row r="378" spans="1:17">
      <c r="A378" s="253"/>
      <c r="B378" s="253"/>
      <c r="C378" s="253"/>
      <c r="D378" s="253"/>
      <c r="E378" s="253"/>
      <c r="F378" s="253"/>
      <c r="G378" s="253"/>
      <c r="H378" s="253"/>
      <c r="I378" s="253"/>
      <c r="J378" s="253"/>
      <c r="K378" s="253"/>
      <c r="L378" s="253"/>
      <c r="M378" s="253"/>
      <c r="N378" s="253"/>
      <c r="O378" s="253"/>
      <c r="P378" s="253"/>
      <c r="Q378" s="253"/>
    </row>
    <row r="379" spans="1:17">
      <c r="A379" s="253"/>
      <c r="B379" s="253"/>
      <c r="C379" s="253"/>
      <c r="D379" s="253"/>
      <c r="E379" s="253"/>
      <c r="F379" s="253"/>
      <c r="G379" s="253"/>
      <c r="H379" s="253"/>
      <c r="I379" s="253"/>
      <c r="J379" s="253"/>
      <c r="K379" s="253"/>
      <c r="L379" s="253"/>
      <c r="M379" s="253"/>
      <c r="N379" s="253"/>
      <c r="O379" s="253"/>
      <c r="P379" s="253"/>
      <c r="Q379" s="253"/>
    </row>
    <row r="380" spans="1:17">
      <c r="A380" s="253"/>
      <c r="B380" s="253"/>
      <c r="C380" s="253"/>
      <c r="D380" s="253"/>
      <c r="E380" s="253"/>
      <c r="F380" s="253"/>
      <c r="G380" s="253"/>
      <c r="H380" s="253"/>
      <c r="I380" s="253"/>
      <c r="J380" s="253"/>
      <c r="K380" s="253"/>
      <c r="L380" s="253"/>
      <c r="M380" s="253"/>
      <c r="N380" s="253"/>
      <c r="O380" s="253"/>
      <c r="P380" s="253"/>
      <c r="Q380" s="253"/>
    </row>
    <row r="381" spans="1:17">
      <c r="A381" s="253"/>
      <c r="B381" s="253"/>
      <c r="C381" s="253"/>
      <c r="D381" s="253"/>
      <c r="E381" s="253"/>
      <c r="F381" s="253"/>
      <c r="G381" s="253"/>
      <c r="H381" s="253"/>
      <c r="I381" s="253"/>
      <c r="J381" s="253"/>
      <c r="K381" s="253"/>
      <c r="L381" s="253"/>
      <c r="M381" s="253"/>
      <c r="N381" s="253"/>
      <c r="O381" s="253"/>
      <c r="P381" s="253"/>
      <c r="Q381" s="253"/>
    </row>
    <row r="382" spans="1:17">
      <c r="A382" s="253"/>
      <c r="B382" s="253"/>
      <c r="C382" s="253"/>
      <c r="D382" s="253"/>
      <c r="E382" s="253"/>
      <c r="F382" s="253"/>
      <c r="G382" s="253"/>
      <c r="H382" s="253"/>
      <c r="I382" s="253"/>
      <c r="J382" s="253"/>
      <c r="K382" s="253"/>
      <c r="L382" s="253"/>
      <c r="M382" s="253"/>
      <c r="N382" s="253"/>
      <c r="O382" s="253"/>
      <c r="P382" s="253"/>
      <c r="Q382" s="253"/>
    </row>
    <row r="383" spans="1:17">
      <c r="A383" s="253"/>
      <c r="B383" s="253"/>
      <c r="C383" s="253"/>
      <c r="D383" s="253"/>
      <c r="E383" s="253"/>
      <c r="F383" s="253"/>
      <c r="G383" s="253"/>
      <c r="H383" s="253"/>
      <c r="I383" s="253"/>
      <c r="J383" s="253"/>
      <c r="K383" s="253"/>
      <c r="L383" s="253"/>
      <c r="M383" s="253"/>
      <c r="N383" s="253"/>
      <c r="O383" s="253"/>
      <c r="P383" s="253"/>
      <c r="Q383" s="253"/>
    </row>
    <row r="384" spans="1:17">
      <c r="A384" s="253"/>
      <c r="B384" s="253"/>
      <c r="C384" s="253"/>
      <c r="D384" s="253"/>
      <c r="E384" s="253"/>
      <c r="F384" s="253"/>
      <c r="G384" s="253"/>
      <c r="H384" s="253"/>
      <c r="I384" s="253"/>
      <c r="J384" s="253"/>
      <c r="K384" s="253"/>
      <c r="L384" s="253"/>
      <c r="M384" s="253"/>
      <c r="N384" s="253"/>
      <c r="O384" s="253"/>
      <c r="P384" s="253"/>
      <c r="Q384" s="253"/>
    </row>
    <row r="385" spans="1:17">
      <c r="A385" s="253"/>
      <c r="B385" s="253"/>
      <c r="C385" s="253"/>
      <c r="D385" s="253"/>
      <c r="E385" s="253"/>
      <c r="F385" s="253"/>
      <c r="G385" s="253"/>
      <c r="H385" s="253"/>
      <c r="I385" s="253"/>
      <c r="J385" s="253"/>
      <c r="K385" s="253"/>
      <c r="L385" s="253"/>
      <c r="M385" s="253"/>
      <c r="N385" s="253"/>
      <c r="O385" s="253"/>
      <c r="P385" s="253"/>
      <c r="Q385" s="253"/>
    </row>
    <row r="386" spans="1:17">
      <c r="A386" s="253"/>
      <c r="B386" s="253"/>
      <c r="C386" s="253"/>
      <c r="D386" s="253"/>
      <c r="E386" s="253"/>
      <c r="F386" s="253"/>
      <c r="G386" s="253"/>
      <c r="H386" s="253"/>
      <c r="I386" s="253"/>
      <c r="J386" s="253"/>
      <c r="K386" s="253"/>
      <c r="L386" s="253"/>
      <c r="M386" s="253"/>
      <c r="N386" s="253"/>
      <c r="O386" s="253"/>
      <c r="P386" s="253"/>
      <c r="Q386" s="253"/>
    </row>
    <row r="387" spans="1:17">
      <c r="A387" s="253"/>
      <c r="B387" s="253"/>
      <c r="C387" s="253"/>
      <c r="D387" s="253"/>
      <c r="E387" s="253"/>
      <c r="F387" s="253"/>
      <c r="G387" s="253"/>
      <c r="H387" s="253"/>
      <c r="I387" s="253"/>
      <c r="J387" s="253"/>
      <c r="K387" s="253"/>
      <c r="L387" s="253"/>
      <c r="M387" s="253"/>
      <c r="N387" s="253"/>
      <c r="O387" s="253"/>
      <c r="P387" s="253"/>
      <c r="Q387" s="253"/>
    </row>
    <row r="388" spans="1:17">
      <c r="A388" s="253"/>
      <c r="B388" s="253"/>
      <c r="C388" s="253"/>
      <c r="D388" s="253"/>
      <c r="E388" s="253"/>
      <c r="F388" s="253"/>
      <c r="G388" s="253"/>
      <c r="H388" s="253"/>
      <c r="I388" s="253"/>
      <c r="J388" s="253"/>
      <c r="K388" s="253"/>
      <c r="L388" s="253"/>
      <c r="M388" s="253"/>
      <c r="N388" s="253"/>
      <c r="O388" s="253"/>
      <c r="P388" s="253"/>
      <c r="Q388" s="253"/>
    </row>
    <row r="389" spans="1:17">
      <c r="A389" s="253"/>
      <c r="B389" s="253"/>
      <c r="C389" s="253"/>
      <c r="D389" s="253"/>
      <c r="E389" s="253"/>
      <c r="F389" s="253"/>
      <c r="G389" s="253"/>
      <c r="H389" s="253"/>
      <c r="I389" s="253"/>
      <c r="J389" s="253"/>
      <c r="K389" s="253"/>
      <c r="L389" s="253"/>
      <c r="M389" s="253"/>
      <c r="N389" s="253"/>
      <c r="O389" s="253"/>
      <c r="P389" s="253"/>
      <c r="Q389" s="253"/>
    </row>
    <row r="390" spans="1:17">
      <c r="A390" s="253"/>
      <c r="B390" s="253"/>
      <c r="C390" s="253"/>
      <c r="D390" s="253"/>
      <c r="E390" s="253"/>
      <c r="F390" s="253"/>
      <c r="G390" s="253"/>
      <c r="H390" s="253"/>
      <c r="I390" s="253"/>
      <c r="J390" s="253"/>
      <c r="K390" s="253"/>
      <c r="L390" s="253"/>
      <c r="M390" s="253"/>
      <c r="N390" s="253"/>
      <c r="O390" s="253"/>
      <c r="P390" s="253"/>
      <c r="Q390" s="253"/>
    </row>
    <row r="391" spans="1:17">
      <c r="A391" s="253"/>
      <c r="B391" s="253"/>
      <c r="C391" s="253"/>
      <c r="D391" s="253"/>
      <c r="E391" s="253"/>
      <c r="F391" s="253"/>
      <c r="G391" s="253"/>
      <c r="H391" s="253"/>
      <c r="I391" s="253"/>
      <c r="J391" s="253"/>
      <c r="K391" s="253"/>
      <c r="L391" s="253"/>
      <c r="M391" s="253"/>
      <c r="N391" s="253"/>
      <c r="O391" s="253"/>
      <c r="P391" s="253"/>
      <c r="Q391" s="253"/>
    </row>
    <row r="392" spans="1:17">
      <c r="A392" s="253"/>
      <c r="B392" s="253"/>
      <c r="C392" s="253"/>
      <c r="D392" s="253"/>
      <c r="E392" s="253"/>
      <c r="F392" s="253"/>
      <c r="G392" s="253"/>
      <c r="H392" s="253"/>
      <c r="I392" s="253"/>
      <c r="J392" s="253"/>
      <c r="K392" s="253"/>
      <c r="L392" s="253"/>
      <c r="M392" s="253"/>
      <c r="N392" s="253"/>
      <c r="O392" s="253"/>
      <c r="P392" s="253"/>
      <c r="Q392" s="253"/>
    </row>
    <row r="393" spans="1:17">
      <c r="A393" s="253"/>
      <c r="B393" s="253"/>
      <c r="C393" s="253"/>
      <c r="D393" s="253"/>
      <c r="E393" s="253"/>
      <c r="F393" s="253"/>
      <c r="G393" s="253"/>
      <c r="H393" s="253"/>
      <c r="I393" s="253"/>
      <c r="J393" s="253"/>
      <c r="K393" s="253"/>
      <c r="L393" s="253"/>
      <c r="M393" s="253"/>
      <c r="N393" s="253"/>
      <c r="O393" s="253"/>
      <c r="P393" s="253"/>
      <c r="Q393" s="253"/>
    </row>
    <row r="394" spans="1:17">
      <c r="A394" s="253"/>
      <c r="B394" s="253"/>
      <c r="C394" s="253"/>
      <c r="D394" s="253"/>
      <c r="E394" s="253"/>
      <c r="F394" s="253"/>
      <c r="G394" s="253"/>
      <c r="H394" s="253"/>
      <c r="I394" s="253"/>
      <c r="J394" s="253"/>
      <c r="K394" s="253"/>
      <c r="L394" s="253"/>
      <c r="M394" s="253"/>
      <c r="N394" s="253"/>
      <c r="O394" s="253"/>
      <c r="P394" s="253"/>
      <c r="Q394" s="253"/>
    </row>
    <row r="395" spans="1:17">
      <c r="A395" s="253"/>
      <c r="B395" s="253"/>
      <c r="C395" s="253"/>
      <c r="D395" s="253"/>
      <c r="E395" s="253"/>
      <c r="F395" s="253"/>
      <c r="G395" s="253"/>
      <c r="H395" s="253"/>
      <c r="I395" s="253"/>
      <c r="J395" s="253"/>
      <c r="K395" s="253"/>
      <c r="L395" s="253"/>
      <c r="M395" s="253"/>
      <c r="N395" s="253"/>
      <c r="O395" s="253"/>
      <c r="P395" s="253"/>
      <c r="Q395" s="253"/>
    </row>
    <row r="396" spans="1:17">
      <c r="A396" s="253"/>
      <c r="B396" s="253"/>
      <c r="C396" s="253"/>
      <c r="D396" s="253"/>
      <c r="E396" s="253"/>
      <c r="F396" s="253"/>
      <c r="G396" s="253"/>
      <c r="H396" s="253"/>
      <c r="I396" s="253"/>
      <c r="J396" s="253"/>
      <c r="K396" s="253"/>
      <c r="L396" s="253"/>
      <c r="M396" s="253"/>
      <c r="N396" s="253"/>
      <c r="O396" s="253"/>
      <c r="P396" s="253"/>
      <c r="Q396" s="253"/>
    </row>
    <row r="397" spans="1:17">
      <c r="A397" s="253"/>
      <c r="B397" s="253"/>
      <c r="C397" s="253"/>
      <c r="D397" s="253"/>
      <c r="E397" s="253"/>
      <c r="F397" s="253"/>
      <c r="G397" s="253"/>
      <c r="H397" s="253"/>
      <c r="I397" s="253"/>
      <c r="J397" s="253"/>
      <c r="K397" s="253"/>
      <c r="L397" s="253"/>
      <c r="M397" s="253"/>
      <c r="N397" s="253"/>
      <c r="O397" s="253"/>
      <c r="P397" s="253"/>
      <c r="Q397" s="253"/>
    </row>
    <row r="398" spans="1:17">
      <c r="A398" s="253"/>
      <c r="B398" s="253"/>
      <c r="C398" s="253"/>
      <c r="D398" s="253"/>
      <c r="E398" s="253"/>
      <c r="F398" s="253"/>
      <c r="G398" s="253"/>
      <c r="H398" s="253"/>
      <c r="I398" s="253"/>
      <c r="J398" s="253"/>
      <c r="K398" s="253"/>
      <c r="L398" s="253"/>
      <c r="M398" s="253"/>
      <c r="N398" s="253"/>
      <c r="O398" s="253"/>
      <c r="P398" s="253"/>
      <c r="Q398" s="253"/>
    </row>
    <row r="399" spans="1:17">
      <c r="A399" s="253"/>
      <c r="B399" s="253"/>
      <c r="C399" s="253"/>
      <c r="D399" s="253"/>
      <c r="E399" s="253"/>
      <c r="F399" s="253"/>
      <c r="G399" s="253"/>
      <c r="H399" s="253"/>
      <c r="I399" s="253"/>
      <c r="J399" s="253"/>
      <c r="K399" s="253"/>
      <c r="L399" s="253"/>
      <c r="M399" s="253"/>
      <c r="N399" s="253"/>
      <c r="O399" s="253"/>
      <c r="P399" s="253"/>
      <c r="Q399" s="253"/>
    </row>
    <row r="400" spans="1:17">
      <c r="A400" s="253"/>
      <c r="B400" s="253"/>
      <c r="C400" s="253"/>
      <c r="D400" s="253"/>
      <c r="E400" s="253"/>
      <c r="F400" s="253"/>
      <c r="G400" s="253"/>
      <c r="H400" s="253"/>
      <c r="I400" s="253"/>
      <c r="J400" s="253"/>
      <c r="K400" s="253"/>
      <c r="L400" s="253"/>
      <c r="M400" s="253"/>
      <c r="N400" s="253"/>
      <c r="O400" s="253"/>
      <c r="P400" s="253"/>
      <c r="Q400" s="253"/>
    </row>
    <row r="401" spans="1:17">
      <c r="A401" s="253"/>
      <c r="B401" s="253"/>
      <c r="C401" s="253"/>
      <c r="D401" s="253"/>
      <c r="E401" s="253"/>
      <c r="F401" s="253"/>
      <c r="G401" s="253"/>
      <c r="H401" s="253"/>
      <c r="I401" s="253"/>
      <c r="J401" s="253"/>
      <c r="K401" s="253"/>
      <c r="L401" s="253"/>
      <c r="M401" s="253"/>
      <c r="N401" s="253"/>
      <c r="O401" s="253"/>
      <c r="P401" s="253"/>
      <c r="Q401" s="253"/>
    </row>
    <row r="402" spans="1:17">
      <c r="A402" s="253"/>
      <c r="B402" s="253"/>
      <c r="C402" s="253"/>
      <c r="D402" s="253"/>
      <c r="E402" s="253"/>
      <c r="F402" s="253"/>
      <c r="G402" s="253"/>
      <c r="H402" s="253"/>
      <c r="I402" s="253"/>
      <c r="J402" s="253"/>
      <c r="K402" s="253"/>
      <c r="L402" s="253"/>
      <c r="M402" s="253"/>
      <c r="N402" s="253"/>
      <c r="O402" s="253"/>
      <c r="P402" s="253"/>
      <c r="Q402" s="253"/>
    </row>
    <row r="403" spans="1:17">
      <c r="A403" s="253"/>
      <c r="B403" s="253"/>
      <c r="C403" s="253"/>
      <c r="D403" s="253"/>
      <c r="E403" s="253"/>
      <c r="F403" s="253"/>
      <c r="G403" s="253"/>
      <c r="H403" s="253"/>
      <c r="I403" s="253"/>
      <c r="J403" s="253"/>
      <c r="K403" s="253"/>
      <c r="L403" s="253"/>
      <c r="M403" s="253"/>
      <c r="N403" s="253"/>
      <c r="O403" s="253"/>
      <c r="P403" s="253"/>
      <c r="Q403" s="253"/>
    </row>
    <row r="404" spans="1:17">
      <c r="A404" s="253"/>
      <c r="B404" s="253"/>
      <c r="C404" s="253"/>
      <c r="D404" s="253"/>
      <c r="E404" s="253"/>
      <c r="F404" s="253"/>
      <c r="G404" s="253"/>
      <c r="H404" s="253"/>
      <c r="I404" s="253"/>
      <c r="J404" s="253"/>
      <c r="K404" s="253"/>
      <c r="L404" s="253"/>
      <c r="M404" s="253"/>
      <c r="N404" s="253"/>
      <c r="O404" s="253"/>
      <c r="P404" s="253"/>
      <c r="Q404" s="253"/>
    </row>
    <row r="405" spans="1:17">
      <c r="A405" s="253"/>
      <c r="B405" s="253"/>
      <c r="C405" s="253"/>
      <c r="D405" s="253"/>
      <c r="E405" s="253"/>
      <c r="F405" s="253"/>
      <c r="G405" s="253"/>
      <c r="H405" s="253"/>
      <c r="I405" s="253"/>
      <c r="J405" s="253"/>
      <c r="K405" s="253"/>
      <c r="L405" s="253"/>
      <c r="M405" s="253"/>
      <c r="N405" s="253"/>
      <c r="O405" s="253"/>
      <c r="P405" s="253"/>
      <c r="Q405" s="253"/>
    </row>
    <row r="406" spans="1:17">
      <c r="A406" s="253"/>
      <c r="B406" s="253"/>
      <c r="C406" s="253"/>
      <c r="D406" s="253"/>
      <c r="E406" s="253"/>
      <c r="F406" s="253"/>
      <c r="G406" s="253"/>
      <c r="H406" s="253"/>
      <c r="I406" s="253"/>
      <c r="J406" s="253"/>
      <c r="K406" s="253"/>
      <c r="L406" s="253"/>
      <c r="M406" s="253"/>
      <c r="N406" s="253"/>
      <c r="O406" s="253"/>
      <c r="P406" s="253"/>
      <c r="Q406" s="253"/>
    </row>
    <row r="407" spans="1:17">
      <c r="A407" s="253"/>
      <c r="B407" s="253"/>
      <c r="C407" s="253"/>
      <c r="D407" s="253"/>
      <c r="E407" s="253"/>
      <c r="F407" s="253"/>
      <c r="G407" s="253"/>
      <c r="H407" s="253"/>
      <c r="I407" s="253"/>
      <c r="J407" s="253"/>
      <c r="K407" s="253"/>
      <c r="L407" s="253"/>
      <c r="M407" s="253"/>
      <c r="N407" s="253"/>
      <c r="O407" s="253"/>
      <c r="P407" s="253"/>
      <c r="Q407" s="253"/>
    </row>
    <row r="408" spans="1:17">
      <c r="A408" s="253"/>
      <c r="B408" s="253"/>
      <c r="C408" s="253"/>
      <c r="D408" s="253"/>
      <c r="E408" s="253"/>
      <c r="F408" s="253"/>
      <c r="G408" s="253"/>
      <c r="H408" s="253"/>
      <c r="I408" s="253"/>
      <c r="J408" s="253"/>
      <c r="K408" s="253"/>
      <c r="L408" s="253"/>
      <c r="M408" s="253"/>
      <c r="N408" s="253"/>
      <c r="O408" s="253"/>
      <c r="P408" s="253"/>
      <c r="Q408" s="253"/>
    </row>
    <row r="409" spans="1:17">
      <c r="A409" s="253"/>
      <c r="B409" s="253"/>
      <c r="C409" s="253"/>
      <c r="D409" s="253"/>
      <c r="E409" s="253"/>
      <c r="F409" s="253"/>
      <c r="G409" s="253"/>
      <c r="H409" s="253"/>
      <c r="I409" s="253"/>
      <c r="J409" s="253"/>
      <c r="K409" s="253"/>
      <c r="L409" s="253"/>
      <c r="M409" s="253"/>
      <c r="N409" s="253"/>
      <c r="O409" s="253"/>
      <c r="P409" s="253"/>
      <c r="Q409" s="253"/>
    </row>
    <row r="410" spans="1:17">
      <c r="A410" s="253"/>
      <c r="B410" s="253"/>
      <c r="C410" s="253"/>
      <c r="D410" s="253"/>
      <c r="E410" s="253"/>
      <c r="F410" s="253"/>
      <c r="G410" s="253"/>
      <c r="H410" s="253"/>
      <c r="I410" s="253"/>
      <c r="J410" s="253"/>
      <c r="K410" s="253"/>
      <c r="L410" s="253"/>
      <c r="M410" s="253"/>
      <c r="N410" s="253"/>
      <c r="O410" s="253"/>
      <c r="P410" s="253"/>
      <c r="Q410" s="253"/>
    </row>
    <row r="411" spans="1:17">
      <c r="A411" s="253"/>
      <c r="B411" s="253"/>
      <c r="C411" s="253"/>
      <c r="D411" s="253"/>
      <c r="E411" s="253"/>
      <c r="F411" s="253"/>
      <c r="G411" s="253"/>
      <c r="H411" s="253"/>
      <c r="I411" s="253"/>
      <c r="J411" s="253"/>
      <c r="K411" s="253"/>
      <c r="L411" s="253"/>
      <c r="M411" s="253"/>
      <c r="N411" s="253"/>
      <c r="O411" s="253"/>
      <c r="P411" s="253"/>
      <c r="Q411" s="253"/>
    </row>
    <row r="412" spans="1:17">
      <c r="A412" s="253"/>
      <c r="B412" s="253"/>
      <c r="C412" s="253"/>
      <c r="D412" s="253"/>
      <c r="E412" s="253"/>
      <c r="F412" s="253"/>
      <c r="G412" s="253"/>
      <c r="H412" s="253"/>
      <c r="I412" s="253"/>
      <c r="J412" s="253"/>
      <c r="K412" s="253"/>
      <c r="L412" s="253"/>
      <c r="M412" s="253"/>
      <c r="N412" s="253"/>
      <c r="O412" s="253"/>
      <c r="P412" s="253"/>
      <c r="Q412" s="253"/>
    </row>
    <row r="413" spans="1:17">
      <c r="A413" s="253"/>
      <c r="B413" s="253"/>
      <c r="C413" s="253"/>
      <c r="D413" s="253"/>
      <c r="E413" s="253"/>
      <c r="F413" s="253"/>
      <c r="G413" s="253"/>
      <c r="H413" s="253"/>
      <c r="I413" s="253"/>
      <c r="J413" s="253"/>
      <c r="K413" s="253"/>
      <c r="L413" s="253"/>
      <c r="M413" s="253"/>
      <c r="N413" s="253"/>
      <c r="O413" s="253"/>
      <c r="P413" s="253"/>
      <c r="Q413" s="253"/>
    </row>
    <row r="414" spans="1:17">
      <c r="A414" s="253"/>
      <c r="B414" s="253"/>
      <c r="C414" s="253"/>
      <c r="D414" s="253"/>
      <c r="E414" s="253"/>
      <c r="F414" s="253"/>
      <c r="G414" s="253"/>
      <c r="H414" s="253"/>
      <c r="I414" s="253"/>
      <c r="J414" s="253"/>
      <c r="K414" s="253"/>
      <c r="L414" s="253"/>
      <c r="M414" s="253"/>
      <c r="N414" s="253"/>
      <c r="O414" s="253"/>
      <c r="P414" s="253"/>
      <c r="Q414" s="253"/>
    </row>
    <row r="415" spans="1:17">
      <c r="A415" s="253"/>
      <c r="B415" s="253"/>
      <c r="C415" s="253"/>
      <c r="D415" s="253"/>
      <c r="E415" s="253"/>
      <c r="F415" s="253"/>
      <c r="G415" s="253"/>
      <c r="H415" s="253"/>
      <c r="I415" s="253"/>
      <c r="J415" s="253"/>
      <c r="K415" s="253"/>
      <c r="L415" s="253"/>
      <c r="M415" s="253"/>
      <c r="N415" s="253"/>
      <c r="O415" s="253"/>
      <c r="P415" s="253"/>
      <c r="Q415" s="253"/>
    </row>
    <row r="416" spans="1:17">
      <c r="A416" s="253"/>
      <c r="B416" s="253"/>
      <c r="C416" s="253"/>
      <c r="D416" s="253"/>
      <c r="E416" s="253"/>
      <c r="F416" s="253"/>
      <c r="G416" s="253"/>
      <c r="H416" s="253"/>
      <c r="I416" s="253"/>
      <c r="J416" s="253"/>
      <c r="K416" s="253"/>
      <c r="L416" s="253"/>
      <c r="M416" s="253"/>
      <c r="N416" s="253"/>
      <c r="O416" s="253"/>
      <c r="P416" s="253"/>
      <c r="Q416" s="253"/>
    </row>
    <row r="417" spans="1:17">
      <c r="A417" s="253"/>
      <c r="B417" s="253"/>
      <c r="C417" s="253"/>
      <c r="D417" s="253"/>
      <c r="E417" s="253"/>
      <c r="F417" s="253"/>
      <c r="G417" s="253"/>
      <c r="H417" s="253"/>
      <c r="I417" s="253"/>
      <c r="J417" s="253"/>
      <c r="K417" s="253"/>
      <c r="L417" s="253"/>
      <c r="M417" s="253"/>
      <c r="N417" s="253"/>
      <c r="O417" s="253"/>
      <c r="P417" s="253"/>
      <c r="Q417" s="253"/>
    </row>
    <row r="418" spans="1:17">
      <c r="A418" s="253"/>
      <c r="B418" s="253"/>
      <c r="C418" s="253"/>
      <c r="D418" s="253"/>
      <c r="E418" s="253"/>
      <c r="F418" s="253"/>
      <c r="G418" s="253"/>
      <c r="H418" s="253"/>
      <c r="I418" s="253"/>
      <c r="J418" s="253"/>
      <c r="K418" s="253"/>
      <c r="L418" s="253"/>
      <c r="M418" s="253"/>
      <c r="N418" s="253"/>
      <c r="O418" s="253"/>
      <c r="P418" s="253"/>
      <c r="Q418" s="253"/>
    </row>
    <row r="419" spans="1:17">
      <c r="A419" s="253"/>
      <c r="B419" s="253"/>
      <c r="C419" s="253"/>
      <c r="D419" s="253"/>
      <c r="E419" s="253"/>
      <c r="F419" s="253"/>
      <c r="G419" s="253"/>
      <c r="H419" s="253"/>
      <c r="I419" s="253"/>
      <c r="J419" s="253"/>
      <c r="K419" s="253"/>
      <c r="L419" s="253"/>
      <c r="M419" s="253"/>
      <c r="N419" s="253"/>
      <c r="O419" s="253"/>
      <c r="P419" s="253"/>
      <c r="Q419" s="253"/>
    </row>
    <row r="420" spans="1:17">
      <c r="A420" s="253"/>
      <c r="B420" s="253"/>
      <c r="C420" s="253"/>
      <c r="D420" s="253"/>
      <c r="E420" s="253"/>
      <c r="F420" s="253"/>
      <c r="G420" s="253"/>
      <c r="H420" s="253"/>
      <c r="I420" s="253"/>
      <c r="J420" s="253"/>
      <c r="K420" s="253"/>
      <c r="L420" s="253"/>
      <c r="M420" s="253"/>
      <c r="N420" s="253"/>
      <c r="O420" s="253"/>
      <c r="P420" s="253"/>
      <c r="Q420" s="253"/>
    </row>
    <row r="421" spans="1:17">
      <c r="A421" s="253"/>
      <c r="B421" s="253"/>
      <c r="C421" s="253"/>
      <c r="D421" s="253"/>
      <c r="E421" s="253"/>
      <c r="F421" s="253"/>
      <c r="G421" s="253"/>
      <c r="H421" s="253"/>
      <c r="I421" s="253"/>
      <c r="J421" s="253"/>
      <c r="K421" s="253"/>
      <c r="L421" s="253"/>
      <c r="M421" s="253"/>
      <c r="N421" s="253"/>
      <c r="O421" s="253"/>
      <c r="P421" s="253"/>
      <c r="Q421" s="253"/>
    </row>
    <row r="422" spans="1:17">
      <c r="A422" s="253"/>
      <c r="B422" s="253"/>
      <c r="C422" s="253"/>
      <c r="D422" s="253"/>
      <c r="E422" s="253"/>
      <c r="F422" s="253"/>
      <c r="G422" s="253"/>
      <c r="H422" s="253"/>
      <c r="I422" s="253"/>
      <c r="J422" s="253"/>
      <c r="K422" s="253"/>
      <c r="L422" s="253"/>
      <c r="M422" s="253"/>
      <c r="N422" s="253"/>
      <c r="O422" s="253"/>
      <c r="P422" s="253"/>
      <c r="Q422" s="253"/>
    </row>
    <row r="423" spans="1:17">
      <c r="A423" s="253"/>
      <c r="B423" s="253"/>
      <c r="C423" s="253"/>
      <c r="D423" s="253"/>
      <c r="E423" s="253"/>
      <c r="F423" s="253"/>
      <c r="G423" s="253"/>
      <c r="H423" s="253"/>
      <c r="I423" s="253"/>
      <c r="J423" s="253"/>
      <c r="K423" s="253"/>
      <c r="L423" s="253"/>
      <c r="M423" s="253"/>
      <c r="N423" s="253"/>
      <c r="O423" s="253"/>
      <c r="P423" s="253"/>
      <c r="Q423" s="253"/>
    </row>
    <row r="424" spans="1:17">
      <c r="A424" s="253"/>
      <c r="B424" s="253"/>
      <c r="C424" s="253"/>
      <c r="D424" s="253"/>
      <c r="E424" s="253"/>
      <c r="F424" s="253"/>
      <c r="G424" s="253"/>
      <c r="H424" s="253"/>
      <c r="I424" s="253"/>
      <c r="J424" s="253"/>
      <c r="K424" s="253"/>
      <c r="L424" s="253"/>
      <c r="M424" s="253"/>
      <c r="N424" s="253"/>
      <c r="O424" s="253"/>
      <c r="P424" s="253"/>
      <c r="Q424" s="253"/>
    </row>
    <row r="425" spans="1:17">
      <c r="A425" s="253"/>
      <c r="B425" s="253"/>
      <c r="C425" s="253"/>
      <c r="D425" s="253"/>
      <c r="E425" s="253"/>
      <c r="F425" s="253"/>
      <c r="G425" s="253"/>
      <c r="H425" s="253"/>
      <c r="I425" s="253"/>
      <c r="J425" s="253"/>
      <c r="K425" s="253"/>
      <c r="L425" s="253"/>
      <c r="M425" s="253"/>
      <c r="N425" s="253"/>
      <c r="O425" s="253"/>
      <c r="P425" s="253"/>
      <c r="Q425" s="253"/>
    </row>
    <row r="426" spans="1:17">
      <c r="A426" s="253"/>
      <c r="B426" s="253"/>
      <c r="C426" s="253"/>
      <c r="D426" s="253"/>
      <c r="E426" s="253"/>
      <c r="F426" s="253"/>
      <c r="G426" s="253"/>
      <c r="H426" s="253"/>
      <c r="I426" s="253"/>
      <c r="J426" s="253"/>
      <c r="K426" s="253"/>
      <c r="L426" s="253"/>
      <c r="M426" s="253"/>
      <c r="N426" s="253"/>
      <c r="O426" s="253"/>
      <c r="P426" s="253"/>
      <c r="Q426" s="253"/>
    </row>
    <row r="427" spans="1:17">
      <c r="A427" s="253"/>
      <c r="B427" s="253"/>
      <c r="C427" s="253"/>
      <c r="D427" s="253"/>
      <c r="E427" s="253"/>
      <c r="F427" s="253"/>
      <c r="G427" s="253"/>
      <c r="H427" s="253"/>
      <c r="I427" s="253"/>
      <c r="J427" s="253"/>
      <c r="K427" s="253"/>
      <c r="L427" s="253"/>
      <c r="M427" s="253"/>
      <c r="N427" s="253"/>
      <c r="O427" s="253"/>
      <c r="P427" s="253"/>
      <c r="Q427" s="253"/>
    </row>
    <row r="428" spans="1:17">
      <c r="A428" s="253"/>
      <c r="B428" s="253"/>
      <c r="C428" s="253"/>
      <c r="D428" s="253"/>
      <c r="E428" s="253"/>
      <c r="F428" s="253"/>
      <c r="G428" s="253"/>
      <c r="H428" s="253"/>
      <c r="I428" s="253"/>
      <c r="J428" s="253"/>
      <c r="K428" s="253"/>
      <c r="L428" s="253"/>
      <c r="M428" s="253"/>
      <c r="N428" s="253"/>
      <c r="O428" s="253"/>
      <c r="P428" s="253"/>
      <c r="Q428" s="253"/>
    </row>
    <row r="429" spans="1:17">
      <c r="A429" s="253"/>
      <c r="B429" s="253"/>
      <c r="C429" s="253"/>
      <c r="D429" s="253"/>
      <c r="E429" s="253"/>
      <c r="F429" s="253"/>
      <c r="G429" s="253"/>
      <c r="H429" s="253"/>
      <c r="I429" s="253"/>
      <c r="J429" s="253"/>
      <c r="K429" s="253"/>
      <c r="L429" s="253"/>
      <c r="M429" s="253"/>
      <c r="N429" s="253"/>
      <c r="O429" s="253"/>
      <c r="P429" s="253"/>
      <c r="Q429" s="253"/>
    </row>
    <row r="430" spans="1:17">
      <c r="A430" s="253"/>
      <c r="B430" s="253"/>
      <c r="C430" s="253"/>
      <c r="D430" s="253"/>
      <c r="E430" s="253"/>
      <c r="F430" s="253"/>
      <c r="G430" s="253"/>
      <c r="H430" s="253"/>
      <c r="I430" s="253"/>
      <c r="J430" s="253"/>
      <c r="K430" s="253"/>
      <c r="L430" s="253"/>
      <c r="M430" s="253"/>
      <c r="N430" s="253"/>
      <c r="O430" s="253"/>
      <c r="P430" s="253"/>
      <c r="Q430" s="253"/>
    </row>
    <row r="431" spans="1:17">
      <c r="A431" s="253"/>
      <c r="B431" s="253"/>
      <c r="C431" s="253"/>
      <c r="D431" s="253"/>
      <c r="E431" s="253"/>
      <c r="F431" s="253"/>
      <c r="G431" s="253"/>
      <c r="H431" s="253"/>
      <c r="I431" s="253"/>
      <c r="J431" s="253"/>
      <c r="K431" s="253"/>
      <c r="L431" s="253"/>
      <c r="M431" s="253"/>
      <c r="N431" s="253"/>
      <c r="O431" s="253"/>
      <c r="P431" s="253"/>
      <c r="Q431" s="253"/>
    </row>
    <row r="432" spans="1:17">
      <c r="A432" s="253"/>
      <c r="B432" s="253"/>
      <c r="C432" s="253"/>
      <c r="D432" s="253"/>
      <c r="E432" s="253"/>
      <c r="F432" s="253"/>
      <c r="G432" s="253"/>
      <c r="H432" s="253"/>
      <c r="I432" s="253"/>
      <c r="J432" s="253"/>
      <c r="K432" s="253"/>
      <c r="L432" s="253"/>
      <c r="M432" s="253"/>
      <c r="N432" s="253"/>
      <c r="O432" s="253"/>
      <c r="P432" s="253"/>
      <c r="Q432" s="253"/>
    </row>
    <row r="433" spans="1:17">
      <c r="A433" s="253"/>
      <c r="B433" s="253"/>
      <c r="C433" s="253"/>
      <c r="D433" s="253"/>
      <c r="E433" s="253"/>
      <c r="F433" s="253"/>
      <c r="G433" s="253"/>
      <c r="H433" s="253"/>
      <c r="I433" s="253"/>
      <c r="J433" s="253"/>
      <c r="K433" s="253"/>
      <c r="L433" s="253"/>
      <c r="M433" s="253"/>
      <c r="N433" s="253"/>
      <c r="O433" s="253"/>
      <c r="P433" s="253"/>
      <c r="Q433" s="253"/>
    </row>
    <row r="434" spans="1:17">
      <c r="A434" s="253"/>
      <c r="B434" s="253"/>
      <c r="C434" s="253"/>
      <c r="D434" s="253"/>
      <c r="E434" s="253"/>
      <c r="F434" s="253"/>
      <c r="G434" s="253"/>
      <c r="H434" s="253"/>
      <c r="I434" s="253"/>
      <c r="J434" s="253"/>
      <c r="K434" s="253"/>
      <c r="L434" s="253"/>
      <c r="M434" s="253"/>
      <c r="N434" s="253"/>
      <c r="O434" s="253"/>
      <c r="P434" s="253"/>
      <c r="Q434" s="253"/>
    </row>
    <row r="435" spans="1:17">
      <c r="A435" s="253"/>
      <c r="B435" s="253"/>
      <c r="C435" s="253"/>
      <c r="D435" s="253"/>
      <c r="E435" s="253"/>
      <c r="F435" s="253"/>
      <c r="G435" s="253"/>
      <c r="H435" s="253"/>
      <c r="I435" s="253"/>
      <c r="J435" s="253"/>
      <c r="K435" s="253"/>
      <c r="L435" s="253"/>
      <c r="M435" s="253"/>
      <c r="N435" s="253"/>
      <c r="O435" s="253"/>
      <c r="P435" s="253"/>
      <c r="Q435" s="253"/>
    </row>
    <row r="436" spans="1:17">
      <c r="A436" s="253"/>
      <c r="B436" s="253"/>
      <c r="C436" s="253"/>
      <c r="D436" s="253"/>
      <c r="E436" s="253"/>
      <c r="F436" s="253"/>
      <c r="G436" s="253"/>
      <c r="H436" s="253"/>
      <c r="I436" s="253"/>
      <c r="J436" s="253"/>
      <c r="K436" s="253"/>
      <c r="L436" s="253"/>
      <c r="M436" s="253"/>
      <c r="N436" s="253"/>
      <c r="O436" s="253"/>
      <c r="P436" s="253"/>
      <c r="Q436" s="253"/>
    </row>
    <row r="437" spans="1:17">
      <c r="A437" s="253"/>
      <c r="B437" s="253"/>
      <c r="C437" s="253"/>
      <c r="D437" s="253"/>
      <c r="E437" s="253"/>
      <c r="F437" s="253"/>
      <c r="G437" s="253"/>
      <c r="H437" s="253"/>
      <c r="I437" s="253"/>
      <c r="J437" s="253"/>
      <c r="K437" s="253"/>
      <c r="L437" s="253"/>
      <c r="M437" s="253"/>
      <c r="N437" s="253"/>
      <c r="O437" s="253"/>
      <c r="P437" s="253"/>
      <c r="Q437" s="253"/>
    </row>
    <row r="438" spans="1:17">
      <c r="A438" s="253"/>
      <c r="B438" s="253"/>
      <c r="C438" s="253"/>
      <c r="D438" s="253"/>
      <c r="E438" s="253"/>
      <c r="F438" s="253"/>
      <c r="G438" s="253"/>
      <c r="H438" s="253"/>
      <c r="I438" s="253"/>
      <c r="J438" s="253"/>
      <c r="K438" s="253"/>
      <c r="L438" s="253"/>
      <c r="M438" s="253"/>
      <c r="N438" s="253"/>
      <c r="O438" s="253"/>
      <c r="P438" s="253"/>
      <c r="Q438" s="253"/>
    </row>
    <row r="439" spans="1:17">
      <c r="A439" s="253"/>
      <c r="B439" s="253"/>
      <c r="C439" s="253"/>
      <c r="D439" s="253"/>
      <c r="E439" s="253"/>
      <c r="F439" s="253"/>
      <c r="G439" s="253"/>
      <c r="H439" s="253"/>
      <c r="I439" s="253"/>
      <c r="J439" s="253"/>
      <c r="K439" s="253"/>
      <c r="L439" s="253"/>
      <c r="M439" s="253"/>
      <c r="N439" s="253"/>
      <c r="O439" s="253"/>
      <c r="P439" s="253"/>
      <c r="Q439" s="253"/>
    </row>
    <row r="440" spans="1:17">
      <c r="A440" s="253"/>
      <c r="B440" s="253"/>
      <c r="C440" s="253"/>
      <c r="D440" s="253"/>
      <c r="E440" s="253"/>
      <c r="F440" s="253"/>
      <c r="G440" s="253"/>
      <c r="H440" s="253"/>
      <c r="I440" s="253"/>
      <c r="J440" s="253"/>
      <c r="K440" s="253"/>
      <c r="L440" s="253"/>
      <c r="M440" s="253"/>
      <c r="N440" s="253"/>
      <c r="O440" s="253"/>
      <c r="P440" s="253"/>
      <c r="Q440" s="253"/>
    </row>
    <row r="441" spans="1:17">
      <c r="A441" s="253"/>
      <c r="B441" s="253"/>
      <c r="C441" s="253"/>
      <c r="D441" s="253"/>
      <c r="E441" s="253"/>
      <c r="F441" s="253"/>
      <c r="G441" s="253"/>
      <c r="H441" s="253"/>
      <c r="I441" s="253"/>
      <c r="J441" s="253"/>
      <c r="K441" s="253"/>
      <c r="L441" s="253"/>
      <c r="M441" s="253"/>
      <c r="N441" s="253"/>
      <c r="O441" s="253"/>
      <c r="P441" s="253"/>
      <c r="Q441" s="253"/>
    </row>
    <row r="442" spans="1:17">
      <c r="A442" s="253"/>
      <c r="B442" s="253"/>
      <c r="C442" s="253"/>
      <c r="D442" s="253"/>
      <c r="E442" s="253"/>
      <c r="F442" s="253"/>
      <c r="G442" s="253"/>
      <c r="H442" s="253"/>
      <c r="I442" s="253"/>
      <c r="J442" s="253"/>
      <c r="K442" s="253"/>
      <c r="L442" s="253"/>
      <c r="M442" s="253"/>
      <c r="N442" s="253"/>
      <c r="O442" s="253"/>
      <c r="P442" s="253"/>
      <c r="Q442" s="253"/>
    </row>
    <row r="443" spans="1:17">
      <c r="A443" s="253"/>
      <c r="B443" s="253"/>
      <c r="C443" s="253"/>
      <c r="D443" s="253"/>
      <c r="E443" s="253"/>
      <c r="F443" s="253"/>
      <c r="G443" s="253"/>
      <c r="H443" s="253"/>
      <c r="I443" s="253"/>
      <c r="J443" s="253"/>
      <c r="K443" s="253"/>
      <c r="L443" s="253"/>
      <c r="M443" s="253"/>
      <c r="N443" s="253"/>
      <c r="O443" s="253"/>
      <c r="P443" s="253"/>
      <c r="Q443" s="253"/>
    </row>
    <row r="444" spans="1:17">
      <c r="A444" s="253"/>
      <c r="B444" s="253"/>
      <c r="C444" s="253"/>
      <c r="D444" s="253"/>
      <c r="E444" s="253"/>
      <c r="F444" s="253"/>
      <c r="G444" s="253"/>
      <c r="H444" s="253"/>
      <c r="I444" s="253"/>
      <c r="J444" s="253"/>
      <c r="K444" s="253"/>
      <c r="L444" s="253"/>
      <c r="M444" s="253"/>
      <c r="N444" s="253"/>
      <c r="O444" s="253"/>
      <c r="P444" s="253"/>
      <c r="Q444" s="253"/>
    </row>
    <row r="445" spans="1:17">
      <c r="A445" s="253"/>
      <c r="B445" s="253"/>
      <c r="C445" s="253"/>
      <c r="D445" s="253"/>
      <c r="E445" s="253"/>
      <c r="F445" s="253"/>
      <c r="G445" s="253"/>
      <c r="H445" s="253"/>
      <c r="I445" s="253"/>
      <c r="J445" s="253"/>
      <c r="K445" s="253"/>
      <c r="L445" s="253"/>
      <c r="M445" s="253"/>
      <c r="N445" s="253"/>
      <c r="O445" s="253"/>
      <c r="P445" s="253"/>
      <c r="Q445" s="253"/>
    </row>
    <row r="446" spans="1:17">
      <c r="A446" s="253"/>
      <c r="B446" s="253"/>
      <c r="C446" s="253"/>
      <c r="D446" s="253"/>
      <c r="E446" s="253"/>
      <c r="F446" s="253"/>
      <c r="G446" s="253"/>
      <c r="H446" s="253"/>
      <c r="I446" s="253"/>
      <c r="J446" s="253"/>
      <c r="K446" s="253"/>
      <c r="L446" s="253"/>
      <c r="M446" s="253"/>
      <c r="N446" s="253"/>
      <c r="O446" s="253"/>
      <c r="P446" s="253"/>
      <c r="Q446" s="253"/>
    </row>
    <row r="447" spans="1:17">
      <c r="A447" s="253"/>
      <c r="B447" s="253"/>
      <c r="C447" s="253"/>
      <c r="D447" s="253"/>
      <c r="E447" s="253"/>
      <c r="F447" s="253"/>
      <c r="G447" s="253"/>
      <c r="H447" s="253"/>
      <c r="I447" s="253"/>
      <c r="J447" s="253"/>
      <c r="K447" s="253"/>
      <c r="L447" s="253"/>
      <c r="M447" s="253"/>
      <c r="N447" s="253"/>
      <c r="O447" s="253"/>
      <c r="P447" s="253"/>
      <c r="Q447" s="253"/>
    </row>
    <row r="448" spans="1:17">
      <c r="A448" s="253"/>
      <c r="B448" s="253"/>
      <c r="C448" s="253"/>
      <c r="D448" s="253"/>
      <c r="E448" s="253"/>
      <c r="F448" s="253"/>
      <c r="G448" s="253"/>
      <c r="H448" s="253"/>
      <c r="I448" s="253"/>
      <c r="J448" s="253"/>
      <c r="K448" s="253"/>
      <c r="L448" s="253"/>
      <c r="M448" s="253"/>
      <c r="N448" s="253"/>
      <c r="O448" s="253"/>
      <c r="P448" s="253"/>
      <c r="Q448" s="253"/>
    </row>
    <row r="449" spans="1:17">
      <c r="A449" s="253"/>
      <c r="B449" s="253"/>
      <c r="C449" s="253"/>
      <c r="D449" s="253"/>
      <c r="E449" s="253"/>
      <c r="F449" s="253"/>
      <c r="G449" s="253"/>
      <c r="H449" s="253"/>
      <c r="I449" s="253"/>
      <c r="J449" s="253"/>
      <c r="K449" s="253"/>
      <c r="L449" s="253"/>
      <c r="M449" s="253"/>
      <c r="N449" s="253"/>
      <c r="O449" s="253"/>
      <c r="P449" s="253"/>
      <c r="Q449" s="253"/>
    </row>
    <row r="450" spans="1:17">
      <c r="A450" s="253"/>
      <c r="B450" s="253"/>
      <c r="C450" s="253"/>
      <c r="D450" s="253"/>
      <c r="E450" s="253"/>
      <c r="F450" s="253"/>
      <c r="G450" s="253"/>
      <c r="H450" s="253"/>
      <c r="I450" s="253"/>
      <c r="J450" s="253"/>
      <c r="K450" s="253"/>
      <c r="L450" s="253"/>
      <c r="M450" s="253"/>
      <c r="N450" s="253"/>
      <c r="O450" s="253"/>
      <c r="P450" s="253"/>
      <c r="Q450" s="253"/>
    </row>
    <row r="451" spans="1:17">
      <c r="A451" s="253"/>
      <c r="B451" s="253"/>
      <c r="C451" s="253"/>
      <c r="D451" s="253"/>
      <c r="E451" s="253"/>
      <c r="F451" s="253"/>
      <c r="G451" s="253"/>
      <c r="H451" s="253"/>
      <c r="I451" s="253"/>
      <c r="J451" s="253"/>
      <c r="K451" s="253"/>
      <c r="L451" s="253"/>
      <c r="M451" s="253"/>
      <c r="N451" s="253"/>
      <c r="O451" s="253"/>
      <c r="P451" s="253"/>
      <c r="Q451" s="253"/>
    </row>
    <row r="452" spans="1:17">
      <c r="A452" s="253"/>
      <c r="B452" s="253"/>
      <c r="C452" s="253"/>
      <c r="D452" s="253"/>
      <c r="E452" s="253"/>
      <c r="F452" s="253"/>
      <c r="G452" s="253"/>
      <c r="H452" s="253"/>
      <c r="I452" s="253"/>
      <c r="J452" s="253"/>
      <c r="K452" s="253"/>
      <c r="L452" s="253"/>
      <c r="M452" s="253"/>
      <c r="N452" s="253"/>
      <c r="O452" s="253"/>
      <c r="P452" s="253"/>
      <c r="Q452" s="253"/>
    </row>
    <row r="453" spans="1:17">
      <c r="A453" s="253"/>
      <c r="B453" s="253"/>
      <c r="C453" s="253"/>
      <c r="D453" s="253"/>
      <c r="E453" s="253"/>
      <c r="F453" s="253"/>
      <c r="G453" s="253"/>
      <c r="H453" s="253"/>
      <c r="I453" s="253"/>
      <c r="J453" s="253"/>
      <c r="K453" s="253"/>
      <c r="L453" s="253"/>
      <c r="M453" s="253"/>
      <c r="N453" s="253"/>
      <c r="O453" s="253"/>
      <c r="P453" s="253"/>
      <c r="Q453" s="253"/>
    </row>
    <row r="454" spans="1:17">
      <c r="A454" s="253"/>
      <c r="B454" s="253"/>
      <c r="C454" s="253"/>
      <c r="D454" s="253"/>
      <c r="E454" s="253"/>
      <c r="F454" s="253"/>
      <c r="G454" s="253"/>
      <c r="H454" s="253"/>
      <c r="I454" s="253"/>
      <c r="J454" s="253"/>
      <c r="K454" s="253"/>
      <c r="L454" s="253"/>
      <c r="M454" s="253"/>
      <c r="N454" s="253"/>
      <c r="O454" s="253"/>
      <c r="P454" s="253"/>
      <c r="Q454" s="253"/>
    </row>
    <row r="455" spans="1:17">
      <c r="A455" s="253"/>
      <c r="B455" s="253"/>
      <c r="C455" s="253"/>
      <c r="D455" s="253"/>
      <c r="E455" s="253"/>
      <c r="F455" s="253"/>
      <c r="G455" s="253"/>
      <c r="H455" s="253"/>
      <c r="I455" s="253"/>
      <c r="J455" s="253"/>
      <c r="K455" s="253"/>
      <c r="L455" s="253"/>
      <c r="M455" s="253"/>
      <c r="N455" s="253"/>
      <c r="O455" s="253"/>
      <c r="P455" s="253"/>
      <c r="Q455" s="253"/>
    </row>
    <row r="456" spans="1:17">
      <c r="A456" s="253"/>
      <c r="B456" s="253"/>
      <c r="C456" s="253"/>
      <c r="D456" s="253"/>
      <c r="E456" s="253"/>
      <c r="F456" s="253"/>
      <c r="G456" s="253"/>
      <c r="H456" s="253"/>
      <c r="I456" s="253"/>
      <c r="J456" s="253"/>
      <c r="K456" s="253"/>
      <c r="L456" s="253"/>
      <c r="M456" s="253"/>
      <c r="N456" s="253"/>
      <c r="O456" s="253"/>
      <c r="P456" s="253"/>
      <c r="Q456" s="253"/>
    </row>
    <row r="457" spans="1:17">
      <c r="A457" s="253"/>
      <c r="B457" s="253"/>
      <c r="C457" s="253"/>
      <c r="D457" s="253"/>
      <c r="E457" s="253"/>
      <c r="F457" s="253"/>
      <c r="G457" s="253"/>
      <c r="H457" s="253"/>
      <c r="I457" s="253"/>
      <c r="J457" s="253"/>
      <c r="K457" s="253"/>
      <c r="L457" s="253"/>
      <c r="M457" s="253"/>
      <c r="N457" s="253"/>
      <c r="O457" s="253"/>
      <c r="P457" s="253"/>
      <c r="Q457" s="253"/>
    </row>
    <row r="458" spans="1:17">
      <c r="A458" s="253"/>
      <c r="B458" s="253"/>
      <c r="C458" s="253"/>
      <c r="D458" s="253"/>
      <c r="E458" s="253"/>
      <c r="F458" s="253"/>
      <c r="G458" s="253"/>
      <c r="H458" s="253"/>
      <c r="I458" s="253"/>
      <c r="J458" s="253"/>
      <c r="K458" s="253"/>
      <c r="L458" s="253"/>
      <c r="M458" s="253"/>
      <c r="N458" s="253"/>
      <c r="O458" s="253"/>
      <c r="P458" s="253"/>
      <c r="Q458" s="253"/>
    </row>
    <row r="459" spans="1:17">
      <c r="A459" s="253"/>
      <c r="B459" s="253"/>
      <c r="C459" s="253"/>
      <c r="D459" s="253"/>
      <c r="E459" s="253"/>
      <c r="F459" s="253"/>
      <c r="G459" s="253"/>
      <c r="H459" s="253"/>
      <c r="I459" s="253"/>
      <c r="J459" s="253"/>
      <c r="K459" s="253"/>
      <c r="L459" s="253"/>
      <c r="M459" s="253"/>
      <c r="N459" s="253"/>
      <c r="O459" s="253"/>
      <c r="P459" s="253"/>
      <c r="Q459" s="253"/>
    </row>
    <row r="460" spans="1:17">
      <c r="A460" s="253"/>
      <c r="B460" s="253"/>
      <c r="C460" s="253"/>
      <c r="D460" s="253"/>
      <c r="E460" s="253"/>
      <c r="F460" s="253"/>
      <c r="G460" s="253"/>
      <c r="H460" s="253"/>
      <c r="I460" s="253"/>
      <c r="J460" s="253"/>
      <c r="K460" s="253"/>
      <c r="L460" s="253"/>
      <c r="M460" s="253"/>
      <c r="N460" s="253"/>
      <c r="O460" s="253"/>
      <c r="P460" s="253"/>
      <c r="Q460" s="253"/>
    </row>
    <row r="461" spans="1:17">
      <c r="A461" s="253"/>
      <c r="B461" s="253"/>
      <c r="C461" s="253"/>
      <c r="D461" s="253"/>
      <c r="E461" s="253"/>
      <c r="F461" s="253"/>
      <c r="G461" s="253"/>
      <c r="H461" s="253"/>
      <c r="I461" s="253"/>
      <c r="J461" s="253"/>
      <c r="K461" s="253"/>
      <c r="L461" s="253"/>
      <c r="M461" s="253"/>
      <c r="N461" s="253"/>
      <c r="O461" s="253"/>
      <c r="P461" s="253"/>
      <c r="Q461" s="253"/>
    </row>
    <row r="462" spans="1:17">
      <c r="A462" s="253"/>
      <c r="B462" s="253"/>
      <c r="C462" s="253"/>
      <c r="D462" s="253"/>
      <c r="E462" s="253"/>
      <c r="F462" s="253"/>
      <c r="G462" s="253"/>
      <c r="H462" s="253"/>
      <c r="I462" s="253"/>
      <c r="J462" s="253"/>
      <c r="K462" s="253"/>
      <c r="L462" s="253"/>
      <c r="M462" s="253"/>
      <c r="N462" s="253"/>
      <c r="O462" s="253"/>
      <c r="P462" s="253"/>
      <c r="Q462" s="253"/>
    </row>
    <row r="463" spans="1:17">
      <c r="A463" s="253"/>
      <c r="B463" s="253"/>
      <c r="C463" s="253"/>
      <c r="D463" s="253"/>
      <c r="E463" s="253"/>
      <c r="F463" s="253"/>
      <c r="G463" s="253"/>
      <c r="H463" s="253"/>
      <c r="I463" s="253"/>
      <c r="J463" s="253"/>
      <c r="K463" s="253"/>
      <c r="L463" s="253"/>
      <c r="M463" s="253"/>
      <c r="N463" s="253"/>
      <c r="O463" s="253"/>
      <c r="P463" s="253"/>
      <c r="Q463" s="253"/>
    </row>
    <row r="464" spans="1:17">
      <c r="A464" s="253"/>
      <c r="B464" s="253"/>
      <c r="C464" s="253"/>
      <c r="D464" s="253"/>
      <c r="E464" s="253"/>
      <c r="F464" s="253"/>
      <c r="G464" s="253"/>
      <c r="H464" s="253"/>
      <c r="I464" s="253"/>
      <c r="J464" s="253"/>
      <c r="K464" s="253"/>
      <c r="L464" s="253"/>
      <c r="M464" s="253"/>
      <c r="N464" s="253"/>
      <c r="O464" s="253"/>
      <c r="P464" s="253"/>
      <c r="Q464" s="253"/>
    </row>
    <row r="465" spans="1:17">
      <c r="A465" s="253"/>
      <c r="B465" s="253"/>
      <c r="C465" s="253"/>
      <c r="D465" s="253"/>
      <c r="E465" s="253"/>
      <c r="F465" s="253"/>
      <c r="G465" s="253"/>
      <c r="H465" s="253"/>
      <c r="I465" s="253"/>
      <c r="J465" s="253"/>
      <c r="K465" s="253"/>
      <c r="L465" s="253"/>
      <c r="M465" s="253"/>
      <c r="N465" s="253"/>
      <c r="O465" s="253"/>
      <c r="P465" s="253"/>
      <c r="Q465" s="253"/>
    </row>
    <row r="466" spans="1:17">
      <c r="A466" s="253"/>
      <c r="B466" s="253"/>
      <c r="C466" s="253"/>
      <c r="D466" s="253"/>
      <c r="E466" s="253"/>
      <c r="F466" s="253"/>
      <c r="G466" s="253"/>
      <c r="H466" s="253"/>
      <c r="I466" s="253"/>
      <c r="J466" s="253"/>
      <c r="K466" s="253"/>
      <c r="L466" s="253"/>
      <c r="M466" s="253"/>
      <c r="N466" s="253"/>
      <c r="O466" s="253"/>
      <c r="P466" s="253"/>
      <c r="Q466" s="253"/>
    </row>
    <row r="467" spans="1:17">
      <c r="A467" s="253"/>
      <c r="B467" s="253"/>
      <c r="C467" s="253"/>
      <c r="D467" s="253"/>
      <c r="E467" s="253"/>
      <c r="F467" s="253"/>
      <c r="G467" s="253"/>
      <c r="H467" s="253"/>
      <c r="I467" s="253"/>
      <c r="J467" s="253"/>
      <c r="K467" s="253"/>
      <c r="L467" s="253"/>
      <c r="M467" s="253"/>
      <c r="N467" s="253"/>
      <c r="O467" s="253"/>
      <c r="P467" s="253"/>
      <c r="Q467" s="253"/>
    </row>
    <row r="468" spans="1:17">
      <c r="A468" s="253"/>
      <c r="B468" s="253"/>
      <c r="C468" s="253"/>
      <c r="D468" s="253"/>
      <c r="E468" s="253"/>
      <c r="F468" s="253"/>
      <c r="G468" s="253"/>
      <c r="H468" s="253"/>
      <c r="I468" s="253"/>
      <c r="J468" s="253"/>
      <c r="K468" s="253"/>
      <c r="L468" s="253"/>
      <c r="M468" s="253"/>
      <c r="N468" s="253"/>
      <c r="O468" s="253"/>
      <c r="P468" s="253"/>
      <c r="Q468" s="253"/>
    </row>
    <row r="469" spans="1:17">
      <c r="A469" s="253"/>
      <c r="B469" s="253"/>
      <c r="C469" s="253"/>
      <c r="D469" s="253"/>
      <c r="E469" s="253"/>
      <c r="F469" s="253"/>
      <c r="G469" s="253"/>
      <c r="H469" s="253"/>
      <c r="I469" s="253"/>
      <c r="J469" s="253"/>
      <c r="K469" s="253"/>
      <c r="L469" s="253"/>
      <c r="M469" s="253"/>
      <c r="N469" s="253"/>
      <c r="O469" s="253"/>
      <c r="P469" s="253"/>
      <c r="Q469" s="253"/>
    </row>
    <row r="470" spans="1:17">
      <c r="A470" s="253"/>
      <c r="B470" s="253"/>
      <c r="C470" s="253"/>
      <c r="D470" s="253"/>
      <c r="E470" s="253"/>
      <c r="F470" s="253"/>
      <c r="G470" s="253"/>
      <c r="H470" s="253"/>
      <c r="I470" s="253"/>
      <c r="J470" s="253"/>
      <c r="K470" s="253"/>
      <c r="L470" s="253"/>
      <c r="M470" s="253"/>
      <c r="N470" s="253"/>
      <c r="O470" s="253"/>
      <c r="P470" s="253"/>
      <c r="Q470" s="253"/>
    </row>
    <row r="471" spans="1:17">
      <c r="A471" s="253"/>
      <c r="B471" s="253"/>
      <c r="C471" s="253"/>
      <c r="D471" s="253"/>
      <c r="E471" s="253"/>
      <c r="F471" s="253"/>
      <c r="G471" s="253"/>
      <c r="H471" s="253"/>
      <c r="I471" s="253"/>
      <c r="J471" s="253"/>
      <c r="K471" s="253"/>
      <c r="L471" s="253"/>
      <c r="M471" s="253"/>
      <c r="N471" s="253"/>
      <c r="O471" s="253"/>
      <c r="P471" s="253"/>
      <c r="Q471" s="253"/>
    </row>
    <row r="472" spans="1:17">
      <c r="A472" s="253"/>
      <c r="B472" s="253"/>
      <c r="C472" s="253"/>
      <c r="D472" s="253"/>
      <c r="E472" s="253"/>
      <c r="F472" s="253"/>
      <c r="G472" s="253"/>
      <c r="H472" s="253"/>
      <c r="I472" s="253"/>
      <c r="J472" s="253"/>
      <c r="K472" s="253"/>
      <c r="L472" s="253"/>
      <c r="M472" s="253"/>
      <c r="N472" s="253"/>
      <c r="O472" s="253"/>
      <c r="P472" s="253"/>
      <c r="Q472" s="253"/>
    </row>
    <row r="473" spans="1:17">
      <c r="A473" s="253"/>
      <c r="B473" s="253"/>
      <c r="C473" s="253"/>
      <c r="D473" s="253"/>
      <c r="E473" s="253"/>
      <c r="F473" s="253"/>
      <c r="G473" s="253"/>
      <c r="H473" s="253"/>
      <c r="I473" s="253"/>
      <c r="J473" s="253"/>
      <c r="K473" s="253"/>
      <c r="L473" s="253"/>
      <c r="M473" s="253"/>
      <c r="N473" s="253"/>
      <c r="O473" s="253"/>
      <c r="P473" s="253"/>
      <c r="Q473" s="253"/>
    </row>
    <row r="474" spans="1:17">
      <c r="A474" s="253"/>
      <c r="B474" s="253"/>
      <c r="C474" s="253"/>
      <c r="D474" s="253"/>
      <c r="E474" s="253"/>
      <c r="F474" s="253"/>
      <c r="G474" s="253"/>
      <c r="H474" s="253"/>
      <c r="I474" s="253"/>
      <c r="J474" s="253"/>
      <c r="K474" s="253"/>
      <c r="L474" s="253"/>
      <c r="M474" s="253"/>
      <c r="N474" s="253"/>
      <c r="O474" s="253"/>
      <c r="P474" s="253"/>
      <c r="Q474" s="253"/>
    </row>
    <row r="475" spans="1:17">
      <c r="A475" s="253"/>
      <c r="B475" s="253"/>
      <c r="C475" s="253"/>
      <c r="D475" s="253"/>
      <c r="E475" s="253"/>
      <c r="F475" s="253"/>
      <c r="G475" s="253"/>
      <c r="H475" s="253"/>
      <c r="I475" s="253"/>
      <c r="J475" s="253"/>
      <c r="K475" s="253"/>
      <c r="L475" s="253"/>
      <c r="M475" s="253"/>
      <c r="N475" s="253"/>
      <c r="O475" s="253"/>
      <c r="P475" s="253"/>
      <c r="Q475" s="253"/>
    </row>
    <row r="476" spans="1:17">
      <c r="A476" s="253"/>
      <c r="B476" s="253"/>
      <c r="C476" s="253"/>
      <c r="D476" s="253"/>
      <c r="E476" s="253"/>
      <c r="F476" s="253"/>
      <c r="G476" s="253"/>
      <c r="H476" s="253"/>
      <c r="I476" s="253"/>
      <c r="J476" s="253"/>
      <c r="K476" s="253"/>
      <c r="L476" s="253"/>
      <c r="M476" s="253"/>
      <c r="N476" s="253"/>
      <c r="O476" s="253"/>
      <c r="P476" s="253"/>
      <c r="Q476" s="253"/>
    </row>
    <row r="477" spans="1:17">
      <c r="A477" s="253"/>
      <c r="B477" s="253"/>
      <c r="C477" s="253"/>
      <c r="D477" s="253"/>
      <c r="E477" s="253"/>
      <c r="F477" s="253"/>
      <c r="G477" s="253"/>
      <c r="H477" s="253"/>
      <c r="I477" s="253"/>
      <c r="J477" s="253"/>
      <c r="K477" s="253"/>
      <c r="L477" s="253"/>
      <c r="M477" s="253"/>
      <c r="N477" s="253"/>
      <c r="O477" s="253"/>
      <c r="P477" s="253"/>
      <c r="Q477" s="253"/>
    </row>
    <row r="478" spans="1:17">
      <c r="A478" s="253"/>
      <c r="B478" s="253"/>
      <c r="C478" s="253"/>
      <c r="D478" s="253"/>
      <c r="E478" s="253"/>
      <c r="F478" s="253"/>
      <c r="G478" s="253"/>
      <c r="H478" s="253"/>
      <c r="I478" s="253"/>
      <c r="J478" s="253"/>
      <c r="K478" s="253"/>
      <c r="L478" s="253"/>
      <c r="M478" s="253"/>
      <c r="N478" s="253"/>
      <c r="O478" s="253"/>
      <c r="P478" s="253"/>
      <c r="Q478" s="253"/>
    </row>
    <row r="479" spans="1:17">
      <c r="A479" s="253"/>
      <c r="B479" s="253"/>
      <c r="C479" s="253"/>
      <c r="D479" s="253"/>
      <c r="E479" s="253"/>
      <c r="F479" s="253"/>
      <c r="G479" s="253"/>
      <c r="H479" s="253"/>
      <c r="I479" s="253"/>
      <c r="J479" s="253"/>
      <c r="K479" s="253"/>
      <c r="L479" s="253"/>
      <c r="M479" s="253"/>
      <c r="N479" s="253"/>
      <c r="O479" s="253"/>
      <c r="P479" s="253"/>
      <c r="Q479" s="253"/>
    </row>
    <row r="480" spans="1:17">
      <c r="A480" s="253"/>
      <c r="B480" s="253"/>
      <c r="C480" s="253"/>
      <c r="D480" s="253"/>
      <c r="E480" s="253"/>
      <c r="F480" s="253"/>
      <c r="G480" s="253"/>
      <c r="H480" s="253"/>
      <c r="I480" s="253"/>
      <c r="J480" s="253"/>
      <c r="K480" s="253"/>
      <c r="L480" s="253"/>
      <c r="M480" s="253"/>
      <c r="N480" s="253"/>
      <c r="O480" s="253"/>
      <c r="P480" s="253"/>
      <c r="Q480" s="253"/>
    </row>
    <row r="481" spans="1:17">
      <c r="A481" s="253"/>
      <c r="B481" s="253"/>
      <c r="C481" s="253"/>
      <c r="D481" s="253"/>
      <c r="E481" s="253"/>
      <c r="F481" s="253"/>
      <c r="G481" s="253"/>
      <c r="H481" s="253"/>
      <c r="I481" s="253"/>
      <c r="J481" s="253"/>
      <c r="K481" s="253"/>
      <c r="L481" s="253"/>
      <c r="M481" s="253"/>
      <c r="N481" s="253"/>
      <c r="O481" s="253"/>
      <c r="P481" s="253"/>
      <c r="Q481" s="253"/>
    </row>
    <row r="482" spans="1:17">
      <c r="A482" s="253"/>
      <c r="B482" s="253"/>
      <c r="C482" s="253"/>
      <c r="D482" s="253"/>
      <c r="E482" s="253"/>
      <c r="F482" s="253"/>
      <c r="G482" s="253"/>
      <c r="H482" s="253"/>
      <c r="I482" s="253"/>
      <c r="J482" s="253"/>
      <c r="K482" s="253"/>
      <c r="L482" s="253"/>
      <c r="M482" s="253"/>
      <c r="N482" s="253"/>
      <c r="O482" s="253"/>
      <c r="P482" s="253"/>
      <c r="Q482" s="253"/>
    </row>
    <row r="483" spans="1:17">
      <c r="A483" s="253"/>
      <c r="B483" s="253"/>
      <c r="C483" s="253"/>
      <c r="D483" s="253"/>
      <c r="E483" s="253"/>
      <c r="F483" s="253"/>
      <c r="G483" s="253"/>
      <c r="H483" s="253"/>
      <c r="I483" s="253"/>
      <c r="J483" s="253"/>
      <c r="K483" s="253"/>
      <c r="L483" s="253"/>
      <c r="M483" s="253"/>
      <c r="N483" s="253"/>
      <c r="O483" s="253"/>
      <c r="P483" s="253"/>
      <c r="Q483" s="253"/>
    </row>
    <row r="484" spans="1:17">
      <c r="A484" s="253"/>
      <c r="B484" s="253"/>
      <c r="C484" s="253"/>
      <c r="D484" s="253"/>
      <c r="E484" s="253"/>
      <c r="F484" s="253"/>
      <c r="G484" s="253"/>
      <c r="H484" s="253"/>
      <c r="I484" s="253"/>
      <c r="J484" s="253"/>
      <c r="K484" s="253"/>
      <c r="L484" s="253"/>
      <c r="M484" s="253"/>
      <c r="N484" s="253"/>
      <c r="O484" s="253"/>
      <c r="P484" s="253"/>
      <c r="Q484" s="253"/>
    </row>
    <row r="485" spans="1:17">
      <c r="A485" s="253"/>
      <c r="B485" s="253"/>
      <c r="C485" s="253"/>
      <c r="D485" s="253"/>
      <c r="E485" s="253"/>
      <c r="F485" s="253"/>
      <c r="G485" s="253"/>
      <c r="H485" s="253"/>
      <c r="I485" s="253"/>
      <c r="J485" s="253"/>
      <c r="K485" s="253"/>
      <c r="L485" s="253"/>
      <c r="M485" s="253"/>
      <c r="N485" s="253"/>
      <c r="O485" s="253"/>
      <c r="P485" s="253"/>
      <c r="Q485" s="253"/>
    </row>
    <row r="486" spans="1:17">
      <c r="A486" s="253"/>
      <c r="B486" s="253"/>
      <c r="C486" s="253"/>
      <c r="D486" s="253"/>
      <c r="E486" s="253"/>
      <c r="F486" s="253"/>
      <c r="G486" s="253"/>
      <c r="H486" s="253"/>
      <c r="I486" s="253"/>
      <c r="J486" s="253"/>
      <c r="K486" s="253"/>
      <c r="L486" s="253"/>
      <c r="M486" s="253"/>
      <c r="N486" s="253"/>
      <c r="O486" s="253"/>
      <c r="P486" s="253"/>
      <c r="Q486" s="253"/>
    </row>
    <row r="487" spans="1:17">
      <c r="A487" s="253"/>
      <c r="B487" s="253"/>
      <c r="C487" s="253"/>
      <c r="D487" s="253"/>
      <c r="E487" s="253"/>
      <c r="F487" s="253"/>
      <c r="G487" s="253"/>
      <c r="H487" s="253"/>
      <c r="I487" s="253"/>
      <c r="J487" s="253"/>
      <c r="K487" s="253"/>
      <c r="L487" s="253"/>
      <c r="M487" s="253"/>
      <c r="N487" s="253"/>
      <c r="O487" s="253"/>
      <c r="P487" s="253"/>
      <c r="Q487" s="253"/>
    </row>
    <row r="488" spans="1:17">
      <c r="A488" s="253"/>
      <c r="B488" s="253"/>
      <c r="C488" s="253"/>
      <c r="D488" s="253"/>
      <c r="E488" s="253"/>
      <c r="F488" s="253"/>
      <c r="G488" s="253"/>
      <c r="H488" s="253"/>
      <c r="I488" s="253"/>
      <c r="J488" s="253"/>
      <c r="K488" s="253"/>
      <c r="L488" s="253"/>
      <c r="M488" s="253"/>
      <c r="N488" s="253"/>
      <c r="O488" s="253"/>
      <c r="P488" s="253"/>
      <c r="Q488" s="253"/>
    </row>
    <row r="489" spans="1:17">
      <c r="A489" s="253"/>
      <c r="B489" s="253"/>
      <c r="C489" s="253"/>
      <c r="D489" s="253"/>
      <c r="E489" s="253"/>
      <c r="F489" s="253"/>
      <c r="G489" s="253"/>
      <c r="H489" s="253"/>
      <c r="I489" s="253"/>
      <c r="J489" s="253"/>
      <c r="K489" s="253"/>
      <c r="L489" s="253"/>
      <c r="M489" s="253"/>
      <c r="N489" s="253"/>
      <c r="O489" s="253"/>
      <c r="P489" s="253"/>
      <c r="Q489" s="253"/>
    </row>
    <row r="490" spans="1:17">
      <c r="A490" s="253"/>
      <c r="B490" s="253"/>
      <c r="C490" s="253"/>
      <c r="D490" s="253"/>
      <c r="E490" s="253"/>
      <c r="F490" s="253"/>
      <c r="G490" s="253"/>
      <c r="H490" s="253"/>
      <c r="I490" s="253"/>
      <c r="J490" s="253"/>
      <c r="K490" s="253"/>
      <c r="L490" s="253"/>
      <c r="M490" s="253"/>
      <c r="N490" s="253"/>
      <c r="O490" s="253"/>
      <c r="P490" s="253"/>
      <c r="Q490" s="253"/>
    </row>
    <row r="491" spans="1:17">
      <c r="A491" s="253"/>
      <c r="B491" s="253"/>
      <c r="C491" s="253"/>
      <c r="D491" s="253"/>
      <c r="E491" s="253"/>
      <c r="F491" s="253"/>
      <c r="G491" s="253"/>
      <c r="H491" s="253"/>
      <c r="I491" s="253"/>
      <c r="J491" s="253"/>
      <c r="K491" s="253"/>
      <c r="L491" s="253"/>
      <c r="M491" s="253"/>
      <c r="N491" s="253"/>
      <c r="O491" s="253"/>
      <c r="P491" s="253"/>
      <c r="Q491" s="253"/>
    </row>
    <row r="492" spans="1:17">
      <c r="A492" s="253"/>
      <c r="B492" s="253"/>
      <c r="C492" s="253"/>
      <c r="D492" s="253"/>
      <c r="E492" s="253"/>
      <c r="F492" s="253"/>
      <c r="G492" s="253"/>
      <c r="H492" s="253"/>
      <c r="I492" s="253"/>
      <c r="J492" s="253"/>
      <c r="K492" s="253"/>
      <c r="L492" s="253"/>
      <c r="M492" s="253"/>
      <c r="N492" s="253"/>
      <c r="O492" s="253"/>
      <c r="P492" s="253"/>
      <c r="Q492" s="253"/>
    </row>
    <row r="493" spans="1:17">
      <c r="A493" s="253"/>
      <c r="B493" s="253"/>
      <c r="C493" s="253"/>
      <c r="D493" s="253"/>
      <c r="E493" s="253"/>
      <c r="F493" s="253"/>
      <c r="G493" s="253"/>
      <c r="H493" s="253"/>
      <c r="I493" s="253"/>
      <c r="J493" s="253"/>
      <c r="K493" s="253"/>
      <c r="L493" s="253"/>
      <c r="M493" s="253"/>
      <c r="N493" s="253"/>
      <c r="O493" s="253"/>
      <c r="P493" s="253"/>
      <c r="Q493" s="253"/>
    </row>
    <row r="494" spans="1:17">
      <c r="A494" s="253"/>
      <c r="B494" s="253"/>
      <c r="C494" s="253"/>
      <c r="D494" s="253"/>
      <c r="E494" s="253"/>
      <c r="F494" s="253"/>
      <c r="G494" s="253"/>
      <c r="H494" s="253"/>
      <c r="I494" s="253"/>
      <c r="J494" s="253"/>
      <c r="K494" s="253"/>
      <c r="L494" s="253"/>
      <c r="M494" s="253"/>
      <c r="N494" s="253"/>
      <c r="O494" s="253"/>
      <c r="P494" s="253"/>
      <c r="Q494" s="253"/>
    </row>
    <row r="495" spans="1:17">
      <c r="A495" s="253"/>
      <c r="B495" s="253"/>
      <c r="C495" s="253"/>
      <c r="D495" s="253"/>
      <c r="E495" s="253"/>
      <c r="F495" s="253"/>
      <c r="G495" s="253"/>
      <c r="H495" s="253"/>
      <c r="I495" s="253"/>
      <c r="J495" s="253"/>
      <c r="K495" s="253"/>
      <c r="L495" s="253"/>
      <c r="M495" s="253"/>
      <c r="N495" s="253"/>
      <c r="O495" s="253"/>
      <c r="P495" s="253"/>
      <c r="Q495" s="253"/>
    </row>
    <row r="496" spans="1:17">
      <c r="A496" s="253"/>
      <c r="B496" s="253"/>
      <c r="C496" s="253"/>
      <c r="D496" s="253"/>
      <c r="E496" s="253"/>
      <c r="F496" s="253"/>
      <c r="G496" s="253"/>
      <c r="H496" s="253"/>
      <c r="I496" s="253"/>
      <c r="J496" s="253"/>
      <c r="K496" s="253"/>
      <c r="L496" s="253"/>
      <c r="M496" s="253"/>
      <c r="N496" s="253"/>
      <c r="O496" s="253"/>
      <c r="P496" s="253"/>
      <c r="Q496" s="253"/>
    </row>
    <row r="497" spans="1:17">
      <c r="A497" s="253"/>
      <c r="B497" s="253"/>
      <c r="C497" s="253"/>
      <c r="D497" s="253"/>
      <c r="E497" s="253"/>
      <c r="F497" s="253"/>
      <c r="G497" s="253"/>
      <c r="H497" s="253"/>
      <c r="I497" s="253"/>
      <c r="J497" s="253"/>
      <c r="K497" s="253"/>
      <c r="L497" s="253"/>
      <c r="M497" s="253"/>
      <c r="N497" s="253"/>
      <c r="O497" s="253"/>
      <c r="P497" s="253"/>
      <c r="Q497" s="253"/>
    </row>
    <row r="498" spans="1:17">
      <c r="A498" s="253"/>
      <c r="B498" s="253"/>
      <c r="C498" s="253"/>
      <c r="D498" s="253"/>
      <c r="E498" s="253"/>
      <c r="F498" s="253"/>
      <c r="G498" s="253"/>
      <c r="H498" s="253"/>
      <c r="I498" s="253"/>
      <c r="J498" s="253"/>
      <c r="K498" s="253"/>
      <c r="L498" s="253"/>
      <c r="M498" s="253"/>
      <c r="N498" s="253"/>
      <c r="O498" s="253"/>
      <c r="P498" s="253"/>
      <c r="Q498" s="253"/>
    </row>
    <row r="499" spans="1:17">
      <c r="A499" s="253"/>
      <c r="B499" s="253"/>
      <c r="C499" s="253"/>
      <c r="D499" s="253"/>
      <c r="E499" s="253"/>
      <c r="F499" s="253"/>
      <c r="G499" s="253"/>
      <c r="H499" s="253"/>
      <c r="I499" s="253"/>
      <c r="J499" s="253"/>
      <c r="K499" s="253"/>
      <c r="L499" s="253"/>
      <c r="M499" s="253"/>
      <c r="N499" s="253"/>
      <c r="O499" s="253"/>
      <c r="P499" s="253"/>
      <c r="Q499" s="253"/>
    </row>
    <row r="500" spans="1:17">
      <c r="A500" s="253"/>
      <c r="B500" s="253"/>
      <c r="C500" s="253"/>
      <c r="D500" s="253"/>
      <c r="E500" s="253"/>
      <c r="F500" s="253"/>
      <c r="G500" s="253"/>
      <c r="H500" s="253"/>
      <c r="I500" s="253"/>
      <c r="J500" s="253"/>
      <c r="K500" s="253"/>
      <c r="L500" s="253"/>
      <c r="M500" s="253"/>
      <c r="N500" s="253"/>
      <c r="O500" s="253"/>
      <c r="P500" s="253"/>
      <c r="Q500" s="253"/>
    </row>
    <row r="501" spans="1:17">
      <c r="A501" s="253"/>
      <c r="B501" s="253"/>
      <c r="C501" s="253"/>
      <c r="D501" s="253"/>
      <c r="E501" s="253"/>
      <c r="F501" s="253"/>
      <c r="G501" s="253"/>
      <c r="H501" s="253"/>
      <c r="I501" s="253"/>
      <c r="J501" s="253"/>
      <c r="K501" s="253"/>
      <c r="L501" s="253"/>
      <c r="M501" s="253"/>
      <c r="N501" s="253"/>
      <c r="O501" s="253"/>
      <c r="P501" s="253"/>
      <c r="Q501" s="253"/>
    </row>
    <row r="502" spans="1:17">
      <c r="A502" s="253"/>
      <c r="B502" s="253"/>
      <c r="C502" s="253"/>
      <c r="D502" s="253"/>
      <c r="E502" s="253"/>
      <c r="F502" s="253"/>
      <c r="G502" s="253"/>
      <c r="H502" s="253"/>
      <c r="I502" s="253"/>
      <c r="J502" s="253"/>
      <c r="K502" s="253"/>
      <c r="L502" s="253"/>
      <c r="M502" s="253"/>
      <c r="N502" s="253"/>
      <c r="O502" s="253"/>
      <c r="P502" s="253"/>
      <c r="Q502" s="253"/>
    </row>
    <row r="503" spans="1:17">
      <c r="A503" s="253"/>
      <c r="B503" s="253"/>
      <c r="C503" s="253"/>
      <c r="D503" s="253"/>
      <c r="E503" s="253"/>
      <c r="F503" s="253"/>
      <c r="G503" s="253"/>
      <c r="H503" s="253"/>
      <c r="I503" s="253"/>
      <c r="J503" s="253"/>
      <c r="K503" s="253"/>
      <c r="L503" s="253"/>
      <c r="M503" s="253"/>
      <c r="N503" s="253"/>
      <c r="O503" s="253"/>
      <c r="P503" s="253"/>
      <c r="Q503" s="253"/>
    </row>
    <row r="504" spans="1:17">
      <c r="A504" s="253"/>
      <c r="B504" s="253"/>
      <c r="C504" s="253"/>
      <c r="D504" s="253"/>
      <c r="E504" s="253"/>
      <c r="F504" s="253"/>
      <c r="G504" s="253"/>
      <c r="H504" s="253"/>
      <c r="I504" s="253"/>
      <c r="J504" s="253"/>
      <c r="K504" s="253"/>
      <c r="L504" s="253"/>
      <c r="M504" s="253"/>
      <c r="N504" s="253"/>
      <c r="O504" s="253"/>
      <c r="P504" s="253"/>
      <c r="Q504" s="253"/>
    </row>
    <row r="505" spans="1:17">
      <c r="A505" s="253"/>
      <c r="B505" s="253"/>
      <c r="C505" s="253"/>
      <c r="D505" s="253"/>
      <c r="E505" s="253"/>
      <c r="F505" s="253"/>
      <c r="G505" s="253"/>
      <c r="H505" s="253"/>
      <c r="I505" s="253"/>
      <c r="J505" s="253"/>
      <c r="K505" s="253"/>
      <c r="L505" s="253"/>
      <c r="M505" s="253"/>
      <c r="N505" s="253"/>
      <c r="O505" s="253"/>
      <c r="P505" s="253"/>
      <c r="Q505" s="253"/>
    </row>
    <row r="506" spans="1:17">
      <c r="A506" s="253"/>
      <c r="B506" s="253"/>
      <c r="C506" s="253"/>
      <c r="D506" s="253"/>
      <c r="E506" s="253"/>
      <c r="F506" s="253"/>
      <c r="G506" s="253"/>
      <c r="H506" s="253"/>
      <c r="I506" s="253"/>
      <c r="J506" s="253"/>
      <c r="K506" s="253"/>
      <c r="L506" s="253"/>
      <c r="M506" s="253"/>
      <c r="N506" s="253"/>
      <c r="O506" s="253"/>
      <c r="P506" s="253"/>
      <c r="Q506" s="253"/>
    </row>
    <row r="507" spans="1:17">
      <c r="A507" s="253"/>
      <c r="B507" s="253"/>
      <c r="C507" s="253"/>
      <c r="D507" s="253"/>
      <c r="E507" s="253"/>
      <c r="F507" s="253"/>
      <c r="G507" s="253"/>
      <c r="H507" s="253"/>
      <c r="I507" s="253"/>
      <c r="J507" s="253"/>
      <c r="K507" s="253"/>
      <c r="L507" s="253"/>
      <c r="M507" s="253"/>
      <c r="N507" s="253"/>
      <c r="O507" s="253"/>
      <c r="P507" s="253"/>
      <c r="Q507" s="253"/>
    </row>
    <row r="508" spans="1:17">
      <c r="A508" s="253"/>
      <c r="B508" s="253"/>
      <c r="C508" s="253"/>
      <c r="D508" s="253"/>
      <c r="E508" s="253"/>
      <c r="F508" s="253"/>
      <c r="G508" s="253"/>
      <c r="H508" s="253"/>
      <c r="I508" s="253"/>
      <c r="J508" s="253"/>
      <c r="K508" s="253"/>
      <c r="L508" s="253"/>
      <c r="M508" s="253"/>
      <c r="N508" s="253"/>
      <c r="O508" s="253"/>
      <c r="P508" s="253"/>
      <c r="Q508" s="253"/>
    </row>
    <row r="509" spans="1:17">
      <c r="A509" s="253"/>
      <c r="B509" s="253"/>
      <c r="C509" s="253"/>
      <c r="D509" s="253"/>
      <c r="E509" s="253"/>
      <c r="F509" s="253"/>
      <c r="G509" s="253"/>
      <c r="H509" s="253"/>
      <c r="I509" s="253"/>
      <c r="J509" s="253"/>
      <c r="K509" s="253"/>
      <c r="L509" s="253"/>
      <c r="M509" s="253"/>
      <c r="N509" s="253"/>
      <c r="O509" s="253"/>
      <c r="P509" s="253"/>
      <c r="Q509" s="253"/>
    </row>
    <row r="510" spans="1:17">
      <c r="A510" s="253"/>
      <c r="B510" s="253"/>
      <c r="C510" s="253"/>
      <c r="D510" s="253"/>
      <c r="E510" s="253"/>
      <c r="F510" s="253"/>
      <c r="G510" s="253"/>
      <c r="H510" s="253"/>
      <c r="I510" s="253"/>
      <c r="J510" s="253"/>
      <c r="K510" s="253"/>
      <c r="L510" s="253"/>
      <c r="M510" s="253"/>
      <c r="N510" s="253"/>
      <c r="O510" s="253"/>
      <c r="P510" s="253"/>
      <c r="Q510" s="253"/>
    </row>
    <row r="511" spans="1:17">
      <c r="A511" s="253"/>
      <c r="B511" s="253"/>
      <c r="C511" s="253"/>
      <c r="D511" s="253"/>
      <c r="E511" s="253"/>
      <c r="F511" s="253"/>
      <c r="G511" s="253"/>
      <c r="H511" s="253"/>
      <c r="I511" s="253"/>
      <c r="J511" s="253"/>
      <c r="K511" s="253"/>
      <c r="L511" s="253"/>
      <c r="M511" s="253"/>
      <c r="N511" s="253"/>
      <c r="O511" s="253"/>
      <c r="P511" s="253"/>
      <c r="Q511" s="253"/>
    </row>
    <row r="512" spans="1:17">
      <c r="A512" s="253"/>
      <c r="B512" s="253"/>
      <c r="C512" s="253"/>
      <c r="D512" s="253"/>
      <c r="E512" s="253"/>
      <c r="F512" s="253"/>
      <c r="G512" s="253"/>
      <c r="H512" s="253"/>
      <c r="I512" s="253"/>
      <c r="J512" s="253"/>
      <c r="K512" s="253"/>
      <c r="L512" s="253"/>
      <c r="M512" s="253"/>
      <c r="N512" s="253"/>
      <c r="O512" s="253"/>
      <c r="P512" s="253"/>
      <c r="Q512" s="253"/>
    </row>
    <row r="513" spans="1:17">
      <c r="A513" s="253"/>
      <c r="B513" s="253"/>
      <c r="C513" s="253"/>
      <c r="D513" s="253"/>
      <c r="E513" s="253"/>
      <c r="F513" s="253"/>
      <c r="G513" s="253"/>
      <c r="H513" s="253"/>
      <c r="I513" s="253"/>
      <c r="J513" s="253"/>
      <c r="K513" s="253"/>
      <c r="L513" s="253"/>
      <c r="M513" s="253"/>
      <c r="N513" s="253"/>
      <c r="O513" s="253"/>
      <c r="P513" s="253"/>
      <c r="Q513" s="253"/>
    </row>
    <row r="514" spans="1:17">
      <c r="A514" s="253"/>
      <c r="B514" s="253"/>
      <c r="C514" s="253"/>
      <c r="D514" s="253"/>
      <c r="E514" s="253"/>
      <c r="F514" s="253"/>
      <c r="G514" s="253"/>
      <c r="H514" s="253"/>
      <c r="I514" s="253"/>
      <c r="J514" s="253"/>
      <c r="K514" s="253"/>
      <c r="L514" s="253"/>
      <c r="M514" s="253"/>
      <c r="N514" s="253"/>
      <c r="O514" s="253"/>
      <c r="P514" s="253"/>
      <c r="Q514" s="253"/>
    </row>
    <row r="515" spans="1:17">
      <c r="A515" s="253"/>
      <c r="B515" s="253"/>
      <c r="C515" s="253"/>
      <c r="D515" s="253"/>
      <c r="E515" s="253"/>
      <c r="F515" s="253"/>
      <c r="G515" s="253"/>
      <c r="H515" s="253"/>
      <c r="I515" s="253"/>
      <c r="J515" s="253"/>
      <c r="K515" s="253"/>
      <c r="L515" s="253"/>
      <c r="M515" s="253"/>
      <c r="N515" s="253"/>
      <c r="O515" s="253"/>
      <c r="P515" s="253"/>
      <c r="Q515" s="253"/>
    </row>
    <row r="516" spans="1:17">
      <c r="A516" s="253"/>
      <c r="B516" s="253"/>
      <c r="C516" s="253"/>
      <c r="D516" s="253"/>
      <c r="E516" s="253"/>
      <c r="F516" s="253"/>
      <c r="G516" s="253"/>
      <c r="H516" s="253"/>
      <c r="I516" s="253"/>
      <c r="J516" s="253"/>
      <c r="K516" s="253"/>
      <c r="L516" s="253"/>
      <c r="M516" s="253"/>
      <c r="N516" s="253"/>
      <c r="O516" s="253"/>
      <c r="P516" s="253"/>
      <c r="Q516" s="253"/>
    </row>
    <row r="517" spans="1:17">
      <c r="A517" s="253"/>
      <c r="B517" s="253"/>
      <c r="C517" s="253"/>
      <c r="D517" s="253"/>
      <c r="E517" s="253"/>
      <c r="F517" s="253"/>
      <c r="G517" s="253"/>
      <c r="H517" s="253"/>
      <c r="I517" s="253"/>
      <c r="J517" s="253"/>
      <c r="K517" s="253"/>
      <c r="L517" s="253"/>
      <c r="M517" s="253"/>
      <c r="N517" s="253"/>
      <c r="O517" s="253"/>
      <c r="P517" s="253"/>
      <c r="Q517" s="253"/>
    </row>
    <row r="518" spans="1:17">
      <c r="A518" s="253"/>
      <c r="B518" s="253"/>
      <c r="C518" s="253"/>
      <c r="D518" s="253"/>
      <c r="E518" s="253"/>
      <c r="F518" s="253"/>
      <c r="G518" s="253"/>
      <c r="H518" s="253"/>
      <c r="I518" s="253"/>
      <c r="J518" s="253"/>
      <c r="K518" s="253"/>
      <c r="L518" s="253"/>
      <c r="M518" s="253"/>
      <c r="N518" s="253"/>
      <c r="O518" s="253"/>
      <c r="P518" s="253"/>
      <c r="Q518" s="253"/>
    </row>
    <row r="519" spans="1:17">
      <c r="A519" s="253"/>
      <c r="B519" s="253"/>
      <c r="C519" s="253"/>
      <c r="D519" s="253"/>
      <c r="E519" s="253"/>
      <c r="F519" s="253"/>
      <c r="G519" s="253"/>
      <c r="H519" s="253"/>
      <c r="I519" s="253"/>
      <c r="J519" s="253"/>
      <c r="K519" s="253"/>
      <c r="L519" s="253"/>
      <c r="M519" s="253"/>
      <c r="N519" s="253"/>
      <c r="O519" s="253"/>
      <c r="P519" s="253"/>
      <c r="Q519" s="253"/>
    </row>
    <row r="520" spans="1:17">
      <c r="A520" s="253"/>
      <c r="B520" s="253"/>
      <c r="C520" s="253"/>
      <c r="D520" s="253"/>
      <c r="E520" s="253"/>
      <c r="F520" s="253"/>
      <c r="G520" s="253"/>
      <c r="H520" s="253"/>
      <c r="I520" s="253"/>
      <c r="J520" s="253"/>
      <c r="K520" s="253"/>
      <c r="L520" s="253"/>
      <c r="M520" s="253"/>
      <c r="N520" s="253"/>
      <c r="O520" s="253"/>
      <c r="P520" s="253"/>
      <c r="Q520" s="253"/>
    </row>
    <row r="521" spans="1:17">
      <c r="A521" s="253"/>
      <c r="B521" s="253"/>
      <c r="C521" s="253"/>
      <c r="D521" s="253"/>
      <c r="E521" s="253"/>
      <c r="F521" s="253"/>
      <c r="G521" s="253"/>
      <c r="H521" s="253"/>
      <c r="I521" s="253"/>
      <c r="J521" s="253"/>
      <c r="K521" s="253"/>
      <c r="L521" s="253"/>
      <c r="M521" s="253"/>
      <c r="N521" s="253"/>
      <c r="O521" s="253"/>
      <c r="P521" s="253"/>
      <c r="Q521" s="253"/>
    </row>
    <row r="522" spans="1:17">
      <c r="A522" s="253"/>
      <c r="B522" s="253"/>
      <c r="C522" s="253"/>
      <c r="D522" s="253"/>
      <c r="E522" s="253"/>
      <c r="F522" s="253"/>
      <c r="G522" s="253"/>
      <c r="H522" s="253"/>
      <c r="I522" s="253"/>
      <c r="J522" s="253"/>
      <c r="K522" s="253"/>
      <c r="L522" s="253"/>
      <c r="M522" s="253"/>
      <c r="N522" s="253"/>
      <c r="O522" s="253"/>
      <c r="P522" s="253"/>
      <c r="Q522" s="253"/>
    </row>
    <row r="523" spans="1:17">
      <c r="A523" s="253"/>
      <c r="B523" s="253"/>
      <c r="C523" s="253"/>
      <c r="D523" s="253"/>
      <c r="E523" s="253"/>
      <c r="F523" s="253"/>
      <c r="G523" s="253"/>
      <c r="H523" s="253"/>
      <c r="I523" s="253"/>
      <c r="J523" s="253"/>
      <c r="K523" s="253"/>
      <c r="L523" s="253"/>
      <c r="M523" s="253"/>
      <c r="N523" s="253"/>
      <c r="O523" s="253"/>
      <c r="P523" s="253"/>
      <c r="Q523" s="253"/>
    </row>
    <row r="524" spans="1:17">
      <c r="A524" s="253"/>
      <c r="B524" s="253"/>
      <c r="C524" s="253"/>
      <c r="D524" s="253"/>
      <c r="E524" s="253"/>
      <c r="F524" s="253"/>
      <c r="G524" s="253"/>
      <c r="H524" s="253"/>
      <c r="I524" s="253"/>
      <c r="J524" s="253"/>
      <c r="K524" s="253"/>
      <c r="L524" s="253"/>
      <c r="M524" s="253"/>
      <c r="N524" s="253"/>
      <c r="O524" s="253"/>
      <c r="P524" s="253"/>
      <c r="Q524" s="253"/>
    </row>
    <row r="525" spans="1:17">
      <c r="A525" s="253"/>
      <c r="B525" s="253"/>
      <c r="C525" s="253"/>
      <c r="D525" s="253"/>
      <c r="E525" s="253"/>
      <c r="F525" s="253"/>
      <c r="G525" s="253"/>
      <c r="H525" s="253"/>
      <c r="I525" s="253"/>
      <c r="J525" s="253"/>
      <c r="K525" s="253"/>
      <c r="L525" s="253"/>
      <c r="M525" s="253"/>
      <c r="N525" s="253"/>
      <c r="O525" s="253"/>
      <c r="P525" s="253"/>
      <c r="Q525" s="253"/>
    </row>
    <row r="526" spans="1:17">
      <c r="A526" s="253"/>
      <c r="B526" s="253"/>
      <c r="C526" s="253"/>
      <c r="D526" s="253"/>
      <c r="E526" s="253"/>
      <c r="F526" s="253"/>
      <c r="G526" s="253"/>
      <c r="H526" s="253"/>
      <c r="I526" s="253"/>
      <c r="J526" s="253"/>
      <c r="K526" s="253"/>
      <c r="L526" s="253"/>
      <c r="M526" s="253"/>
      <c r="N526" s="253"/>
      <c r="O526" s="253"/>
      <c r="P526" s="253"/>
      <c r="Q526" s="253"/>
    </row>
    <row r="527" spans="1:17">
      <c r="A527" s="253"/>
      <c r="B527" s="253"/>
      <c r="C527" s="253"/>
      <c r="D527" s="253"/>
      <c r="E527" s="253"/>
      <c r="F527" s="253"/>
      <c r="G527" s="253"/>
      <c r="H527" s="253"/>
      <c r="I527" s="253"/>
      <c r="J527" s="253"/>
      <c r="K527" s="253"/>
      <c r="L527" s="253"/>
      <c r="M527" s="253"/>
      <c r="N527" s="253"/>
      <c r="O527" s="253"/>
      <c r="P527" s="253"/>
      <c r="Q527" s="253"/>
    </row>
    <row r="528" spans="1:17">
      <c r="A528" s="253"/>
      <c r="B528" s="253"/>
      <c r="C528" s="253"/>
      <c r="D528" s="253"/>
      <c r="E528" s="253"/>
      <c r="F528" s="253"/>
      <c r="G528" s="253"/>
      <c r="H528" s="253"/>
      <c r="I528" s="253"/>
      <c r="J528" s="253"/>
      <c r="K528" s="253"/>
      <c r="L528" s="253"/>
      <c r="M528" s="253"/>
      <c r="N528" s="253"/>
      <c r="O528" s="253"/>
      <c r="P528" s="253"/>
      <c r="Q528" s="253"/>
    </row>
    <row r="529" spans="1:17">
      <c r="A529" s="253"/>
      <c r="B529" s="253"/>
      <c r="C529" s="253"/>
      <c r="D529" s="253"/>
      <c r="E529" s="253"/>
      <c r="F529" s="253"/>
      <c r="G529" s="253"/>
      <c r="H529" s="253"/>
      <c r="I529" s="253"/>
      <c r="J529" s="253"/>
      <c r="K529" s="253"/>
      <c r="L529" s="253"/>
      <c r="M529" s="253"/>
      <c r="N529" s="253"/>
      <c r="O529" s="253"/>
      <c r="P529" s="253"/>
      <c r="Q529" s="253"/>
    </row>
    <row r="530" spans="1:17">
      <c r="A530" s="253"/>
      <c r="B530" s="253"/>
      <c r="C530" s="253"/>
      <c r="D530" s="253"/>
      <c r="E530" s="253"/>
      <c r="F530" s="253"/>
      <c r="G530" s="253"/>
      <c r="H530" s="253"/>
      <c r="I530" s="253"/>
      <c r="J530" s="253"/>
      <c r="K530" s="253"/>
      <c r="L530" s="253"/>
      <c r="M530" s="253"/>
      <c r="N530" s="253"/>
      <c r="O530" s="253"/>
      <c r="P530" s="253"/>
      <c r="Q530" s="253"/>
    </row>
    <row r="531" spans="1:17">
      <c r="A531" s="253"/>
      <c r="B531" s="253"/>
      <c r="C531" s="253"/>
      <c r="D531" s="253"/>
      <c r="E531" s="253"/>
      <c r="F531" s="253"/>
      <c r="G531" s="253"/>
      <c r="H531" s="253"/>
      <c r="I531" s="253"/>
      <c r="J531" s="253"/>
      <c r="K531" s="253"/>
      <c r="L531" s="253"/>
      <c r="M531" s="253"/>
      <c r="N531" s="253"/>
      <c r="O531" s="253"/>
      <c r="P531" s="253"/>
      <c r="Q531" s="253"/>
    </row>
    <row r="532" spans="1:17">
      <c r="A532" s="253"/>
      <c r="B532" s="253"/>
      <c r="C532" s="253"/>
      <c r="D532" s="253"/>
      <c r="E532" s="253"/>
      <c r="F532" s="253"/>
      <c r="G532" s="253"/>
      <c r="H532" s="253"/>
      <c r="I532" s="253"/>
      <c r="J532" s="253"/>
      <c r="K532" s="253"/>
      <c r="L532" s="253"/>
      <c r="M532" s="253"/>
      <c r="N532" s="253"/>
      <c r="O532" s="253"/>
      <c r="P532" s="253"/>
      <c r="Q532" s="253"/>
    </row>
    <row r="533" spans="1:17">
      <c r="A533" s="253"/>
      <c r="B533" s="253"/>
      <c r="C533" s="253"/>
      <c r="D533" s="253"/>
      <c r="E533" s="253"/>
      <c r="F533" s="253"/>
      <c r="G533" s="253"/>
      <c r="H533" s="253"/>
      <c r="I533" s="253"/>
      <c r="J533" s="253"/>
      <c r="K533" s="253"/>
      <c r="L533" s="253"/>
      <c r="M533" s="253"/>
      <c r="N533" s="253"/>
      <c r="O533" s="253"/>
      <c r="P533" s="253"/>
      <c r="Q533" s="253"/>
    </row>
    <row r="534" spans="1:17">
      <c r="A534" s="253"/>
      <c r="B534" s="253"/>
      <c r="C534" s="253"/>
      <c r="D534" s="253"/>
      <c r="E534" s="253"/>
      <c r="F534" s="253"/>
      <c r="G534" s="253"/>
      <c r="H534" s="253"/>
      <c r="I534" s="253"/>
      <c r="J534" s="253"/>
      <c r="K534" s="253"/>
      <c r="L534" s="253"/>
      <c r="M534" s="253"/>
      <c r="N534" s="253"/>
      <c r="O534" s="253"/>
      <c r="P534" s="253"/>
      <c r="Q534" s="253"/>
    </row>
    <row r="535" spans="1:17">
      <c r="A535" s="253"/>
      <c r="B535" s="253"/>
      <c r="C535" s="253"/>
      <c r="D535" s="253"/>
      <c r="E535" s="253"/>
      <c r="F535" s="253"/>
      <c r="G535" s="253"/>
      <c r="H535" s="253"/>
      <c r="I535" s="253"/>
      <c r="J535" s="253"/>
      <c r="K535" s="253"/>
      <c r="L535" s="253"/>
      <c r="M535" s="253"/>
      <c r="N535" s="253"/>
      <c r="O535" s="253"/>
      <c r="P535" s="253"/>
      <c r="Q535" s="253"/>
    </row>
    <row r="536" spans="1:17">
      <c r="A536" s="253"/>
      <c r="B536" s="253"/>
      <c r="C536" s="253"/>
      <c r="D536" s="253"/>
      <c r="E536" s="253"/>
      <c r="F536" s="253"/>
      <c r="G536" s="253"/>
      <c r="H536" s="253"/>
      <c r="I536" s="253"/>
      <c r="J536" s="253"/>
      <c r="K536" s="253"/>
      <c r="L536" s="253"/>
      <c r="M536" s="253"/>
      <c r="N536" s="253"/>
      <c r="O536" s="253"/>
      <c r="P536" s="253"/>
      <c r="Q536" s="253"/>
    </row>
    <row r="537" spans="1:17">
      <c r="A537" s="253"/>
      <c r="B537" s="253"/>
      <c r="C537" s="253"/>
      <c r="D537" s="253"/>
      <c r="E537" s="253"/>
      <c r="F537" s="253"/>
      <c r="G537" s="253"/>
      <c r="H537" s="253"/>
      <c r="I537" s="253"/>
      <c r="J537" s="253"/>
      <c r="K537" s="253"/>
      <c r="L537" s="253"/>
      <c r="M537" s="253"/>
      <c r="N537" s="253"/>
      <c r="O537" s="253"/>
      <c r="P537" s="253"/>
      <c r="Q537" s="253"/>
    </row>
    <row r="538" spans="1:17">
      <c r="A538" s="253"/>
      <c r="B538" s="253"/>
      <c r="C538" s="253"/>
      <c r="D538" s="253"/>
      <c r="E538" s="253"/>
      <c r="F538" s="253"/>
      <c r="G538" s="253"/>
      <c r="H538" s="253"/>
      <c r="I538" s="253"/>
      <c r="J538" s="253"/>
      <c r="K538" s="253"/>
      <c r="L538" s="253"/>
      <c r="M538" s="253"/>
      <c r="N538" s="253"/>
      <c r="O538" s="253"/>
      <c r="P538" s="253"/>
      <c r="Q538" s="253"/>
    </row>
    <row r="539" spans="1:17">
      <c r="A539" s="253"/>
      <c r="B539" s="253"/>
      <c r="C539" s="253"/>
      <c r="D539" s="253"/>
      <c r="E539" s="253"/>
      <c r="F539" s="253"/>
      <c r="G539" s="253"/>
      <c r="H539" s="253"/>
      <c r="I539" s="253"/>
      <c r="J539" s="253"/>
      <c r="K539" s="253"/>
      <c r="L539" s="253"/>
      <c r="M539" s="253"/>
      <c r="N539" s="253"/>
      <c r="O539" s="253"/>
      <c r="P539" s="253"/>
      <c r="Q539" s="253"/>
    </row>
    <row r="540" spans="1:17">
      <c r="A540" s="253"/>
      <c r="B540" s="253"/>
      <c r="C540" s="253"/>
      <c r="D540" s="253"/>
      <c r="E540" s="253"/>
      <c r="F540" s="253"/>
      <c r="G540" s="253"/>
      <c r="H540" s="253"/>
      <c r="I540" s="253"/>
      <c r="J540" s="253"/>
      <c r="K540" s="253"/>
      <c r="L540" s="253"/>
      <c r="M540" s="253"/>
      <c r="N540" s="253"/>
      <c r="O540" s="253"/>
      <c r="P540" s="253"/>
      <c r="Q540" s="253"/>
    </row>
    <row r="541" spans="1:17">
      <c r="A541" s="253"/>
      <c r="B541" s="253"/>
      <c r="C541" s="253"/>
      <c r="D541" s="253"/>
      <c r="E541" s="253"/>
      <c r="F541" s="253"/>
      <c r="G541" s="253"/>
      <c r="H541" s="253"/>
      <c r="I541" s="253"/>
      <c r="J541" s="253"/>
      <c r="K541" s="253"/>
      <c r="L541" s="253"/>
      <c r="M541" s="253"/>
      <c r="N541" s="253"/>
      <c r="O541" s="253"/>
      <c r="P541" s="253"/>
      <c r="Q541" s="253"/>
    </row>
    <row r="542" spans="1:17">
      <c r="A542" s="253"/>
      <c r="B542" s="253"/>
      <c r="C542" s="253"/>
      <c r="D542" s="253"/>
      <c r="E542" s="253"/>
      <c r="F542" s="253"/>
      <c r="G542" s="253"/>
      <c r="H542" s="253"/>
      <c r="I542" s="253"/>
      <c r="J542" s="253"/>
      <c r="K542" s="253"/>
      <c r="L542" s="253"/>
      <c r="M542" s="253"/>
      <c r="N542" s="253"/>
      <c r="O542" s="253"/>
      <c r="P542" s="253"/>
      <c r="Q542" s="253"/>
    </row>
    <row r="543" spans="1:17">
      <c r="A543" s="253"/>
      <c r="B543" s="253"/>
      <c r="C543" s="253"/>
      <c r="D543" s="253"/>
      <c r="E543" s="253"/>
      <c r="F543" s="253"/>
      <c r="G543" s="253"/>
      <c r="H543" s="253"/>
      <c r="I543" s="253"/>
      <c r="J543" s="253"/>
      <c r="K543" s="253"/>
      <c r="L543" s="253"/>
      <c r="M543" s="253"/>
      <c r="N543" s="253"/>
      <c r="O543" s="253"/>
      <c r="P543" s="253"/>
      <c r="Q543" s="253"/>
    </row>
    <row r="544" spans="1:17">
      <c r="A544" s="253"/>
      <c r="B544" s="253"/>
      <c r="C544" s="253"/>
      <c r="D544" s="253"/>
      <c r="E544" s="253"/>
      <c r="F544" s="253"/>
      <c r="G544" s="253"/>
      <c r="H544" s="253"/>
      <c r="I544" s="253"/>
      <c r="J544" s="253"/>
      <c r="K544" s="253"/>
      <c r="L544" s="253"/>
      <c r="M544" s="253"/>
      <c r="N544" s="253"/>
      <c r="O544" s="253"/>
      <c r="P544" s="253"/>
      <c r="Q544" s="253"/>
    </row>
    <row r="545" spans="1:17">
      <c r="A545" s="253"/>
      <c r="B545" s="253"/>
      <c r="C545" s="253"/>
      <c r="D545" s="253"/>
      <c r="E545" s="253"/>
      <c r="F545" s="253"/>
      <c r="G545" s="253"/>
      <c r="H545" s="253"/>
      <c r="I545" s="253"/>
      <c r="J545" s="253"/>
      <c r="K545" s="253"/>
      <c r="L545" s="253"/>
      <c r="M545" s="253"/>
      <c r="N545" s="253"/>
      <c r="O545" s="253"/>
      <c r="P545" s="253"/>
      <c r="Q545" s="253"/>
    </row>
    <row r="546" spans="1:17">
      <c r="A546" s="253"/>
      <c r="B546" s="253"/>
      <c r="C546" s="253"/>
      <c r="D546" s="253"/>
      <c r="E546" s="253"/>
      <c r="F546" s="253"/>
      <c r="G546" s="253"/>
      <c r="H546" s="253"/>
      <c r="I546" s="253"/>
      <c r="J546" s="253"/>
      <c r="K546" s="253"/>
      <c r="L546" s="253"/>
      <c r="M546" s="253"/>
      <c r="N546" s="253"/>
      <c r="O546" s="253"/>
      <c r="P546" s="253"/>
      <c r="Q546" s="253"/>
    </row>
    <row r="547" spans="1:17">
      <c r="A547" s="253"/>
      <c r="B547" s="253"/>
      <c r="C547" s="253"/>
      <c r="D547" s="253"/>
      <c r="E547" s="253"/>
      <c r="F547" s="253"/>
      <c r="G547" s="253"/>
      <c r="H547" s="253"/>
      <c r="I547" s="253"/>
      <c r="J547" s="253"/>
      <c r="K547" s="253"/>
      <c r="L547" s="253"/>
      <c r="M547" s="253"/>
      <c r="N547" s="253"/>
      <c r="O547" s="253"/>
      <c r="P547" s="253"/>
      <c r="Q547" s="253"/>
    </row>
    <row r="548" spans="1:17">
      <c r="A548" s="253"/>
      <c r="B548" s="253"/>
      <c r="C548" s="253"/>
      <c r="D548" s="253"/>
      <c r="E548" s="253"/>
      <c r="F548" s="253"/>
      <c r="G548" s="253"/>
      <c r="H548" s="253"/>
      <c r="I548" s="253"/>
      <c r="J548" s="253"/>
      <c r="K548" s="253"/>
      <c r="L548" s="253"/>
      <c r="M548" s="253"/>
      <c r="N548" s="253"/>
      <c r="O548" s="253"/>
      <c r="P548" s="253"/>
      <c r="Q548" s="253"/>
    </row>
    <row r="549" spans="1:17">
      <c r="A549" s="253"/>
      <c r="B549" s="253"/>
      <c r="C549" s="253"/>
      <c r="D549" s="253"/>
      <c r="E549" s="253"/>
      <c r="F549" s="253"/>
      <c r="G549" s="253"/>
      <c r="H549" s="253"/>
      <c r="I549" s="253"/>
      <c r="J549" s="253"/>
      <c r="K549" s="253"/>
      <c r="L549" s="253"/>
      <c r="M549" s="253"/>
      <c r="N549" s="253"/>
      <c r="O549" s="253"/>
      <c r="P549" s="253"/>
      <c r="Q549" s="253"/>
    </row>
    <row r="550" spans="1:17">
      <c r="A550" s="253"/>
      <c r="B550" s="253"/>
      <c r="C550" s="253"/>
      <c r="D550" s="253"/>
      <c r="E550" s="253"/>
      <c r="F550" s="253"/>
      <c r="G550" s="253"/>
      <c r="H550" s="253"/>
      <c r="I550" s="253"/>
      <c r="J550" s="253"/>
      <c r="K550" s="253"/>
      <c r="L550" s="253"/>
      <c r="M550" s="253"/>
      <c r="N550" s="253"/>
      <c r="O550" s="253"/>
      <c r="P550" s="253"/>
      <c r="Q550" s="253"/>
    </row>
    <row r="551" spans="1:17">
      <c r="A551" s="253"/>
      <c r="B551" s="253"/>
      <c r="C551" s="253"/>
      <c r="D551" s="253"/>
      <c r="E551" s="253"/>
      <c r="F551" s="253"/>
      <c r="G551" s="253"/>
      <c r="H551" s="253"/>
      <c r="I551" s="253"/>
      <c r="J551" s="253"/>
      <c r="K551" s="253"/>
      <c r="L551" s="253"/>
      <c r="M551" s="253"/>
      <c r="N551" s="253"/>
      <c r="O551" s="253"/>
      <c r="P551" s="253"/>
      <c r="Q551" s="253"/>
    </row>
    <row r="552" spans="1:17">
      <c r="A552" s="253"/>
      <c r="B552" s="253"/>
      <c r="C552" s="253"/>
      <c r="D552" s="253"/>
      <c r="E552" s="253"/>
      <c r="F552" s="253"/>
      <c r="G552" s="253"/>
      <c r="H552" s="253"/>
      <c r="I552" s="253"/>
      <c r="J552" s="253"/>
      <c r="K552" s="253"/>
      <c r="L552" s="253"/>
      <c r="M552" s="253"/>
      <c r="N552" s="253"/>
      <c r="O552" s="253"/>
      <c r="P552" s="253"/>
      <c r="Q552" s="253"/>
    </row>
    <row r="553" spans="1:17">
      <c r="A553" s="253"/>
      <c r="B553" s="253"/>
      <c r="C553" s="253"/>
      <c r="D553" s="253"/>
      <c r="E553" s="253"/>
      <c r="F553" s="253"/>
      <c r="G553" s="253"/>
      <c r="H553" s="253"/>
      <c r="I553" s="253"/>
      <c r="J553" s="253"/>
      <c r="K553" s="253"/>
      <c r="L553" s="253"/>
      <c r="M553" s="253"/>
      <c r="N553" s="253"/>
      <c r="O553" s="253"/>
      <c r="P553" s="253"/>
      <c r="Q553" s="253"/>
    </row>
    <row r="554" spans="1:17">
      <c r="A554" s="253"/>
      <c r="B554" s="253"/>
      <c r="C554" s="253"/>
      <c r="D554" s="253"/>
      <c r="E554" s="253"/>
      <c r="F554" s="253"/>
      <c r="G554" s="253"/>
      <c r="H554" s="253"/>
      <c r="I554" s="253"/>
      <c r="J554" s="253"/>
      <c r="K554" s="253"/>
      <c r="L554" s="253"/>
      <c r="M554" s="253"/>
      <c r="N554" s="253"/>
      <c r="O554" s="253"/>
      <c r="P554" s="253"/>
      <c r="Q554" s="253"/>
    </row>
    <row r="555" spans="1:17">
      <c r="A555" s="253"/>
      <c r="B555" s="253"/>
      <c r="C555" s="253"/>
      <c r="D555" s="253"/>
      <c r="E555" s="253"/>
      <c r="F555" s="253"/>
      <c r="G555" s="253"/>
      <c r="H555" s="253"/>
      <c r="I555" s="253"/>
      <c r="J555" s="253"/>
      <c r="K555" s="253"/>
      <c r="L555" s="253"/>
      <c r="M555" s="253"/>
      <c r="N555" s="253"/>
      <c r="O555" s="253"/>
      <c r="P555" s="253"/>
      <c r="Q555" s="253"/>
    </row>
    <row r="556" spans="1:17">
      <c r="A556" s="253"/>
      <c r="B556" s="253"/>
      <c r="C556" s="253"/>
      <c r="D556" s="253"/>
      <c r="E556" s="253"/>
      <c r="F556" s="253"/>
      <c r="G556" s="253"/>
      <c r="H556" s="253"/>
      <c r="I556" s="253"/>
      <c r="J556" s="253"/>
      <c r="K556" s="253"/>
      <c r="L556" s="253"/>
      <c r="M556" s="253"/>
      <c r="N556" s="253"/>
      <c r="O556" s="253"/>
      <c r="P556" s="253"/>
      <c r="Q556" s="253"/>
    </row>
    <row r="557" spans="1:17">
      <c r="A557" s="253"/>
      <c r="B557" s="253"/>
      <c r="C557" s="253"/>
      <c r="D557" s="253"/>
      <c r="E557" s="253"/>
      <c r="F557" s="253"/>
      <c r="G557" s="253"/>
      <c r="H557" s="253"/>
      <c r="I557" s="253"/>
      <c r="J557" s="253"/>
      <c r="K557" s="253"/>
      <c r="L557" s="253"/>
      <c r="M557" s="253"/>
      <c r="N557" s="253"/>
      <c r="O557" s="253"/>
      <c r="P557" s="253"/>
      <c r="Q557" s="253"/>
    </row>
    <row r="558" spans="1:17">
      <c r="A558" s="253"/>
      <c r="B558" s="253"/>
      <c r="C558" s="253"/>
      <c r="D558" s="253"/>
      <c r="E558" s="253"/>
      <c r="F558" s="253"/>
      <c r="G558" s="253"/>
      <c r="H558" s="253"/>
      <c r="I558" s="253"/>
      <c r="J558" s="253"/>
      <c r="K558" s="253"/>
      <c r="L558" s="253"/>
      <c r="M558" s="253"/>
      <c r="N558" s="253"/>
      <c r="O558" s="253"/>
      <c r="P558" s="253"/>
      <c r="Q558" s="253"/>
    </row>
    <row r="559" spans="1:17">
      <c r="A559" s="253"/>
      <c r="B559" s="253"/>
      <c r="C559" s="253"/>
      <c r="D559" s="253"/>
      <c r="E559" s="253"/>
      <c r="F559" s="253"/>
      <c r="G559" s="253"/>
      <c r="H559" s="253"/>
      <c r="I559" s="253"/>
      <c r="J559" s="253"/>
      <c r="K559" s="253"/>
      <c r="L559" s="253"/>
      <c r="M559" s="253"/>
      <c r="N559" s="253"/>
      <c r="O559" s="253"/>
      <c r="P559" s="253"/>
      <c r="Q559" s="253"/>
    </row>
    <row r="560" spans="1:17">
      <c r="A560" s="253"/>
      <c r="B560" s="253"/>
      <c r="C560" s="253"/>
      <c r="D560" s="253"/>
      <c r="E560" s="253"/>
      <c r="F560" s="253"/>
      <c r="G560" s="253"/>
      <c r="H560" s="253"/>
      <c r="I560" s="253"/>
      <c r="J560" s="253"/>
      <c r="K560" s="253"/>
      <c r="L560" s="253"/>
      <c r="M560" s="253"/>
      <c r="N560" s="253"/>
      <c r="O560" s="253"/>
      <c r="P560" s="253"/>
      <c r="Q560" s="253"/>
    </row>
    <row r="561" spans="1:17">
      <c r="A561" s="253"/>
      <c r="B561" s="253"/>
      <c r="C561" s="253"/>
      <c r="D561" s="253"/>
      <c r="E561" s="253"/>
      <c r="F561" s="253"/>
      <c r="G561" s="253"/>
      <c r="H561" s="253"/>
      <c r="I561" s="253"/>
      <c r="J561" s="253"/>
      <c r="K561" s="253"/>
      <c r="L561" s="253"/>
      <c r="M561" s="253"/>
      <c r="N561" s="253"/>
      <c r="O561" s="253"/>
      <c r="P561" s="253"/>
      <c r="Q561" s="253"/>
    </row>
    <row r="562" spans="1:17">
      <c r="A562" s="253"/>
      <c r="B562" s="253"/>
      <c r="C562" s="253"/>
      <c r="D562" s="253"/>
      <c r="E562" s="253"/>
      <c r="F562" s="253"/>
      <c r="G562" s="253"/>
      <c r="H562" s="253"/>
      <c r="I562" s="253"/>
      <c r="J562" s="253"/>
      <c r="K562" s="253"/>
      <c r="L562" s="253"/>
      <c r="M562" s="253"/>
      <c r="N562" s="253"/>
      <c r="O562" s="253"/>
      <c r="P562" s="253"/>
      <c r="Q562" s="253"/>
    </row>
    <row r="563" spans="1:17">
      <c r="A563" s="253"/>
      <c r="B563" s="253"/>
      <c r="C563" s="253"/>
      <c r="D563" s="253"/>
      <c r="E563" s="253"/>
      <c r="F563" s="253"/>
      <c r="G563" s="253"/>
      <c r="H563" s="253"/>
      <c r="I563" s="253"/>
      <c r="J563" s="253"/>
      <c r="K563" s="253"/>
      <c r="L563" s="253"/>
      <c r="M563" s="253"/>
      <c r="N563" s="253"/>
      <c r="O563" s="253"/>
      <c r="P563" s="253"/>
      <c r="Q563" s="253"/>
    </row>
    <row r="564" spans="1:17">
      <c r="A564" s="253"/>
      <c r="B564" s="253"/>
      <c r="C564" s="253"/>
      <c r="D564" s="253"/>
      <c r="E564" s="253"/>
      <c r="F564" s="253"/>
      <c r="G564" s="253"/>
      <c r="H564" s="253"/>
      <c r="I564" s="253"/>
      <c r="J564" s="253"/>
      <c r="K564" s="253"/>
      <c r="L564" s="253"/>
      <c r="M564" s="253"/>
      <c r="N564" s="253"/>
      <c r="O564" s="253"/>
      <c r="P564" s="253"/>
      <c r="Q564" s="253"/>
    </row>
    <row r="565" spans="1:17">
      <c r="A565" s="253"/>
      <c r="B565" s="253"/>
      <c r="C565" s="253"/>
      <c r="D565" s="253"/>
      <c r="E565" s="253"/>
      <c r="F565" s="253"/>
      <c r="G565" s="253"/>
      <c r="H565" s="253"/>
      <c r="I565" s="253"/>
      <c r="J565" s="253"/>
      <c r="K565" s="253"/>
      <c r="L565" s="253"/>
      <c r="M565" s="253"/>
      <c r="N565" s="253"/>
      <c r="O565" s="253"/>
      <c r="P565" s="253"/>
      <c r="Q565" s="253"/>
    </row>
    <row r="566" spans="1:17">
      <c r="A566" s="253"/>
      <c r="B566" s="253"/>
      <c r="C566" s="253"/>
      <c r="D566" s="253"/>
      <c r="E566" s="253"/>
      <c r="F566" s="253"/>
      <c r="G566" s="253"/>
      <c r="H566" s="253"/>
      <c r="I566" s="253"/>
      <c r="J566" s="253"/>
      <c r="K566" s="253"/>
      <c r="L566" s="253"/>
      <c r="M566" s="253"/>
      <c r="N566" s="253"/>
      <c r="O566" s="253"/>
      <c r="P566" s="253"/>
      <c r="Q566" s="253"/>
    </row>
    <row r="567" spans="1:17">
      <c r="A567" s="253"/>
      <c r="B567" s="253"/>
      <c r="C567" s="253"/>
      <c r="D567" s="253"/>
      <c r="E567" s="253"/>
      <c r="F567" s="253"/>
      <c r="G567" s="253"/>
      <c r="H567" s="253"/>
      <c r="I567" s="253"/>
      <c r="J567" s="253"/>
      <c r="K567" s="253"/>
      <c r="L567" s="253"/>
      <c r="M567" s="253"/>
      <c r="N567" s="253"/>
      <c r="O567" s="253"/>
      <c r="P567" s="253"/>
      <c r="Q567" s="253"/>
    </row>
    <row r="568" spans="1:17">
      <c r="A568" s="253"/>
      <c r="B568" s="253"/>
      <c r="C568" s="253"/>
      <c r="D568" s="253"/>
      <c r="E568" s="253"/>
      <c r="F568" s="253"/>
      <c r="G568" s="253"/>
      <c r="H568" s="253"/>
      <c r="I568" s="253"/>
      <c r="J568" s="253"/>
      <c r="K568" s="253"/>
      <c r="L568" s="253"/>
      <c r="M568" s="253"/>
      <c r="N568" s="253"/>
      <c r="O568" s="253"/>
      <c r="P568" s="253"/>
      <c r="Q568" s="253"/>
    </row>
    <row r="569" spans="1:17">
      <c r="A569" s="253"/>
      <c r="B569" s="253"/>
      <c r="C569" s="253"/>
      <c r="D569" s="253"/>
      <c r="E569" s="253"/>
      <c r="F569" s="253"/>
      <c r="G569" s="253"/>
      <c r="H569" s="253"/>
      <c r="I569" s="253"/>
      <c r="J569" s="253"/>
      <c r="K569" s="253"/>
      <c r="L569" s="253"/>
      <c r="M569" s="253"/>
      <c r="N569" s="253"/>
      <c r="O569" s="253"/>
      <c r="P569" s="253"/>
      <c r="Q569" s="253"/>
    </row>
    <row r="570" spans="1:17">
      <c r="A570" s="253"/>
      <c r="B570" s="253"/>
      <c r="C570" s="253"/>
      <c r="D570" s="253"/>
      <c r="E570" s="253"/>
      <c r="F570" s="253"/>
      <c r="G570" s="253"/>
      <c r="H570" s="253"/>
      <c r="I570" s="253"/>
      <c r="J570" s="253"/>
      <c r="K570" s="253"/>
      <c r="L570" s="253"/>
      <c r="M570" s="253"/>
      <c r="N570" s="253"/>
      <c r="O570" s="253"/>
      <c r="P570" s="253"/>
      <c r="Q570" s="253"/>
    </row>
    <row r="571" spans="1:17">
      <c r="A571" s="253"/>
      <c r="B571" s="253"/>
      <c r="C571" s="253"/>
      <c r="D571" s="253"/>
      <c r="E571" s="253"/>
      <c r="F571" s="253"/>
      <c r="G571" s="253"/>
      <c r="H571" s="253"/>
      <c r="I571" s="253"/>
      <c r="J571" s="253"/>
      <c r="K571" s="253"/>
      <c r="L571" s="253"/>
      <c r="M571" s="253"/>
      <c r="N571" s="253"/>
      <c r="O571" s="253"/>
      <c r="P571" s="253"/>
      <c r="Q571" s="253"/>
    </row>
    <row r="572" spans="1:17">
      <c r="A572" s="253"/>
      <c r="B572" s="253"/>
      <c r="C572" s="253"/>
      <c r="D572" s="253"/>
      <c r="E572" s="253"/>
      <c r="F572" s="253"/>
      <c r="G572" s="253"/>
      <c r="H572" s="253"/>
      <c r="I572" s="253"/>
      <c r="J572" s="253"/>
      <c r="K572" s="253"/>
      <c r="L572" s="253"/>
      <c r="M572" s="253"/>
      <c r="N572" s="253"/>
      <c r="O572" s="253"/>
      <c r="P572" s="253"/>
      <c r="Q572" s="253"/>
    </row>
    <row r="573" spans="1:17">
      <c r="A573" s="253"/>
      <c r="B573" s="253"/>
      <c r="C573" s="253"/>
      <c r="D573" s="253"/>
      <c r="E573" s="253"/>
      <c r="F573" s="253"/>
      <c r="G573" s="253"/>
      <c r="H573" s="253"/>
      <c r="I573" s="253"/>
      <c r="J573" s="253"/>
      <c r="K573" s="253"/>
      <c r="L573" s="253"/>
      <c r="M573" s="253"/>
      <c r="N573" s="253"/>
      <c r="O573" s="253"/>
      <c r="P573" s="253"/>
      <c r="Q573" s="253"/>
    </row>
    <row r="574" spans="1:17">
      <c r="A574" s="253"/>
      <c r="B574" s="253"/>
      <c r="C574" s="253"/>
      <c r="D574" s="253"/>
      <c r="E574" s="253"/>
      <c r="F574" s="253"/>
      <c r="G574" s="253"/>
      <c r="H574" s="253"/>
      <c r="I574" s="253"/>
      <c r="J574" s="253"/>
      <c r="K574" s="253"/>
      <c r="L574" s="253"/>
      <c r="M574" s="253"/>
      <c r="N574" s="253"/>
      <c r="O574" s="253"/>
      <c r="P574" s="253"/>
      <c r="Q574" s="253"/>
    </row>
    <row r="575" spans="1:17">
      <c r="A575" s="253"/>
      <c r="B575" s="253"/>
      <c r="C575" s="253"/>
      <c r="D575" s="253"/>
      <c r="E575" s="253"/>
      <c r="F575" s="253"/>
      <c r="G575" s="253"/>
      <c r="H575" s="253"/>
      <c r="I575" s="253"/>
      <c r="J575" s="253"/>
      <c r="K575" s="253"/>
      <c r="L575" s="253"/>
      <c r="M575" s="253"/>
      <c r="N575" s="253"/>
      <c r="O575" s="253"/>
      <c r="P575" s="253"/>
      <c r="Q575" s="253"/>
    </row>
    <row r="576" spans="1:17">
      <c r="A576" s="253"/>
      <c r="B576" s="253"/>
      <c r="C576" s="253"/>
      <c r="D576" s="253"/>
      <c r="E576" s="253"/>
      <c r="F576" s="253"/>
      <c r="G576" s="253"/>
      <c r="H576" s="253"/>
      <c r="I576" s="253"/>
      <c r="J576" s="253"/>
      <c r="K576" s="253"/>
      <c r="L576" s="253"/>
      <c r="M576" s="253"/>
      <c r="N576" s="253"/>
      <c r="O576" s="253"/>
      <c r="P576" s="253"/>
      <c r="Q576" s="253"/>
    </row>
    <row r="577" spans="1:17">
      <c r="A577" s="253"/>
      <c r="B577" s="253"/>
      <c r="C577" s="253"/>
      <c r="D577" s="253"/>
      <c r="E577" s="253"/>
      <c r="F577" s="253"/>
      <c r="G577" s="253"/>
      <c r="H577" s="253"/>
      <c r="I577" s="253"/>
      <c r="J577" s="253"/>
      <c r="K577" s="253"/>
      <c r="L577" s="253"/>
      <c r="M577" s="253"/>
      <c r="N577" s="253"/>
      <c r="O577" s="253"/>
      <c r="P577" s="253"/>
      <c r="Q577" s="253"/>
    </row>
    <row r="578" spans="1:17">
      <c r="A578" s="253"/>
      <c r="B578" s="253"/>
      <c r="C578" s="253"/>
      <c r="D578" s="253"/>
      <c r="E578" s="253"/>
      <c r="F578" s="253"/>
      <c r="G578" s="253"/>
      <c r="H578" s="253"/>
      <c r="I578" s="253"/>
      <c r="J578" s="253"/>
      <c r="K578" s="253"/>
      <c r="L578" s="253"/>
      <c r="M578" s="253"/>
      <c r="N578" s="253"/>
      <c r="O578" s="253"/>
      <c r="P578" s="253"/>
      <c r="Q578" s="253"/>
    </row>
    <row r="579" spans="1:17">
      <c r="A579" s="253"/>
      <c r="B579" s="253"/>
      <c r="C579" s="253"/>
      <c r="D579" s="253"/>
      <c r="E579" s="253"/>
      <c r="F579" s="253"/>
      <c r="G579" s="253"/>
      <c r="H579" s="253"/>
      <c r="I579" s="253"/>
      <c r="J579" s="253"/>
      <c r="K579" s="253"/>
      <c r="L579" s="253"/>
      <c r="M579" s="253"/>
      <c r="N579" s="253"/>
      <c r="O579" s="253"/>
      <c r="P579" s="253"/>
      <c r="Q579" s="253"/>
    </row>
    <row r="580" spans="1:17">
      <c r="A580" s="253"/>
      <c r="B580" s="253"/>
      <c r="C580" s="253"/>
      <c r="D580" s="253"/>
      <c r="E580" s="253"/>
      <c r="F580" s="253"/>
      <c r="G580" s="253"/>
      <c r="H580" s="253"/>
      <c r="I580" s="253"/>
      <c r="J580" s="253"/>
      <c r="K580" s="253"/>
      <c r="L580" s="253"/>
      <c r="M580" s="253"/>
      <c r="N580" s="253"/>
      <c r="O580" s="253"/>
      <c r="P580" s="253"/>
      <c r="Q580" s="253"/>
    </row>
    <row r="581" spans="1:17">
      <c r="A581" s="253"/>
      <c r="B581" s="253"/>
      <c r="C581" s="253"/>
      <c r="D581" s="253"/>
      <c r="E581" s="253"/>
      <c r="F581" s="253"/>
      <c r="G581" s="253"/>
      <c r="H581" s="253"/>
      <c r="I581" s="253"/>
      <c r="J581" s="253"/>
      <c r="K581" s="253"/>
      <c r="L581" s="253"/>
      <c r="M581" s="253"/>
      <c r="N581" s="253"/>
      <c r="O581" s="253"/>
      <c r="P581" s="253"/>
      <c r="Q581" s="253"/>
    </row>
    <row r="582" spans="1:17">
      <c r="A582" s="253"/>
      <c r="B582" s="253"/>
      <c r="C582" s="253"/>
      <c r="D582" s="253"/>
      <c r="E582" s="253"/>
      <c r="F582" s="253"/>
      <c r="G582" s="253"/>
      <c r="H582" s="253"/>
      <c r="I582" s="253"/>
      <c r="J582" s="253"/>
      <c r="K582" s="253"/>
      <c r="L582" s="253"/>
      <c r="M582" s="253"/>
      <c r="N582" s="253"/>
      <c r="O582" s="253"/>
      <c r="P582" s="253"/>
      <c r="Q582" s="253"/>
    </row>
    <row r="583" spans="1:17">
      <c r="A583" s="253"/>
      <c r="B583" s="253"/>
      <c r="C583" s="253"/>
      <c r="D583" s="253"/>
      <c r="E583" s="253"/>
      <c r="F583" s="253"/>
      <c r="G583" s="253"/>
      <c r="H583" s="253"/>
      <c r="I583" s="253"/>
      <c r="J583" s="253"/>
      <c r="K583" s="253"/>
      <c r="L583" s="253"/>
      <c r="M583" s="253"/>
      <c r="N583" s="253"/>
      <c r="O583" s="253"/>
      <c r="P583" s="253"/>
      <c r="Q583" s="253"/>
    </row>
    <row r="584" spans="1:17">
      <c r="A584" s="253"/>
      <c r="B584" s="253"/>
      <c r="C584" s="253"/>
      <c r="D584" s="253"/>
      <c r="E584" s="253"/>
      <c r="F584" s="253"/>
      <c r="G584" s="253"/>
      <c r="H584" s="253"/>
      <c r="I584" s="253"/>
      <c r="J584" s="253"/>
      <c r="K584" s="253"/>
      <c r="L584" s="253"/>
      <c r="M584" s="253"/>
      <c r="N584" s="253"/>
      <c r="O584" s="253"/>
      <c r="P584" s="253"/>
      <c r="Q584" s="253"/>
    </row>
    <row r="585" spans="1:17">
      <c r="A585" s="253"/>
      <c r="B585" s="253"/>
      <c r="C585" s="253"/>
      <c r="D585" s="253"/>
      <c r="E585" s="253"/>
      <c r="F585" s="253"/>
      <c r="G585" s="253"/>
      <c r="H585" s="253"/>
      <c r="I585" s="253"/>
      <c r="J585" s="253"/>
      <c r="K585" s="253"/>
      <c r="L585" s="253"/>
      <c r="M585" s="253"/>
      <c r="N585" s="253"/>
      <c r="O585" s="253"/>
      <c r="P585" s="253"/>
      <c r="Q585" s="253"/>
    </row>
    <row r="586" spans="1:17">
      <c r="A586" s="253"/>
      <c r="B586" s="253"/>
      <c r="C586" s="253"/>
      <c r="D586" s="253"/>
      <c r="E586" s="253"/>
      <c r="F586" s="253"/>
      <c r="G586" s="253"/>
      <c r="H586" s="253"/>
      <c r="I586" s="253"/>
      <c r="J586" s="253"/>
      <c r="K586" s="253"/>
      <c r="L586" s="253"/>
      <c r="M586" s="253"/>
      <c r="N586" s="253"/>
      <c r="O586" s="253"/>
      <c r="P586" s="253"/>
      <c r="Q586" s="253"/>
    </row>
    <row r="587" spans="1:17">
      <c r="A587" s="253"/>
      <c r="B587" s="253"/>
      <c r="C587" s="253"/>
      <c r="D587" s="253"/>
      <c r="E587" s="253"/>
      <c r="F587" s="253"/>
      <c r="G587" s="253"/>
      <c r="H587" s="253"/>
      <c r="I587" s="253"/>
      <c r="J587" s="253"/>
      <c r="K587" s="253"/>
      <c r="L587" s="253"/>
      <c r="M587" s="253"/>
      <c r="N587" s="253"/>
      <c r="O587" s="253"/>
      <c r="P587" s="253"/>
      <c r="Q587" s="253"/>
    </row>
    <row r="588" spans="1:17">
      <c r="A588" s="253"/>
      <c r="B588" s="253"/>
      <c r="C588" s="253"/>
      <c r="D588" s="253"/>
      <c r="E588" s="253"/>
      <c r="F588" s="253"/>
      <c r="G588" s="253"/>
      <c r="H588" s="253"/>
      <c r="I588" s="253"/>
      <c r="J588" s="253"/>
      <c r="K588" s="253"/>
      <c r="L588" s="253"/>
      <c r="M588" s="253"/>
      <c r="N588" s="253"/>
      <c r="O588" s="253"/>
      <c r="P588" s="253"/>
      <c r="Q588" s="253"/>
    </row>
    <row r="589" spans="1:17">
      <c r="A589" s="253"/>
      <c r="B589" s="253"/>
      <c r="C589" s="253"/>
      <c r="D589" s="253"/>
      <c r="E589" s="253"/>
      <c r="F589" s="253"/>
      <c r="G589" s="253"/>
      <c r="H589" s="253"/>
      <c r="I589" s="253"/>
      <c r="J589" s="253"/>
      <c r="K589" s="253"/>
      <c r="L589" s="253"/>
      <c r="M589" s="253"/>
      <c r="N589" s="253"/>
      <c r="O589" s="253"/>
      <c r="P589" s="253"/>
      <c r="Q589" s="253"/>
    </row>
    <row r="590" spans="1:17">
      <c r="A590" s="253"/>
      <c r="B590" s="253"/>
      <c r="C590" s="253"/>
      <c r="D590" s="253"/>
      <c r="E590" s="253"/>
      <c r="F590" s="253"/>
      <c r="G590" s="253"/>
      <c r="H590" s="253"/>
      <c r="I590" s="253"/>
      <c r="J590" s="253"/>
      <c r="K590" s="253"/>
      <c r="L590" s="253"/>
      <c r="M590" s="253"/>
      <c r="N590" s="253"/>
      <c r="O590" s="253"/>
      <c r="P590" s="253"/>
      <c r="Q590" s="253"/>
    </row>
    <row r="591" spans="1:17">
      <c r="A591" s="253"/>
      <c r="B591" s="253"/>
      <c r="C591" s="253"/>
      <c r="D591" s="253"/>
      <c r="E591" s="253"/>
      <c r="F591" s="253"/>
      <c r="G591" s="253"/>
      <c r="H591" s="253"/>
      <c r="I591" s="253"/>
      <c r="J591" s="253"/>
      <c r="K591" s="253"/>
      <c r="L591" s="253"/>
      <c r="M591" s="253"/>
      <c r="N591" s="253"/>
      <c r="O591" s="253"/>
      <c r="P591" s="253"/>
      <c r="Q591" s="253"/>
    </row>
    <row r="592" spans="1:17">
      <c r="A592" s="253"/>
      <c r="B592" s="253"/>
      <c r="C592" s="253"/>
      <c r="D592" s="253"/>
      <c r="E592" s="253"/>
      <c r="F592" s="253"/>
      <c r="G592" s="253"/>
      <c r="H592" s="253"/>
      <c r="I592" s="253"/>
      <c r="J592" s="253"/>
      <c r="K592" s="253"/>
      <c r="L592" s="253"/>
      <c r="M592" s="253"/>
      <c r="N592" s="253"/>
      <c r="O592" s="253"/>
      <c r="P592" s="253"/>
      <c r="Q592" s="253"/>
    </row>
    <row r="593" spans="1:17">
      <c r="A593" s="253"/>
      <c r="B593" s="253"/>
      <c r="C593" s="253"/>
      <c r="D593" s="253"/>
      <c r="E593" s="253"/>
      <c r="F593" s="253"/>
      <c r="G593" s="253"/>
      <c r="H593" s="253"/>
      <c r="I593" s="253"/>
      <c r="J593" s="253"/>
      <c r="K593" s="253"/>
      <c r="L593" s="253"/>
      <c r="M593" s="253"/>
      <c r="N593" s="253"/>
      <c r="O593" s="253"/>
      <c r="P593" s="253"/>
      <c r="Q593" s="253"/>
    </row>
    <row r="594" spans="1:17">
      <c r="A594" s="253"/>
      <c r="B594" s="253"/>
      <c r="C594" s="253"/>
      <c r="D594" s="253"/>
      <c r="E594" s="253"/>
      <c r="F594" s="253"/>
      <c r="G594" s="253"/>
      <c r="H594" s="253"/>
      <c r="I594" s="253"/>
      <c r="J594" s="253"/>
      <c r="K594" s="253"/>
      <c r="L594" s="253"/>
      <c r="M594" s="253"/>
      <c r="N594" s="253"/>
      <c r="O594" s="253"/>
      <c r="P594" s="253"/>
      <c r="Q594" s="253"/>
    </row>
    <row r="595" spans="1:17">
      <c r="A595" s="253"/>
      <c r="B595" s="253"/>
      <c r="C595" s="253"/>
      <c r="D595" s="253"/>
      <c r="E595" s="253"/>
      <c r="F595" s="253"/>
      <c r="G595" s="253"/>
      <c r="H595" s="253"/>
      <c r="I595" s="253"/>
      <c r="J595" s="253"/>
      <c r="K595" s="253"/>
      <c r="L595" s="253"/>
      <c r="M595" s="253"/>
      <c r="N595" s="253"/>
      <c r="O595" s="253"/>
      <c r="P595" s="253"/>
      <c r="Q595" s="253"/>
    </row>
    <row r="596" spans="1:17">
      <c r="A596" s="253"/>
      <c r="B596" s="253"/>
      <c r="C596" s="253"/>
      <c r="D596" s="253"/>
      <c r="E596" s="253"/>
      <c r="F596" s="253"/>
      <c r="G596" s="253"/>
      <c r="H596" s="253"/>
      <c r="I596" s="253"/>
      <c r="J596" s="253"/>
      <c r="K596" s="253"/>
      <c r="L596" s="253"/>
      <c r="M596" s="253"/>
      <c r="N596" s="253"/>
      <c r="O596" s="253"/>
      <c r="P596" s="253"/>
      <c r="Q596" s="253"/>
    </row>
    <row r="597" spans="1:17">
      <c r="A597" s="253"/>
      <c r="B597" s="253"/>
      <c r="C597" s="253"/>
      <c r="D597" s="253"/>
      <c r="E597" s="253"/>
      <c r="F597" s="253"/>
      <c r="G597" s="253"/>
      <c r="H597" s="253"/>
      <c r="I597" s="253"/>
      <c r="J597" s="253"/>
      <c r="K597" s="253"/>
      <c r="L597" s="253"/>
      <c r="M597" s="253"/>
      <c r="N597" s="253"/>
      <c r="O597" s="253"/>
      <c r="P597" s="253"/>
      <c r="Q597" s="253"/>
    </row>
    <row r="598" spans="1:17">
      <c r="A598" s="253"/>
      <c r="B598" s="253"/>
      <c r="C598" s="253"/>
      <c r="D598" s="253"/>
      <c r="E598" s="253"/>
      <c r="F598" s="253"/>
      <c r="G598" s="253"/>
      <c r="H598" s="253"/>
      <c r="I598" s="253"/>
      <c r="J598" s="253"/>
      <c r="K598" s="253"/>
      <c r="L598" s="253"/>
      <c r="M598" s="253"/>
      <c r="N598" s="253"/>
      <c r="O598" s="253"/>
      <c r="P598" s="253"/>
      <c r="Q598" s="253"/>
    </row>
    <row r="599" spans="1:17">
      <c r="A599" s="253"/>
      <c r="B599" s="253"/>
      <c r="C599" s="253"/>
      <c r="D599" s="253"/>
      <c r="E599" s="253"/>
      <c r="F599" s="253"/>
      <c r="G599" s="253"/>
      <c r="H599" s="253"/>
      <c r="I599" s="253"/>
      <c r="J599" s="253"/>
      <c r="K599" s="253"/>
      <c r="L599" s="253"/>
      <c r="M599" s="253"/>
      <c r="N599" s="253"/>
      <c r="O599" s="253"/>
      <c r="P599" s="253"/>
      <c r="Q599" s="253"/>
    </row>
    <row r="600" spans="1:17">
      <c r="A600" s="253"/>
      <c r="B600" s="253"/>
      <c r="C600" s="253"/>
      <c r="D600" s="253"/>
      <c r="E600" s="253"/>
      <c r="F600" s="253"/>
      <c r="G600" s="253"/>
      <c r="H600" s="253"/>
      <c r="I600" s="253"/>
      <c r="J600" s="253"/>
      <c r="K600" s="253"/>
      <c r="L600" s="253"/>
      <c r="M600" s="253"/>
      <c r="N600" s="253"/>
      <c r="O600" s="253"/>
      <c r="P600" s="253"/>
      <c r="Q600" s="253"/>
    </row>
    <row r="601" spans="1:17">
      <c r="A601" s="253"/>
      <c r="B601" s="253"/>
      <c r="C601" s="253"/>
      <c r="D601" s="253"/>
      <c r="E601" s="253"/>
      <c r="F601" s="253"/>
      <c r="G601" s="253"/>
      <c r="H601" s="253"/>
      <c r="I601" s="253"/>
      <c r="J601" s="253"/>
      <c r="K601" s="253"/>
      <c r="L601" s="253"/>
      <c r="M601" s="253"/>
      <c r="N601" s="253"/>
      <c r="O601" s="253"/>
      <c r="P601" s="253"/>
      <c r="Q601" s="253"/>
    </row>
    <row r="602" spans="1:17">
      <c r="A602" s="253"/>
      <c r="B602" s="253"/>
      <c r="C602" s="253"/>
      <c r="D602" s="253"/>
      <c r="E602" s="253"/>
      <c r="F602" s="253"/>
      <c r="G602" s="253"/>
      <c r="H602" s="253"/>
      <c r="I602" s="253"/>
      <c r="J602" s="253"/>
      <c r="K602" s="253"/>
      <c r="L602" s="253"/>
      <c r="M602" s="253"/>
      <c r="N602" s="253"/>
      <c r="O602" s="253"/>
      <c r="P602" s="253"/>
      <c r="Q602" s="253"/>
    </row>
    <row r="603" spans="1:17">
      <c r="A603" s="253"/>
      <c r="B603" s="253"/>
      <c r="C603" s="253"/>
      <c r="D603" s="253"/>
      <c r="E603" s="253"/>
      <c r="F603" s="253"/>
      <c r="G603" s="253"/>
      <c r="H603" s="253"/>
      <c r="I603" s="253"/>
      <c r="J603" s="253"/>
      <c r="K603" s="253"/>
      <c r="L603" s="253"/>
      <c r="M603" s="253"/>
      <c r="N603" s="253"/>
      <c r="O603" s="253"/>
      <c r="P603" s="253"/>
      <c r="Q603" s="253"/>
    </row>
    <row r="604" spans="1:17">
      <c r="A604" s="253"/>
      <c r="B604" s="253"/>
      <c r="C604" s="253"/>
      <c r="D604" s="253"/>
      <c r="E604" s="253"/>
      <c r="F604" s="253"/>
      <c r="G604" s="253"/>
      <c r="H604" s="253"/>
      <c r="I604" s="253"/>
      <c r="J604" s="253"/>
      <c r="K604" s="253"/>
      <c r="L604" s="253"/>
      <c r="M604" s="253"/>
      <c r="N604" s="253"/>
      <c r="O604" s="253"/>
      <c r="P604" s="253"/>
      <c r="Q604" s="253"/>
    </row>
    <row r="605" spans="1:17">
      <c r="A605" s="253"/>
      <c r="B605" s="253"/>
      <c r="C605" s="253"/>
      <c r="D605" s="253"/>
      <c r="E605" s="253"/>
      <c r="F605" s="253"/>
      <c r="G605" s="253"/>
      <c r="H605" s="253"/>
      <c r="I605" s="253"/>
      <c r="J605" s="253"/>
      <c r="K605" s="253"/>
      <c r="L605" s="253"/>
      <c r="M605" s="253"/>
      <c r="N605" s="253"/>
      <c r="O605" s="253"/>
      <c r="P605" s="253"/>
      <c r="Q605" s="253"/>
    </row>
    <row r="606" spans="1:17">
      <c r="A606" s="253"/>
      <c r="B606" s="253"/>
      <c r="C606" s="253"/>
      <c r="D606" s="253"/>
      <c r="E606" s="253"/>
      <c r="F606" s="253"/>
      <c r="G606" s="253"/>
      <c r="H606" s="253"/>
      <c r="I606" s="253"/>
      <c r="J606" s="253"/>
      <c r="K606" s="253"/>
      <c r="L606" s="253"/>
      <c r="M606" s="253"/>
      <c r="N606" s="253"/>
      <c r="O606" s="253"/>
      <c r="P606" s="253"/>
      <c r="Q606" s="253"/>
    </row>
    <row r="607" spans="1:17">
      <c r="A607" s="253"/>
      <c r="B607" s="253"/>
      <c r="C607" s="253"/>
      <c r="D607" s="253"/>
      <c r="E607" s="253"/>
      <c r="F607" s="253"/>
      <c r="G607" s="253"/>
      <c r="H607" s="253"/>
      <c r="I607" s="253"/>
      <c r="J607" s="253"/>
      <c r="K607" s="253"/>
      <c r="L607" s="253"/>
      <c r="M607" s="253"/>
      <c r="N607" s="253"/>
      <c r="O607" s="253"/>
      <c r="P607" s="253"/>
      <c r="Q607" s="253"/>
    </row>
    <row r="608" spans="1:17">
      <c r="A608" s="253"/>
      <c r="B608" s="253"/>
      <c r="C608" s="253"/>
      <c r="D608" s="253"/>
      <c r="E608" s="253"/>
      <c r="F608" s="253"/>
      <c r="G608" s="253"/>
      <c r="H608" s="253"/>
      <c r="I608" s="253"/>
      <c r="J608" s="253"/>
      <c r="K608" s="253"/>
      <c r="L608" s="253"/>
      <c r="M608" s="253"/>
      <c r="N608" s="253"/>
      <c r="O608" s="253"/>
      <c r="P608" s="253"/>
      <c r="Q608" s="253"/>
    </row>
    <row r="609" spans="1:17">
      <c r="A609" s="253"/>
      <c r="B609" s="253"/>
      <c r="C609" s="253"/>
      <c r="D609" s="253"/>
      <c r="E609" s="253"/>
      <c r="F609" s="253"/>
      <c r="G609" s="253"/>
      <c r="H609" s="253"/>
      <c r="I609" s="253"/>
      <c r="J609" s="253"/>
      <c r="K609" s="253"/>
      <c r="L609" s="253"/>
      <c r="M609" s="253"/>
      <c r="N609" s="253"/>
      <c r="O609" s="253"/>
      <c r="P609" s="253"/>
      <c r="Q609" s="253"/>
    </row>
    <row r="610" spans="1:17">
      <c r="A610" s="253"/>
      <c r="B610" s="253"/>
      <c r="C610" s="253"/>
      <c r="D610" s="253"/>
      <c r="E610" s="253"/>
      <c r="F610" s="253"/>
      <c r="G610" s="253"/>
      <c r="H610" s="253"/>
      <c r="I610" s="253"/>
      <c r="J610" s="253"/>
      <c r="K610" s="253"/>
      <c r="L610" s="253"/>
      <c r="M610" s="253"/>
      <c r="N610" s="253"/>
      <c r="O610" s="253"/>
      <c r="P610" s="253"/>
      <c r="Q610" s="253"/>
    </row>
    <row r="611" spans="1:17">
      <c r="A611" s="253"/>
      <c r="B611" s="253"/>
      <c r="C611" s="253"/>
      <c r="D611" s="253"/>
      <c r="E611" s="253"/>
      <c r="F611" s="253"/>
      <c r="G611" s="253"/>
      <c r="H611" s="253"/>
      <c r="I611" s="253"/>
      <c r="J611" s="253"/>
      <c r="K611" s="253"/>
      <c r="L611" s="253"/>
      <c r="M611" s="253"/>
      <c r="N611" s="253"/>
      <c r="O611" s="253"/>
      <c r="P611" s="253"/>
      <c r="Q611" s="253"/>
    </row>
    <row r="612" spans="1:17">
      <c r="A612" s="253"/>
      <c r="B612" s="253"/>
      <c r="C612" s="253"/>
      <c r="D612" s="253"/>
      <c r="E612" s="253"/>
      <c r="F612" s="253"/>
      <c r="G612" s="253"/>
      <c r="H612" s="253"/>
      <c r="I612" s="253"/>
      <c r="J612" s="253"/>
      <c r="K612" s="253"/>
      <c r="L612" s="253"/>
      <c r="M612" s="253"/>
      <c r="N612" s="253"/>
      <c r="O612" s="253"/>
      <c r="P612" s="253"/>
      <c r="Q612" s="253"/>
    </row>
    <row r="613" spans="1:17">
      <c r="A613" s="253"/>
      <c r="B613" s="253"/>
      <c r="C613" s="253"/>
      <c r="D613" s="253"/>
      <c r="E613" s="253"/>
      <c r="F613" s="253"/>
      <c r="G613" s="253"/>
      <c r="H613" s="253"/>
      <c r="I613" s="253"/>
      <c r="J613" s="253"/>
      <c r="K613" s="253"/>
      <c r="L613" s="253"/>
      <c r="M613" s="253"/>
      <c r="N613" s="253"/>
      <c r="O613" s="253"/>
      <c r="P613" s="253"/>
      <c r="Q613" s="253"/>
    </row>
    <row r="614" spans="1:17">
      <c r="A614" s="253"/>
      <c r="B614" s="253"/>
      <c r="C614" s="253"/>
      <c r="D614" s="253"/>
      <c r="E614" s="253"/>
      <c r="F614" s="253"/>
      <c r="G614" s="253"/>
      <c r="H614" s="253"/>
      <c r="I614" s="253"/>
      <c r="J614" s="253"/>
      <c r="K614" s="253"/>
      <c r="L614" s="253"/>
      <c r="M614" s="253"/>
      <c r="N614" s="253"/>
      <c r="O614" s="253"/>
      <c r="P614" s="253"/>
      <c r="Q614" s="253"/>
    </row>
    <row r="615" spans="1:17">
      <c r="A615" s="253"/>
      <c r="B615" s="253"/>
      <c r="C615" s="253"/>
      <c r="D615" s="253"/>
      <c r="E615" s="253"/>
      <c r="F615" s="253"/>
      <c r="G615" s="253"/>
      <c r="H615" s="253"/>
      <c r="I615" s="253"/>
      <c r="J615" s="253"/>
      <c r="K615" s="253"/>
      <c r="L615" s="253"/>
      <c r="M615" s="253"/>
      <c r="N615" s="253"/>
      <c r="O615" s="253"/>
      <c r="P615" s="253"/>
      <c r="Q615" s="253"/>
    </row>
    <row r="616" spans="1:17">
      <c r="A616" s="253"/>
      <c r="B616" s="253"/>
      <c r="C616" s="253"/>
      <c r="D616" s="253"/>
      <c r="E616" s="253"/>
      <c r="F616" s="253"/>
      <c r="G616" s="253"/>
      <c r="H616" s="253"/>
      <c r="I616" s="253"/>
      <c r="J616" s="253"/>
      <c r="K616" s="253"/>
      <c r="L616" s="253"/>
      <c r="M616" s="253"/>
      <c r="N616" s="253"/>
      <c r="O616" s="253"/>
      <c r="P616" s="253"/>
      <c r="Q616" s="253"/>
    </row>
    <row r="617" spans="1:17">
      <c r="A617" s="253"/>
      <c r="B617" s="253"/>
      <c r="C617" s="253"/>
      <c r="D617" s="253"/>
      <c r="E617" s="253"/>
      <c r="F617" s="253"/>
      <c r="G617" s="253"/>
      <c r="H617" s="253"/>
      <c r="I617" s="253"/>
      <c r="J617" s="253"/>
      <c r="K617" s="253"/>
      <c r="L617" s="253"/>
      <c r="M617" s="253"/>
      <c r="N617" s="253"/>
      <c r="O617" s="253"/>
      <c r="P617" s="253"/>
      <c r="Q617" s="253"/>
    </row>
    <row r="618" spans="1:17">
      <c r="A618" s="253"/>
      <c r="B618" s="253"/>
      <c r="C618" s="253"/>
      <c r="D618" s="253"/>
      <c r="E618" s="253"/>
      <c r="F618" s="253"/>
      <c r="G618" s="253"/>
      <c r="H618" s="253"/>
      <c r="I618" s="253"/>
      <c r="J618" s="253"/>
      <c r="K618" s="253"/>
      <c r="L618" s="253"/>
      <c r="M618" s="253"/>
      <c r="N618" s="253"/>
      <c r="O618" s="253"/>
      <c r="P618" s="253"/>
      <c r="Q618" s="253"/>
    </row>
    <row r="619" spans="1:17">
      <c r="A619" s="253"/>
      <c r="B619" s="253"/>
      <c r="C619" s="253"/>
      <c r="D619" s="253"/>
      <c r="E619" s="253"/>
      <c r="F619" s="253"/>
      <c r="G619" s="253"/>
      <c r="H619" s="253"/>
      <c r="I619" s="253"/>
      <c r="J619" s="253"/>
      <c r="K619" s="253"/>
      <c r="L619" s="253"/>
      <c r="M619" s="253"/>
      <c r="N619" s="253"/>
      <c r="O619" s="253"/>
      <c r="P619" s="253"/>
      <c r="Q619" s="253"/>
    </row>
    <row r="620" spans="1:17">
      <c r="A620" s="253"/>
      <c r="B620" s="253"/>
      <c r="C620" s="253"/>
      <c r="D620" s="253"/>
      <c r="E620" s="253"/>
      <c r="F620" s="253"/>
      <c r="G620" s="253"/>
      <c r="H620" s="253"/>
      <c r="I620" s="253"/>
      <c r="J620" s="253"/>
      <c r="K620" s="253"/>
      <c r="L620" s="253"/>
      <c r="M620" s="253"/>
      <c r="N620" s="253"/>
      <c r="O620" s="253"/>
      <c r="P620" s="253"/>
      <c r="Q620" s="253"/>
    </row>
    <row r="621" spans="1:17">
      <c r="A621" s="253"/>
      <c r="B621" s="253"/>
      <c r="C621" s="253"/>
      <c r="D621" s="253"/>
      <c r="E621" s="253"/>
      <c r="F621" s="253"/>
      <c r="G621" s="253"/>
      <c r="H621" s="253"/>
      <c r="I621" s="253"/>
      <c r="J621" s="253"/>
      <c r="K621" s="253"/>
      <c r="L621" s="253"/>
      <c r="M621" s="253"/>
      <c r="N621" s="253"/>
      <c r="O621" s="253"/>
      <c r="P621" s="253"/>
      <c r="Q621" s="253"/>
    </row>
    <row r="622" spans="1:17">
      <c r="A622" s="253"/>
      <c r="B622" s="253"/>
      <c r="C622" s="253"/>
      <c r="D622" s="253"/>
      <c r="E622" s="253"/>
      <c r="F622" s="253"/>
      <c r="G622" s="253"/>
      <c r="H622" s="253"/>
      <c r="I622" s="253"/>
      <c r="J622" s="253"/>
      <c r="K622" s="253"/>
      <c r="L622" s="253"/>
      <c r="M622" s="253"/>
      <c r="N622" s="253"/>
      <c r="O622" s="253"/>
      <c r="P622" s="253"/>
      <c r="Q622" s="253"/>
    </row>
    <row r="623" spans="1:17">
      <c r="A623" s="253"/>
      <c r="B623" s="253"/>
      <c r="C623" s="253"/>
      <c r="D623" s="253"/>
      <c r="E623" s="253"/>
      <c r="F623" s="253"/>
      <c r="G623" s="253"/>
      <c r="H623" s="253"/>
      <c r="I623" s="253"/>
      <c r="J623" s="253"/>
      <c r="K623" s="253"/>
      <c r="L623" s="253"/>
      <c r="M623" s="253"/>
      <c r="N623" s="253"/>
      <c r="O623" s="253"/>
      <c r="P623" s="253"/>
      <c r="Q623" s="253"/>
    </row>
    <row r="624" spans="1:17">
      <c r="A624" s="253"/>
      <c r="B624" s="253"/>
      <c r="C624" s="253"/>
      <c r="D624" s="253"/>
      <c r="E624" s="253"/>
      <c r="F624" s="253"/>
      <c r="G624" s="253"/>
      <c r="H624" s="253"/>
      <c r="I624" s="253"/>
      <c r="J624" s="253"/>
      <c r="K624" s="253"/>
      <c r="L624" s="253"/>
      <c r="M624" s="253"/>
      <c r="N624" s="253"/>
      <c r="O624" s="253"/>
      <c r="P624" s="253"/>
      <c r="Q624" s="253"/>
    </row>
    <row r="625" spans="1:17">
      <c r="A625" s="253"/>
      <c r="B625" s="253"/>
      <c r="C625" s="253"/>
      <c r="D625" s="253"/>
      <c r="E625" s="253"/>
      <c r="F625" s="253"/>
      <c r="G625" s="253"/>
      <c r="H625" s="253"/>
      <c r="I625" s="253"/>
      <c r="J625" s="253"/>
      <c r="K625" s="253"/>
      <c r="L625" s="253"/>
      <c r="M625" s="253"/>
      <c r="N625" s="253"/>
      <c r="O625" s="253"/>
      <c r="P625" s="253"/>
      <c r="Q625" s="253"/>
    </row>
    <row r="626" spans="1:17">
      <c r="A626" s="253"/>
      <c r="B626" s="253"/>
      <c r="C626" s="253"/>
      <c r="D626" s="253"/>
      <c r="E626" s="253"/>
      <c r="F626" s="253"/>
      <c r="G626" s="253"/>
      <c r="H626" s="253"/>
      <c r="I626" s="253"/>
      <c r="J626" s="253"/>
      <c r="K626" s="253"/>
      <c r="L626" s="253"/>
      <c r="M626" s="253"/>
      <c r="N626" s="253"/>
      <c r="O626" s="253"/>
      <c r="P626" s="253"/>
      <c r="Q626" s="253"/>
    </row>
    <row r="627" spans="1:17">
      <c r="A627" s="253"/>
      <c r="B627" s="253"/>
      <c r="C627" s="253"/>
      <c r="D627" s="253"/>
      <c r="E627" s="253"/>
      <c r="F627" s="253"/>
      <c r="G627" s="253"/>
      <c r="H627" s="253"/>
      <c r="I627" s="253"/>
      <c r="J627" s="253"/>
      <c r="K627" s="253"/>
      <c r="L627" s="253"/>
      <c r="M627" s="253"/>
      <c r="N627" s="253"/>
      <c r="O627" s="253"/>
      <c r="P627" s="253"/>
      <c r="Q627" s="253"/>
    </row>
    <row r="628" spans="1:17">
      <c r="A628" s="253"/>
      <c r="B628" s="253"/>
      <c r="C628" s="253"/>
      <c r="D628" s="253"/>
      <c r="E628" s="253"/>
      <c r="F628" s="253"/>
      <c r="G628" s="253"/>
      <c r="H628" s="253"/>
      <c r="I628" s="253"/>
      <c r="J628" s="253"/>
      <c r="K628" s="253"/>
      <c r="L628" s="253"/>
      <c r="M628" s="253"/>
      <c r="N628" s="253"/>
      <c r="O628" s="253"/>
      <c r="P628" s="253"/>
      <c r="Q628" s="253"/>
    </row>
    <row r="629" spans="1:17">
      <c r="A629" s="253"/>
      <c r="B629" s="253"/>
      <c r="C629" s="253"/>
      <c r="D629" s="253"/>
      <c r="E629" s="253"/>
      <c r="F629" s="253"/>
      <c r="G629" s="253"/>
      <c r="H629" s="253"/>
      <c r="I629" s="253"/>
      <c r="J629" s="253"/>
      <c r="K629" s="253"/>
      <c r="L629" s="253"/>
      <c r="M629" s="253"/>
      <c r="N629" s="253"/>
      <c r="O629" s="253"/>
      <c r="P629" s="253"/>
      <c r="Q629" s="253"/>
    </row>
    <row r="630" spans="1:17">
      <c r="A630" s="253"/>
      <c r="B630" s="253"/>
      <c r="C630" s="253"/>
      <c r="D630" s="253"/>
      <c r="E630" s="253"/>
      <c r="F630" s="253"/>
      <c r="G630" s="253"/>
      <c r="H630" s="253"/>
      <c r="I630" s="253"/>
      <c r="J630" s="253"/>
      <c r="K630" s="253"/>
      <c r="L630" s="253"/>
      <c r="M630" s="253"/>
      <c r="N630" s="253"/>
      <c r="O630" s="253"/>
      <c r="P630" s="253"/>
      <c r="Q630" s="253"/>
    </row>
    <row r="631" spans="1:17">
      <c r="A631" s="253"/>
      <c r="B631" s="253"/>
      <c r="C631" s="253"/>
      <c r="D631" s="253"/>
      <c r="E631" s="253"/>
      <c r="F631" s="253"/>
      <c r="G631" s="253"/>
      <c r="H631" s="253"/>
      <c r="I631" s="253"/>
      <c r="J631" s="253"/>
      <c r="K631" s="253"/>
      <c r="L631" s="253"/>
      <c r="M631" s="253"/>
      <c r="N631" s="253"/>
      <c r="O631" s="253"/>
      <c r="P631" s="253"/>
      <c r="Q631" s="253"/>
    </row>
    <row r="632" spans="1:17">
      <c r="A632" s="253"/>
      <c r="B632" s="253"/>
      <c r="C632" s="253"/>
      <c r="D632" s="253"/>
      <c r="E632" s="253"/>
      <c r="F632" s="253"/>
      <c r="G632" s="253"/>
      <c r="H632" s="253"/>
      <c r="I632" s="253"/>
      <c r="J632" s="253"/>
      <c r="K632" s="253"/>
      <c r="L632" s="253"/>
      <c r="M632" s="253"/>
      <c r="N632" s="253"/>
      <c r="O632" s="253"/>
      <c r="P632" s="253"/>
      <c r="Q632" s="253"/>
    </row>
    <row r="633" spans="1:17">
      <c r="A633" s="253"/>
      <c r="B633" s="253"/>
      <c r="C633" s="253"/>
      <c r="D633" s="253"/>
      <c r="E633" s="253"/>
      <c r="F633" s="253"/>
      <c r="G633" s="253"/>
      <c r="H633" s="253"/>
      <c r="I633" s="253"/>
      <c r="J633" s="253"/>
      <c r="K633" s="253"/>
      <c r="L633" s="253"/>
      <c r="M633" s="253"/>
      <c r="N633" s="253"/>
      <c r="O633" s="253"/>
      <c r="P633" s="253"/>
      <c r="Q633" s="253"/>
    </row>
    <row r="634" spans="1:17">
      <c r="A634" s="253"/>
      <c r="B634" s="253"/>
      <c r="C634" s="253"/>
      <c r="D634" s="253"/>
      <c r="E634" s="253"/>
      <c r="F634" s="253"/>
      <c r="G634" s="253"/>
      <c r="H634" s="253"/>
      <c r="I634" s="253"/>
      <c r="J634" s="253"/>
      <c r="K634" s="253"/>
      <c r="L634" s="253"/>
      <c r="M634" s="253"/>
      <c r="N634" s="253"/>
      <c r="O634" s="253"/>
      <c r="P634" s="253"/>
      <c r="Q634" s="253"/>
    </row>
    <row r="635" spans="1:17">
      <c r="A635" s="253"/>
      <c r="B635" s="253"/>
      <c r="C635" s="253"/>
      <c r="D635" s="253"/>
      <c r="E635" s="253"/>
      <c r="F635" s="253"/>
      <c r="G635" s="253"/>
      <c r="H635" s="253"/>
      <c r="I635" s="253"/>
      <c r="J635" s="253"/>
      <c r="K635" s="253"/>
      <c r="L635" s="253"/>
      <c r="M635" s="253"/>
      <c r="N635" s="253"/>
      <c r="O635" s="253"/>
      <c r="P635" s="253"/>
      <c r="Q635" s="253"/>
    </row>
    <row r="636" spans="1:17">
      <c r="A636" s="253"/>
      <c r="B636" s="253"/>
      <c r="C636" s="253"/>
      <c r="D636" s="253"/>
      <c r="E636" s="253"/>
      <c r="F636" s="253"/>
      <c r="G636" s="253"/>
      <c r="H636" s="253"/>
      <c r="I636" s="253"/>
      <c r="J636" s="253"/>
      <c r="K636" s="253"/>
      <c r="L636" s="253"/>
      <c r="M636" s="253"/>
      <c r="N636" s="253"/>
      <c r="O636" s="253"/>
      <c r="P636" s="253"/>
      <c r="Q636" s="253"/>
    </row>
    <row r="637" spans="1:17">
      <c r="A637" s="253"/>
      <c r="B637" s="253"/>
      <c r="C637" s="253"/>
      <c r="D637" s="253"/>
      <c r="E637" s="253"/>
      <c r="F637" s="253"/>
      <c r="G637" s="253"/>
      <c r="H637" s="253"/>
      <c r="I637" s="253"/>
      <c r="J637" s="253"/>
      <c r="K637" s="253"/>
      <c r="L637" s="253"/>
      <c r="M637" s="253"/>
      <c r="N637" s="253"/>
      <c r="O637" s="253"/>
      <c r="P637" s="253"/>
      <c r="Q637" s="253"/>
    </row>
    <row r="638" spans="1:17">
      <c r="A638" s="253"/>
      <c r="B638" s="253"/>
      <c r="C638" s="253"/>
      <c r="D638" s="253"/>
      <c r="E638" s="253"/>
      <c r="F638" s="253"/>
      <c r="G638" s="253"/>
      <c r="H638" s="253"/>
      <c r="I638" s="253"/>
      <c r="J638" s="253"/>
      <c r="K638" s="253"/>
      <c r="L638" s="253"/>
      <c r="M638" s="253"/>
      <c r="N638" s="253"/>
      <c r="O638" s="253"/>
      <c r="P638" s="253"/>
      <c r="Q638" s="253"/>
    </row>
    <row r="639" spans="1:17">
      <c r="A639" s="253"/>
      <c r="B639" s="253"/>
      <c r="C639" s="253"/>
      <c r="D639" s="253"/>
      <c r="E639" s="253"/>
      <c r="F639" s="253"/>
      <c r="G639" s="253"/>
      <c r="H639" s="253"/>
      <c r="I639" s="253"/>
      <c r="J639" s="253"/>
      <c r="K639" s="253"/>
      <c r="L639" s="253"/>
      <c r="M639" s="253"/>
      <c r="N639" s="253"/>
      <c r="O639" s="253"/>
      <c r="P639" s="253"/>
      <c r="Q639" s="253"/>
    </row>
    <row r="640" spans="1:17">
      <c r="A640" s="253"/>
      <c r="B640" s="253"/>
      <c r="C640" s="253"/>
      <c r="D640" s="253"/>
      <c r="E640" s="253"/>
      <c r="F640" s="253"/>
      <c r="G640" s="253"/>
      <c r="H640" s="253"/>
      <c r="I640" s="253"/>
      <c r="J640" s="253"/>
      <c r="K640" s="253"/>
      <c r="L640" s="253"/>
      <c r="M640" s="253"/>
      <c r="N640" s="253"/>
      <c r="O640" s="253"/>
      <c r="P640" s="253"/>
      <c r="Q640" s="253"/>
    </row>
    <row r="641" spans="1:17">
      <c r="A641" s="253"/>
      <c r="B641" s="253"/>
      <c r="C641" s="253"/>
      <c r="D641" s="253"/>
      <c r="E641" s="253"/>
      <c r="F641" s="253"/>
      <c r="G641" s="253"/>
      <c r="H641" s="253"/>
      <c r="I641" s="253"/>
      <c r="J641" s="253"/>
      <c r="K641" s="253"/>
      <c r="L641" s="253"/>
      <c r="M641" s="253"/>
      <c r="N641" s="253"/>
      <c r="O641" s="253"/>
      <c r="P641" s="253"/>
      <c r="Q641" s="253"/>
    </row>
    <row r="642" spans="1:17">
      <c r="A642" s="253"/>
      <c r="B642" s="253"/>
      <c r="C642" s="253"/>
      <c r="D642" s="253"/>
      <c r="E642" s="253"/>
      <c r="F642" s="253"/>
      <c r="G642" s="253"/>
      <c r="H642" s="253"/>
      <c r="I642" s="253"/>
      <c r="J642" s="253"/>
      <c r="K642" s="253"/>
      <c r="L642" s="253"/>
      <c r="M642" s="253"/>
      <c r="N642" s="253"/>
      <c r="O642" s="253"/>
      <c r="P642" s="253"/>
      <c r="Q642" s="253"/>
    </row>
    <row r="643" spans="1:17">
      <c r="A643" s="253"/>
      <c r="B643" s="253"/>
      <c r="C643" s="253"/>
      <c r="D643" s="253"/>
      <c r="E643" s="253"/>
      <c r="F643" s="253"/>
      <c r="G643" s="253"/>
      <c r="H643" s="253"/>
      <c r="I643" s="253"/>
      <c r="J643" s="253"/>
      <c r="K643" s="253"/>
      <c r="L643" s="253"/>
      <c r="M643" s="253"/>
      <c r="N643" s="253"/>
      <c r="O643" s="253"/>
      <c r="P643" s="253"/>
      <c r="Q643" s="253"/>
    </row>
    <row r="644" spans="1:17">
      <c r="A644" s="253"/>
      <c r="B644" s="253"/>
      <c r="C644" s="253"/>
      <c r="D644" s="253"/>
      <c r="E644" s="253"/>
      <c r="F644" s="253"/>
      <c r="G644" s="253"/>
      <c r="H644" s="253"/>
      <c r="I644" s="253"/>
      <c r="J644" s="253"/>
      <c r="K644" s="253"/>
      <c r="L644" s="253"/>
      <c r="M644" s="253"/>
      <c r="N644" s="253"/>
      <c r="O644" s="253"/>
      <c r="P644" s="253"/>
      <c r="Q644" s="253"/>
    </row>
    <row r="645" spans="1:17">
      <c r="A645" s="253"/>
      <c r="B645" s="253"/>
      <c r="C645" s="253"/>
      <c r="D645" s="253"/>
      <c r="E645" s="253"/>
      <c r="F645" s="253"/>
      <c r="G645" s="253"/>
      <c r="H645" s="253"/>
      <c r="I645" s="253"/>
      <c r="J645" s="253"/>
      <c r="K645" s="253"/>
      <c r="L645" s="253"/>
      <c r="M645" s="253"/>
      <c r="N645" s="253"/>
      <c r="O645" s="253"/>
      <c r="P645" s="253"/>
      <c r="Q645" s="253"/>
    </row>
    <row r="646" spans="1:17">
      <c r="A646" s="253"/>
      <c r="B646" s="253"/>
      <c r="C646" s="253"/>
      <c r="D646" s="253"/>
      <c r="E646" s="253"/>
      <c r="F646" s="253"/>
      <c r="G646" s="253"/>
      <c r="H646" s="253"/>
      <c r="I646" s="253"/>
      <c r="J646" s="253"/>
      <c r="K646" s="253"/>
      <c r="L646" s="253"/>
      <c r="M646" s="253"/>
      <c r="N646" s="253"/>
      <c r="O646" s="253"/>
      <c r="P646" s="253"/>
      <c r="Q646" s="253"/>
    </row>
    <row r="647" spans="1:17">
      <c r="A647" s="253"/>
      <c r="B647" s="253"/>
      <c r="C647" s="253"/>
      <c r="D647" s="253"/>
      <c r="E647" s="253"/>
      <c r="F647" s="253"/>
      <c r="G647" s="253"/>
      <c r="H647" s="253"/>
      <c r="I647" s="253"/>
      <c r="J647" s="253"/>
      <c r="K647" s="253"/>
      <c r="L647" s="253"/>
      <c r="M647" s="253"/>
      <c r="N647" s="253"/>
      <c r="O647" s="253"/>
      <c r="P647" s="253"/>
      <c r="Q647" s="253"/>
    </row>
    <row r="648" spans="1:17">
      <c r="A648" s="253"/>
      <c r="B648" s="253"/>
      <c r="C648" s="253"/>
      <c r="D648" s="253"/>
      <c r="E648" s="253"/>
      <c r="F648" s="253"/>
      <c r="G648" s="253"/>
      <c r="H648" s="253"/>
      <c r="I648" s="253"/>
      <c r="J648" s="253"/>
      <c r="K648" s="253"/>
      <c r="L648" s="253"/>
      <c r="M648" s="253"/>
      <c r="N648" s="253"/>
      <c r="O648" s="253"/>
      <c r="P648" s="253"/>
      <c r="Q648" s="253"/>
    </row>
    <row r="649" spans="1:17">
      <c r="A649" s="253"/>
      <c r="B649" s="253"/>
      <c r="C649" s="253"/>
      <c r="D649" s="253"/>
      <c r="E649" s="253"/>
      <c r="F649" s="253"/>
      <c r="G649" s="253"/>
      <c r="H649" s="253"/>
      <c r="I649" s="253"/>
      <c r="J649" s="253"/>
      <c r="K649" s="253"/>
      <c r="L649" s="253"/>
      <c r="M649" s="253"/>
      <c r="N649" s="253"/>
      <c r="O649" s="253"/>
      <c r="P649" s="253"/>
      <c r="Q649" s="253"/>
    </row>
    <row r="650" spans="1:17">
      <c r="A650" s="253"/>
      <c r="B650" s="253"/>
      <c r="C650" s="253"/>
      <c r="D650" s="253"/>
      <c r="E650" s="253"/>
      <c r="F650" s="253"/>
      <c r="G650" s="253"/>
      <c r="H650" s="253"/>
      <c r="I650" s="253"/>
      <c r="J650" s="253"/>
      <c r="K650" s="253"/>
      <c r="L650" s="253"/>
      <c r="M650" s="253"/>
      <c r="N650" s="253"/>
      <c r="O650" s="253"/>
      <c r="P650" s="253"/>
      <c r="Q650" s="253"/>
    </row>
    <row r="651" spans="1:17">
      <c r="A651" s="253"/>
      <c r="B651" s="253"/>
      <c r="C651" s="253"/>
      <c r="D651" s="253"/>
      <c r="E651" s="253"/>
      <c r="F651" s="253"/>
      <c r="G651" s="253"/>
      <c r="H651" s="253"/>
      <c r="I651" s="253"/>
      <c r="J651" s="253"/>
      <c r="K651" s="253"/>
      <c r="L651" s="253"/>
      <c r="M651" s="253"/>
      <c r="N651" s="253"/>
      <c r="O651" s="253"/>
      <c r="P651" s="253"/>
      <c r="Q651" s="253"/>
    </row>
    <row r="652" spans="1:17">
      <c r="A652" s="253"/>
      <c r="B652" s="253"/>
      <c r="C652" s="253"/>
      <c r="D652" s="253"/>
      <c r="E652" s="253"/>
      <c r="F652" s="253"/>
      <c r="G652" s="253"/>
      <c r="H652" s="253"/>
      <c r="I652" s="253"/>
      <c r="J652" s="253"/>
      <c r="K652" s="253"/>
      <c r="L652" s="253"/>
      <c r="M652" s="253"/>
      <c r="N652" s="253"/>
      <c r="O652" s="253"/>
      <c r="P652" s="253"/>
      <c r="Q652" s="253"/>
    </row>
    <row r="653" spans="1:17">
      <c r="A653" s="253"/>
      <c r="B653" s="253"/>
      <c r="C653" s="253"/>
      <c r="D653" s="253"/>
      <c r="E653" s="253"/>
      <c r="F653" s="253"/>
      <c r="G653" s="253"/>
      <c r="H653" s="253"/>
      <c r="I653" s="253"/>
      <c r="J653" s="253"/>
      <c r="K653" s="253"/>
      <c r="L653" s="253"/>
      <c r="M653" s="253"/>
      <c r="N653" s="253"/>
      <c r="O653" s="253"/>
      <c r="P653" s="253"/>
      <c r="Q653" s="253"/>
    </row>
    <row r="654" spans="1:17">
      <c r="A654" s="253"/>
      <c r="B654" s="253"/>
      <c r="C654" s="253"/>
      <c r="D654" s="253"/>
      <c r="E654" s="253"/>
      <c r="F654" s="253"/>
      <c r="G654" s="253"/>
      <c r="H654" s="253"/>
      <c r="I654" s="253"/>
      <c r="J654" s="253"/>
      <c r="K654" s="253"/>
      <c r="L654" s="253"/>
      <c r="M654" s="253"/>
      <c r="N654" s="253"/>
      <c r="O654" s="253"/>
      <c r="P654" s="253"/>
      <c r="Q654" s="253"/>
    </row>
    <row r="655" spans="1:17">
      <c r="A655" s="253"/>
      <c r="B655" s="253"/>
      <c r="C655" s="253"/>
      <c r="D655" s="253"/>
      <c r="E655" s="253"/>
      <c r="F655" s="253"/>
      <c r="G655" s="253"/>
      <c r="H655" s="253"/>
      <c r="I655" s="253"/>
      <c r="J655" s="253"/>
      <c r="K655" s="253"/>
      <c r="L655" s="253"/>
      <c r="M655" s="253"/>
      <c r="N655" s="253"/>
      <c r="O655" s="253"/>
      <c r="P655" s="253"/>
      <c r="Q655" s="253"/>
    </row>
    <row r="656" spans="1:17">
      <c r="A656" s="253"/>
      <c r="B656" s="253"/>
      <c r="C656" s="253"/>
      <c r="D656" s="253"/>
      <c r="E656" s="253"/>
      <c r="F656" s="253"/>
      <c r="G656" s="253"/>
      <c r="H656" s="253"/>
      <c r="I656" s="253"/>
      <c r="J656" s="253"/>
      <c r="K656" s="253"/>
      <c r="L656" s="253"/>
      <c r="M656" s="253"/>
      <c r="N656" s="253"/>
      <c r="O656" s="253"/>
      <c r="P656" s="253"/>
      <c r="Q656" s="253"/>
    </row>
    <row r="657" spans="1:17">
      <c r="A657" s="253"/>
      <c r="B657" s="253"/>
      <c r="C657" s="253"/>
      <c r="D657" s="253"/>
      <c r="E657" s="253"/>
      <c r="F657" s="253"/>
      <c r="G657" s="253"/>
      <c r="H657" s="253"/>
      <c r="I657" s="253"/>
      <c r="J657" s="253"/>
      <c r="K657" s="253"/>
      <c r="L657" s="253"/>
      <c r="M657" s="253"/>
      <c r="N657" s="253"/>
      <c r="O657" s="253"/>
      <c r="P657" s="253"/>
      <c r="Q657" s="253"/>
    </row>
    <row r="658" spans="1:17">
      <c r="A658" s="253"/>
      <c r="B658" s="253"/>
      <c r="C658" s="253"/>
      <c r="D658" s="253"/>
      <c r="E658" s="253"/>
      <c r="F658" s="253"/>
      <c r="G658" s="253"/>
      <c r="H658" s="253"/>
      <c r="I658" s="253"/>
      <c r="J658" s="253"/>
      <c r="K658" s="253"/>
      <c r="L658" s="253"/>
      <c r="M658" s="253"/>
      <c r="N658" s="253"/>
      <c r="O658" s="253"/>
      <c r="P658" s="253"/>
      <c r="Q658" s="253"/>
    </row>
    <row r="659" spans="1:17">
      <c r="A659" s="253"/>
      <c r="B659" s="253"/>
      <c r="C659" s="253"/>
      <c r="D659" s="253"/>
      <c r="E659" s="253"/>
      <c r="F659" s="253"/>
      <c r="G659" s="253"/>
      <c r="H659" s="253"/>
      <c r="I659" s="253"/>
      <c r="J659" s="253"/>
      <c r="K659" s="253"/>
      <c r="L659" s="253"/>
      <c r="M659" s="253"/>
      <c r="N659" s="253"/>
      <c r="O659" s="253"/>
      <c r="P659" s="253"/>
      <c r="Q659" s="253"/>
    </row>
    <row r="660" spans="1:17">
      <c r="A660" s="253"/>
      <c r="B660" s="253"/>
      <c r="C660" s="253"/>
      <c r="D660" s="253"/>
      <c r="E660" s="253"/>
      <c r="F660" s="253"/>
      <c r="G660" s="253"/>
      <c r="H660" s="253"/>
      <c r="I660" s="253"/>
      <c r="J660" s="253"/>
      <c r="K660" s="253"/>
      <c r="L660" s="253"/>
      <c r="M660" s="253"/>
      <c r="N660" s="253"/>
      <c r="O660" s="253"/>
      <c r="P660" s="253"/>
      <c r="Q660" s="253"/>
    </row>
    <row r="661" spans="1:17">
      <c r="A661" s="253"/>
      <c r="B661" s="253"/>
      <c r="C661" s="253"/>
      <c r="D661" s="253"/>
      <c r="E661" s="253"/>
      <c r="F661" s="253"/>
      <c r="G661" s="253"/>
      <c r="H661" s="253"/>
      <c r="I661" s="253"/>
      <c r="J661" s="253"/>
      <c r="K661" s="253"/>
      <c r="L661" s="253"/>
      <c r="M661" s="253"/>
      <c r="N661" s="253"/>
      <c r="O661" s="253"/>
      <c r="P661" s="253"/>
      <c r="Q661" s="253"/>
    </row>
    <row r="662" spans="1:17">
      <c r="A662" s="253"/>
      <c r="B662" s="253"/>
      <c r="C662" s="253"/>
      <c r="D662" s="253"/>
      <c r="E662" s="253"/>
      <c r="F662" s="253"/>
      <c r="G662" s="253"/>
      <c r="H662" s="253"/>
      <c r="I662" s="253"/>
      <c r="J662" s="253"/>
      <c r="K662" s="253"/>
      <c r="L662" s="253"/>
      <c r="M662" s="253"/>
      <c r="N662" s="253"/>
      <c r="O662" s="253"/>
      <c r="P662" s="253"/>
      <c r="Q662" s="253"/>
    </row>
    <row r="663" spans="1:17">
      <c r="A663" s="253"/>
      <c r="B663" s="253"/>
      <c r="C663" s="253"/>
      <c r="D663" s="253"/>
      <c r="E663" s="253"/>
      <c r="F663" s="253"/>
      <c r="G663" s="253"/>
      <c r="H663" s="253"/>
      <c r="I663" s="253"/>
      <c r="J663" s="253"/>
      <c r="K663" s="253"/>
      <c r="L663" s="253"/>
      <c r="M663" s="253"/>
      <c r="N663" s="253"/>
      <c r="O663" s="253"/>
      <c r="P663" s="253"/>
      <c r="Q663" s="253"/>
    </row>
    <row r="664" spans="1:17">
      <c r="A664" s="253"/>
      <c r="B664" s="253"/>
      <c r="C664" s="253"/>
      <c r="D664" s="253"/>
      <c r="E664" s="253"/>
      <c r="F664" s="253"/>
      <c r="G664" s="253"/>
      <c r="H664" s="253"/>
      <c r="I664" s="253"/>
      <c r="J664" s="253"/>
      <c r="K664" s="253"/>
      <c r="L664" s="253"/>
      <c r="M664" s="253"/>
      <c r="N664" s="253"/>
      <c r="O664" s="253"/>
      <c r="P664" s="253"/>
      <c r="Q664" s="253"/>
    </row>
    <row r="665" spans="1:17">
      <c r="A665" s="253"/>
      <c r="B665" s="253"/>
      <c r="C665" s="253"/>
      <c r="D665" s="253"/>
      <c r="E665" s="253"/>
      <c r="F665" s="253"/>
      <c r="G665" s="253"/>
      <c r="H665" s="253"/>
      <c r="I665" s="253"/>
      <c r="J665" s="253"/>
      <c r="K665" s="253"/>
      <c r="L665" s="253"/>
      <c r="M665" s="253"/>
      <c r="N665" s="253"/>
      <c r="O665" s="253"/>
      <c r="P665" s="253"/>
      <c r="Q665" s="253"/>
    </row>
    <row r="666" spans="1:17">
      <c r="A666" s="253"/>
      <c r="B666" s="253"/>
      <c r="C666" s="253"/>
      <c r="D666" s="253"/>
      <c r="E666" s="253"/>
      <c r="F666" s="253"/>
      <c r="G666" s="253"/>
      <c r="H666" s="253"/>
      <c r="I666" s="253"/>
      <c r="J666" s="253"/>
      <c r="K666" s="253"/>
      <c r="L666" s="253"/>
      <c r="M666" s="253"/>
      <c r="N666" s="253"/>
      <c r="O666" s="253"/>
      <c r="P666" s="253"/>
      <c r="Q666" s="253"/>
    </row>
    <row r="667" spans="1:17">
      <c r="A667" s="253"/>
      <c r="B667" s="253"/>
      <c r="C667" s="253"/>
      <c r="D667" s="253"/>
      <c r="E667" s="253"/>
      <c r="F667" s="253"/>
      <c r="G667" s="253"/>
      <c r="H667" s="253"/>
      <c r="I667" s="253"/>
      <c r="J667" s="253"/>
      <c r="K667" s="253"/>
      <c r="L667" s="253"/>
      <c r="M667" s="253"/>
      <c r="N667" s="253"/>
      <c r="O667" s="253"/>
      <c r="P667" s="253"/>
      <c r="Q667" s="253"/>
    </row>
    <row r="668" spans="1:17">
      <c r="A668" s="253"/>
      <c r="B668" s="253"/>
      <c r="C668" s="253"/>
      <c r="D668" s="253"/>
      <c r="E668" s="253"/>
      <c r="F668" s="253"/>
      <c r="G668" s="253"/>
      <c r="H668" s="253"/>
      <c r="I668" s="253"/>
      <c r="J668" s="253"/>
      <c r="K668" s="253"/>
      <c r="L668" s="253"/>
      <c r="M668" s="253"/>
      <c r="N668" s="253"/>
      <c r="O668" s="253"/>
      <c r="P668" s="253"/>
      <c r="Q668" s="253"/>
    </row>
    <row r="669" spans="1:17">
      <c r="A669" s="253"/>
      <c r="B669" s="253"/>
      <c r="C669" s="253"/>
      <c r="D669" s="253"/>
      <c r="E669" s="253"/>
      <c r="F669" s="253"/>
      <c r="G669" s="253"/>
      <c r="H669" s="253"/>
      <c r="I669" s="253"/>
      <c r="J669" s="253"/>
      <c r="K669" s="253"/>
      <c r="L669" s="253"/>
      <c r="M669" s="253"/>
      <c r="N669" s="253"/>
      <c r="O669" s="253"/>
      <c r="P669" s="253"/>
      <c r="Q669" s="253"/>
    </row>
    <row r="670" spans="1:17">
      <c r="A670" s="253"/>
      <c r="B670" s="253"/>
      <c r="C670" s="253"/>
      <c r="D670" s="253"/>
      <c r="E670" s="253"/>
      <c r="F670" s="253"/>
      <c r="G670" s="253"/>
      <c r="H670" s="253"/>
      <c r="I670" s="253"/>
      <c r="J670" s="253"/>
      <c r="K670" s="253"/>
      <c r="L670" s="253"/>
      <c r="M670" s="253"/>
      <c r="N670" s="253"/>
      <c r="O670" s="253"/>
      <c r="P670" s="253"/>
      <c r="Q670" s="253"/>
    </row>
    <row r="671" spans="1:17">
      <c r="A671" s="253"/>
      <c r="B671" s="253"/>
      <c r="C671" s="253"/>
      <c r="D671" s="253"/>
      <c r="E671" s="253"/>
      <c r="F671" s="253"/>
      <c r="G671" s="253"/>
      <c r="H671" s="253"/>
      <c r="I671" s="253"/>
      <c r="J671" s="253"/>
      <c r="K671" s="253"/>
      <c r="L671" s="253"/>
      <c r="M671" s="253"/>
      <c r="N671" s="253"/>
      <c r="O671" s="253"/>
      <c r="P671" s="253"/>
      <c r="Q671" s="253"/>
    </row>
    <row r="672" spans="1:17">
      <c r="A672" s="253"/>
      <c r="B672" s="253"/>
      <c r="C672" s="253"/>
      <c r="D672" s="253"/>
      <c r="E672" s="253"/>
      <c r="F672" s="253"/>
      <c r="G672" s="253"/>
      <c r="H672" s="253"/>
      <c r="I672" s="253"/>
      <c r="J672" s="253"/>
      <c r="K672" s="253"/>
      <c r="L672" s="253"/>
      <c r="M672" s="253"/>
      <c r="N672" s="253"/>
      <c r="O672" s="253"/>
      <c r="P672" s="253"/>
      <c r="Q672" s="253"/>
    </row>
    <row r="673" spans="1:17">
      <c r="A673" s="253"/>
      <c r="B673" s="253"/>
      <c r="C673" s="253"/>
      <c r="D673" s="253"/>
      <c r="E673" s="253"/>
      <c r="F673" s="253"/>
      <c r="G673" s="253"/>
      <c r="H673" s="253"/>
      <c r="I673" s="253"/>
      <c r="J673" s="253"/>
      <c r="K673" s="253"/>
      <c r="L673" s="253"/>
      <c r="M673" s="253"/>
      <c r="N673" s="253"/>
      <c r="O673" s="253"/>
      <c r="P673" s="253"/>
      <c r="Q673" s="253"/>
    </row>
    <row r="674" spans="1:17">
      <c r="A674" s="253"/>
      <c r="B674" s="253"/>
      <c r="C674" s="253"/>
      <c r="D674" s="253"/>
      <c r="E674" s="253"/>
      <c r="F674" s="253"/>
      <c r="G674" s="253"/>
      <c r="H674" s="253"/>
      <c r="I674" s="253"/>
      <c r="J674" s="253"/>
      <c r="K674" s="253"/>
      <c r="L674" s="253"/>
      <c r="M674" s="253"/>
      <c r="N674" s="253"/>
      <c r="O674" s="253"/>
      <c r="P674" s="253"/>
      <c r="Q674" s="253"/>
    </row>
    <row r="675" spans="1:17">
      <c r="A675" s="253"/>
      <c r="B675" s="253"/>
      <c r="C675" s="253"/>
      <c r="D675" s="253"/>
      <c r="E675" s="253"/>
      <c r="F675" s="253"/>
      <c r="G675" s="253"/>
      <c r="H675" s="253"/>
      <c r="I675" s="253"/>
      <c r="J675" s="253"/>
      <c r="K675" s="253"/>
      <c r="L675" s="253"/>
      <c r="M675" s="253"/>
      <c r="N675" s="253"/>
      <c r="O675" s="253"/>
      <c r="P675" s="253"/>
      <c r="Q675" s="253"/>
    </row>
    <row r="676" spans="1:17">
      <c r="A676" s="253"/>
      <c r="B676" s="253"/>
      <c r="C676" s="253"/>
      <c r="D676" s="253"/>
      <c r="E676" s="253"/>
      <c r="F676" s="253"/>
      <c r="G676" s="253"/>
      <c r="H676" s="253"/>
      <c r="I676" s="253"/>
      <c r="J676" s="253"/>
      <c r="K676" s="253"/>
      <c r="L676" s="253"/>
      <c r="M676" s="253"/>
      <c r="N676" s="253"/>
      <c r="O676" s="253"/>
      <c r="P676" s="253"/>
      <c r="Q676" s="253"/>
    </row>
    <row r="677" spans="1:17">
      <c r="A677" s="253"/>
      <c r="B677" s="253"/>
      <c r="C677" s="253"/>
      <c r="D677" s="253"/>
      <c r="E677" s="253"/>
      <c r="F677" s="253"/>
      <c r="G677" s="253"/>
      <c r="H677" s="253"/>
      <c r="I677" s="253"/>
      <c r="J677" s="253"/>
      <c r="K677" s="253"/>
      <c r="L677" s="253"/>
      <c r="M677" s="253"/>
      <c r="N677" s="253"/>
      <c r="O677" s="253"/>
      <c r="P677" s="253"/>
      <c r="Q677" s="253"/>
    </row>
    <row r="678" spans="1:17">
      <c r="A678" s="253"/>
      <c r="B678" s="253"/>
      <c r="C678" s="253"/>
      <c r="D678" s="253"/>
      <c r="E678" s="253"/>
      <c r="F678" s="253"/>
      <c r="G678" s="253"/>
      <c r="H678" s="253"/>
      <c r="I678" s="253"/>
      <c r="J678" s="253"/>
      <c r="K678" s="253"/>
      <c r="L678" s="253"/>
      <c r="M678" s="253"/>
      <c r="N678" s="253"/>
      <c r="O678" s="253"/>
      <c r="P678" s="253"/>
      <c r="Q678" s="253"/>
    </row>
    <row r="679" spans="1:17">
      <c r="A679" s="253"/>
      <c r="B679" s="253"/>
      <c r="C679" s="253"/>
      <c r="D679" s="253"/>
      <c r="E679" s="253"/>
      <c r="F679" s="253"/>
      <c r="G679" s="253"/>
      <c r="H679" s="253"/>
      <c r="I679" s="253"/>
      <c r="J679" s="253"/>
      <c r="K679" s="253"/>
      <c r="L679" s="253"/>
      <c r="M679" s="253"/>
      <c r="N679" s="253"/>
      <c r="O679" s="253"/>
      <c r="P679" s="253"/>
      <c r="Q679" s="253"/>
    </row>
    <row r="680" spans="1:17">
      <c r="A680" s="253"/>
      <c r="B680" s="253"/>
      <c r="C680" s="253"/>
      <c r="D680" s="253"/>
      <c r="E680" s="253"/>
      <c r="F680" s="253"/>
      <c r="G680" s="253"/>
      <c r="H680" s="253"/>
      <c r="I680" s="253"/>
      <c r="J680" s="253"/>
      <c r="K680" s="253"/>
      <c r="L680" s="253"/>
      <c r="M680" s="253"/>
      <c r="N680" s="253"/>
      <c r="O680" s="253"/>
      <c r="P680" s="253"/>
      <c r="Q680" s="253"/>
    </row>
    <row r="681" spans="1:17">
      <c r="A681" s="253"/>
      <c r="B681" s="253"/>
      <c r="C681" s="253"/>
      <c r="D681" s="253"/>
      <c r="E681" s="253"/>
      <c r="F681" s="253"/>
      <c r="G681" s="253"/>
      <c r="H681" s="253"/>
      <c r="I681" s="253"/>
      <c r="J681" s="253"/>
      <c r="K681" s="253"/>
      <c r="L681" s="253"/>
      <c r="M681" s="253"/>
      <c r="N681" s="253"/>
      <c r="O681" s="253"/>
      <c r="P681" s="253"/>
      <c r="Q681" s="253"/>
    </row>
    <row r="682" spans="1:17">
      <c r="A682" s="253"/>
      <c r="B682" s="253"/>
      <c r="C682" s="253"/>
      <c r="D682" s="253"/>
      <c r="E682" s="253"/>
      <c r="F682" s="253"/>
      <c r="G682" s="253"/>
      <c r="H682" s="253"/>
      <c r="I682" s="253"/>
      <c r="J682" s="253"/>
      <c r="K682" s="253"/>
      <c r="L682" s="253"/>
      <c r="M682" s="253"/>
      <c r="N682" s="253"/>
      <c r="O682" s="253"/>
      <c r="P682" s="253"/>
      <c r="Q682" s="253"/>
    </row>
    <row r="683" spans="1:17">
      <c r="A683" s="253"/>
      <c r="B683" s="253"/>
      <c r="C683" s="253"/>
      <c r="D683" s="253"/>
      <c r="E683" s="253"/>
      <c r="F683" s="253"/>
      <c r="G683" s="253"/>
      <c r="H683" s="253"/>
      <c r="I683" s="253"/>
      <c r="J683" s="253"/>
      <c r="K683" s="253"/>
      <c r="L683" s="253"/>
      <c r="M683" s="253"/>
      <c r="N683" s="253"/>
      <c r="O683" s="253"/>
      <c r="P683" s="253"/>
      <c r="Q683" s="253"/>
    </row>
    <row r="684" spans="1:17">
      <c r="A684" s="253"/>
      <c r="B684" s="253"/>
      <c r="C684" s="253"/>
      <c r="D684" s="253"/>
      <c r="E684" s="253"/>
      <c r="F684" s="253"/>
      <c r="G684" s="253"/>
      <c r="H684" s="253"/>
      <c r="I684" s="253"/>
      <c r="J684" s="253"/>
      <c r="K684" s="253"/>
      <c r="L684" s="253"/>
      <c r="M684" s="253"/>
      <c r="N684" s="253"/>
      <c r="O684" s="253"/>
      <c r="P684" s="253"/>
      <c r="Q684" s="253"/>
    </row>
    <row r="685" spans="1:17">
      <c r="A685" s="253"/>
      <c r="B685" s="253"/>
      <c r="C685" s="253"/>
      <c r="D685" s="253"/>
      <c r="E685" s="253"/>
      <c r="F685" s="253"/>
      <c r="G685" s="253"/>
      <c r="H685" s="253"/>
      <c r="I685" s="253"/>
      <c r="J685" s="253"/>
      <c r="K685" s="253"/>
      <c r="L685" s="253"/>
      <c r="M685" s="253"/>
      <c r="N685" s="253"/>
      <c r="O685" s="253"/>
      <c r="P685" s="253"/>
      <c r="Q685" s="253"/>
    </row>
    <row r="686" spans="1:17">
      <c r="A686" s="253"/>
      <c r="B686" s="253"/>
      <c r="C686" s="253"/>
      <c r="D686" s="253"/>
      <c r="E686" s="253"/>
      <c r="F686" s="253"/>
      <c r="G686" s="253"/>
      <c r="H686" s="253"/>
      <c r="I686" s="253"/>
      <c r="J686" s="253"/>
      <c r="K686" s="253"/>
      <c r="L686" s="253"/>
      <c r="M686" s="253"/>
      <c r="N686" s="253"/>
      <c r="O686" s="253"/>
      <c r="P686" s="253"/>
      <c r="Q686" s="253"/>
    </row>
    <row r="687" spans="1:17">
      <c r="A687" s="253"/>
      <c r="B687" s="253"/>
      <c r="C687" s="253"/>
      <c r="D687" s="253"/>
      <c r="E687" s="253"/>
      <c r="F687" s="253"/>
      <c r="G687" s="253"/>
      <c r="H687" s="253"/>
      <c r="I687" s="253"/>
      <c r="J687" s="253"/>
      <c r="K687" s="253"/>
      <c r="L687" s="253"/>
      <c r="M687" s="253"/>
      <c r="N687" s="253"/>
      <c r="O687" s="253"/>
      <c r="P687" s="253"/>
      <c r="Q687" s="253"/>
    </row>
    <row r="688" spans="1:17">
      <c r="A688" s="253"/>
      <c r="B688" s="253"/>
      <c r="C688" s="253"/>
      <c r="D688" s="253"/>
      <c r="E688" s="253"/>
      <c r="F688" s="253"/>
      <c r="G688" s="253"/>
      <c r="H688" s="253"/>
      <c r="I688" s="253"/>
      <c r="J688" s="253"/>
      <c r="K688" s="253"/>
      <c r="L688" s="253"/>
      <c r="M688" s="253"/>
      <c r="N688" s="253"/>
      <c r="O688" s="253"/>
      <c r="P688" s="253"/>
      <c r="Q688" s="253"/>
    </row>
    <row r="689" spans="1:17">
      <c r="A689" s="253"/>
      <c r="B689" s="253"/>
      <c r="C689" s="253"/>
      <c r="D689" s="253"/>
      <c r="E689" s="253"/>
      <c r="F689" s="253"/>
      <c r="G689" s="253"/>
      <c r="H689" s="253"/>
      <c r="I689" s="253"/>
      <c r="J689" s="253"/>
      <c r="K689" s="253"/>
      <c r="L689" s="253"/>
      <c r="M689" s="253"/>
      <c r="N689" s="253"/>
      <c r="O689" s="253"/>
      <c r="P689" s="253"/>
      <c r="Q689" s="253"/>
    </row>
    <row r="690" spans="1:17">
      <c r="A690" s="253"/>
      <c r="B690" s="253"/>
      <c r="C690" s="253"/>
      <c r="D690" s="253"/>
      <c r="E690" s="253"/>
      <c r="F690" s="253"/>
      <c r="G690" s="253"/>
      <c r="H690" s="253"/>
      <c r="I690" s="253"/>
      <c r="J690" s="253"/>
      <c r="K690" s="253"/>
      <c r="L690" s="253"/>
      <c r="M690" s="253"/>
      <c r="N690" s="253"/>
      <c r="O690" s="253"/>
      <c r="P690" s="253"/>
      <c r="Q690" s="253"/>
    </row>
    <row r="691" spans="1:17">
      <c r="A691" s="253"/>
      <c r="B691" s="253"/>
      <c r="C691" s="253"/>
      <c r="D691" s="253"/>
      <c r="E691" s="253"/>
      <c r="F691" s="253"/>
      <c r="G691" s="253"/>
      <c r="H691" s="253"/>
      <c r="I691" s="253"/>
      <c r="J691" s="253"/>
      <c r="K691" s="253"/>
      <c r="L691" s="253"/>
      <c r="M691" s="253"/>
      <c r="N691" s="253"/>
      <c r="O691" s="253"/>
      <c r="P691" s="253"/>
      <c r="Q691" s="253"/>
    </row>
    <row r="692" spans="1:17">
      <c r="A692" s="253"/>
      <c r="B692" s="253"/>
      <c r="C692" s="253"/>
      <c r="D692" s="253"/>
      <c r="E692" s="253"/>
      <c r="F692" s="253"/>
      <c r="G692" s="253"/>
      <c r="H692" s="253"/>
      <c r="I692" s="253"/>
      <c r="J692" s="253"/>
      <c r="K692" s="253"/>
      <c r="L692" s="253"/>
      <c r="M692" s="253"/>
      <c r="N692" s="253"/>
      <c r="O692" s="253"/>
      <c r="P692" s="253"/>
      <c r="Q692" s="253"/>
    </row>
    <row r="693" spans="1:17">
      <c r="A693" s="253"/>
      <c r="B693" s="253"/>
      <c r="C693" s="253"/>
      <c r="D693" s="253"/>
      <c r="E693" s="253"/>
      <c r="F693" s="253"/>
      <c r="G693" s="253"/>
      <c r="H693" s="253"/>
      <c r="I693" s="253"/>
      <c r="J693" s="253"/>
      <c r="K693" s="253"/>
      <c r="L693" s="253"/>
      <c r="M693" s="253"/>
      <c r="N693" s="253"/>
      <c r="O693" s="253"/>
      <c r="P693" s="253"/>
      <c r="Q693" s="253"/>
    </row>
    <row r="694" spans="1:17">
      <c r="A694" s="253"/>
      <c r="B694" s="253"/>
      <c r="C694" s="253"/>
      <c r="D694" s="253"/>
      <c r="E694" s="253"/>
      <c r="F694" s="253"/>
      <c r="G694" s="253"/>
      <c r="H694" s="253"/>
      <c r="I694" s="253"/>
      <c r="J694" s="253"/>
      <c r="K694" s="253"/>
      <c r="L694" s="253"/>
      <c r="M694" s="253"/>
      <c r="N694" s="253"/>
      <c r="O694" s="253"/>
      <c r="P694" s="253"/>
      <c r="Q694" s="253"/>
    </row>
    <row r="695" spans="1:17">
      <c r="A695" s="253"/>
      <c r="B695" s="253"/>
      <c r="C695" s="253"/>
      <c r="D695" s="253"/>
      <c r="E695" s="253"/>
      <c r="F695" s="253"/>
      <c r="G695" s="253"/>
      <c r="H695" s="253"/>
      <c r="I695" s="253"/>
      <c r="J695" s="253"/>
      <c r="K695" s="253"/>
      <c r="L695" s="253"/>
      <c r="M695" s="253"/>
      <c r="N695" s="253"/>
      <c r="O695" s="253"/>
      <c r="P695" s="253"/>
      <c r="Q695" s="253"/>
    </row>
    <row r="696" spans="1:17">
      <c r="A696" s="253"/>
      <c r="B696" s="253"/>
      <c r="C696" s="253"/>
      <c r="D696" s="253"/>
      <c r="E696" s="253"/>
      <c r="F696" s="253"/>
      <c r="G696" s="253"/>
      <c r="H696" s="253"/>
      <c r="I696" s="253"/>
      <c r="J696" s="253"/>
      <c r="K696" s="253"/>
      <c r="L696" s="253"/>
      <c r="M696" s="253"/>
      <c r="N696" s="253"/>
      <c r="O696" s="253"/>
      <c r="P696" s="253"/>
      <c r="Q696" s="253"/>
    </row>
    <row r="697" spans="1:17">
      <c r="A697" s="253"/>
      <c r="B697" s="253"/>
      <c r="C697" s="253"/>
      <c r="D697" s="253"/>
      <c r="E697" s="253"/>
      <c r="F697" s="253"/>
      <c r="G697" s="253"/>
      <c r="H697" s="253"/>
      <c r="I697" s="253"/>
      <c r="J697" s="253"/>
      <c r="K697" s="253"/>
      <c r="L697" s="253"/>
      <c r="M697" s="253"/>
      <c r="N697" s="253"/>
      <c r="O697" s="253"/>
      <c r="P697" s="253"/>
      <c r="Q697" s="253"/>
    </row>
    <row r="698" spans="1:17">
      <c r="A698" s="253"/>
      <c r="B698" s="253"/>
      <c r="C698" s="253"/>
      <c r="D698" s="253"/>
      <c r="E698" s="253"/>
      <c r="F698" s="253"/>
      <c r="G698" s="253"/>
      <c r="H698" s="253"/>
      <c r="I698" s="253"/>
      <c r="J698" s="253"/>
      <c r="K698" s="253"/>
      <c r="L698" s="253"/>
      <c r="M698" s="253"/>
      <c r="N698" s="253"/>
      <c r="O698" s="253"/>
      <c r="P698" s="253"/>
      <c r="Q698" s="253"/>
    </row>
    <row r="699" spans="1:17">
      <c r="A699" s="253"/>
      <c r="B699" s="253"/>
      <c r="C699" s="253"/>
      <c r="D699" s="253"/>
      <c r="E699" s="253"/>
      <c r="F699" s="253"/>
      <c r="G699" s="253"/>
      <c r="H699" s="253"/>
      <c r="I699" s="253"/>
      <c r="J699" s="253"/>
      <c r="K699" s="253"/>
      <c r="L699" s="253"/>
      <c r="M699" s="253"/>
      <c r="N699" s="253"/>
      <c r="O699" s="253"/>
      <c r="P699" s="253"/>
      <c r="Q699" s="253"/>
    </row>
    <row r="700" spans="1:17">
      <c r="A700" s="253"/>
      <c r="B700" s="253"/>
      <c r="C700" s="253"/>
      <c r="D700" s="253"/>
      <c r="E700" s="253"/>
      <c r="F700" s="253"/>
      <c r="G700" s="253"/>
      <c r="H700" s="253"/>
      <c r="I700" s="253"/>
      <c r="J700" s="253"/>
      <c r="K700" s="253"/>
      <c r="L700" s="253"/>
      <c r="M700" s="253"/>
      <c r="N700" s="253"/>
      <c r="O700" s="253"/>
      <c r="P700" s="253"/>
      <c r="Q700" s="253"/>
    </row>
    <row r="701" spans="1:17">
      <c r="A701" s="253"/>
      <c r="B701" s="253"/>
      <c r="C701" s="253"/>
      <c r="D701" s="253"/>
      <c r="E701" s="253"/>
      <c r="F701" s="253"/>
      <c r="G701" s="253"/>
      <c r="H701" s="253"/>
      <c r="I701" s="253"/>
      <c r="J701" s="253"/>
      <c r="K701" s="253"/>
      <c r="L701" s="253"/>
      <c r="M701" s="253"/>
      <c r="N701" s="253"/>
      <c r="O701" s="253"/>
      <c r="P701" s="253"/>
      <c r="Q701" s="253"/>
    </row>
    <row r="702" spans="1:17">
      <c r="A702" s="253"/>
      <c r="B702" s="253"/>
      <c r="C702" s="253"/>
      <c r="D702" s="253"/>
      <c r="E702" s="253"/>
      <c r="F702" s="253"/>
      <c r="G702" s="253"/>
      <c r="H702" s="253"/>
      <c r="I702" s="253"/>
      <c r="J702" s="253"/>
      <c r="K702" s="253"/>
      <c r="L702" s="253"/>
      <c r="M702" s="253"/>
      <c r="N702" s="253"/>
      <c r="O702" s="253"/>
      <c r="P702" s="253"/>
      <c r="Q702" s="253"/>
    </row>
    <row r="703" spans="1:17">
      <c r="A703" s="253"/>
      <c r="B703" s="253"/>
      <c r="C703" s="253"/>
      <c r="D703" s="253"/>
      <c r="E703" s="253"/>
      <c r="F703" s="253"/>
      <c r="G703" s="253"/>
      <c r="H703" s="253"/>
      <c r="I703" s="253"/>
      <c r="J703" s="253"/>
      <c r="K703" s="253"/>
      <c r="L703" s="253"/>
      <c r="M703" s="253"/>
      <c r="N703" s="253"/>
      <c r="O703" s="253"/>
      <c r="P703" s="253"/>
      <c r="Q703" s="253"/>
    </row>
    <row r="704" spans="1:17">
      <c r="A704" s="253"/>
      <c r="B704" s="253"/>
      <c r="C704" s="253"/>
      <c r="D704" s="253"/>
      <c r="E704" s="253"/>
      <c r="F704" s="253"/>
      <c r="G704" s="253"/>
      <c r="H704" s="253"/>
      <c r="I704" s="253"/>
      <c r="J704" s="253"/>
      <c r="K704" s="253"/>
      <c r="L704" s="253"/>
      <c r="M704" s="253"/>
      <c r="N704" s="253"/>
      <c r="O704" s="253"/>
      <c r="P704" s="253"/>
      <c r="Q704" s="253"/>
    </row>
    <row r="705" spans="1:17">
      <c r="A705" s="253"/>
      <c r="B705" s="253"/>
      <c r="C705" s="253"/>
      <c r="D705" s="253"/>
      <c r="E705" s="253"/>
      <c r="F705" s="253"/>
      <c r="G705" s="253"/>
      <c r="H705" s="253"/>
      <c r="I705" s="253"/>
      <c r="J705" s="253"/>
      <c r="K705" s="253"/>
      <c r="L705" s="253"/>
      <c r="M705" s="253"/>
      <c r="N705" s="253"/>
      <c r="O705" s="253"/>
      <c r="P705" s="253"/>
      <c r="Q705" s="253"/>
    </row>
    <row r="706" spans="1:17">
      <c r="A706" s="253"/>
      <c r="B706" s="253"/>
      <c r="C706" s="253"/>
      <c r="D706" s="253"/>
      <c r="E706" s="253"/>
      <c r="F706" s="253"/>
      <c r="G706" s="253"/>
      <c r="H706" s="253"/>
      <c r="I706" s="253"/>
      <c r="J706" s="253"/>
      <c r="K706" s="253"/>
      <c r="L706" s="253"/>
      <c r="M706" s="253"/>
      <c r="N706" s="253"/>
      <c r="O706" s="253"/>
      <c r="P706" s="253"/>
      <c r="Q706" s="253"/>
    </row>
    <row r="707" spans="1:17">
      <c r="A707" s="253"/>
      <c r="B707" s="253"/>
      <c r="C707" s="253"/>
      <c r="D707" s="253"/>
      <c r="E707" s="253"/>
      <c r="F707" s="253"/>
      <c r="G707" s="253"/>
      <c r="H707" s="253"/>
      <c r="I707" s="253"/>
      <c r="J707" s="253"/>
      <c r="K707" s="253"/>
      <c r="L707" s="253"/>
      <c r="M707" s="253"/>
      <c r="N707" s="253"/>
      <c r="O707" s="253"/>
      <c r="P707" s="253"/>
      <c r="Q707" s="253"/>
    </row>
    <row r="708" spans="1:17">
      <c r="A708" s="253"/>
      <c r="B708" s="253"/>
      <c r="C708" s="253"/>
      <c r="D708" s="253"/>
      <c r="E708" s="253"/>
      <c r="F708" s="253"/>
      <c r="G708" s="253"/>
      <c r="H708" s="253"/>
      <c r="I708" s="253"/>
      <c r="J708" s="253"/>
      <c r="K708" s="253"/>
      <c r="L708" s="253"/>
      <c r="M708" s="253"/>
      <c r="N708" s="253"/>
      <c r="O708" s="253"/>
      <c r="P708" s="253"/>
      <c r="Q708" s="253"/>
    </row>
    <row r="709" spans="1:17">
      <c r="A709" s="253"/>
      <c r="B709" s="253"/>
      <c r="C709" s="253"/>
      <c r="D709" s="253"/>
      <c r="E709" s="253"/>
      <c r="F709" s="253"/>
      <c r="G709" s="253"/>
      <c r="H709" s="253"/>
      <c r="I709" s="253"/>
      <c r="J709" s="253"/>
      <c r="K709" s="253"/>
      <c r="L709" s="253"/>
      <c r="M709" s="253"/>
      <c r="N709" s="253"/>
      <c r="O709" s="253"/>
      <c r="P709" s="253"/>
      <c r="Q709" s="253"/>
    </row>
    <row r="710" spans="1:17">
      <c r="A710" s="253"/>
      <c r="B710" s="253"/>
      <c r="C710" s="253"/>
      <c r="D710" s="253"/>
      <c r="E710" s="253"/>
      <c r="F710" s="253"/>
      <c r="G710" s="253"/>
      <c r="H710" s="253"/>
      <c r="I710" s="253"/>
      <c r="J710" s="253"/>
      <c r="K710" s="253"/>
      <c r="L710" s="253"/>
      <c r="M710" s="253"/>
      <c r="N710" s="253"/>
      <c r="O710" s="253"/>
      <c r="P710" s="253"/>
      <c r="Q710" s="253"/>
    </row>
    <row r="711" spans="1:17">
      <c r="A711" s="253"/>
      <c r="B711" s="253"/>
      <c r="C711" s="253"/>
      <c r="D711" s="253"/>
      <c r="E711" s="253"/>
      <c r="F711" s="253"/>
      <c r="G711" s="253"/>
      <c r="H711" s="253"/>
      <c r="I711" s="253"/>
      <c r="J711" s="253"/>
      <c r="K711" s="253"/>
      <c r="L711" s="253"/>
      <c r="M711" s="253"/>
      <c r="N711" s="253"/>
      <c r="O711" s="253"/>
      <c r="P711" s="253"/>
      <c r="Q711" s="253"/>
    </row>
    <row r="712" spans="1:17">
      <c r="A712" s="253"/>
      <c r="B712" s="253"/>
      <c r="C712" s="253"/>
      <c r="D712" s="253"/>
      <c r="E712" s="253"/>
      <c r="F712" s="253"/>
      <c r="G712" s="253"/>
      <c r="H712" s="253"/>
      <c r="I712" s="253"/>
      <c r="J712" s="253"/>
      <c r="K712" s="253"/>
      <c r="L712" s="253"/>
      <c r="M712" s="253"/>
      <c r="N712" s="253"/>
      <c r="O712" s="253"/>
      <c r="P712" s="253"/>
      <c r="Q712" s="253"/>
    </row>
    <row r="713" spans="1:17">
      <c r="A713" s="253"/>
      <c r="B713" s="253"/>
      <c r="C713" s="253"/>
      <c r="D713" s="253"/>
      <c r="E713" s="253"/>
      <c r="F713" s="253"/>
      <c r="G713" s="253"/>
      <c r="H713" s="253"/>
      <c r="I713" s="253"/>
      <c r="J713" s="253"/>
      <c r="K713" s="253"/>
      <c r="L713" s="253"/>
      <c r="M713" s="253"/>
      <c r="N713" s="253"/>
      <c r="O713" s="253"/>
      <c r="P713" s="253"/>
      <c r="Q713" s="253"/>
    </row>
    <row r="714" spans="1:17">
      <c r="A714" s="253"/>
      <c r="B714" s="253"/>
      <c r="C714" s="253"/>
      <c r="D714" s="253"/>
      <c r="E714" s="253"/>
      <c r="F714" s="253"/>
      <c r="G714" s="253"/>
      <c r="H714" s="253"/>
      <c r="I714" s="253"/>
      <c r="J714" s="253"/>
      <c r="K714" s="253"/>
      <c r="L714" s="253"/>
      <c r="M714" s="253"/>
      <c r="N714" s="253"/>
      <c r="O714" s="253"/>
      <c r="P714" s="253"/>
      <c r="Q714" s="253"/>
    </row>
    <row r="715" spans="1:17">
      <c r="A715" s="253"/>
      <c r="B715" s="253"/>
      <c r="C715" s="253"/>
      <c r="D715" s="253"/>
      <c r="E715" s="253"/>
      <c r="F715" s="253"/>
      <c r="G715" s="253"/>
      <c r="H715" s="253"/>
      <c r="I715" s="253"/>
      <c r="J715" s="253"/>
      <c r="K715" s="253"/>
      <c r="L715" s="253"/>
      <c r="M715" s="253"/>
      <c r="N715" s="253"/>
      <c r="O715" s="253"/>
      <c r="P715" s="253"/>
      <c r="Q715" s="253"/>
    </row>
    <row r="716" spans="1:17">
      <c r="A716" s="253"/>
      <c r="B716" s="253"/>
      <c r="C716" s="253"/>
      <c r="D716" s="253"/>
      <c r="E716" s="253"/>
      <c r="F716" s="253"/>
      <c r="G716" s="253"/>
      <c r="H716" s="253"/>
      <c r="I716" s="253"/>
      <c r="J716" s="253"/>
      <c r="K716" s="253"/>
      <c r="L716" s="253"/>
      <c r="M716" s="253"/>
      <c r="N716" s="253"/>
      <c r="O716" s="253"/>
      <c r="P716" s="253"/>
      <c r="Q716" s="253"/>
    </row>
    <row r="717" spans="1:17">
      <c r="A717" s="253"/>
      <c r="B717" s="253"/>
      <c r="C717" s="253"/>
      <c r="D717" s="253"/>
      <c r="E717" s="253"/>
      <c r="F717" s="253"/>
      <c r="G717" s="253"/>
      <c r="H717" s="253"/>
      <c r="I717" s="253"/>
      <c r="J717" s="253"/>
      <c r="K717" s="253"/>
      <c r="L717" s="253"/>
      <c r="M717" s="253"/>
      <c r="N717" s="253"/>
      <c r="O717" s="253"/>
      <c r="P717" s="253"/>
      <c r="Q717" s="253"/>
    </row>
    <row r="718" spans="1:17">
      <c r="A718" s="253"/>
      <c r="B718" s="253"/>
      <c r="C718" s="253"/>
      <c r="D718" s="253"/>
      <c r="E718" s="253"/>
      <c r="F718" s="253"/>
      <c r="G718" s="253"/>
      <c r="H718" s="253"/>
      <c r="I718" s="253"/>
      <c r="J718" s="253"/>
      <c r="K718" s="253"/>
      <c r="L718" s="253"/>
      <c r="M718" s="253"/>
      <c r="N718" s="253"/>
      <c r="O718" s="253"/>
      <c r="P718" s="253"/>
      <c r="Q718" s="253"/>
    </row>
    <row r="719" spans="1:17">
      <c r="A719" s="253"/>
      <c r="B719" s="253"/>
      <c r="C719" s="253"/>
      <c r="D719" s="253"/>
      <c r="E719" s="253"/>
      <c r="F719" s="253"/>
      <c r="G719" s="253"/>
      <c r="H719" s="253"/>
      <c r="I719" s="253"/>
      <c r="J719" s="253"/>
      <c r="K719" s="253"/>
      <c r="L719" s="253"/>
      <c r="M719" s="253"/>
      <c r="N719" s="253"/>
      <c r="O719" s="253"/>
      <c r="P719" s="253"/>
      <c r="Q719" s="253"/>
    </row>
    <row r="720" spans="1:17">
      <c r="A720" s="253"/>
      <c r="B720" s="253"/>
      <c r="C720" s="253"/>
      <c r="D720" s="253"/>
      <c r="E720" s="253"/>
      <c r="F720" s="253"/>
      <c r="G720" s="253"/>
      <c r="H720" s="253"/>
      <c r="I720" s="253"/>
      <c r="J720" s="253"/>
      <c r="K720" s="253"/>
      <c r="L720" s="253"/>
      <c r="M720" s="253"/>
      <c r="N720" s="253"/>
      <c r="O720" s="253"/>
      <c r="P720" s="253"/>
      <c r="Q720" s="253"/>
    </row>
    <row r="721" spans="1:17">
      <c r="A721" s="253"/>
      <c r="B721" s="253"/>
      <c r="C721" s="253"/>
      <c r="D721" s="253"/>
      <c r="E721" s="253"/>
      <c r="F721" s="253"/>
      <c r="G721" s="253"/>
      <c r="H721" s="253"/>
      <c r="I721" s="253"/>
      <c r="J721" s="253"/>
      <c r="K721" s="253"/>
      <c r="L721" s="253"/>
      <c r="M721" s="253"/>
      <c r="N721" s="253"/>
      <c r="O721" s="253"/>
      <c r="P721" s="253"/>
      <c r="Q721" s="253"/>
    </row>
    <row r="722" spans="1:17">
      <c r="A722" s="253"/>
      <c r="B722" s="253"/>
      <c r="C722" s="253"/>
      <c r="D722" s="253"/>
      <c r="E722" s="253"/>
      <c r="F722" s="253"/>
      <c r="G722" s="253"/>
      <c r="H722" s="253"/>
      <c r="I722" s="253"/>
      <c r="J722" s="253"/>
      <c r="K722" s="253"/>
      <c r="L722" s="253"/>
      <c r="M722" s="253"/>
      <c r="N722" s="253"/>
      <c r="O722" s="253"/>
      <c r="P722" s="253"/>
      <c r="Q722" s="253"/>
    </row>
    <row r="723" spans="1:17">
      <c r="A723" s="253"/>
      <c r="B723" s="253"/>
      <c r="C723" s="253"/>
      <c r="D723" s="253"/>
      <c r="E723" s="253"/>
      <c r="F723" s="253"/>
      <c r="G723" s="253"/>
      <c r="H723" s="253"/>
      <c r="I723" s="253"/>
      <c r="J723" s="253"/>
      <c r="K723" s="253"/>
      <c r="L723" s="253"/>
      <c r="M723" s="253"/>
      <c r="N723" s="253"/>
      <c r="O723" s="253"/>
      <c r="P723" s="253"/>
      <c r="Q723" s="253"/>
    </row>
    <row r="724" spans="1:17">
      <c r="A724" s="253"/>
      <c r="B724" s="253"/>
      <c r="C724" s="253"/>
      <c r="D724" s="253"/>
      <c r="E724" s="253"/>
      <c r="F724" s="253"/>
      <c r="G724" s="253"/>
      <c r="H724" s="253"/>
      <c r="I724" s="253"/>
      <c r="J724" s="253"/>
      <c r="K724" s="253"/>
      <c r="L724" s="253"/>
      <c r="M724" s="253"/>
      <c r="N724" s="253"/>
      <c r="O724" s="253"/>
      <c r="P724" s="253"/>
      <c r="Q724" s="253"/>
    </row>
    <row r="725" spans="1:17">
      <c r="A725" s="253"/>
      <c r="B725" s="253"/>
      <c r="C725" s="253"/>
      <c r="D725" s="253"/>
      <c r="E725" s="253"/>
      <c r="F725" s="253"/>
      <c r="G725" s="253"/>
      <c r="H725" s="253"/>
      <c r="I725" s="253"/>
      <c r="J725" s="253"/>
      <c r="K725" s="253"/>
      <c r="L725" s="253"/>
      <c r="M725" s="253"/>
      <c r="N725" s="253"/>
      <c r="O725" s="253"/>
      <c r="P725" s="253"/>
      <c r="Q725" s="253"/>
    </row>
    <row r="726" spans="1:17">
      <c r="A726" s="253"/>
      <c r="B726" s="253"/>
      <c r="C726" s="253"/>
      <c r="D726" s="253"/>
      <c r="E726" s="253"/>
      <c r="F726" s="253"/>
      <c r="G726" s="253"/>
      <c r="H726" s="253"/>
      <c r="I726" s="253"/>
      <c r="J726" s="253"/>
      <c r="K726" s="253"/>
      <c r="L726" s="253"/>
      <c r="M726" s="253"/>
      <c r="N726" s="253"/>
      <c r="O726" s="253"/>
      <c r="P726" s="253"/>
      <c r="Q726" s="253"/>
    </row>
    <row r="727" spans="1:17">
      <c r="A727" s="253"/>
      <c r="B727" s="253"/>
      <c r="C727" s="253"/>
      <c r="D727" s="253"/>
      <c r="E727" s="253"/>
      <c r="F727" s="253"/>
      <c r="G727" s="253"/>
      <c r="H727" s="253"/>
      <c r="I727" s="253"/>
      <c r="J727" s="253"/>
      <c r="K727" s="253"/>
      <c r="L727" s="253"/>
      <c r="M727" s="253"/>
      <c r="N727" s="253"/>
      <c r="O727" s="253"/>
      <c r="P727" s="253"/>
      <c r="Q727" s="253"/>
    </row>
    <row r="728" spans="1:17">
      <c r="A728" s="253"/>
      <c r="B728" s="253"/>
      <c r="C728" s="253"/>
      <c r="D728" s="253"/>
      <c r="E728" s="253"/>
      <c r="F728" s="253"/>
      <c r="G728" s="253"/>
      <c r="H728" s="253"/>
      <c r="I728" s="253"/>
      <c r="J728" s="253"/>
      <c r="K728" s="253"/>
      <c r="L728" s="253"/>
      <c r="M728" s="253"/>
      <c r="N728" s="253"/>
      <c r="O728" s="253"/>
      <c r="P728" s="253"/>
      <c r="Q728" s="253"/>
    </row>
    <row r="729" spans="1:17">
      <c r="A729" s="253"/>
      <c r="B729" s="253"/>
      <c r="C729" s="253"/>
      <c r="D729" s="253"/>
      <c r="E729" s="253"/>
      <c r="F729" s="253"/>
      <c r="G729" s="253"/>
      <c r="H729" s="253"/>
      <c r="I729" s="253"/>
      <c r="J729" s="253"/>
      <c r="K729" s="253"/>
      <c r="L729" s="253"/>
      <c r="M729" s="253"/>
      <c r="N729" s="253"/>
      <c r="O729" s="253"/>
      <c r="P729" s="253"/>
      <c r="Q729" s="253"/>
    </row>
    <row r="730" spans="1:17">
      <c r="A730" s="253"/>
      <c r="B730" s="253"/>
      <c r="C730" s="253"/>
      <c r="D730" s="253"/>
      <c r="E730" s="253"/>
      <c r="F730" s="253"/>
      <c r="G730" s="253"/>
      <c r="H730" s="253"/>
      <c r="I730" s="253"/>
      <c r="J730" s="253"/>
      <c r="K730" s="253"/>
      <c r="L730" s="253"/>
      <c r="M730" s="253"/>
      <c r="N730" s="253"/>
      <c r="O730" s="253"/>
      <c r="P730" s="253"/>
      <c r="Q730" s="253"/>
    </row>
    <row r="731" spans="1:17">
      <c r="A731" s="253"/>
      <c r="B731" s="253"/>
      <c r="C731" s="253"/>
      <c r="D731" s="253"/>
      <c r="E731" s="253"/>
      <c r="F731" s="253"/>
      <c r="G731" s="253"/>
      <c r="H731" s="253"/>
      <c r="I731" s="253"/>
      <c r="J731" s="253"/>
      <c r="K731" s="253"/>
      <c r="L731" s="253"/>
      <c r="M731" s="253"/>
      <c r="N731" s="253"/>
      <c r="O731" s="253"/>
      <c r="P731" s="253"/>
      <c r="Q731" s="253"/>
    </row>
    <row r="732" spans="1:17">
      <c r="A732" s="253"/>
      <c r="B732" s="253"/>
      <c r="C732" s="253"/>
      <c r="D732" s="253"/>
      <c r="E732" s="253"/>
      <c r="F732" s="253"/>
      <c r="G732" s="253"/>
      <c r="H732" s="253"/>
      <c r="I732" s="253"/>
      <c r="J732" s="253"/>
      <c r="K732" s="253"/>
      <c r="L732" s="253"/>
      <c r="M732" s="253"/>
      <c r="N732" s="253"/>
      <c r="O732" s="253"/>
      <c r="P732" s="253"/>
      <c r="Q732" s="253"/>
    </row>
    <row r="733" spans="1:17">
      <c r="A733" s="253"/>
      <c r="B733" s="253"/>
      <c r="C733" s="253"/>
      <c r="D733" s="253"/>
      <c r="E733" s="253"/>
      <c r="F733" s="253"/>
      <c r="G733" s="253"/>
      <c r="H733" s="253"/>
      <c r="I733" s="253"/>
      <c r="J733" s="253"/>
      <c r="K733" s="253"/>
      <c r="L733" s="253"/>
      <c r="M733" s="253"/>
      <c r="N733" s="253"/>
      <c r="O733" s="253"/>
      <c r="P733" s="253"/>
      <c r="Q733" s="253"/>
    </row>
    <row r="734" spans="1:17">
      <c r="A734" s="253"/>
      <c r="B734" s="253"/>
      <c r="C734" s="253"/>
      <c r="D734" s="253"/>
      <c r="E734" s="253"/>
      <c r="F734" s="253"/>
      <c r="G734" s="253"/>
      <c r="H734" s="253"/>
      <c r="I734" s="253"/>
      <c r="J734" s="253"/>
      <c r="K734" s="253"/>
      <c r="L734" s="253"/>
      <c r="M734" s="253"/>
      <c r="N734" s="253"/>
      <c r="O734" s="253"/>
      <c r="P734" s="253"/>
      <c r="Q734" s="253"/>
    </row>
    <row r="735" spans="1:17">
      <c r="A735" s="253"/>
      <c r="B735" s="253"/>
      <c r="C735" s="253"/>
      <c r="D735" s="253"/>
      <c r="E735" s="253"/>
      <c r="F735" s="253"/>
      <c r="G735" s="253"/>
      <c r="H735" s="253"/>
      <c r="I735" s="253"/>
      <c r="J735" s="253"/>
      <c r="K735" s="253"/>
      <c r="L735" s="253"/>
      <c r="M735" s="253"/>
      <c r="N735" s="253"/>
      <c r="O735" s="253"/>
      <c r="P735" s="253"/>
      <c r="Q735" s="253"/>
    </row>
    <row r="736" spans="1:17">
      <c r="A736" s="253"/>
      <c r="B736" s="253"/>
      <c r="C736" s="253"/>
      <c r="D736" s="253"/>
      <c r="E736" s="253"/>
      <c r="F736" s="253"/>
      <c r="G736" s="253"/>
      <c r="H736" s="253"/>
      <c r="I736" s="253"/>
      <c r="J736" s="253"/>
      <c r="K736" s="253"/>
      <c r="L736" s="253"/>
      <c r="M736" s="253"/>
      <c r="N736" s="253"/>
      <c r="O736" s="253"/>
      <c r="P736" s="253"/>
      <c r="Q736" s="253"/>
    </row>
    <row r="737" spans="1:17">
      <c r="A737" s="253"/>
      <c r="B737" s="253"/>
      <c r="C737" s="253"/>
      <c r="D737" s="253"/>
      <c r="E737" s="253"/>
      <c r="F737" s="253"/>
      <c r="G737" s="253"/>
      <c r="H737" s="253"/>
      <c r="I737" s="253"/>
      <c r="J737" s="253"/>
      <c r="K737" s="253"/>
      <c r="L737" s="253"/>
      <c r="M737" s="253"/>
      <c r="N737" s="253"/>
      <c r="O737" s="253"/>
      <c r="P737" s="253"/>
      <c r="Q737" s="253"/>
    </row>
    <row r="738" spans="1:17">
      <c r="A738" s="253"/>
      <c r="B738" s="253"/>
      <c r="C738" s="253"/>
      <c r="D738" s="253"/>
      <c r="E738" s="253"/>
      <c r="F738" s="253"/>
      <c r="G738" s="253"/>
      <c r="H738" s="253"/>
      <c r="I738" s="253"/>
      <c r="J738" s="253"/>
      <c r="K738" s="253"/>
      <c r="L738" s="253"/>
      <c r="M738" s="253"/>
      <c r="N738" s="253"/>
      <c r="O738" s="253"/>
      <c r="P738" s="253"/>
      <c r="Q738" s="253"/>
    </row>
    <row r="739" spans="1:17">
      <c r="A739" s="253"/>
      <c r="B739" s="253"/>
      <c r="C739" s="253"/>
      <c r="D739" s="253"/>
      <c r="E739" s="253"/>
      <c r="F739" s="253"/>
      <c r="G739" s="253"/>
      <c r="H739" s="253"/>
      <c r="I739" s="253"/>
      <c r="J739" s="253"/>
      <c r="K739" s="253"/>
      <c r="L739" s="253"/>
      <c r="M739" s="253"/>
      <c r="N739" s="253"/>
      <c r="O739" s="253"/>
      <c r="P739" s="253"/>
      <c r="Q739" s="253"/>
    </row>
    <row r="740" spans="1:17">
      <c r="A740" s="253"/>
      <c r="B740" s="253"/>
      <c r="C740" s="253"/>
      <c r="D740" s="253"/>
      <c r="E740" s="253"/>
      <c r="F740" s="253"/>
      <c r="G740" s="253"/>
      <c r="H740" s="253"/>
      <c r="I740" s="253"/>
      <c r="J740" s="253"/>
      <c r="K740" s="253"/>
      <c r="L740" s="253"/>
      <c r="M740" s="253"/>
      <c r="N740" s="253"/>
      <c r="O740" s="253"/>
      <c r="P740" s="253"/>
      <c r="Q740" s="253"/>
    </row>
    <row r="741" spans="1:17">
      <c r="A741" s="253"/>
      <c r="B741" s="253"/>
      <c r="C741" s="253"/>
      <c r="D741" s="253"/>
      <c r="E741" s="253"/>
      <c r="F741" s="253"/>
      <c r="G741" s="253"/>
      <c r="H741" s="253"/>
      <c r="I741" s="253"/>
      <c r="J741" s="253"/>
      <c r="K741" s="253"/>
      <c r="L741" s="253"/>
      <c r="M741" s="253"/>
      <c r="N741" s="253"/>
      <c r="O741" s="253"/>
      <c r="P741" s="253"/>
      <c r="Q741" s="253"/>
    </row>
    <row r="742" spans="1:17">
      <c r="A742" s="253"/>
      <c r="B742" s="253"/>
      <c r="C742" s="253"/>
      <c r="D742" s="253"/>
      <c r="E742" s="253"/>
      <c r="F742" s="253"/>
      <c r="G742" s="253"/>
      <c r="H742" s="253"/>
      <c r="I742" s="253"/>
      <c r="J742" s="253"/>
      <c r="K742" s="253"/>
      <c r="L742" s="253"/>
      <c r="M742" s="253"/>
      <c r="N742" s="253"/>
      <c r="O742" s="253"/>
      <c r="P742" s="253"/>
      <c r="Q742" s="253"/>
    </row>
    <row r="743" spans="1:17">
      <c r="A743" s="253"/>
      <c r="B743" s="253"/>
      <c r="C743" s="253"/>
      <c r="D743" s="253"/>
      <c r="E743" s="253"/>
      <c r="F743" s="253"/>
      <c r="G743" s="253"/>
      <c r="H743" s="253"/>
      <c r="I743" s="253"/>
      <c r="J743" s="253"/>
      <c r="K743" s="253"/>
      <c r="L743" s="253"/>
      <c r="M743" s="253"/>
      <c r="N743" s="253"/>
      <c r="O743" s="253"/>
      <c r="P743" s="253"/>
      <c r="Q743" s="253"/>
    </row>
    <row r="744" spans="1:17">
      <c r="A744" s="253"/>
      <c r="B744" s="253"/>
      <c r="C744" s="253"/>
      <c r="D744" s="253"/>
      <c r="E744" s="253"/>
      <c r="F744" s="253"/>
      <c r="G744" s="253"/>
      <c r="H744" s="253"/>
      <c r="I744" s="253"/>
      <c r="J744" s="253"/>
      <c r="K744" s="253"/>
      <c r="L744" s="253"/>
      <c r="M744" s="253"/>
      <c r="N744" s="253"/>
      <c r="O744" s="253"/>
      <c r="P744" s="253"/>
      <c r="Q744" s="253"/>
    </row>
    <row r="745" spans="1:17">
      <c r="A745" s="253"/>
      <c r="B745" s="253"/>
      <c r="C745" s="253"/>
      <c r="D745" s="253"/>
      <c r="E745" s="253"/>
      <c r="F745" s="253"/>
      <c r="G745" s="253"/>
      <c r="H745" s="253"/>
      <c r="I745" s="253"/>
      <c r="J745" s="253"/>
      <c r="K745" s="253"/>
      <c r="L745" s="253"/>
      <c r="M745" s="253"/>
      <c r="N745" s="253"/>
      <c r="O745" s="253"/>
      <c r="P745" s="253"/>
      <c r="Q745" s="253"/>
    </row>
    <row r="746" spans="1:17">
      <c r="A746" s="253"/>
      <c r="B746" s="253"/>
      <c r="C746" s="253"/>
      <c r="D746" s="253"/>
      <c r="E746" s="253"/>
      <c r="F746" s="253"/>
      <c r="G746" s="253"/>
      <c r="H746" s="253"/>
      <c r="I746" s="253"/>
      <c r="J746" s="253"/>
      <c r="K746" s="253"/>
      <c r="L746" s="253"/>
      <c r="M746" s="253"/>
      <c r="N746" s="253"/>
      <c r="O746" s="253"/>
      <c r="P746" s="253"/>
      <c r="Q746" s="253"/>
    </row>
    <row r="747" spans="1:17">
      <c r="A747" s="253"/>
      <c r="B747" s="253"/>
      <c r="C747" s="253"/>
      <c r="D747" s="253"/>
      <c r="E747" s="253"/>
      <c r="F747" s="253"/>
      <c r="G747" s="253"/>
      <c r="H747" s="253"/>
      <c r="I747" s="253"/>
      <c r="J747" s="253"/>
      <c r="K747" s="253"/>
      <c r="L747" s="253"/>
      <c r="M747" s="253"/>
      <c r="N747" s="253"/>
      <c r="O747" s="253"/>
      <c r="P747" s="253"/>
      <c r="Q747" s="253"/>
    </row>
    <row r="748" spans="1:17">
      <c r="A748" s="253"/>
      <c r="B748" s="253"/>
      <c r="C748" s="253"/>
      <c r="D748" s="253"/>
      <c r="E748" s="253"/>
      <c r="F748" s="253"/>
      <c r="G748" s="253"/>
      <c r="H748" s="253"/>
      <c r="I748" s="253"/>
      <c r="J748" s="253"/>
      <c r="K748" s="253"/>
      <c r="L748" s="253"/>
      <c r="M748" s="253"/>
      <c r="N748" s="253"/>
      <c r="O748" s="253"/>
      <c r="P748" s="253"/>
      <c r="Q748" s="253"/>
    </row>
    <row r="749" spans="1:17">
      <c r="A749" s="253"/>
      <c r="B749" s="253"/>
      <c r="C749" s="253"/>
      <c r="D749" s="253"/>
      <c r="E749" s="253"/>
      <c r="F749" s="253"/>
      <c r="G749" s="253"/>
      <c r="H749" s="253"/>
      <c r="I749" s="253"/>
      <c r="J749" s="253"/>
      <c r="K749" s="253"/>
      <c r="L749" s="253"/>
      <c r="M749" s="253"/>
      <c r="N749" s="253"/>
      <c r="O749" s="253"/>
      <c r="P749" s="253"/>
      <c r="Q749" s="253"/>
    </row>
    <row r="750" spans="1:17">
      <c r="A750" s="253"/>
      <c r="B750" s="253"/>
      <c r="C750" s="253"/>
      <c r="D750" s="253"/>
      <c r="E750" s="253"/>
      <c r="F750" s="253"/>
      <c r="G750" s="253"/>
      <c r="H750" s="253"/>
      <c r="I750" s="253"/>
      <c r="J750" s="253"/>
      <c r="K750" s="253"/>
      <c r="L750" s="253"/>
      <c r="M750" s="253"/>
      <c r="N750" s="253"/>
      <c r="O750" s="253"/>
      <c r="P750" s="253"/>
      <c r="Q750" s="253"/>
    </row>
    <row r="751" spans="1:17">
      <c r="A751" s="253"/>
      <c r="B751" s="253"/>
      <c r="C751" s="253"/>
      <c r="D751" s="253"/>
      <c r="E751" s="253"/>
      <c r="F751" s="253"/>
      <c r="G751" s="253"/>
      <c r="H751" s="253"/>
      <c r="I751" s="253"/>
      <c r="J751" s="253"/>
      <c r="K751" s="253"/>
      <c r="L751" s="253"/>
      <c r="M751" s="253"/>
      <c r="N751" s="253"/>
      <c r="O751" s="253"/>
      <c r="P751" s="253"/>
      <c r="Q751" s="253"/>
    </row>
    <row r="752" spans="1:17">
      <c r="A752" s="253"/>
      <c r="B752" s="253"/>
      <c r="C752" s="253"/>
      <c r="D752" s="253"/>
      <c r="E752" s="253"/>
      <c r="F752" s="253"/>
      <c r="G752" s="253"/>
      <c r="H752" s="253"/>
      <c r="I752" s="253"/>
      <c r="J752" s="253"/>
      <c r="K752" s="253"/>
      <c r="L752" s="253"/>
      <c r="M752" s="253"/>
      <c r="N752" s="253"/>
      <c r="O752" s="253"/>
      <c r="P752" s="253"/>
      <c r="Q752" s="253"/>
    </row>
    <row r="753" spans="1:17">
      <c r="A753" s="253"/>
      <c r="B753" s="253"/>
      <c r="C753" s="253"/>
      <c r="D753" s="253"/>
      <c r="E753" s="253"/>
      <c r="F753" s="253"/>
      <c r="G753" s="253"/>
      <c r="H753" s="253"/>
      <c r="I753" s="253"/>
      <c r="J753" s="253"/>
      <c r="K753" s="253"/>
      <c r="L753" s="253"/>
      <c r="M753" s="253"/>
      <c r="N753" s="253"/>
      <c r="O753" s="253"/>
      <c r="P753" s="253"/>
      <c r="Q753" s="253"/>
    </row>
    <row r="754" spans="1:17">
      <c r="A754" s="253"/>
      <c r="B754" s="253"/>
      <c r="C754" s="253"/>
      <c r="D754" s="253"/>
      <c r="E754" s="253"/>
      <c r="F754" s="253"/>
      <c r="G754" s="253"/>
      <c r="H754" s="253"/>
      <c r="I754" s="253"/>
      <c r="J754" s="253"/>
      <c r="K754" s="253"/>
      <c r="L754" s="253"/>
      <c r="M754" s="253"/>
      <c r="N754" s="253"/>
      <c r="O754" s="253"/>
      <c r="P754" s="253"/>
      <c r="Q754" s="253"/>
    </row>
    <row r="755" spans="1:17">
      <c r="A755" s="253"/>
      <c r="B755" s="253"/>
      <c r="C755" s="253"/>
      <c r="D755" s="253"/>
      <c r="E755" s="253"/>
      <c r="F755" s="253"/>
      <c r="G755" s="253"/>
      <c r="H755" s="253"/>
      <c r="I755" s="253"/>
      <c r="J755" s="253"/>
      <c r="K755" s="253"/>
      <c r="L755" s="253"/>
      <c r="M755" s="253"/>
      <c r="N755" s="253"/>
      <c r="O755" s="253"/>
      <c r="P755" s="253"/>
      <c r="Q755" s="253"/>
    </row>
    <row r="756" spans="1:17">
      <c r="A756" s="253"/>
      <c r="B756" s="253"/>
      <c r="C756" s="253"/>
      <c r="D756" s="253"/>
      <c r="E756" s="253"/>
      <c r="F756" s="253"/>
      <c r="G756" s="253"/>
      <c r="H756" s="253"/>
      <c r="I756" s="253"/>
      <c r="J756" s="253"/>
      <c r="K756" s="253"/>
      <c r="L756" s="253"/>
      <c r="M756" s="253"/>
      <c r="N756" s="253"/>
      <c r="O756" s="253"/>
      <c r="P756" s="253"/>
      <c r="Q756" s="253"/>
    </row>
    <row r="757" spans="1:17">
      <c r="A757" s="253"/>
      <c r="B757" s="253"/>
      <c r="C757" s="253"/>
      <c r="D757" s="253"/>
      <c r="E757" s="253"/>
      <c r="F757" s="253"/>
      <c r="G757" s="253"/>
      <c r="H757" s="253"/>
      <c r="I757" s="253"/>
      <c r="J757" s="253"/>
      <c r="K757" s="253"/>
      <c r="L757" s="253"/>
      <c r="M757" s="253"/>
      <c r="N757" s="253"/>
      <c r="O757" s="253"/>
      <c r="P757" s="253"/>
      <c r="Q757" s="253"/>
    </row>
    <row r="758" spans="1:17">
      <c r="A758" s="253"/>
      <c r="B758" s="253"/>
      <c r="C758" s="253"/>
      <c r="D758" s="253"/>
      <c r="E758" s="253"/>
      <c r="F758" s="253"/>
      <c r="G758" s="253"/>
      <c r="H758" s="253"/>
      <c r="I758" s="253"/>
      <c r="J758" s="253"/>
      <c r="K758" s="253"/>
      <c r="L758" s="253"/>
      <c r="M758" s="253"/>
      <c r="N758" s="253"/>
      <c r="O758" s="253"/>
      <c r="P758" s="253"/>
      <c r="Q758" s="253"/>
    </row>
    <row r="759" spans="1:17">
      <c r="A759" s="253"/>
      <c r="B759" s="253"/>
      <c r="C759" s="253"/>
      <c r="D759" s="253"/>
      <c r="E759" s="253"/>
      <c r="F759" s="253"/>
      <c r="G759" s="253"/>
      <c r="H759" s="253"/>
      <c r="I759" s="253"/>
      <c r="J759" s="253"/>
      <c r="K759" s="253"/>
      <c r="L759" s="253"/>
      <c r="M759" s="253"/>
      <c r="N759" s="253"/>
      <c r="O759" s="253"/>
      <c r="P759" s="253"/>
      <c r="Q759" s="253"/>
    </row>
    <row r="760" spans="1:17">
      <c r="A760" s="253"/>
      <c r="B760" s="253"/>
      <c r="C760" s="253"/>
      <c r="D760" s="253"/>
      <c r="E760" s="253"/>
      <c r="F760" s="253"/>
      <c r="G760" s="253"/>
      <c r="H760" s="253"/>
      <c r="I760" s="253"/>
      <c r="J760" s="253"/>
      <c r="K760" s="253"/>
      <c r="L760" s="253"/>
      <c r="M760" s="253"/>
      <c r="N760" s="253"/>
      <c r="O760" s="253"/>
      <c r="P760" s="253"/>
      <c r="Q760" s="253"/>
    </row>
    <row r="761" spans="1:17">
      <c r="A761" s="253"/>
      <c r="B761" s="253"/>
      <c r="C761" s="253"/>
      <c r="D761" s="253"/>
      <c r="E761" s="253"/>
      <c r="F761" s="253"/>
      <c r="G761" s="253"/>
      <c r="H761" s="253"/>
      <c r="I761" s="253"/>
      <c r="J761" s="253"/>
      <c r="K761" s="253"/>
      <c r="L761" s="253"/>
      <c r="M761" s="253"/>
      <c r="N761" s="253"/>
      <c r="O761" s="253"/>
      <c r="P761" s="253"/>
      <c r="Q761" s="253"/>
    </row>
    <row r="762" spans="1:17">
      <c r="A762" s="253"/>
      <c r="B762" s="253"/>
      <c r="C762" s="253"/>
      <c r="D762" s="253"/>
      <c r="E762" s="253"/>
      <c r="F762" s="253"/>
      <c r="G762" s="253"/>
      <c r="H762" s="253"/>
      <c r="I762" s="253"/>
      <c r="J762" s="253"/>
      <c r="K762" s="253"/>
      <c r="L762" s="253"/>
      <c r="M762" s="253"/>
      <c r="N762" s="253"/>
      <c r="O762" s="253"/>
      <c r="P762" s="253"/>
      <c r="Q762" s="253"/>
    </row>
    <row r="763" spans="1:17">
      <c r="A763" s="253"/>
      <c r="B763" s="253"/>
      <c r="C763" s="253"/>
      <c r="D763" s="253"/>
      <c r="E763" s="253"/>
      <c r="F763" s="253"/>
      <c r="G763" s="253"/>
      <c r="H763" s="253"/>
      <c r="I763" s="253"/>
      <c r="J763" s="253"/>
      <c r="K763" s="253"/>
      <c r="L763" s="253"/>
      <c r="M763" s="253"/>
      <c r="N763" s="253"/>
      <c r="O763" s="253"/>
      <c r="P763" s="253"/>
      <c r="Q763" s="253"/>
    </row>
    <row r="764" spans="1:17">
      <c r="A764" s="253"/>
      <c r="B764" s="253"/>
      <c r="C764" s="253"/>
      <c r="D764" s="253"/>
      <c r="E764" s="253"/>
      <c r="F764" s="253"/>
      <c r="G764" s="253"/>
      <c r="H764" s="253"/>
      <c r="I764" s="253"/>
      <c r="J764" s="253"/>
      <c r="K764" s="253"/>
      <c r="L764" s="253"/>
      <c r="M764" s="253"/>
      <c r="N764" s="253"/>
      <c r="O764" s="253"/>
      <c r="P764" s="253"/>
      <c r="Q764" s="253"/>
    </row>
    <row r="765" spans="1:17">
      <c r="A765" s="253"/>
      <c r="B765" s="253"/>
      <c r="C765" s="253"/>
      <c r="D765" s="253"/>
      <c r="E765" s="253"/>
      <c r="F765" s="253"/>
      <c r="G765" s="253"/>
      <c r="H765" s="253"/>
      <c r="I765" s="253"/>
      <c r="J765" s="253"/>
      <c r="K765" s="253"/>
      <c r="L765" s="253"/>
      <c r="M765" s="253"/>
      <c r="N765" s="253"/>
      <c r="O765" s="253"/>
      <c r="P765" s="253"/>
      <c r="Q765" s="253"/>
    </row>
    <row r="766" spans="1:17">
      <c r="A766" s="253"/>
      <c r="B766" s="253"/>
      <c r="C766" s="253"/>
      <c r="D766" s="253"/>
      <c r="E766" s="253"/>
      <c r="F766" s="253"/>
      <c r="G766" s="253"/>
      <c r="H766" s="253"/>
      <c r="I766" s="253"/>
      <c r="J766" s="253"/>
      <c r="K766" s="253"/>
      <c r="L766" s="253"/>
      <c r="M766" s="253"/>
      <c r="N766" s="253"/>
      <c r="O766" s="253"/>
      <c r="P766" s="253"/>
      <c r="Q766" s="253"/>
    </row>
    <row r="767" spans="1:17">
      <c r="A767" s="253"/>
      <c r="B767" s="253"/>
      <c r="C767" s="253"/>
      <c r="D767" s="253"/>
      <c r="E767" s="253"/>
      <c r="F767" s="253"/>
      <c r="G767" s="253"/>
      <c r="H767" s="253"/>
      <c r="I767" s="253"/>
      <c r="J767" s="253"/>
      <c r="K767" s="253"/>
      <c r="L767" s="253"/>
      <c r="M767" s="253"/>
      <c r="N767" s="253"/>
      <c r="O767" s="253"/>
      <c r="P767" s="253"/>
      <c r="Q767" s="253"/>
    </row>
    <row r="768" spans="1:17">
      <c r="A768" s="253"/>
      <c r="B768" s="253"/>
      <c r="C768" s="253"/>
      <c r="D768" s="253"/>
      <c r="E768" s="253"/>
      <c r="F768" s="253"/>
      <c r="G768" s="253"/>
      <c r="H768" s="253"/>
      <c r="I768" s="253"/>
      <c r="J768" s="253"/>
      <c r="K768" s="253"/>
      <c r="L768" s="253"/>
      <c r="M768" s="253"/>
      <c r="N768" s="253"/>
      <c r="O768" s="253"/>
      <c r="P768" s="253"/>
      <c r="Q768" s="253"/>
    </row>
    <row r="769" spans="1:17">
      <c r="A769" s="253"/>
      <c r="B769" s="253"/>
      <c r="C769" s="253"/>
      <c r="D769" s="253"/>
      <c r="E769" s="253"/>
      <c r="F769" s="253"/>
      <c r="G769" s="253"/>
      <c r="H769" s="253"/>
      <c r="I769" s="253"/>
      <c r="J769" s="253"/>
      <c r="K769" s="253"/>
      <c r="L769" s="253"/>
      <c r="M769" s="253"/>
      <c r="N769" s="253"/>
      <c r="O769" s="253"/>
      <c r="P769" s="253"/>
      <c r="Q769" s="253"/>
    </row>
    <row r="770" spans="1:17">
      <c r="A770" s="253"/>
      <c r="B770" s="253"/>
      <c r="C770" s="253"/>
      <c r="D770" s="253"/>
      <c r="E770" s="253"/>
      <c r="F770" s="253"/>
      <c r="G770" s="253"/>
      <c r="H770" s="253"/>
      <c r="I770" s="253"/>
      <c r="J770" s="253"/>
      <c r="K770" s="253"/>
      <c r="L770" s="253"/>
      <c r="M770" s="253"/>
      <c r="N770" s="253"/>
      <c r="O770" s="253"/>
      <c r="P770" s="253"/>
      <c r="Q770" s="253"/>
    </row>
    <row r="771" spans="1:17">
      <c r="A771" s="253"/>
      <c r="B771" s="253"/>
      <c r="C771" s="253"/>
      <c r="D771" s="253"/>
      <c r="E771" s="253"/>
      <c r="F771" s="253"/>
      <c r="G771" s="253"/>
      <c r="H771" s="253"/>
      <c r="I771" s="253"/>
      <c r="J771" s="253"/>
      <c r="K771" s="253"/>
      <c r="L771" s="253"/>
      <c r="M771" s="253"/>
      <c r="N771" s="253"/>
      <c r="O771" s="253"/>
      <c r="P771" s="253"/>
      <c r="Q771" s="253"/>
    </row>
    <row r="772" spans="1:17">
      <c r="A772" s="253"/>
      <c r="B772" s="253"/>
      <c r="C772" s="253"/>
      <c r="D772" s="253"/>
      <c r="E772" s="253"/>
      <c r="F772" s="253"/>
      <c r="G772" s="253"/>
      <c r="H772" s="253"/>
      <c r="I772" s="253"/>
      <c r="J772" s="253"/>
      <c r="K772" s="253"/>
      <c r="L772" s="253"/>
      <c r="M772" s="253"/>
      <c r="N772" s="253"/>
      <c r="O772" s="253"/>
      <c r="P772" s="253"/>
      <c r="Q772" s="253"/>
    </row>
    <row r="773" spans="1:17">
      <c r="A773" s="253"/>
      <c r="B773" s="253"/>
      <c r="C773" s="253"/>
      <c r="D773" s="253"/>
      <c r="E773" s="253"/>
      <c r="F773" s="253"/>
      <c r="G773" s="253"/>
      <c r="H773" s="253"/>
      <c r="I773" s="253"/>
      <c r="J773" s="253"/>
      <c r="K773" s="253"/>
      <c r="L773" s="253"/>
      <c r="M773" s="253"/>
      <c r="N773" s="253"/>
      <c r="O773" s="253"/>
      <c r="P773" s="253"/>
      <c r="Q773" s="253"/>
    </row>
    <row r="774" spans="1:17">
      <c r="A774" s="253"/>
      <c r="B774" s="253"/>
      <c r="C774" s="253"/>
      <c r="D774" s="253"/>
      <c r="E774" s="253"/>
      <c r="F774" s="253"/>
      <c r="G774" s="253"/>
      <c r="H774" s="253"/>
      <c r="I774" s="253"/>
      <c r="J774" s="253"/>
      <c r="K774" s="253"/>
      <c r="L774" s="253"/>
      <c r="M774" s="253"/>
      <c r="N774" s="253"/>
      <c r="O774" s="253"/>
      <c r="P774" s="253"/>
      <c r="Q774" s="253"/>
    </row>
    <row r="775" spans="1:17">
      <c r="A775" s="253"/>
      <c r="B775" s="253"/>
      <c r="C775" s="253"/>
      <c r="D775" s="253"/>
      <c r="E775" s="253"/>
      <c r="F775" s="253"/>
      <c r="G775" s="253"/>
      <c r="H775" s="253"/>
      <c r="I775" s="253"/>
      <c r="J775" s="253"/>
      <c r="K775" s="253"/>
      <c r="L775" s="253"/>
      <c r="M775" s="253"/>
      <c r="N775" s="253"/>
      <c r="O775" s="253"/>
      <c r="P775" s="253"/>
      <c r="Q775" s="253"/>
    </row>
    <row r="776" spans="1:17">
      <c r="A776" s="253"/>
      <c r="B776" s="253"/>
      <c r="C776" s="253"/>
      <c r="D776" s="253"/>
      <c r="E776" s="253"/>
      <c r="F776" s="253"/>
      <c r="G776" s="253"/>
      <c r="H776" s="253"/>
      <c r="I776" s="253"/>
      <c r="J776" s="253"/>
      <c r="K776" s="253"/>
      <c r="L776" s="253"/>
      <c r="M776" s="253"/>
      <c r="N776" s="253"/>
      <c r="O776" s="253"/>
      <c r="P776" s="253"/>
      <c r="Q776" s="253"/>
    </row>
    <row r="777" spans="1:17">
      <c r="A777" s="253"/>
      <c r="B777" s="253"/>
      <c r="C777" s="253"/>
      <c r="D777" s="253"/>
      <c r="E777" s="253"/>
      <c r="F777" s="253"/>
      <c r="G777" s="253"/>
      <c r="H777" s="253"/>
      <c r="I777" s="253"/>
      <c r="J777" s="253"/>
      <c r="K777" s="253"/>
      <c r="L777" s="253"/>
      <c r="M777" s="253"/>
      <c r="N777" s="253"/>
      <c r="O777" s="253"/>
      <c r="P777" s="253"/>
      <c r="Q777" s="253"/>
    </row>
    <row r="778" spans="1:17">
      <c r="A778" s="253"/>
      <c r="B778" s="253"/>
      <c r="C778" s="253"/>
      <c r="D778" s="253"/>
      <c r="E778" s="253"/>
      <c r="F778" s="253"/>
      <c r="G778" s="253"/>
      <c r="H778" s="253"/>
      <c r="I778" s="253"/>
      <c r="J778" s="253"/>
      <c r="K778" s="253"/>
      <c r="L778" s="253"/>
      <c r="M778" s="253"/>
      <c r="N778" s="253"/>
      <c r="O778" s="253"/>
      <c r="P778" s="253"/>
      <c r="Q778" s="253"/>
    </row>
    <row r="779" spans="1:17">
      <c r="A779" s="253"/>
      <c r="B779" s="253"/>
      <c r="C779" s="253"/>
      <c r="D779" s="253"/>
      <c r="E779" s="253"/>
      <c r="F779" s="253"/>
      <c r="G779" s="253"/>
      <c r="H779" s="253"/>
      <c r="I779" s="253"/>
      <c r="J779" s="253"/>
      <c r="K779" s="253"/>
      <c r="L779" s="253"/>
      <c r="M779" s="253"/>
      <c r="N779" s="253"/>
      <c r="O779" s="253"/>
      <c r="P779" s="253"/>
      <c r="Q779" s="253"/>
    </row>
    <row r="780" spans="1:17">
      <c r="A780" s="253"/>
      <c r="B780" s="253"/>
      <c r="C780" s="253"/>
      <c r="D780" s="253"/>
      <c r="E780" s="253"/>
      <c r="F780" s="253"/>
      <c r="G780" s="253"/>
      <c r="H780" s="253"/>
      <c r="I780" s="253"/>
      <c r="J780" s="253"/>
      <c r="K780" s="253"/>
      <c r="L780" s="253"/>
      <c r="M780" s="253"/>
      <c r="N780" s="253"/>
      <c r="O780" s="253"/>
      <c r="P780" s="253"/>
      <c r="Q780" s="253"/>
    </row>
    <row r="781" spans="1:17">
      <c r="A781" s="253"/>
      <c r="B781" s="253"/>
      <c r="C781" s="253"/>
      <c r="D781" s="253"/>
      <c r="E781" s="253"/>
      <c r="F781" s="253"/>
      <c r="G781" s="253"/>
      <c r="H781" s="253"/>
      <c r="I781" s="253"/>
      <c r="J781" s="253"/>
      <c r="K781" s="253"/>
      <c r="L781" s="253"/>
      <c r="M781" s="253"/>
      <c r="N781" s="253"/>
      <c r="O781" s="253"/>
      <c r="P781" s="253"/>
      <c r="Q781" s="253"/>
    </row>
    <row r="782" spans="1:17">
      <c r="A782" s="253"/>
      <c r="B782" s="253"/>
      <c r="C782" s="253"/>
      <c r="D782" s="253"/>
      <c r="E782" s="253"/>
      <c r="F782" s="253"/>
      <c r="G782" s="253"/>
      <c r="H782" s="253"/>
      <c r="I782" s="253"/>
      <c r="J782" s="253"/>
      <c r="K782" s="253"/>
      <c r="L782" s="253"/>
      <c r="M782" s="253"/>
      <c r="N782" s="253"/>
      <c r="O782" s="253"/>
      <c r="P782" s="253"/>
      <c r="Q782" s="253"/>
    </row>
    <row r="783" spans="1:17">
      <c r="A783" s="253"/>
      <c r="B783" s="253"/>
      <c r="C783" s="253"/>
      <c r="D783" s="253"/>
      <c r="E783" s="253"/>
      <c r="F783" s="253"/>
      <c r="G783" s="253"/>
      <c r="H783" s="253"/>
      <c r="I783" s="253"/>
      <c r="J783" s="253"/>
      <c r="K783" s="253"/>
      <c r="L783" s="253"/>
      <c r="M783" s="253"/>
      <c r="N783" s="253"/>
      <c r="O783" s="253"/>
      <c r="P783" s="253"/>
      <c r="Q783" s="253"/>
    </row>
    <row r="784" spans="1:17">
      <c r="A784" s="253"/>
      <c r="B784" s="253"/>
      <c r="C784" s="253"/>
      <c r="D784" s="253"/>
      <c r="E784" s="253"/>
      <c r="F784" s="253"/>
      <c r="G784" s="253"/>
      <c r="H784" s="253"/>
      <c r="I784" s="253"/>
      <c r="J784" s="253"/>
      <c r="K784" s="253"/>
      <c r="L784" s="253"/>
      <c r="M784" s="253"/>
      <c r="N784" s="253"/>
      <c r="O784" s="253"/>
      <c r="P784" s="253"/>
      <c r="Q784" s="253"/>
    </row>
    <row r="785" spans="1:17">
      <c r="A785" s="253"/>
      <c r="B785" s="253"/>
      <c r="C785" s="253"/>
      <c r="D785" s="253"/>
      <c r="E785" s="253"/>
      <c r="F785" s="253"/>
      <c r="G785" s="253"/>
      <c r="H785" s="253"/>
      <c r="I785" s="253"/>
      <c r="J785" s="253"/>
      <c r="K785" s="253"/>
      <c r="L785" s="253"/>
      <c r="M785" s="253"/>
      <c r="N785" s="253"/>
      <c r="O785" s="253"/>
      <c r="P785" s="253"/>
      <c r="Q785" s="253"/>
    </row>
    <row r="786" spans="1:17">
      <c r="A786" s="253"/>
      <c r="B786" s="253"/>
      <c r="C786" s="253"/>
      <c r="D786" s="253"/>
      <c r="E786" s="253"/>
      <c r="F786" s="253"/>
      <c r="G786" s="253"/>
      <c r="H786" s="253"/>
      <c r="I786" s="253"/>
      <c r="J786" s="253"/>
      <c r="K786" s="253"/>
      <c r="L786" s="253"/>
      <c r="M786" s="253"/>
      <c r="N786" s="253"/>
      <c r="O786" s="253"/>
      <c r="P786" s="253"/>
      <c r="Q786" s="253"/>
    </row>
    <row r="787" spans="1:17">
      <c r="A787" s="253"/>
      <c r="B787" s="253"/>
      <c r="C787" s="253"/>
      <c r="D787" s="253"/>
      <c r="E787" s="253"/>
      <c r="F787" s="253"/>
      <c r="G787" s="253"/>
      <c r="H787" s="253"/>
      <c r="I787" s="253"/>
      <c r="J787" s="253"/>
      <c r="K787" s="253"/>
      <c r="L787" s="253"/>
      <c r="M787" s="253"/>
      <c r="N787" s="253"/>
      <c r="O787" s="253"/>
      <c r="P787" s="253"/>
      <c r="Q787" s="253"/>
    </row>
    <row r="788" spans="1:17">
      <c r="A788" s="253"/>
      <c r="B788" s="253"/>
      <c r="C788" s="253"/>
      <c r="D788" s="253"/>
      <c r="E788" s="253"/>
      <c r="F788" s="253"/>
      <c r="G788" s="253"/>
      <c r="H788" s="253"/>
      <c r="I788" s="253"/>
      <c r="J788" s="253"/>
      <c r="K788" s="253"/>
      <c r="L788" s="253"/>
      <c r="M788" s="253"/>
      <c r="N788" s="253"/>
      <c r="O788" s="253"/>
      <c r="P788" s="253"/>
      <c r="Q788" s="253"/>
    </row>
    <row r="789" spans="1:17">
      <c r="A789" s="253"/>
      <c r="B789" s="253"/>
      <c r="C789" s="253"/>
      <c r="D789" s="253"/>
      <c r="E789" s="253"/>
      <c r="F789" s="253"/>
      <c r="G789" s="253"/>
      <c r="H789" s="253"/>
      <c r="I789" s="253"/>
      <c r="J789" s="253"/>
      <c r="K789" s="253"/>
      <c r="L789" s="253"/>
      <c r="M789" s="253"/>
      <c r="N789" s="253"/>
      <c r="O789" s="253"/>
      <c r="P789" s="253"/>
      <c r="Q789" s="253"/>
    </row>
    <row r="790" spans="1:17">
      <c r="A790" s="253"/>
      <c r="B790" s="253"/>
      <c r="C790" s="253"/>
      <c r="D790" s="253"/>
      <c r="E790" s="253"/>
      <c r="F790" s="253"/>
      <c r="G790" s="253"/>
      <c r="H790" s="253"/>
      <c r="I790" s="253"/>
      <c r="J790" s="253"/>
      <c r="K790" s="253"/>
      <c r="L790" s="253"/>
      <c r="M790" s="253"/>
      <c r="N790" s="253"/>
      <c r="O790" s="253"/>
      <c r="P790" s="253"/>
      <c r="Q790" s="253"/>
    </row>
    <row r="791" spans="1:17">
      <c r="A791" s="253"/>
      <c r="B791" s="253"/>
      <c r="C791" s="253"/>
      <c r="D791" s="253"/>
      <c r="E791" s="253"/>
      <c r="F791" s="253"/>
      <c r="G791" s="253"/>
      <c r="H791" s="253"/>
      <c r="I791" s="253"/>
      <c r="J791" s="253"/>
      <c r="K791" s="253"/>
      <c r="L791" s="253"/>
      <c r="M791" s="253"/>
      <c r="N791" s="253"/>
      <c r="O791" s="253"/>
      <c r="P791" s="253"/>
      <c r="Q791" s="253"/>
    </row>
    <row r="792" spans="1:17">
      <c r="A792" s="253"/>
      <c r="B792" s="253"/>
      <c r="C792" s="253"/>
      <c r="D792" s="253"/>
      <c r="E792" s="253"/>
      <c r="F792" s="253"/>
      <c r="G792" s="253"/>
      <c r="H792" s="253"/>
      <c r="I792" s="253"/>
      <c r="J792" s="253"/>
      <c r="K792" s="253"/>
      <c r="L792" s="253"/>
      <c r="M792" s="253"/>
      <c r="N792" s="253"/>
      <c r="O792" s="253"/>
      <c r="P792" s="253"/>
      <c r="Q792" s="253"/>
    </row>
    <row r="793" spans="1:17">
      <c r="A793" s="253"/>
      <c r="B793" s="253"/>
      <c r="C793" s="253"/>
      <c r="D793" s="253"/>
      <c r="E793" s="253"/>
      <c r="F793" s="253"/>
      <c r="G793" s="253"/>
      <c r="H793" s="253"/>
      <c r="I793" s="253"/>
      <c r="J793" s="253"/>
      <c r="K793" s="253"/>
      <c r="L793" s="253"/>
      <c r="M793" s="253"/>
      <c r="N793" s="253"/>
      <c r="O793" s="253"/>
      <c r="P793" s="253"/>
      <c r="Q793" s="253"/>
    </row>
    <row r="794" spans="1:17">
      <c r="A794" s="253"/>
      <c r="B794" s="253"/>
      <c r="C794" s="253"/>
      <c r="D794" s="253"/>
      <c r="E794" s="253"/>
      <c r="F794" s="253"/>
      <c r="G794" s="253"/>
      <c r="H794" s="253"/>
      <c r="I794" s="253"/>
      <c r="J794" s="253"/>
      <c r="K794" s="253"/>
      <c r="L794" s="253"/>
      <c r="M794" s="253"/>
      <c r="N794" s="253"/>
      <c r="O794" s="253"/>
      <c r="P794" s="253"/>
      <c r="Q794" s="253"/>
    </row>
    <row r="795" spans="1:17">
      <c r="A795" s="253"/>
      <c r="B795" s="253"/>
      <c r="C795" s="253"/>
      <c r="D795" s="253"/>
      <c r="E795" s="253"/>
      <c r="F795" s="253"/>
      <c r="G795" s="253"/>
      <c r="H795" s="253"/>
      <c r="I795" s="253"/>
      <c r="J795" s="253"/>
      <c r="K795" s="253"/>
      <c r="L795" s="253"/>
      <c r="M795" s="253"/>
      <c r="N795" s="253"/>
      <c r="O795" s="253"/>
      <c r="P795" s="253"/>
      <c r="Q795" s="253"/>
    </row>
    <row r="796" spans="1:17">
      <c r="A796" s="253"/>
      <c r="B796" s="253"/>
      <c r="C796" s="253"/>
      <c r="D796" s="253"/>
      <c r="E796" s="253"/>
      <c r="F796" s="253"/>
      <c r="G796" s="253"/>
      <c r="H796" s="253"/>
      <c r="I796" s="253"/>
      <c r="J796" s="253"/>
      <c r="K796" s="253"/>
      <c r="L796" s="253"/>
      <c r="M796" s="253"/>
      <c r="N796" s="253"/>
      <c r="O796" s="253"/>
      <c r="P796" s="253"/>
      <c r="Q796" s="253"/>
    </row>
    <row r="797" spans="1:17">
      <c r="A797" s="253"/>
      <c r="B797" s="253"/>
      <c r="C797" s="253"/>
      <c r="D797" s="253"/>
      <c r="E797" s="253"/>
      <c r="F797" s="253"/>
      <c r="G797" s="253"/>
      <c r="H797" s="253"/>
      <c r="I797" s="253"/>
      <c r="J797" s="253"/>
      <c r="K797" s="253"/>
      <c r="L797" s="253"/>
      <c r="M797" s="253"/>
      <c r="N797" s="253"/>
      <c r="O797" s="253"/>
      <c r="P797" s="253"/>
      <c r="Q797" s="253"/>
    </row>
    <row r="798" spans="1:17">
      <c r="A798" s="253"/>
      <c r="B798" s="253"/>
      <c r="C798" s="253"/>
      <c r="D798" s="253"/>
      <c r="E798" s="253"/>
      <c r="F798" s="253"/>
      <c r="G798" s="253"/>
      <c r="H798" s="253"/>
      <c r="I798" s="253"/>
      <c r="J798" s="253"/>
      <c r="K798" s="253"/>
      <c r="L798" s="253"/>
      <c r="M798" s="253"/>
      <c r="N798" s="253"/>
      <c r="O798" s="253"/>
      <c r="P798" s="253"/>
      <c r="Q798" s="253"/>
    </row>
    <row r="799" spans="1:17">
      <c r="A799" s="253"/>
      <c r="B799" s="253"/>
      <c r="C799" s="253"/>
      <c r="D799" s="253"/>
      <c r="E799" s="253"/>
      <c r="F799" s="253"/>
      <c r="G799" s="253"/>
      <c r="H799" s="253"/>
      <c r="I799" s="253"/>
      <c r="J799" s="253"/>
      <c r="K799" s="253"/>
      <c r="L799" s="253"/>
      <c r="M799" s="253"/>
      <c r="N799" s="253"/>
      <c r="O799" s="253"/>
      <c r="P799" s="253"/>
      <c r="Q799" s="253"/>
    </row>
    <row r="800" spans="1:17">
      <c r="A800" s="253"/>
      <c r="B800" s="253"/>
      <c r="C800" s="253"/>
      <c r="D800" s="253"/>
      <c r="E800" s="253"/>
      <c r="F800" s="253"/>
      <c r="G800" s="253"/>
      <c r="H800" s="253"/>
      <c r="I800" s="253"/>
      <c r="J800" s="253"/>
      <c r="K800" s="253"/>
      <c r="L800" s="253"/>
      <c r="M800" s="253"/>
      <c r="N800" s="253"/>
      <c r="O800" s="253"/>
      <c r="P800" s="253"/>
      <c r="Q800" s="253"/>
    </row>
    <row r="801" spans="1:17">
      <c r="A801" s="253"/>
      <c r="B801" s="253"/>
      <c r="C801" s="253"/>
      <c r="D801" s="253"/>
      <c r="E801" s="253"/>
      <c r="F801" s="253"/>
      <c r="G801" s="253"/>
      <c r="H801" s="253"/>
      <c r="I801" s="253"/>
      <c r="J801" s="253"/>
      <c r="K801" s="253"/>
      <c r="L801" s="253"/>
      <c r="M801" s="253"/>
      <c r="N801" s="253"/>
      <c r="O801" s="253"/>
      <c r="P801" s="253"/>
      <c r="Q801" s="253"/>
    </row>
    <row r="802" spans="1:17">
      <c r="A802" s="253"/>
      <c r="B802" s="253"/>
      <c r="C802" s="253"/>
      <c r="D802" s="253"/>
      <c r="E802" s="253"/>
      <c r="F802" s="253"/>
      <c r="G802" s="253"/>
      <c r="H802" s="253"/>
      <c r="I802" s="253"/>
      <c r="J802" s="253"/>
      <c r="K802" s="253"/>
      <c r="L802" s="253"/>
      <c r="M802" s="253"/>
      <c r="N802" s="253"/>
      <c r="O802" s="253"/>
      <c r="P802" s="253"/>
      <c r="Q802" s="253"/>
    </row>
    <row r="803" spans="1:17">
      <c r="A803" s="253"/>
      <c r="B803" s="253"/>
      <c r="C803" s="253"/>
      <c r="D803" s="253"/>
      <c r="E803" s="253"/>
      <c r="F803" s="253"/>
      <c r="G803" s="253"/>
      <c r="H803" s="253"/>
      <c r="I803" s="253"/>
      <c r="J803" s="253"/>
      <c r="K803" s="253"/>
      <c r="L803" s="253"/>
      <c r="M803" s="253"/>
      <c r="N803" s="253"/>
      <c r="O803" s="253"/>
      <c r="P803" s="253"/>
      <c r="Q803" s="253"/>
    </row>
    <row r="804" spans="1:17">
      <c r="A804" s="253"/>
      <c r="B804" s="253"/>
      <c r="C804" s="253"/>
      <c r="D804" s="253"/>
      <c r="E804" s="253"/>
      <c r="F804" s="253"/>
      <c r="G804" s="253"/>
      <c r="H804" s="253"/>
      <c r="I804" s="253"/>
      <c r="J804" s="253"/>
      <c r="K804" s="253"/>
      <c r="L804" s="253"/>
      <c r="M804" s="253"/>
      <c r="N804" s="253"/>
      <c r="O804" s="253"/>
      <c r="P804" s="253"/>
      <c r="Q804" s="253"/>
    </row>
    <row r="805" spans="1:17">
      <c r="A805" s="253"/>
      <c r="B805" s="253"/>
      <c r="C805" s="253"/>
      <c r="D805" s="253"/>
      <c r="E805" s="253"/>
      <c r="F805" s="253"/>
      <c r="G805" s="253"/>
      <c r="H805" s="253"/>
      <c r="I805" s="253"/>
      <c r="J805" s="253"/>
      <c r="K805" s="253"/>
      <c r="L805" s="253"/>
      <c r="M805" s="253"/>
      <c r="N805" s="253"/>
      <c r="O805" s="253"/>
      <c r="P805" s="253"/>
      <c r="Q805" s="253"/>
    </row>
    <row r="806" spans="1:17">
      <c r="A806" s="253"/>
      <c r="B806" s="253"/>
      <c r="C806" s="253"/>
      <c r="D806" s="253"/>
      <c r="E806" s="253"/>
      <c r="F806" s="253"/>
      <c r="G806" s="253"/>
      <c r="H806" s="253"/>
      <c r="I806" s="253"/>
      <c r="J806" s="253"/>
      <c r="K806" s="253"/>
      <c r="L806" s="253"/>
      <c r="M806" s="253"/>
      <c r="N806" s="253"/>
      <c r="O806" s="253"/>
      <c r="P806" s="253"/>
      <c r="Q806" s="253"/>
    </row>
    <row r="807" spans="1:17">
      <c r="A807" s="253"/>
      <c r="B807" s="253"/>
      <c r="C807" s="253"/>
      <c r="D807" s="253"/>
      <c r="E807" s="253"/>
      <c r="F807" s="253"/>
      <c r="G807" s="253"/>
      <c r="H807" s="253"/>
      <c r="I807" s="253"/>
      <c r="J807" s="253"/>
      <c r="K807" s="253"/>
      <c r="L807" s="253"/>
      <c r="M807" s="253"/>
      <c r="N807" s="253"/>
      <c r="O807" s="253"/>
      <c r="P807" s="253"/>
      <c r="Q807" s="253"/>
    </row>
    <row r="808" spans="1:17">
      <c r="A808" s="253"/>
      <c r="B808" s="253"/>
      <c r="C808" s="253"/>
      <c r="D808" s="253"/>
      <c r="E808" s="253"/>
      <c r="F808" s="253"/>
      <c r="G808" s="253"/>
      <c r="H808" s="253"/>
      <c r="I808" s="253"/>
      <c r="J808" s="253"/>
      <c r="K808" s="253"/>
      <c r="L808" s="253"/>
      <c r="M808" s="253"/>
      <c r="N808" s="253"/>
      <c r="O808" s="253"/>
      <c r="P808" s="253"/>
      <c r="Q808" s="253"/>
    </row>
    <row r="809" spans="1:17">
      <c r="A809" s="253"/>
      <c r="B809" s="253"/>
      <c r="C809" s="253"/>
      <c r="D809" s="253"/>
      <c r="E809" s="253"/>
      <c r="F809" s="253"/>
      <c r="G809" s="253"/>
      <c r="H809" s="253"/>
      <c r="I809" s="253"/>
      <c r="J809" s="253"/>
      <c r="K809" s="253"/>
      <c r="L809" s="253"/>
      <c r="M809" s="253"/>
      <c r="N809" s="253"/>
      <c r="O809" s="253"/>
      <c r="P809" s="253"/>
      <c r="Q809" s="253"/>
    </row>
    <row r="810" spans="1:17">
      <c r="A810" s="253"/>
      <c r="B810" s="253"/>
      <c r="C810" s="253"/>
      <c r="D810" s="253"/>
      <c r="E810" s="253"/>
      <c r="F810" s="253"/>
      <c r="G810" s="253"/>
      <c r="H810" s="253"/>
      <c r="I810" s="253"/>
      <c r="J810" s="253"/>
      <c r="K810" s="253"/>
      <c r="L810" s="253"/>
      <c r="M810" s="253"/>
      <c r="N810" s="253"/>
      <c r="O810" s="253"/>
      <c r="P810" s="253"/>
      <c r="Q810" s="253"/>
    </row>
    <row r="811" spans="1:17">
      <c r="A811" s="253"/>
      <c r="B811" s="253"/>
      <c r="C811" s="253"/>
      <c r="D811" s="253"/>
      <c r="E811" s="253"/>
      <c r="F811" s="253"/>
      <c r="G811" s="253"/>
      <c r="H811" s="253"/>
      <c r="I811" s="253"/>
      <c r="J811" s="253"/>
      <c r="K811" s="253"/>
      <c r="L811" s="253"/>
      <c r="M811" s="253"/>
      <c r="N811" s="253"/>
      <c r="O811" s="253"/>
      <c r="P811" s="253"/>
      <c r="Q811" s="253"/>
    </row>
    <row r="812" spans="1:17">
      <c r="A812" s="253"/>
      <c r="B812" s="253"/>
      <c r="C812" s="253"/>
      <c r="D812" s="253"/>
      <c r="E812" s="253"/>
      <c r="F812" s="253"/>
      <c r="G812" s="253"/>
      <c r="H812" s="253"/>
      <c r="I812" s="253"/>
      <c r="J812" s="253"/>
      <c r="K812" s="253"/>
      <c r="L812" s="253"/>
      <c r="M812" s="253"/>
      <c r="N812" s="253"/>
      <c r="O812" s="253"/>
      <c r="P812" s="253"/>
      <c r="Q812" s="253"/>
    </row>
    <row r="813" spans="1:17">
      <c r="A813" s="253"/>
      <c r="B813" s="253"/>
      <c r="C813" s="253"/>
      <c r="D813" s="253"/>
      <c r="E813" s="253"/>
      <c r="F813" s="253"/>
      <c r="G813" s="253"/>
      <c r="H813" s="253"/>
      <c r="I813" s="253"/>
      <c r="J813" s="253"/>
      <c r="K813" s="253"/>
      <c r="L813" s="253"/>
      <c r="M813" s="253"/>
      <c r="N813" s="253"/>
      <c r="O813" s="253"/>
      <c r="P813" s="253"/>
      <c r="Q813" s="253"/>
    </row>
    <row r="814" spans="1:17">
      <c r="A814" s="253"/>
      <c r="B814" s="253"/>
      <c r="C814" s="253"/>
      <c r="D814" s="253"/>
      <c r="E814" s="253"/>
      <c r="F814" s="253"/>
      <c r="G814" s="253"/>
      <c r="H814" s="253"/>
      <c r="I814" s="253"/>
      <c r="J814" s="253"/>
      <c r="K814" s="253"/>
      <c r="L814" s="253"/>
      <c r="M814" s="253"/>
      <c r="N814" s="253"/>
      <c r="O814" s="253"/>
      <c r="P814" s="253"/>
      <c r="Q814" s="253"/>
    </row>
    <row r="815" spans="1:17">
      <c r="A815" s="253"/>
      <c r="B815" s="253"/>
      <c r="C815" s="253"/>
      <c r="D815" s="253"/>
      <c r="E815" s="253"/>
      <c r="F815" s="253"/>
      <c r="G815" s="253"/>
      <c r="H815" s="253"/>
      <c r="I815" s="253"/>
      <c r="J815" s="253"/>
      <c r="K815" s="253"/>
      <c r="L815" s="253"/>
      <c r="M815" s="253"/>
      <c r="N815" s="253"/>
      <c r="O815" s="253"/>
      <c r="P815" s="253"/>
      <c r="Q815" s="253"/>
    </row>
    <row r="816" spans="1:17">
      <c r="A816" s="253"/>
      <c r="B816" s="253"/>
      <c r="C816" s="253"/>
      <c r="D816" s="253"/>
      <c r="E816" s="253"/>
      <c r="F816" s="253"/>
      <c r="G816" s="253"/>
      <c r="H816" s="253"/>
      <c r="I816" s="253"/>
      <c r="J816" s="253"/>
      <c r="K816" s="253"/>
      <c r="L816" s="253"/>
      <c r="M816" s="253"/>
      <c r="N816" s="253"/>
      <c r="O816" s="253"/>
      <c r="P816" s="253"/>
      <c r="Q816" s="253"/>
    </row>
    <row r="817" spans="1:17">
      <c r="A817" s="253"/>
      <c r="B817" s="253"/>
      <c r="C817" s="253"/>
      <c r="D817" s="253"/>
      <c r="E817" s="253"/>
      <c r="F817" s="253"/>
      <c r="G817" s="253"/>
      <c r="H817" s="253"/>
      <c r="I817" s="253"/>
      <c r="J817" s="253"/>
      <c r="K817" s="253"/>
      <c r="L817" s="253"/>
      <c r="M817" s="253"/>
      <c r="N817" s="253"/>
      <c r="O817" s="253"/>
      <c r="P817" s="253"/>
      <c r="Q817" s="253"/>
    </row>
    <row r="818" spans="1:17">
      <c r="A818" s="253"/>
      <c r="B818" s="253"/>
      <c r="C818" s="253"/>
      <c r="D818" s="253"/>
      <c r="E818" s="253"/>
      <c r="F818" s="253"/>
      <c r="G818" s="253"/>
      <c r="H818" s="253"/>
      <c r="I818" s="253"/>
      <c r="J818" s="253"/>
      <c r="K818" s="253"/>
      <c r="L818" s="253"/>
      <c r="M818" s="253"/>
      <c r="N818" s="253"/>
      <c r="O818" s="253"/>
      <c r="P818" s="253"/>
      <c r="Q818" s="253"/>
    </row>
    <row r="819" spans="1:17">
      <c r="A819" s="253"/>
      <c r="B819" s="253"/>
      <c r="C819" s="253"/>
      <c r="D819" s="253"/>
      <c r="E819" s="253"/>
      <c r="F819" s="253"/>
      <c r="G819" s="253"/>
      <c r="H819" s="253"/>
      <c r="I819" s="253"/>
      <c r="J819" s="253"/>
      <c r="K819" s="253"/>
      <c r="L819" s="253"/>
      <c r="M819" s="253"/>
      <c r="N819" s="253"/>
      <c r="O819" s="253"/>
      <c r="P819" s="253"/>
      <c r="Q819" s="253"/>
    </row>
    <row r="820" spans="1:17">
      <c r="A820" s="253"/>
      <c r="B820" s="253"/>
      <c r="C820" s="253"/>
      <c r="D820" s="253"/>
      <c r="E820" s="253"/>
      <c r="F820" s="253"/>
      <c r="G820" s="253"/>
      <c r="H820" s="253"/>
      <c r="I820" s="253"/>
      <c r="J820" s="253"/>
      <c r="K820" s="253"/>
      <c r="L820" s="253"/>
      <c r="M820" s="253"/>
      <c r="N820" s="253"/>
      <c r="O820" s="253"/>
      <c r="P820" s="253"/>
      <c r="Q820" s="253"/>
    </row>
    <row r="821" spans="1:17">
      <c r="A821" s="253"/>
      <c r="B821" s="253"/>
      <c r="C821" s="253"/>
      <c r="D821" s="253"/>
      <c r="E821" s="253"/>
      <c r="F821" s="253"/>
      <c r="G821" s="253"/>
      <c r="H821" s="253"/>
      <c r="I821" s="253"/>
      <c r="J821" s="253"/>
      <c r="K821" s="253"/>
      <c r="L821" s="253"/>
      <c r="M821" s="253"/>
      <c r="N821" s="253"/>
      <c r="O821" s="253"/>
      <c r="P821" s="253"/>
      <c r="Q821" s="253"/>
    </row>
    <row r="822" spans="1:17">
      <c r="A822" s="253"/>
      <c r="B822" s="253"/>
      <c r="C822" s="253"/>
      <c r="D822" s="253"/>
      <c r="E822" s="253"/>
      <c r="F822" s="253"/>
      <c r="G822" s="253"/>
      <c r="H822" s="253"/>
      <c r="I822" s="253"/>
      <c r="J822" s="253"/>
      <c r="K822" s="253"/>
      <c r="L822" s="253"/>
      <c r="M822" s="253"/>
      <c r="N822" s="253"/>
      <c r="O822" s="253"/>
      <c r="P822" s="253"/>
      <c r="Q822" s="253"/>
    </row>
    <row r="823" spans="1:17">
      <c r="A823" s="253"/>
      <c r="B823" s="253"/>
      <c r="C823" s="253"/>
      <c r="D823" s="253"/>
      <c r="E823" s="253"/>
      <c r="F823" s="253"/>
      <c r="G823" s="253"/>
      <c r="H823" s="253"/>
      <c r="I823" s="253"/>
      <c r="J823" s="253"/>
      <c r="K823" s="253"/>
      <c r="L823" s="253"/>
      <c r="M823" s="253"/>
      <c r="N823" s="253"/>
      <c r="O823" s="253"/>
      <c r="P823" s="253"/>
      <c r="Q823" s="253"/>
    </row>
    <row r="824" spans="1:17">
      <c r="A824" s="253"/>
      <c r="B824" s="253"/>
      <c r="C824" s="253"/>
      <c r="D824" s="253"/>
      <c r="E824" s="253"/>
      <c r="F824" s="253"/>
      <c r="G824" s="253"/>
      <c r="H824" s="253"/>
      <c r="I824" s="253"/>
      <c r="J824" s="253"/>
      <c r="K824" s="253"/>
      <c r="L824" s="253"/>
      <c r="M824" s="253"/>
      <c r="N824" s="253"/>
      <c r="O824" s="253"/>
      <c r="P824" s="253"/>
      <c r="Q824" s="253"/>
    </row>
    <row r="825" spans="1:17">
      <c r="A825" s="253"/>
      <c r="B825" s="253"/>
      <c r="C825" s="253"/>
      <c r="D825" s="253"/>
      <c r="E825" s="253"/>
      <c r="F825" s="253"/>
      <c r="G825" s="253"/>
      <c r="H825" s="253"/>
      <c r="I825" s="253"/>
      <c r="J825" s="253"/>
      <c r="K825" s="253"/>
      <c r="L825" s="253"/>
      <c r="M825" s="253"/>
      <c r="N825" s="253"/>
      <c r="O825" s="253"/>
      <c r="P825" s="253"/>
      <c r="Q825" s="253"/>
    </row>
    <row r="826" spans="1:17">
      <c r="A826" s="253"/>
      <c r="B826" s="253"/>
      <c r="C826" s="253"/>
      <c r="D826" s="253"/>
      <c r="E826" s="253"/>
      <c r="F826" s="253"/>
      <c r="G826" s="253"/>
      <c r="H826" s="253"/>
      <c r="I826" s="253"/>
      <c r="J826" s="253"/>
      <c r="K826" s="253"/>
      <c r="L826" s="253"/>
      <c r="M826" s="253"/>
      <c r="N826" s="253"/>
      <c r="O826" s="253"/>
      <c r="P826" s="253"/>
      <c r="Q826" s="253"/>
    </row>
    <row r="827" spans="1:17">
      <c r="A827" s="253"/>
      <c r="B827" s="253"/>
      <c r="C827" s="253"/>
      <c r="D827" s="253"/>
      <c r="E827" s="253"/>
      <c r="F827" s="253"/>
      <c r="G827" s="253"/>
      <c r="H827" s="253"/>
      <c r="I827" s="253"/>
      <c r="J827" s="253"/>
      <c r="K827" s="253"/>
      <c r="L827" s="253"/>
      <c r="M827" s="253"/>
      <c r="N827" s="253"/>
      <c r="O827" s="253"/>
      <c r="P827" s="253"/>
      <c r="Q827" s="253"/>
    </row>
    <row r="828" spans="1:17">
      <c r="A828" s="253"/>
      <c r="B828" s="253"/>
      <c r="C828" s="253"/>
      <c r="D828" s="253"/>
      <c r="E828" s="253"/>
      <c r="F828" s="253"/>
      <c r="G828" s="253"/>
      <c r="H828" s="253"/>
      <c r="I828" s="253"/>
      <c r="J828" s="253"/>
      <c r="K828" s="253"/>
      <c r="L828" s="253"/>
      <c r="M828" s="253"/>
      <c r="N828" s="253"/>
      <c r="O828" s="253"/>
      <c r="P828" s="253"/>
      <c r="Q828" s="253"/>
    </row>
    <row r="829" spans="1:17">
      <c r="A829" s="253"/>
      <c r="B829" s="253"/>
      <c r="C829" s="253"/>
      <c r="D829" s="253"/>
      <c r="E829" s="253"/>
      <c r="F829" s="253"/>
      <c r="G829" s="253"/>
      <c r="H829" s="253"/>
      <c r="I829" s="253"/>
      <c r="J829" s="253"/>
      <c r="K829" s="253"/>
      <c r="L829" s="253"/>
      <c r="M829" s="253"/>
      <c r="N829" s="253"/>
      <c r="O829" s="253"/>
      <c r="P829" s="253"/>
      <c r="Q829" s="253"/>
    </row>
    <row r="830" spans="1:17">
      <c r="A830" s="253"/>
      <c r="B830" s="253"/>
      <c r="C830" s="253"/>
      <c r="D830" s="253"/>
      <c r="E830" s="253"/>
      <c r="F830" s="253"/>
      <c r="G830" s="253"/>
      <c r="H830" s="253"/>
      <c r="I830" s="253"/>
      <c r="J830" s="253"/>
      <c r="K830" s="253"/>
      <c r="L830" s="253"/>
      <c r="M830" s="253"/>
      <c r="N830" s="253"/>
      <c r="O830" s="253"/>
      <c r="P830" s="253"/>
      <c r="Q830" s="253"/>
    </row>
    <row r="831" spans="1:17">
      <c r="A831" s="253"/>
      <c r="B831" s="253"/>
      <c r="C831" s="253"/>
      <c r="D831" s="253"/>
      <c r="E831" s="253"/>
      <c r="F831" s="253"/>
      <c r="G831" s="253"/>
      <c r="H831" s="253"/>
      <c r="I831" s="253"/>
      <c r="J831" s="253"/>
      <c r="K831" s="253"/>
      <c r="L831" s="253"/>
      <c r="M831" s="253"/>
      <c r="N831" s="253"/>
      <c r="O831" s="253"/>
      <c r="P831" s="253"/>
      <c r="Q831" s="253"/>
    </row>
    <row r="832" spans="1:17">
      <c r="A832" s="253"/>
      <c r="B832" s="253"/>
      <c r="C832" s="253"/>
      <c r="D832" s="253"/>
      <c r="E832" s="253"/>
      <c r="F832" s="253"/>
      <c r="G832" s="253"/>
      <c r="H832" s="253"/>
      <c r="I832" s="253"/>
      <c r="J832" s="253"/>
      <c r="K832" s="253"/>
      <c r="L832" s="253"/>
      <c r="M832" s="253"/>
      <c r="N832" s="253"/>
      <c r="O832" s="253"/>
      <c r="P832" s="253"/>
      <c r="Q832" s="253"/>
    </row>
    <row r="833" spans="1:17">
      <c r="A833" s="253"/>
      <c r="B833" s="253"/>
      <c r="C833" s="253"/>
      <c r="D833" s="253"/>
      <c r="E833" s="253"/>
      <c r="F833" s="253"/>
      <c r="G833" s="253"/>
      <c r="H833" s="253"/>
      <c r="I833" s="253"/>
      <c r="J833" s="253"/>
      <c r="K833" s="253"/>
      <c r="L833" s="253"/>
      <c r="M833" s="253"/>
      <c r="N833" s="253"/>
      <c r="O833" s="253"/>
      <c r="P833" s="253"/>
      <c r="Q833" s="253"/>
    </row>
    <row r="834" spans="1:17">
      <c r="A834" s="253"/>
      <c r="B834" s="253"/>
      <c r="C834" s="253"/>
      <c r="D834" s="253"/>
      <c r="E834" s="253"/>
      <c r="F834" s="253"/>
      <c r="G834" s="253"/>
      <c r="H834" s="253"/>
      <c r="I834" s="253"/>
      <c r="J834" s="253"/>
      <c r="K834" s="253"/>
      <c r="L834" s="253"/>
      <c r="M834" s="253"/>
      <c r="N834" s="253"/>
      <c r="O834" s="253"/>
      <c r="P834" s="253"/>
      <c r="Q834" s="253"/>
    </row>
    <row r="835" spans="1:17">
      <c r="A835" s="253"/>
      <c r="B835" s="253"/>
      <c r="C835" s="253"/>
      <c r="D835" s="253"/>
      <c r="E835" s="253"/>
      <c r="F835" s="253"/>
      <c r="G835" s="253"/>
      <c r="H835" s="253"/>
      <c r="I835" s="253"/>
      <c r="J835" s="253"/>
      <c r="K835" s="253"/>
      <c r="L835" s="253"/>
      <c r="M835" s="253"/>
      <c r="N835" s="253"/>
      <c r="O835" s="253"/>
      <c r="P835" s="253"/>
      <c r="Q835" s="253"/>
    </row>
    <row r="836" spans="1:17">
      <c r="A836" s="253"/>
      <c r="B836" s="253"/>
      <c r="C836" s="253"/>
      <c r="D836" s="253"/>
      <c r="E836" s="253"/>
      <c r="F836" s="253"/>
      <c r="G836" s="253"/>
      <c r="H836" s="253"/>
      <c r="I836" s="253"/>
      <c r="J836" s="253"/>
      <c r="K836" s="253"/>
      <c r="L836" s="253"/>
      <c r="M836" s="253"/>
      <c r="N836" s="253"/>
      <c r="O836" s="253"/>
      <c r="P836" s="253"/>
      <c r="Q836" s="253"/>
    </row>
    <row r="837" spans="1:17">
      <c r="A837" s="253"/>
      <c r="B837" s="253"/>
      <c r="C837" s="253"/>
      <c r="D837" s="253"/>
      <c r="E837" s="253"/>
      <c r="F837" s="253"/>
      <c r="G837" s="253"/>
      <c r="H837" s="253"/>
      <c r="I837" s="253"/>
      <c r="J837" s="253"/>
      <c r="K837" s="253"/>
      <c r="L837" s="253"/>
      <c r="M837" s="253"/>
      <c r="N837" s="253"/>
      <c r="O837" s="253"/>
      <c r="P837" s="253"/>
      <c r="Q837" s="253"/>
    </row>
    <row r="838" spans="1:17">
      <c r="A838" s="253"/>
      <c r="B838" s="253"/>
      <c r="C838" s="253"/>
      <c r="D838" s="253"/>
      <c r="E838" s="253"/>
      <c r="F838" s="253"/>
      <c r="G838" s="253"/>
      <c r="H838" s="253"/>
      <c r="I838" s="253"/>
      <c r="J838" s="253"/>
      <c r="K838" s="253"/>
      <c r="L838" s="253"/>
      <c r="M838" s="253"/>
      <c r="N838" s="253"/>
      <c r="O838" s="253"/>
      <c r="P838" s="253"/>
      <c r="Q838" s="253"/>
    </row>
    <row r="839" spans="1:17">
      <c r="A839" s="253"/>
      <c r="B839" s="253"/>
      <c r="C839" s="253"/>
      <c r="D839" s="253"/>
      <c r="E839" s="253"/>
      <c r="F839" s="253"/>
      <c r="G839" s="253"/>
      <c r="H839" s="253"/>
      <c r="I839" s="253"/>
      <c r="J839" s="253"/>
      <c r="K839" s="253"/>
      <c r="L839" s="253"/>
      <c r="M839" s="253"/>
      <c r="N839" s="253"/>
      <c r="O839" s="253"/>
      <c r="P839" s="253"/>
      <c r="Q839" s="253"/>
    </row>
    <row r="840" spans="1:17">
      <c r="A840" s="253"/>
      <c r="B840" s="253"/>
      <c r="C840" s="253"/>
      <c r="D840" s="253"/>
      <c r="E840" s="253"/>
      <c r="F840" s="253"/>
      <c r="G840" s="253"/>
      <c r="H840" s="253"/>
      <c r="I840" s="253"/>
      <c r="J840" s="253"/>
      <c r="K840" s="253"/>
      <c r="L840" s="253"/>
      <c r="M840" s="253"/>
      <c r="N840" s="253"/>
      <c r="O840" s="253"/>
      <c r="P840" s="253"/>
      <c r="Q840" s="253"/>
    </row>
    <row r="841" spans="1:17">
      <c r="A841" s="253"/>
      <c r="B841" s="253"/>
      <c r="C841" s="253"/>
      <c r="D841" s="253"/>
      <c r="E841" s="253"/>
      <c r="F841" s="253"/>
      <c r="G841" s="253"/>
      <c r="H841" s="253"/>
      <c r="I841" s="253"/>
      <c r="J841" s="253"/>
      <c r="K841" s="253"/>
      <c r="L841" s="253"/>
      <c r="M841" s="253"/>
      <c r="N841" s="253"/>
      <c r="O841" s="253"/>
      <c r="P841" s="253"/>
      <c r="Q841" s="253"/>
    </row>
    <row r="842" spans="1:17">
      <c r="A842" s="253"/>
      <c r="B842" s="253"/>
      <c r="C842" s="253"/>
      <c r="D842" s="253"/>
      <c r="E842" s="253"/>
      <c r="F842" s="253"/>
      <c r="G842" s="253"/>
      <c r="H842" s="253"/>
      <c r="I842" s="253"/>
      <c r="J842" s="253"/>
      <c r="K842" s="253"/>
      <c r="L842" s="253"/>
      <c r="M842" s="253"/>
      <c r="N842" s="253"/>
      <c r="O842" s="253"/>
      <c r="P842" s="253"/>
      <c r="Q842" s="253"/>
    </row>
    <row r="843" spans="1:17">
      <c r="A843" s="253"/>
      <c r="B843" s="253"/>
      <c r="C843" s="253"/>
      <c r="D843" s="253"/>
      <c r="E843" s="253"/>
      <c r="F843" s="253"/>
      <c r="G843" s="253"/>
      <c r="H843" s="253"/>
      <c r="I843" s="253"/>
      <c r="J843" s="253"/>
      <c r="K843" s="253"/>
      <c r="L843" s="253"/>
      <c r="M843" s="253"/>
      <c r="N843" s="253"/>
      <c r="O843" s="253"/>
      <c r="P843" s="253"/>
      <c r="Q843" s="253"/>
    </row>
    <row r="844" spans="1:17">
      <c r="A844" s="253"/>
      <c r="B844" s="253"/>
      <c r="C844" s="253"/>
      <c r="D844" s="253"/>
      <c r="E844" s="253"/>
      <c r="F844" s="253"/>
      <c r="G844" s="253"/>
      <c r="H844" s="253"/>
      <c r="I844" s="253"/>
      <c r="J844" s="253"/>
      <c r="K844" s="253"/>
      <c r="L844" s="253"/>
      <c r="M844" s="253"/>
      <c r="N844" s="253"/>
      <c r="O844" s="253"/>
      <c r="P844" s="253"/>
      <c r="Q844" s="253"/>
    </row>
    <row r="845" spans="1:17">
      <c r="A845" s="253"/>
      <c r="B845" s="253"/>
      <c r="C845" s="253"/>
      <c r="D845" s="253"/>
      <c r="E845" s="253"/>
      <c r="F845" s="253"/>
      <c r="G845" s="253"/>
      <c r="H845" s="253"/>
      <c r="I845" s="253"/>
      <c r="J845" s="253"/>
      <c r="K845" s="253"/>
      <c r="L845" s="253"/>
      <c r="M845" s="253"/>
      <c r="N845" s="253"/>
      <c r="O845" s="253"/>
      <c r="P845" s="253"/>
      <c r="Q845" s="253"/>
    </row>
    <row r="846" spans="1:17">
      <c r="A846" s="253"/>
      <c r="B846" s="253"/>
      <c r="C846" s="253"/>
      <c r="D846" s="253"/>
      <c r="E846" s="253"/>
      <c r="F846" s="253"/>
      <c r="G846" s="253"/>
      <c r="H846" s="253"/>
      <c r="I846" s="253"/>
      <c r="J846" s="253"/>
      <c r="K846" s="253"/>
      <c r="L846" s="253"/>
      <c r="M846" s="253"/>
      <c r="N846" s="253"/>
      <c r="O846" s="253"/>
      <c r="P846" s="253"/>
      <c r="Q846" s="253"/>
    </row>
    <row r="847" spans="1:17">
      <c r="A847" s="253"/>
      <c r="B847" s="253"/>
      <c r="C847" s="253"/>
      <c r="D847" s="253"/>
      <c r="E847" s="253"/>
      <c r="F847" s="253"/>
      <c r="G847" s="253"/>
      <c r="H847" s="253"/>
      <c r="I847" s="253"/>
      <c r="J847" s="253"/>
      <c r="K847" s="253"/>
      <c r="L847" s="253"/>
      <c r="M847" s="253"/>
      <c r="N847" s="253"/>
      <c r="O847" s="253"/>
      <c r="P847" s="253"/>
      <c r="Q847" s="253"/>
    </row>
    <row r="848" spans="1:17">
      <c r="A848" s="253"/>
      <c r="B848" s="253"/>
      <c r="C848" s="253"/>
      <c r="D848" s="253"/>
      <c r="E848" s="253"/>
      <c r="F848" s="253"/>
      <c r="G848" s="253"/>
      <c r="H848" s="253"/>
      <c r="I848" s="253"/>
      <c r="J848" s="253"/>
      <c r="K848" s="253"/>
      <c r="L848" s="253"/>
      <c r="M848" s="253"/>
      <c r="N848" s="253"/>
      <c r="O848" s="253"/>
      <c r="P848" s="253"/>
      <c r="Q848" s="253"/>
    </row>
    <row r="849" spans="1:17">
      <c r="A849" s="253"/>
      <c r="B849" s="253"/>
      <c r="C849" s="253"/>
      <c r="D849" s="253"/>
      <c r="E849" s="253"/>
      <c r="F849" s="253"/>
      <c r="G849" s="253"/>
      <c r="H849" s="253"/>
      <c r="I849" s="253"/>
      <c r="J849" s="253"/>
      <c r="K849" s="253"/>
      <c r="L849" s="253"/>
      <c r="M849" s="253"/>
      <c r="N849" s="253"/>
      <c r="O849" s="253"/>
      <c r="P849" s="253"/>
      <c r="Q849" s="253"/>
    </row>
    <row r="850" spans="1:17">
      <c r="A850" s="253"/>
      <c r="B850" s="253"/>
      <c r="C850" s="253"/>
      <c r="D850" s="253"/>
      <c r="E850" s="253"/>
      <c r="F850" s="253"/>
      <c r="G850" s="253"/>
      <c r="H850" s="253"/>
      <c r="I850" s="253"/>
      <c r="J850" s="253"/>
      <c r="K850" s="253"/>
      <c r="L850" s="253"/>
      <c r="M850" s="253"/>
      <c r="N850" s="253"/>
      <c r="O850" s="253"/>
      <c r="P850" s="253"/>
      <c r="Q850" s="253"/>
    </row>
    <row r="851" spans="1:17">
      <c r="A851" s="253"/>
      <c r="B851" s="253"/>
      <c r="C851" s="253"/>
      <c r="D851" s="253"/>
      <c r="E851" s="253"/>
      <c r="F851" s="253"/>
      <c r="G851" s="253"/>
      <c r="H851" s="253"/>
      <c r="I851" s="253"/>
      <c r="J851" s="253"/>
      <c r="K851" s="253"/>
      <c r="L851" s="253"/>
      <c r="M851" s="253"/>
      <c r="N851" s="253"/>
      <c r="O851" s="253"/>
      <c r="P851" s="253"/>
      <c r="Q851" s="253"/>
    </row>
    <row r="852" spans="1:17">
      <c r="A852" s="253"/>
      <c r="B852" s="253"/>
      <c r="C852" s="253"/>
      <c r="D852" s="253"/>
      <c r="E852" s="253"/>
      <c r="F852" s="253"/>
      <c r="G852" s="253"/>
      <c r="H852" s="253"/>
      <c r="I852" s="253"/>
      <c r="J852" s="253"/>
      <c r="K852" s="253"/>
      <c r="L852" s="253"/>
      <c r="M852" s="253"/>
      <c r="N852" s="253"/>
      <c r="O852" s="253"/>
      <c r="P852" s="253"/>
      <c r="Q852" s="253"/>
    </row>
    <row r="853" spans="1:17">
      <c r="A853" s="253"/>
      <c r="B853" s="253"/>
      <c r="C853" s="253"/>
      <c r="D853" s="253"/>
      <c r="E853" s="253"/>
      <c r="F853" s="253"/>
      <c r="G853" s="253"/>
      <c r="H853" s="253"/>
      <c r="I853" s="253"/>
      <c r="J853" s="253"/>
      <c r="K853" s="253"/>
      <c r="L853" s="253"/>
      <c r="M853" s="253"/>
      <c r="N853" s="253"/>
      <c r="O853" s="253"/>
      <c r="P853" s="253"/>
      <c r="Q853" s="253"/>
    </row>
    <row r="854" spans="1:17">
      <c r="A854" s="253"/>
      <c r="B854" s="253"/>
      <c r="C854" s="253"/>
      <c r="D854" s="253"/>
      <c r="E854" s="253"/>
      <c r="F854" s="253"/>
      <c r="G854" s="253"/>
      <c r="H854" s="253"/>
      <c r="I854" s="253"/>
      <c r="J854" s="253"/>
      <c r="K854" s="253"/>
      <c r="L854" s="253"/>
      <c r="M854" s="253"/>
      <c r="N854" s="253"/>
      <c r="O854" s="253"/>
      <c r="P854" s="253"/>
      <c r="Q854" s="253"/>
    </row>
    <row r="855" spans="1:17">
      <c r="A855" s="253"/>
      <c r="B855" s="253"/>
      <c r="C855" s="253"/>
      <c r="D855" s="253"/>
      <c r="E855" s="253"/>
      <c r="F855" s="253"/>
      <c r="G855" s="253"/>
      <c r="H855" s="253"/>
      <c r="I855" s="253"/>
      <c r="J855" s="253"/>
      <c r="K855" s="253"/>
      <c r="L855" s="253"/>
      <c r="M855" s="253"/>
      <c r="N855" s="253"/>
      <c r="O855" s="253"/>
      <c r="P855" s="253"/>
      <c r="Q855" s="253"/>
    </row>
    <row r="856" spans="1:17">
      <c r="A856" s="253"/>
      <c r="B856" s="253"/>
      <c r="C856" s="253"/>
      <c r="D856" s="253"/>
      <c r="E856" s="253"/>
      <c r="F856" s="253"/>
      <c r="G856" s="253"/>
      <c r="H856" s="253"/>
      <c r="I856" s="253"/>
      <c r="J856" s="253"/>
      <c r="K856" s="253"/>
      <c r="L856" s="253"/>
      <c r="M856" s="253"/>
      <c r="N856" s="253"/>
      <c r="O856" s="253"/>
      <c r="P856" s="253"/>
      <c r="Q856" s="253"/>
    </row>
    <row r="857" spans="1:17">
      <c r="A857" s="253"/>
      <c r="B857" s="253"/>
      <c r="C857" s="253"/>
      <c r="D857" s="253"/>
      <c r="E857" s="253"/>
      <c r="F857" s="253"/>
      <c r="G857" s="253"/>
      <c r="H857" s="253"/>
      <c r="I857" s="253"/>
      <c r="J857" s="253"/>
      <c r="K857" s="253"/>
      <c r="L857" s="253"/>
      <c r="M857" s="253"/>
      <c r="N857" s="253"/>
      <c r="O857" s="253"/>
      <c r="P857" s="253"/>
      <c r="Q857" s="253"/>
    </row>
    <row r="858" spans="1:17">
      <c r="A858" s="253"/>
      <c r="B858" s="253"/>
      <c r="C858" s="253"/>
      <c r="D858" s="253"/>
      <c r="E858" s="253"/>
      <c r="F858" s="253"/>
      <c r="G858" s="253"/>
      <c r="H858" s="253"/>
      <c r="I858" s="253"/>
      <c r="J858" s="253"/>
      <c r="K858" s="253"/>
      <c r="L858" s="253"/>
      <c r="M858" s="253"/>
      <c r="N858" s="253"/>
      <c r="O858" s="253"/>
      <c r="P858" s="253"/>
      <c r="Q858" s="253"/>
    </row>
    <row r="859" spans="1:17">
      <c r="A859" s="253"/>
      <c r="B859" s="253"/>
      <c r="C859" s="253"/>
      <c r="D859" s="253"/>
      <c r="E859" s="253"/>
      <c r="F859" s="253"/>
      <c r="G859" s="253"/>
      <c r="H859" s="253"/>
      <c r="I859" s="253"/>
      <c r="J859" s="253"/>
      <c r="K859" s="253"/>
      <c r="L859" s="253"/>
      <c r="M859" s="253"/>
      <c r="N859" s="253"/>
      <c r="O859" s="253"/>
      <c r="P859" s="253"/>
      <c r="Q859" s="253"/>
    </row>
    <row r="860" spans="1:17">
      <c r="A860" s="253"/>
      <c r="B860" s="253"/>
      <c r="C860" s="253"/>
      <c r="D860" s="253"/>
      <c r="E860" s="253"/>
      <c r="F860" s="253"/>
      <c r="G860" s="253"/>
      <c r="H860" s="253"/>
      <c r="I860" s="253"/>
      <c r="J860" s="253"/>
      <c r="K860" s="253"/>
      <c r="L860" s="253"/>
      <c r="M860" s="253"/>
      <c r="N860" s="253"/>
      <c r="O860" s="253"/>
      <c r="P860" s="253"/>
      <c r="Q860" s="253"/>
    </row>
    <row r="861" spans="1:17">
      <c r="A861" s="253"/>
      <c r="B861" s="253"/>
      <c r="C861" s="253"/>
      <c r="D861" s="253"/>
      <c r="E861" s="253"/>
      <c r="F861" s="253"/>
      <c r="G861" s="253"/>
      <c r="H861" s="253"/>
      <c r="I861" s="253"/>
      <c r="J861" s="253"/>
      <c r="K861" s="253"/>
      <c r="L861" s="253"/>
      <c r="M861" s="253"/>
      <c r="N861" s="253"/>
      <c r="O861" s="253"/>
      <c r="P861" s="253"/>
      <c r="Q861" s="253"/>
    </row>
    <row r="862" spans="1:17">
      <c r="A862" s="253"/>
      <c r="B862" s="253"/>
      <c r="C862" s="253"/>
      <c r="D862" s="253"/>
      <c r="E862" s="253"/>
      <c r="F862" s="253"/>
      <c r="G862" s="253"/>
      <c r="H862" s="253"/>
      <c r="I862" s="253"/>
      <c r="J862" s="253"/>
      <c r="K862" s="253"/>
      <c r="L862" s="253"/>
      <c r="M862" s="253"/>
      <c r="N862" s="253"/>
      <c r="O862" s="253"/>
      <c r="P862" s="253"/>
      <c r="Q862" s="253"/>
    </row>
    <row r="863" spans="1:17">
      <c r="A863" s="253"/>
      <c r="B863" s="253"/>
      <c r="C863" s="253"/>
      <c r="D863" s="253"/>
      <c r="E863" s="253"/>
      <c r="F863" s="253"/>
      <c r="G863" s="253"/>
      <c r="H863" s="253"/>
      <c r="I863" s="253"/>
      <c r="J863" s="253"/>
      <c r="K863" s="253"/>
      <c r="L863" s="253"/>
      <c r="M863" s="253"/>
      <c r="N863" s="253"/>
      <c r="O863" s="253"/>
      <c r="P863" s="253"/>
      <c r="Q863" s="253"/>
    </row>
    <row r="864" spans="1:17">
      <c r="A864" s="253"/>
      <c r="B864" s="253"/>
      <c r="C864" s="253"/>
      <c r="D864" s="253"/>
      <c r="E864" s="253"/>
      <c r="F864" s="253"/>
      <c r="G864" s="253"/>
      <c r="H864" s="253"/>
      <c r="I864" s="253"/>
      <c r="J864" s="253"/>
      <c r="K864" s="253"/>
      <c r="L864" s="253"/>
      <c r="M864" s="253"/>
      <c r="N864" s="253"/>
      <c r="O864" s="253"/>
      <c r="P864" s="253"/>
      <c r="Q864" s="253"/>
    </row>
    <row r="865" spans="1:17">
      <c r="A865" s="253"/>
      <c r="B865" s="253"/>
      <c r="C865" s="253"/>
      <c r="D865" s="253"/>
      <c r="E865" s="253"/>
      <c r="F865" s="253"/>
      <c r="G865" s="253"/>
      <c r="H865" s="253"/>
      <c r="I865" s="253"/>
      <c r="J865" s="253"/>
      <c r="K865" s="253"/>
      <c r="L865" s="253"/>
      <c r="M865" s="253"/>
      <c r="N865" s="253"/>
      <c r="O865" s="253"/>
      <c r="P865" s="253"/>
      <c r="Q865" s="253"/>
    </row>
    <row r="866" spans="1:17">
      <c r="A866" s="253"/>
      <c r="B866" s="253"/>
      <c r="C866" s="253"/>
      <c r="D866" s="253"/>
      <c r="E866" s="253"/>
      <c r="F866" s="253"/>
      <c r="G866" s="253"/>
      <c r="H866" s="253"/>
      <c r="I866" s="253"/>
      <c r="J866" s="253"/>
      <c r="K866" s="253"/>
      <c r="L866" s="253"/>
      <c r="M866" s="253"/>
      <c r="N866" s="253"/>
      <c r="O866" s="253"/>
      <c r="P866" s="253"/>
      <c r="Q866" s="253"/>
    </row>
    <row r="867" spans="1:17">
      <c r="A867" s="253"/>
      <c r="B867" s="253"/>
      <c r="C867" s="253"/>
      <c r="D867" s="253"/>
      <c r="E867" s="253"/>
      <c r="F867" s="253"/>
      <c r="G867" s="253"/>
      <c r="H867" s="253"/>
      <c r="I867" s="253"/>
      <c r="J867" s="253"/>
      <c r="K867" s="253"/>
      <c r="L867" s="253"/>
      <c r="M867" s="253"/>
      <c r="N867" s="253"/>
      <c r="O867" s="253"/>
      <c r="P867" s="253"/>
      <c r="Q867" s="253"/>
    </row>
    <row r="868" spans="1:17">
      <c r="A868" s="253"/>
      <c r="B868" s="253"/>
      <c r="C868" s="253"/>
      <c r="D868" s="253"/>
      <c r="E868" s="253"/>
      <c r="F868" s="253"/>
      <c r="G868" s="253"/>
      <c r="H868" s="253"/>
      <c r="I868" s="253"/>
      <c r="J868" s="253"/>
      <c r="K868" s="253"/>
      <c r="L868" s="253"/>
      <c r="M868" s="253"/>
      <c r="N868" s="253"/>
      <c r="O868" s="253"/>
      <c r="P868" s="253"/>
      <c r="Q868" s="253"/>
    </row>
    <row r="869" spans="1:17">
      <c r="A869" s="253"/>
      <c r="B869" s="253"/>
      <c r="C869" s="253"/>
      <c r="D869" s="253"/>
      <c r="E869" s="253"/>
      <c r="F869" s="253"/>
      <c r="G869" s="253"/>
      <c r="H869" s="253"/>
      <c r="I869" s="253"/>
      <c r="J869" s="253"/>
      <c r="K869" s="253"/>
      <c r="L869" s="253"/>
      <c r="M869" s="253"/>
      <c r="N869" s="253"/>
      <c r="O869" s="253"/>
      <c r="P869" s="253"/>
      <c r="Q869" s="253"/>
    </row>
    <row r="870" spans="1:17">
      <c r="A870" s="253"/>
      <c r="B870" s="253"/>
      <c r="C870" s="253"/>
      <c r="D870" s="253"/>
      <c r="E870" s="253"/>
      <c r="F870" s="253"/>
      <c r="G870" s="253"/>
      <c r="H870" s="253"/>
      <c r="I870" s="253"/>
      <c r="J870" s="253"/>
      <c r="K870" s="253"/>
      <c r="L870" s="253"/>
      <c r="M870" s="253"/>
      <c r="N870" s="253"/>
      <c r="O870" s="253"/>
      <c r="P870" s="253"/>
      <c r="Q870" s="253"/>
    </row>
    <row r="871" spans="1:17">
      <c r="A871" s="253"/>
      <c r="B871" s="253"/>
      <c r="C871" s="253"/>
      <c r="D871" s="253"/>
      <c r="E871" s="253"/>
      <c r="F871" s="253"/>
      <c r="G871" s="253"/>
      <c r="H871" s="253"/>
      <c r="I871" s="253"/>
      <c r="J871" s="253"/>
      <c r="K871" s="253"/>
      <c r="L871" s="253"/>
      <c r="M871" s="253"/>
      <c r="N871" s="253"/>
      <c r="O871" s="253"/>
      <c r="P871" s="253"/>
      <c r="Q871" s="253"/>
    </row>
    <row r="872" spans="1:17">
      <c r="A872" s="253"/>
      <c r="B872" s="253"/>
      <c r="C872" s="253"/>
      <c r="D872" s="253"/>
      <c r="E872" s="253"/>
      <c r="F872" s="253"/>
      <c r="G872" s="253"/>
      <c r="H872" s="253"/>
      <c r="I872" s="253"/>
      <c r="J872" s="253"/>
      <c r="K872" s="253"/>
      <c r="L872" s="253"/>
      <c r="M872" s="253"/>
      <c r="N872" s="253"/>
      <c r="O872" s="253"/>
      <c r="P872" s="253"/>
      <c r="Q872" s="253"/>
    </row>
    <row r="873" spans="1:17">
      <c r="A873" s="253"/>
      <c r="B873" s="253"/>
      <c r="C873" s="253"/>
      <c r="D873" s="253"/>
      <c r="E873" s="253"/>
      <c r="F873" s="253"/>
      <c r="G873" s="253"/>
      <c r="H873" s="253"/>
      <c r="I873" s="253"/>
      <c r="J873" s="253"/>
      <c r="K873" s="253"/>
      <c r="L873" s="253"/>
      <c r="M873" s="253"/>
      <c r="N873" s="253"/>
      <c r="O873" s="253"/>
      <c r="P873" s="253"/>
      <c r="Q873" s="253"/>
    </row>
    <row r="874" spans="1:17">
      <c r="A874" s="253"/>
      <c r="B874" s="253"/>
      <c r="C874" s="253"/>
      <c r="D874" s="253"/>
      <c r="E874" s="253"/>
      <c r="F874" s="253"/>
      <c r="G874" s="253"/>
      <c r="H874" s="253"/>
      <c r="I874" s="253"/>
      <c r="J874" s="253"/>
      <c r="K874" s="253"/>
      <c r="L874" s="253"/>
      <c r="M874" s="253"/>
      <c r="N874" s="253"/>
      <c r="O874" s="253"/>
      <c r="P874" s="253"/>
      <c r="Q874" s="253"/>
    </row>
    <row r="875" spans="1:17">
      <c r="A875" s="253"/>
      <c r="B875" s="253"/>
      <c r="C875" s="253"/>
      <c r="D875" s="253"/>
      <c r="E875" s="253"/>
      <c r="F875" s="253"/>
      <c r="G875" s="253"/>
      <c r="H875" s="253"/>
      <c r="I875" s="253"/>
      <c r="J875" s="253"/>
      <c r="K875" s="253"/>
      <c r="L875" s="253"/>
      <c r="M875" s="253"/>
      <c r="N875" s="253"/>
      <c r="O875" s="253"/>
      <c r="P875" s="253"/>
      <c r="Q875" s="253"/>
    </row>
    <row r="876" spans="1:17">
      <c r="A876" s="253"/>
      <c r="B876" s="253"/>
      <c r="C876" s="253"/>
      <c r="D876" s="253"/>
      <c r="E876" s="253"/>
      <c r="F876" s="253"/>
      <c r="G876" s="253"/>
      <c r="H876" s="253"/>
      <c r="I876" s="253"/>
      <c r="J876" s="253"/>
      <c r="K876" s="253"/>
      <c r="L876" s="253"/>
      <c r="M876" s="253"/>
      <c r="N876" s="253"/>
      <c r="O876" s="253"/>
      <c r="P876" s="253"/>
      <c r="Q876" s="253"/>
    </row>
    <row r="877" spans="1:17">
      <c r="A877" s="253"/>
      <c r="B877" s="253"/>
      <c r="C877" s="253"/>
      <c r="D877" s="253"/>
      <c r="E877" s="253"/>
      <c r="F877" s="253"/>
      <c r="G877" s="253"/>
      <c r="H877" s="253"/>
      <c r="I877" s="253"/>
      <c r="J877" s="253"/>
      <c r="K877" s="253"/>
      <c r="L877" s="253"/>
      <c r="M877" s="253"/>
      <c r="N877" s="253"/>
      <c r="O877" s="253"/>
      <c r="P877" s="253"/>
      <c r="Q877" s="253"/>
    </row>
    <row r="878" spans="1:17">
      <c r="A878" s="253"/>
      <c r="B878" s="253"/>
      <c r="C878" s="253"/>
      <c r="D878" s="253"/>
      <c r="E878" s="253"/>
      <c r="F878" s="253"/>
      <c r="G878" s="253"/>
      <c r="H878" s="253"/>
      <c r="I878" s="253"/>
      <c r="J878" s="253"/>
      <c r="K878" s="253"/>
      <c r="L878" s="253"/>
      <c r="M878" s="253"/>
      <c r="N878" s="253"/>
      <c r="O878" s="253"/>
      <c r="P878" s="253"/>
      <c r="Q878" s="253"/>
    </row>
    <row r="879" spans="1:17">
      <c r="A879" s="253"/>
      <c r="B879" s="253"/>
      <c r="C879" s="253"/>
      <c r="D879" s="253"/>
      <c r="E879" s="253"/>
      <c r="F879" s="253"/>
      <c r="G879" s="253"/>
      <c r="H879" s="253"/>
      <c r="I879" s="253"/>
      <c r="J879" s="253"/>
      <c r="K879" s="253"/>
      <c r="L879" s="253"/>
      <c r="M879" s="253"/>
      <c r="N879" s="253"/>
      <c r="O879" s="253"/>
      <c r="P879" s="253"/>
      <c r="Q879" s="253"/>
    </row>
    <row r="880" spans="1:17">
      <c r="A880" s="253"/>
      <c r="B880" s="253"/>
      <c r="C880" s="253"/>
      <c r="D880" s="253"/>
      <c r="E880" s="253"/>
      <c r="F880" s="253"/>
      <c r="G880" s="253"/>
      <c r="H880" s="253"/>
      <c r="I880" s="253"/>
      <c r="J880" s="253"/>
      <c r="K880" s="253"/>
      <c r="L880" s="253"/>
      <c r="M880" s="253"/>
      <c r="N880" s="253"/>
      <c r="O880" s="253"/>
      <c r="P880" s="253"/>
      <c r="Q880" s="253"/>
    </row>
    <row r="881" spans="1:17">
      <c r="A881" s="253"/>
      <c r="B881" s="253"/>
      <c r="C881" s="253"/>
      <c r="D881" s="253"/>
      <c r="E881" s="253"/>
      <c r="F881" s="253"/>
      <c r="G881" s="253"/>
      <c r="H881" s="253"/>
      <c r="I881" s="253"/>
      <c r="J881" s="253"/>
      <c r="K881" s="253"/>
      <c r="L881" s="253"/>
      <c r="M881" s="253"/>
      <c r="N881" s="253"/>
      <c r="O881" s="253"/>
      <c r="P881" s="253"/>
      <c r="Q881" s="253"/>
    </row>
    <row r="882" spans="1:17">
      <c r="A882" s="253"/>
      <c r="B882" s="253"/>
      <c r="C882" s="253"/>
      <c r="D882" s="253"/>
      <c r="E882" s="253"/>
      <c r="F882" s="253"/>
      <c r="G882" s="253"/>
      <c r="H882" s="253"/>
      <c r="I882" s="253"/>
      <c r="J882" s="253"/>
      <c r="K882" s="253"/>
      <c r="L882" s="253"/>
      <c r="M882" s="253"/>
      <c r="N882" s="253"/>
      <c r="O882" s="253"/>
      <c r="P882" s="253"/>
      <c r="Q882" s="253"/>
    </row>
    <row r="883" spans="1:17">
      <c r="A883" s="253"/>
      <c r="B883" s="253"/>
      <c r="C883" s="253"/>
      <c r="D883" s="253"/>
      <c r="E883" s="253"/>
      <c r="F883" s="253"/>
      <c r="G883" s="253"/>
      <c r="H883" s="253"/>
      <c r="I883" s="253"/>
      <c r="J883" s="253"/>
      <c r="K883" s="253"/>
      <c r="L883" s="253"/>
      <c r="M883" s="253"/>
      <c r="N883" s="253"/>
      <c r="O883" s="253"/>
      <c r="P883" s="253"/>
      <c r="Q883" s="253"/>
    </row>
    <row r="884" spans="1:17">
      <c r="A884" s="253"/>
      <c r="B884" s="253"/>
      <c r="C884" s="253"/>
      <c r="D884" s="253"/>
      <c r="E884" s="253"/>
      <c r="F884" s="253"/>
      <c r="G884" s="253"/>
      <c r="H884" s="253"/>
      <c r="I884" s="253"/>
      <c r="J884" s="253"/>
      <c r="K884" s="253"/>
      <c r="L884" s="253"/>
      <c r="M884" s="253"/>
      <c r="N884" s="253"/>
      <c r="O884" s="253"/>
      <c r="P884" s="253"/>
      <c r="Q884" s="253"/>
    </row>
    <row r="885" spans="1:17">
      <c r="A885" s="253"/>
      <c r="B885" s="253"/>
      <c r="C885" s="253"/>
      <c r="D885" s="253"/>
      <c r="E885" s="253"/>
      <c r="F885" s="253"/>
      <c r="G885" s="253"/>
      <c r="H885" s="253"/>
      <c r="I885" s="253"/>
      <c r="J885" s="253"/>
      <c r="K885" s="253"/>
      <c r="L885" s="253"/>
      <c r="M885" s="253"/>
      <c r="N885" s="253"/>
      <c r="O885" s="253"/>
      <c r="P885" s="253"/>
      <c r="Q885" s="253"/>
    </row>
    <row r="886" spans="1:17">
      <c r="A886" s="253"/>
      <c r="B886" s="253"/>
      <c r="C886" s="253"/>
      <c r="D886" s="253"/>
      <c r="E886" s="253"/>
      <c r="F886" s="253"/>
      <c r="G886" s="253"/>
      <c r="H886" s="253"/>
      <c r="I886" s="253"/>
      <c r="J886" s="253"/>
      <c r="K886" s="253"/>
      <c r="L886" s="253"/>
      <c r="M886" s="253"/>
      <c r="N886" s="253"/>
      <c r="O886" s="253"/>
      <c r="P886" s="253"/>
      <c r="Q886" s="253"/>
    </row>
    <row r="887" spans="1:17">
      <c r="A887" s="253"/>
      <c r="B887" s="253"/>
      <c r="C887" s="253"/>
      <c r="D887" s="253"/>
      <c r="E887" s="253"/>
      <c r="F887" s="253"/>
      <c r="G887" s="253"/>
      <c r="H887" s="253"/>
      <c r="I887" s="253"/>
      <c r="J887" s="253"/>
      <c r="K887" s="253"/>
      <c r="L887" s="253"/>
      <c r="M887" s="253"/>
      <c r="N887" s="253"/>
      <c r="O887" s="253"/>
      <c r="P887" s="253"/>
      <c r="Q887" s="253"/>
    </row>
    <row r="888" spans="1:17">
      <c r="A888" s="253"/>
      <c r="B888" s="253"/>
      <c r="C888" s="253"/>
      <c r="D888" s="253"/>
      <c r="E888" s="253"/>
      <c r="F888" s="253"/>
      <c r="G888" s="253"/>
      <c r="H888" s="253"/>
      <c r="I888" s="253"/>
      <c r="J888" s="253"/>
      <c r="K888" s="253"/>
      <c r="L888" s="253"/>
      <c r="M888" s="253"/>
      <c r="N888" s="253"/>
      <c r="O888" s="253"/>
      <c r="P888" s="253"/>
      <c r="Q888" s="253"/>
    </row>
    <row r="889" spans="1:17">
      <c r="A889" s="253"/>
      <c r="B889" s="253"/>
      <c r="C889" s="253"/>
      <c r="D889" s="253"/>
      <c r="E889" s="253"/>
      <c r="F889" s="253"/>
      <c r="G889" s="253"/>
      <c r="H889" s="253"/>
      <c r="I889" s="253"/>
      <c r="J889" s="253"/>
      <c r="K889" s="253"/>
      <c r="L889" s="253"/>
      <c r="M889" s="253"/>
      <c r="N889" s="253"/>
      <c r="O889" s="253"/>
      <c r="P889" s="253"/>
      <c r="Q889" s="253"/>
    </row>
    <row r="890" spans="1:17">
      <c r="A890" s="253"/>
      <c r="B890" s="253"/>
      <c r="C890" s="253"/>
      <c r="D890" s="253"/>
      <c r="E890" s="253"/>
      <c r="F890" s="253"/>
      <c r="G890" s="253"/>
      <c r="H890" s="253"/>
      <c r="I890" s="253"/>
      <c r="J890" s="253"/>
      <c r="K890" s="253"/>
      <c r="L890" s="253"/>
      <c r="M890" s="253"/>
      <c r="N890" s="253"/>
      <c r="O890" s="253"/>
      <c r="P890" s="253"/>
      <c r="Q890" s="253"/>
    </row>
    <row r="891" spans="1:17">
      <c r="A891" s="253"/>
      <c r="B891" s="253"/>
      <c r="C891" s="253"/>
      <c r="D891" s="253"/>
      <c r="E891" s="253"/>
      <c r="F891" s="253"/>
      <c r="G891" s="253"/>
      <c r="H891" s="253"/>
      <c r="I891" s="253"/>
      <c r="J891" s="253"/>
      <c r="K891" s="253"/>
      <c r="L891" s="253"/>
      <c r="M891" s="253"/>
      <c r="N891" s="253"/>
      <c r="O891" s="253"/>
      <c r="P891" s="253"/>
      <c r="Q891" s="253"/>
    </row>
    <row r="892" spans="1:17">
      <c r="A892" s="253"/>
      <c r="B892" s="253"/>
      <c r="C892" s="253"/>
      <c r="D892" s="253"/>
      <c r="E892" s="253"/>
      <c r="F892" s="253"/>
      <c r="G892" s="253"/>
      <c r="H892" s="253"/>
      <c r="I892" s="253"/>
      <c r="J892" s="253"/>
      <c r="K892" s="253"/>
      <c r="L892" s="253"/>
      <c r="M892" s="253"/>
      <c r="N892" s="253"/>
      <c r="O892" s="253"/>
      <c r="P892" s="253"/>
      <c r="Q892" s="253"/>
    </row>
    <row r="893" spans="1:17">
      <c r="A893" s="253"/>
      <c r="B893" s="253"/>
      <c r="C893" s="253"/>
      <c r="D893" s="253"/>
      <c r="E893" s="253"/>
      <c r="F893" s="253"/>
      <c r="G893" s="253"/>
      <c r="H893" s="253"/>
      <c r="I893" s="253"/>
      <c r="J893" s="253"/>
      <c r="K893" s="253"/>
      <c r="L893" s="253"/>
      <c r="M893" s="253"/>
      <c r="N893" s="253"/>
      <c r="O893" s="253"/>
      <c r="P893" s="253"/>
      <c r="Q893" s="253"/>
    </row>
    <row r="894" spans="1:17">
      <c r="A894" s="253"/>
      <c r="B894" s="253"/>
      <c r="C894" s="253"/>
      <c r="D894" s="253"/>
      <c r="E894" s="253"/>
      <c r="F894" s="253"/>
      <c r="G894" s="253"/>
      <c r="H894" s="253"/>
      <c r="I894" s="253"/>
      <c r="J894" s="253"/>
      <c r="K894" s="253"/>
      <c r="L894" s="253"/>
      <c r="M894" s="253"/>
      <c r="N894" s="253"/>
      <c r="O894" s="253"/>
      <c r="P894" s="253"/>
      <c r="Q894" s="253"/>
    </row>
    <row r="895" spans="1:17">
      <c r="A895" s="253"/>
      <c r="B895" s="253"/>
      <c r="C895" s="253"/>
      <c r="D895" s="253"/>
      <c r="E895" s="253"/>
      <c r="F895" s="253"/>
      <c r="G895" s="253"/>
      <c r="H895" s="253"/>
      <c r="I895" s="253"/>
      <c r="J895" s="253"/>
      <c r="K895" s="253"/>
      <c r="L895" s="253"/>
      <c r="M895" s="253"/>
      <c r="N895" s="253"/>
      <c r="O895" s="253"/>
      <c r="P895" s="253"/>
      <c r="Q895" s="253"/>
    </row>
    <row r="896" spans="1:17">
      <c r="A896" s="253"/>
      <c r="B896" s="253"/>
      <c r="C896" s="253"/>
      <c r="D896" s="253"/>
      <c r="E896" s="253"/>
      <c r="F896" s="253"/>
      <c r="G896" s="253"/>
      <c r="H896" s="253"/>
      <c r="I896" s="253"/>
      <c r="J896" s="253"/>
      <c r="K896" s="253"/>
      <c r="L896" s="253"/>
      <c r="M896" s="253"/>
      <c r="N896" s="253"/>
      <c r="O896" s="253"/>
      <c r="P896" s="253"/>
      <c r="Q896" s="253"/>
    </row>
    <row r="897" spans="1:17">
      <c r="A897" s="253"/>
      <c r="B897" s="253"/>
      <c r="C897" s="253"/>
      <c r="D897" s="253"/>
      <c r="E897" s="253"/>
      <c r="F897" s="253"/>
      <c r="G897" s="253"/>
      <c r="H897" s="253"/>
      <c r="I897" s="253"/>
      <c r="J897" s="253"/>
      <c r="K897" s="253"/>
      <c r="L897" s="253"/>
      <c r="M897" s="253"/>
      <c r="N897" s="253"/>
      <c r="O897" s="253"/>
      <c r="P897" s="253"/>
      <c r="Q897" s="253"/>
    </row>
    <row r="898" spans="1:17">
      <c r="A898" s="253"/>
      <c r="B898" s="253"/>
      <c r="C898" s="253"/>
      <c r="D898" s="253"/>
      <c r="E898" s="253"/>
      <c r="F898" s="253"/>
      <c r="G898" s="253"/>
      <c r="H898" s="253"/>
      <c r="I898" s="253"/>
      <c r="J898" s="253"/>
      <c r="K898" s="253"/>
      <c r="L898" s="253"/>
      <c r="M898" s="253"/>
      <c r="N898" s="253"/>
      <c r="O898" s="253"/>
      <c r="P898" s="253"/>
      <c r="Q898" s="253"/>
    </row>
    <row r="899" spans="1:17">
      <c r="A899" s="253"/>
      <c r="B899" s="253"/>
      <c r="C899" s="253"/>
      <c r="D899" s="253"/>
      <c r="E899" s="253"/>
      <c r="F899" s="253"/>
      <c r="G899" s="253"/>
      <c r="H899" s="253"/>
      <c r="I899" s="253"/>
      <c r="J899" s="253"/>
      <c r="K899" s="253"/>
      <c r="L899" s="253"/>
      <c r="M899" s="253"/>
      <c r="N899" s="253"/>
      <c r="O899" s="253"/>
      <c r="P899" s="253"/>
      <c r="Q899" s="253"/>
    </row>
    <row r="900" spans="1:17">
      <c r="A900" s="253"/>
      <c r="B900" s="253"/>
      <c r="C900" s="253"/>
      <c r="D900" s="253"/>
      <c r="E900" s="253"/>
      <c r="F900" s="253"/>
      <c r="G900" s="253"/>
      <c r="H900" s="253"/>
      <c r="I900" s="253"/>
      <c r="J900" s="253"/>
      <c r="K900" s="253"/>
      <c r="L900" s="253"/>
      <c r="M900" s="253"/>
      <c r="N900" s="253"/>
      <c r="O900" s="253"/>
      <c r="P900" s="253"/>
      <c r="Q900" s="253"/>
    </row>
    <row r="901" spans="1:17">
      <c r="A901" s="253"/>
      <c r="B901" s="253"/>
      <c r="C901" s="253"/>
      <c r="D901" s="253"/>
      <c r="E901" s="253"/>
      <c r="F901" s="253"/>
      <c r="G901" s="253"/>
      <c r="H901" s="253"/>
      <c r="I901" s="253"/>
      <c r="J901" s="253"/>
      <c r="K901" s="253"/>
      <c r="L901" s="253"/>
      <c r="M901" s="253"/>
      <c r="N901" s="253"/>
      <c r="O901" s="253"/>
      <c r="P901" s="253"/>
      <c r="Q901" s="253"/>
    </row>
    <row r="902" spans="1:17">
      <c r="A902" s="253"/>
      <c r="B902" s="253"/>
      <c r="C902" s="253"/>
      <c r="D902" s="253"/>
      <c r="E902" s="253"/>
      <c r="F902" s="253"/>
      <c r="G902" s="253"/>
      <c r="H902" s="253"/>
      <c r="I902" s="253"/>
      <c r="J902" s="253"/>
      <c r="K902" s="253"/>
      <c r="L902" s="253"/>
      <c r="M902" s="253"/>
      <c r="N902" s="253"/>
      <c r="O902" s="253"/>
      <c r="P902" s="253"/>
      <c r="Q902" s="253"/>
    </row>
    <row r="903" spans="1:17">
      <c r="A903" s="253"/>
      <c r="B903" s="253"/>
      <c r="C903" s="253"/>
      <c r="D903" s="253"/>
      <c r="E903" s="253"/>
      <c r="F903" s="253"/>
      <c r="G903" s="253"/>
      <c r="H903" s="253"/>
      <c r="I903" s="253"/>
      <c r="J903" s="253"/>
      <c r="K903" s="253"/>
      <c r="L903" s="253"/>
      <c r="M903" s="253"/>
      <c r="N903" s="253"/>
      <c r="O903" s="253"/>
      <c r="P903" s="253"/>
      <c r="Q903" s="253"/>
    </row>
    <row r="904" spans="1:17">
      <c r="A904" s="253"/>
      <c r="B904" s="253"/>
      <c r="C904" s="253"/>
      <c r="D904" s="253"/>
      <c r="E904" s="253"/>
      <c r="F904" s="253"/>
      <c r="G904" s="253"/>
      <c r="H904" s="253"/>
      <c r="I904" s="253"/>
      <c r="J904" s="253"/>
      <c r="K904" s="253"/>
      <c r="L904" s="253"/>
      <c r="M904" s="253"/>
      <c r="N904" s="253"/>
      <c r="O904" s="253"/>
      <c r="P904" s="253"/>
      <c r="Q904" s="253"/>
    </row>
    <row r="905" spans="1:17">
      <c r="A905" s="253"/>
      <c r="B905" s="253"/>
      <c r="C905" s="253"/>
      <c r="D905" s="253"/>
      <c r="E905" s="253"/>
      <c r="F905" s="253"/>
      <c r="G905" s="253"/>
      <c r="H905" s="253"/>
      <c r="I905" s="253"/>
      <c r="J905" s="253"/>
      <c r="K905" s="253"/>
      <c r="L905" s="253"/>
      <c r="M905" s="253"/>
      <c r="N905" s="253"/>
      <c r="O905" s="253"/>
      <c r="P905" s="253"/>
      <c r="Q905" s="253"/>
    </row>
    <row r="906" spans="1:17">
      <c r="A906" s="253"/>
      <c r="B906" s="253"/>
      <c r="C906" s="253"/>
      <c r="D906" s="253"/>
      <c r="E906" s="253"/>
      <c r="F906" s="253"/>
      <c r="G906" s="253"/>
      <c r="H906" s="253"/>
      <c r="I906" s="253"/>
      <c r="J906" s="253"/>
      <c r="K906" s="253"/>
      <c r="L906" s="253"/>
      <c r="M906" s="253"/>
      <c r="N906" s="253"/>
      <c r="O906" s="253"/>
      <c r="P906" s="253"/>
      <c r="Q906" s="253"/>
    </row>
    <row r="907" spans="1:17">
      <c r="A907" s="253"/>
      <c r="B907" s="253"/>
      <c r="C907" s="253"/>
      <c r="D907" s="253"/>
      <c r="E907" s="253"/>
      <c r="F907" s="253"/>
      <c r="G907" s="253"/>
      <c r="H907" s="253"/>
      <c r="I907" s="253"/>
      <c r="J907" s="253"/>
      <c r="K907" s="253"/>
      <c r="L907" s="253"/>
      <c r="M907" s="253"/>
      <c r="N907" s="253"/>
      <c r="O907" s="253"/>
      <c r="P907" s="253"/>
      <c r="Q907" s="253"/>
    </row>
    <row r="908" spans="1:17">
      <c r="A908" s="253"/>
      <c r="B908" s="253"/>
      <c r="C908" s="253"/>
      <c r="D908" s="253"/>
      <c r="E908" s="253"/>
      <c r="F908" s="253"/>
      <c r="G908" s="253"/>
      <c r="H908" s="253"/>
      <c r="I908" s="253"/>
      <c r="J908" s="253"/>
      <c r="K908" s="253"/>
      <c r="L908" s="253"/>
      <c r="M908" s="253"/>
      <c r="N908" s="253"/>
      <c r="O908" s="253"/>
      <c r="P908" s="253"/>
      <c r="Q908" s="253"/>
    </row>
    <row r="909" spans="1:17">
      <c r="A909" s="253"/>
      <c r="B909" s="253"/>
      <c r="C909" s="253"/>
      <c r="D909" s="253"/>
      <c r="E909" s="253"/>
      <c r="F909" s="253"/>
      <c r="G909" s="253"/>
      <c r="H909" s="253"/>
      <c r="I909" s="253"/>
      <c r="J909" s="253"/>
      <c r="K909" s="253"/>
      <c r="L909" s="253"/>
      <c r="M909" s="253"/>
      <c r="N909" s="253"/>
      <c r="O909" s="253"/>
      <c r="P909" s="253"/>
      <c r="Q909" s="253"/>
    </row>
    <row r="910" spans="1:17">
      <c r="A910" s="253"/>
      <c r="B910" s="253"/>
      <c r="C910" s="253"/>
      <c r="D910" s="253"/>
      <c r="E910" s="253"/>
      <c r="F910" s="253"/>
      <c r="G910" s="253"/>
      <c r="H910" s="253"/>
      <c r="I910" s="253"/>
      <c r="J910" s="253"/>
      <c r="K910" s="253"/>
      <c r="L910" s="253"/>
      <c r="M910" s="253"/>
      <c r="N910" s="253"/>
      <c r="O910" s="253"/>
      <c r="P910" s="253"/>
      <c r="Q910" s="253"/>
    </row>
    <row r="911" spans="1:17">
      <c r="A911" s="253"/>
      <c r="B911" s="253"/>
      <c r="C911" s="253"/>
      <c r="D911" s="253"/>
      <c r="E911" s="253"/>
      <c r="F911" s="253"/>
      <c r="G911" s="253"/>
      <c r="H911" s="253"/>
      <c r="I911" s="253"/>
      <c r="J911" s="253"/>
      <c r="K911" s="253"/>
      <c r="L911" s="253"/>
      <c r="M911" s="253"/>
      <c r="N911" s="253"/>
      <c r="O911" s="253"/>
      <c r="P911" s="253"/>
      <c r="Q911" s="253"/>
    </row>
    <row r="912" spans="1:17">
      <c r="A912" s="253"/>
      <c r="B912" s="253"/>
      <c r="C912" s="253"/>
      <c r="D912" s="253"/>
      <c r="E912" s="253"/>
      <c r="F912" s="253"/>
      <c r="G912" s="253"/>
      <c r="H912" s="253"/>
      <c r="I912" s="253"/>
      <c r="J912" s="253"/>
      <c r="K912" s="253"/>
      <c r="L912" s="253"/>
      <c r="M912" s="253"/>
      <c r="N912" s="253"/>
      <c r="O912" s="253"/>
      <c r="P912" s="253"/>
      <c r="Q912" s="253"/>
    </row>
    <row r="913" spans="1:17">
      <c r="A913" s="253"/>
      <c r="B913" s="253"/>
      <c r="C913" s="253"/>
      <c r="D913" s="253"/>
      <c r="E913" s="253"/>
      <c r="F913" s="253"/>
      <c r="G913" s="253"/>
      <c r="H913" s="253"/>
      <c r="I913" s="253"/>
      <c r="J913" s="253"/>
      <c r="K913" s="253"/>
      <c r="L913" s="253"/>
      <c r="M913" s="253"/>
      <c r="N913" s="253"/>
      <c r="O913" s="253"/>
      <c r="P913" s="253"/>
      <c r="Q913" s="253"/>
    </row>
    <row r="914" spans="1:17">
      <c r="A914" s="253"/>
      <c r="B914" s="253"/>
      <c r="C914" s="253"/>
      <c r="D914" s="253"/>
      <c r="E914" s="253"/>
      <c r="F914" s="253"/>
      <c r="G914" s="253"/>
      <c r="H914" s="253"/>
      <c r="I914" s="253"/>
      <c r="J914" s="253"/>
      <c r="K914" s="253"/>
      <c r="L914" s="253"/>
      <c r="M914" s="253"/>
      <c r="N914" s="253"/>
      <c r="O914" s="253"/>
      <c r="P914" s="253"/>
      <c r="Q914" s="253"/>
    </row>
    <row r="915" spans="1:17">
      <c r="A915" s="253"/>
      <c r="B915" s="253"/>
      <c r="C915" s="253"/>
      <c r="D915" s="253"/>
      <c r="E915" s="253"/>
      <c r="F915" s="253"/>
      <c r="G915" s="253"/>
      <c r="H915" s="253"/>
      <c r="I915" s="253"/>
      <c r="J915" s="253"/>
      <c r="K915" s="253"/>
      <c r="L915" s="253"/>
      <c r="M915" s="253"/>
      <c r="N915" s="253"/>
      <c r="O915" s="253"/>
      <c r="P915" s="253"/>
      <c r="Q915" s="253"/>
    </row>
    <row r="916" spans="1:17">
      <c r="A916" s="253"/>
      <c r="B916" s="253"/>
      <c r="C916" s="253"/>
      <c r="D916" s="253"/>
      <c r="E916" s="253"/>
      <c r="F916" s="253"/>
      <c r="G916" s="253"/>
      <c r="H916" s="253"/>
      <c r="I916" s="253"/>
      <c r="J916" s="253"/>
      <c r="K916" s="253"/>
      <c r="L916" s="253"/>
      <c r="M916" s="253"/>
      <c r="N916" s="253"/>
      <c r="O916" s="253"/>
      <c r="P916" s="253"/>
      <c r="Q916" s="253"/>
    </row>
    <row r="917" spans="1:17">
      <c r="A917" s="253"/>
      <c r="B917" s="253"/>
      <c r="C917" s="253"/>
      <c r="D917" s="253"/>
      <c r="E917" s="253"/>
      <c r="F917" s="253"/>
      <c r="G917" s="253"/>
      <c r="H917" s="253"/>
      <c r="I917" s="253"/>
      <c r="J917" s="253"/>
      <c r="K917" s="253"/>
      <c r="L917" s="253"/>
      <c r="M917" s="253"/>
      <c r="N917" s="253"/>
      <c r="O917" s="253"/>
      <c r="P917" s="253"/>
      <c r="Q917" s="253"/>
    </row>
    <row r="918" spans="1:17">
      <c r="A918" s="253"/>
      <c r="B918" s="253"/>
      <c r="C918" s="253"/>
      <c r="D918" s="253"/>
      <c r="E918" s="253"/>
      <c r="F918" s="253"/>
      <c r="G918" s="253"/>
      <c r="H918" s="253"/>
      <c r="I918" s="253"/>
      <c r="J918" s="253"/>
      <c r="K918" s="253"/>
      <c r="L918" s="253"/>
      <c r="M918" s="253"/>
      <c r="N918" s="253"/>
      <c r="O918" s="253"/>
      <c r="P918" s="253"/>
      <c r="Q918" s="253"/>
    </row>
    <row r="919" spans="1:17">
      <c r="A919" s="253"/>
      <c r="B919" s="253"/>
      <c r="C919" s="253"/>
      <c r="D919" s="253"/>
      <c r="E919" s="253"/>
      <c r="F919" s="253"/>
      <c r="G919" s="253"/>
      <c r="H919" s="253"/>
      <c r="I919" s="253"/>
      <c r="J919" s="253"/>
      <c r="K919" s="253"/>
      <c r="L919" s="253"/>
      <c r="M919" s="253"/>
      <c r="N919" s="253"/>
      <c r="O919" s="253"/>
      <c r="P919" s="253"/>
      <c r="Q919" s="253"/>
    </row>
    <row r="920" spans="1:17">
      <c r="A920" s="253"/>
      <c r="B920" s="253"/>
      <c r="C920" s="253"/>
      <c r="D920" s="253"/>
      <c r="E920" s="253"/>
      <c r="F920" s="253"/>
      <c r="G920" s="253"/>
      <c r="H920" s="253"/>
      <c r="I920" s="253"/>
      <c r="J920" s="253"/>
      <c r="K920" s="253"/>
      <c r="L920" s="253"/>
      <c r="M920" s="253"/>
      <c r="N920" s="253"/>
      <c r="O920" s="253"/>
      <c r="P920" s="253"/>
      <c r="Q920" s="253"/>
    </row>
    <row r="921" spans="1:17">
      <c r="A921" s="253"/>
      <c r="B921" s="253"/>
      <c r="C921" s="253"/>
      <c r="D921" s="253"/>
      <c r="E921" s="253"/>
      <c r="F921" s="253"/>
      <c r="G921" s="253"/>
      <c r="H921" s="253"/>
      <c r="I921" s="253"/>
      <c r="J921" s="253"/>
      <c r="K921" s="253"/>
      <c r="L921" s="253"/>
      <c r="M921" s="253"/>
      <c r="N921" s="253"/>
      <c r="O921" s="253"/>
      <c r="P921" s="253"/>
      <c r="Q921" s="253"/>
    </row>
    <row r="922" spans="1:17">
      <c r="A922" s="253"/>
      <c r="B922" s="253"/>
      <c r="C922" s="253"/>
      <c r="D922" s="253"/>
      <c r="E922" s="253"/>
      <c r="F922" s="253"/>
      <c r="G922" s="253"/>
      <c r="H922" s="253"/>
      <c r="I922" s="253"/>
      <c r="J922" s="253"/>
      <c r="K922" s="253"/>
      <c r="L922" s="253"/>
      <c r="M922" s="253"/>
      <c r="N922" s="253"/>
      <c r="O922" s="253"/>
      <c r="P922" s="253"/>
      <c r="Q922" s="253"/>
    </row>
    <row r="923" spans="1:17">
      <c r="A923" s="253"/>
      <c r="B923" s="253"/>
      <c r="C923" s="253"/>
      <c r="D923" s="253"/>
      <c r="E923" s="253"/>
      <c r="F923" s="253"/>
      <c r="G923" s="253"/>
      <c r="H923" s="253"/>
      <c r="I923" s="253"/>
      <c r="J923" s="253"/>
      <c r="K923" s="253"/>
      <c r="L923" s="253"/>
      <c r="M923" s="253"/>
      <c r="N923" s="253"/>
      <c r="O923" s="253"/>
      <c r="P923" s="253"/>
      <c r="Q923" s="253"/>
    </row>
    <row r="924" spans="1:17">
      <c r="A924" s="253"/>
      <c r="B924" s="253"/>
      <c r="C924" s="253"/>
      <c r="D924" s="253"/>
      <c r="E924" s="253"/>
      <c r="F924" s="253"/>
      <c r="G924" s="253"/>
      <c r="H924" s="253"/>
      <c r="I924" s="253"/>
      <c r="J924" s="253"/>
      <c r="K924" s="253"/>
      <c r="L924" s="253"/>
      <c r="M924" s="253"/>
      <c r="N924" s="253"/>
      <c r="O924" s="253"/>
      <c r="P924" s="253"/>
      <c r="Q924" s="253"/>
    </row>
    <row r="925" spans="1:17">
      <c r="A925" s="253"/>
      <c r="B925" s="253"/>
      <c r="C925" s="253"/>
      <c r="D925" s="253"/>
      <c r="E925" s="253"/>
      <c r="F925" s="253"/>
      <c r="G925" s="253"/>
      <c r="H925" s="253"/>
      <c r="I925" s="253"/>
      <c r="J925" s="253"/>
      <c r="K925" s="253"/>
      <c r="L925" s="253"/>
      <c r="M925" s="253"/>
      <c r="N925" s="253"/>
      <c r="O925" s="253"/>
      <c r="P925" s="253"/>
      <c r="Q925" s="253"/>
    </row>
    <row r="926" spans="1:17">
      <c r="A926" s="253"/>
      <c r="B926" s="253"/>
      <c r="C926" s="253"/>
      <c r="D926" s="253"/>
      <c r="E926" s="253"/>
      <c r="F926" s="253"/>
      <c r="G926" s="253"/>
      <c r="H926" s="253"/>
      <c r="I926" s="253"/>
      <c r="J926" s="253"/>
      <c r="K926" s="253"/>
      <c r="L926" s="253"/>
      <c r="M926" s="253"/>
      <c r="N926" s="253"/>
      <c r="O926" s="253"/>
      <c r="P926" s="253"/>
      <c r="Q926" s="253"/>
    </row>
    <row r="927" spans="1:17">
      <c r="A927" s="253"/>
      <c r="B927" s="253"/>
      <c r="C927" s="253"/>
      <c r="D927" s="253"/>
      <c r="E927" s="253"/>
      <c r="F927" s="253"/>
      <c r="G927" s="253"/>
      <c r="H927" s="253"/>
      <c r="I927" s="253"/>
      <c r="J927" s="253"/>
      <c r="K927" s="253"/>
      <c r="L927" s="253"/>
      <c r="M927" s="253"/>
      <c r="N927" s="253"/>
      <c r="O927" s="253"/>
      <c r="P927" s="253"/>
      <c r="Q927" s="253"/>
    </row>
    <row r="928" spans="1:17">
      <c r="A928" s="253"/>
      <c r="B928" s="253"/>
      <c r="C928" s="253"/>
      <c r="D928" s="253"/>
      <c r="E928" s="253"/>
      <c r="F928" s="253"/>
      <c r="G928" s="253"/>
      <c r="H928" s="253"/>
      <c r="I928" s="253"/>
      <c r="J928" s="253"/>
      <c r="K928" s="253"/>
      <c r="L928" s="253"/>
      <c r="M928" s="253"/>
      <c r="N928" s="253"/>
      <c r="O928" s="253"/>
      <c r="P928" s="253"/>
      <c r="Q928" s="253"/>
    </row>
    <row r="929" spans="1:17">
      <c r="A929" s="253"/>
      <c r="B929" s="253"/>
      <c r="C929" s="253"/>
      <c r="D929" s="253"/>
      <c r="E929" s="253"/>
      <c r="F929" s="253"/>
      <c r="G929" s="253"/>
      <c r="H929" s="253"/>
      <c r="I929" s="253"/>
      <c r="J929" s="253"/>
      <c r="K929" s="253"/>
      <c r="L929" s="253"/>
      <c r="M929" s="253"/>
      <c r="N929" s="253"/>
      <c r="O929" s="253"/>
      <c r="P929" s="253"/>
      <c r="Q929" s="253"/>
    </row>
    <row r="930" spans="1:17">
      <c r="A930" s="253"/>
      <c r="B930" s="253"/>
      <c r="C930" s="253"/>
      <c r="D930" s="253"/>
      <c r="E930" s="253"/>
      <c r="F930" s="253"/>
      <c r="G930" s="253"/>
      <c r="H930" s="253"/>
      <c r="I930" s="253"/>
      <c r="J930" s="253"/>
      <c r="K930" s="253"/>
      <c r="L930" s="253"/>
      <c r="M930" s="253"/>
      <c r="N930" s="253"/>
      <c r="O930" s="253"/>
      <c r="P930" s="253"/>
      <c r="Q930" s="253"/>
    </row>
    <row r="931" spans="1:17">
      <c r="A931" s="253"/>
      <c r="B931" s="253"/>
      <c r="C931" s="253"/>
      <c r="D931" s="253"/>
      <c r="E931" s="253"/>
      <c r="F931" s="253"/>
      <c r="G931" s="253"/>
      <c r="H931" s="253"/>
      <c r="I931" s="253"/>
      <c r="J931" s="253"/>
      <c r="K931" s="253"/>
      <c r="L931" s="253"/>
      <c r="M931" s="253"/>
      <c r="N931" s="253"/>
      <c r="O931" s="253"/>
      <c r="P931" s="253"/>
      <c r="Q931" s="253"/>
    </row>
    <row r="932" spans="1:17">
      <c r="A932" s="253"/>
      <c r="B932" s="253"/>
      <c r="C932" s="253"/>
      <c r="D932" s="253"/>
      <c r="E932" s="253"/>
      <c r="F932" s="253"/>
      <c r="G932" s="253"/>
      <c r="H932" s="253"/>
      <c r="I932" s="253"/>
      <c r="J932" s="253"/>
      <c r="K932" s="253"/>
      <c r="L932" s="253"/>
      <c r="M932" s="253"/>
      <c r="N932" s="253"/>
      <c r="O932" s="253"/>
      <c r="P932" s="253"/>
      <c r="Q932" s="253"/>
    </row>
    <row r="933" spans="1:17">
      <c r="A933" s="253"/>
      <c r="B933" s="253"/>
      <c r="C933" s="253"/>
      <c r="D933" s="253"/>
      <c r="E933" s="253"/>
      <c r="F933" s="253"/>
      <c r="G933" s="253"/>
      <c r="H933" s="253"/>
      <c r="I933" s="253"/>
      <c r="J933" s="253"/>
      <c r="K933" s="253"/>
      <c r="L933" s="253"/>
      <c r="M933" s="253"/>
      <c r="N933" s="253"/>
      <c r="O933" s="253"/>
      <c r="P933" s="253"/>
      <c r="Q933" s="253"/>
    </row>
    <row r="934" spans="1:17">
      <c r="A934" s="253"/>
      <c r="B934" s="253"/>
      <c r="C934" s="253"/>
      <c r="D934" s="253"/>
      <c r="E934" s="253"/>
      <c r="F934" s="253"/>
      <c r="G934" s="253"/>
      <c r="H934" s="253"/>
      <c r="I934" s="253"/>
      <c r="J934" s="253"/>
      <c r="K934" s="253"/>
      <c r="L934" s="253"/>
      <c r="M934" s="253"/>
      <c r="N934" s="253"/>
      <c r="O934" s="253"/>
      <c r="P934" s="253"/>
      <c r="Q934" s="253"/>
    </row>
    <row r="935" spans="1:17">
      <c r="A935" s="253"/>
      <c r="B935" s="253"/>
      <c r="C935" s="253"/>
      <c r="D935" s="253"/>
      <c r="E935" s="253"/>
      <c r="F935" s="253"/>
      <c r="G935" s="253"/>
      <c r="H935" s="253"/>
      <c r="I935" s="253"/>
      <c r="J935" s="253"/>
      <c r="K935" s="253"/>
      <c r="L935" s="253"/>
      <c r="M935" s="253"/>
      <c r="N935" s="253"/>
      <c r="O935" s="253"/>
      <c r="P935" s="253"/>
      <c r="Q935" s="253"/>
    </row>
    <row r="936" spans="1:17">
      <c r="A936" s="253"/>
      <c r="B936" s="253"/>
      <c r="C936" s="253"/>
      <c r="D936" s="253"/>
      <c r="E936" s="253"/>
      <c r="F936" s="253"/>
      <c r="G936" s="253"/>
      <c r="H936" s="253"/>
      <c r="I936" s="253"/>
      <c r="J936" s="253"/>
      <c r="K936" s="253"/>
      <c r="L936" s="253"/>
      <c r="M936" s="253"/>
      <c r="N936" s="253"/>
      <c r="O936" s="253"/>
      <c r="P936" s="253"/>
      <c r="Q936" s="253"/>
    </row>
    <row r="937" spans="1:17">
      <c r="A937" s="253"/>
      <c r="B937" s="253"/>
      <c r="C937" s="253"/>
      <c r="D937" s="253"/>
      <c r="E937" s="253"/>
      <c r="F937" s="253"/>
      <c r="G937" s="253"/>
      <c r="H937" s="253"/>
      <c r="I937" s="253"/>
      <c r="J937" s="253"/>
      <c r="K937" s="253"/>
      <c r="L937" s="253"/>
      <c r="M937" s="253"/>
      <c r="N937" s="253"/>
      <c r="O937" s="253"/>
      <c r="P937" s="253"/>
      <c r="Q937" s="253"/>
    </row>
    <row r="938" spans="1:17">
      <c r="A938" s="253"/>
      <c r="B938" s="253"/>
      <c r="C938" s="253"/>
      <c r="D938" s="253"/>
      <c r="E938" s="253"/>
      <c r="F938" s="253"/>
      <c r="G938" s="253"/>
      <c r="H938" s="253"/>
      <c r="I938" s="253"/>
      <c r="J938" s="253"/>
      <c r="K938" s="253"/>
      <c r="L938" s="253"/>
      <c r="M938" s="253"/>
      <c r="N938" s="253"/>
      <c r="O938" s="253"/>
      <c r="P938" s="253"/>
      <c r="Q938" s="253"/>
    </row>
    <row r="939" spans="1:17">
      <c r="A939" s="253"/>
      <c r="B939" s="253"/>
      <c r="C939" s="253"/>
      <c r="D939" s="253"/>
      <c r="E939" s="253"/>
      <c r="F939" s="253"/>
      <c r="G939" s="253"/>
      <c r="H939" s="253"/>
      <c r="I939" s="253"/>
      <c r="J939" s="253"/>
      <c r="K939" s="253"/>
      <c r="L939" s="253"/>
      <c r="M939" s="253"/>
      <c r="N939" s="253"/>
      <c r="O939" s="253"/>
      <c r="P939" s="253"/>
      <c r="Q939" s="253"/>
    </row>
    <row r="940" spans="1:17">
      <c r="A940" s="253"/>
      <c r="B940" s="253"/>
      <c r="C940" s="253"/>
      <c r="D940" s="253"/>
      <c r="E940" s="253"/>
      <c r="F940" s="253"/>
      <c r="G940" s="253"/>
      <c r="H940" s="253"/>
      <c r="I940" s="253"/>
      <c r="J940" s="253"/>
      <c r="K940" s="253"/>
      <c r="L940" s="253"/>
      <c r="M940" s="253"/>
      <c r="N940" s="253"/>
      <c r="O940" s="253"/>
      <c r="P940" s="253"/>
      <c r="Q940" s="253"/>
    </row>
    <row r="941" spans="1:17">
      <c r="A941" s="253"/>
      <c r="B941" s="253"/>
      <c r="C941" s="253"/>
      <c r="D941" s="253"/>
      <c r="E941" s="253"/>
      <c r="F941" s="253"/>
      <c r="G941" s="253"/>
      <c r="H941" s="253"/>
      <c r="I941" s="253"/>
      <c r="J941" s="253"/>
      <c r="K941" s="253"/>
      <c r="L941" s="253"/>
      <c r="M941" s="253"/>
      <c r="N941" s="253"/>
      <c r="O941" s="253"/>
      <c r="P941" s="253"/>
      <c r="Q941" s="253"/>
    </row>
    <row r="942" spans="1:17">
      <c r="A942" s="253"/>
      <c r="B942" s="253"/>
      <c r="C942" s="253"/>
      <c r="D942" s="253"/>
      <c r="E942" s="253"/>
      <c r="F942" s="253"/>
      <c r="G942" s="253"/>
      <c r="H942" s="253"/>
      <c r="I942" s="253"/>
      <c r="J942" s="253"/>
      <c r="K942" s="253"/>
      <c r="L942" s="253"/>
      <c r="M942" s="253"/>
      <c r="N942" s="253"/>
      <c r="O942" s="253"/>
      <c r="P942" s="253"/>
      <c r="Q942" s="253"/>
    </row>
    <row r="943" spans="1:17">
      <c r="A943" s="253"/>
      <c r="B943" s="253"/>
      <c r="C943" s="253"/>
      <c r="D943" s="253"/>
      <c r="E943" s="253"/>
      <c r="F943" s="253"/>
      <c r="G943" s="253"/>
      <c r="H943" s="253"/>
      <c r="I943" s="253"/>
      <c r="J943" s="253"/>
      <c r="K943" s="253"/>
      <c r="L943" s="253"/>
      <c r="M943" s="253"/>
      <c r="N943" s="253"/>
      <c r="O943" s="253"/>
      <c r="P943" s="253"/>
      <c r="Q943" s="253"/>
    </row>
    <row r="944" spans="1:17">
      <c r="A944" s="253"/>
      <c r="B944" s="253"/>
      <c r="C944" s="253"/>
      <c r="D944" s="253"/>
      <c r="E944" s="253"/>
      <c r="F944" s="253"/>
      <c r="G944" s="253"/>
      <c r="H944" s="253"/>
      <c r="I944" s="253"/>
      <c r="J944" s="253"/>
      <c r="K944" s="253"/>
      <c r="L944" s="253"/>
      <c r="M944" s="253"/>
      <c r="N944" s="253"/>
      <c r="O944" s="253"/>
      <c r="P944" s="253"/>
      <c r="Q944" s="253"/>
    </row>
    <row r="945" spans="1:17">
      <c r="A945" s="253"/>
      <c r="B945" s="253"/>
      <c r="C945" s="253"/>
      <c r="D945" s="253"/>
      <c r="E945" s="253"/>
      <c r="F945" s="253"/>
      <c r="G945" s="253"/>
      <c r="H945" s="253"/>
      <c r="I945" s="253"/>
      <c r="J945" s="253"/>
      <c r="K945" s="253"/>
      <c r="L945" s="253"/>
      <c r="M945" s="253"/>
      <c r="N945" s="253"/>
      <c r="O945" s="253"/>
      <c r="P945" s="253"/>
      <c r="Q945" s="253"/>
    </row>
    <row r="946" spans="1:17">
      <c r="A946" s="253"/>
      <c r="B946" s="253"/>
      <c r="C946" s="253"/>
      <c r="D946" s="253"/>
      <c r="E946" s="253"/>
      <c r="F946" s="253"/>
      <c r="G946" s="253"/>
      <c r="H946" s="253"/>
      <c r="I946" s="253"/>
      <c r="J946" s="253"/>
      <c r="K946" s="253"/>
      <c r="L946" s="253"/>
      <c r="M946" s="253"/>
      <c r="N946" s="253"/>
      <c r="O946" s="253"/>
      <c r="P946" s="253"/>
      <c r="Q946" s="253"/>
    </row>
    <row r="947" spans="1:17">
      <c r="A947" s="253"/>
      <c r="B947" s="253"/>
      <c r="C947" s="253"/>
      <c r="D947" s="253"/>
      <c r="E947" s="253"/>
      <c r="F947" s="253"/>
      <c r="G947" s="253"/>
      <c r="H947" s="253"/>
      <c r="I947" s="253"/>
      <c r="J947" s="253"/>
      <c r="K947" s="253"/>
      <c r="L947" s="253"/>
      <c r="M947" s="253"/>
      <c r="N947" s="253"/>
      <c r="O947" s="253"/>
      <c r="P947" s="253"/>
      <c r="Q947" s="253"/>
    </row>
    <row r="948" spans="1:17">
      <c r="A948" s="253"/>
      <c r="B948" s="253"/>
      <c r="C948" s="253"/>
      <c r="D948" s="253"/>
      <c r="E948" s="253"/>
      <c r="F948" s="253"/>
      <c r="G948" s="253"/>
      <c r="H948" s="253"/>
      <c r="I948" s="253"/>
      <c r="J948" s="253"/>
      <c r="K948" s="253"/>
      <c r="L948" s="253"/>
      <c r="M948" s="253"/>
      <c r="N948" s="253"/>
      <c r="O948" s="253"/>
      <c r="P948" s="253"/>
      <c r="Q948" s="253"/>
    </row>
    <row r="949" spans="1:17">
      <c r="A949" s="253"/>
      <c r="B949" s="253"/>
      <c r="C949" s="253"/>
      <c r="D949" s="253"/>
      <c r="E949" s="253"/>
      <c r="F949" s="253"/>
      <c r="G949" s="253"/>
      <c r="H949" s="253"/>
      <c r="I949" s="253"/>
      <c r="J949" s="253"/>
      <c r="K949" s="253"/>
      <c r="L949" s="253"/>
      <c r="M949" s="253"/>
      <c r="N949" s="253"/>
      <c r="O949" s="253"/>
      <c r="P949" s="253"/>
      <c r="Q949" s="253"/>
    </row>
    <row r="950" spans="1:17">
      <c r="A950" s="253"/>
      <c r="B950" s="253"/>
      <c r="C950" s="253"/>
      <c r="D950" s="253"/>
      <c r="E950" s="253"/>
      <c r="F950" s="253"/>
      <c r="G950" s="253"/>
      <c r="H950" s="253"/>
      <c r="I950" s="253"/>
      <c r="J950" s="253"/>
      <c r="K950" s="253"/>
      <c r="L950" s="253"/>
      <c r="M950" s="253"/>
      <c r="N950" s="253"/>
      <c r="O950" s="253"/>
      <c r="P950" s="253"/>
      <c r="Q950" s="253"/>
    </row>
    <row r="951" spans="1:17">
      <c r="A951" s="253"/>
      <c r="B951" s="253"/>
      <c r="C951" s="253"/>
      <c r="D951" s="253"/>
      <c r="E951" s="253"/>
      <c r="F951" s="253"/>
      <c r="G951" s="253"/>
      <c r="H951" s="253"/>
      <c r="I951" s="253"/>
      <c r="J951" s="253"/>
      <c r="K951" s="253"/>
      <c r="L951" s="253"/>
      <c r="M951" s="253"/>
      <c r="N951" s="253"/>
      <c r="O951" s="253"/>
      <c r="P951" s="253"/>
      <c r="Q951" s="253"/>
    </row>
    <row r="952" spans="1:17">
      <c r="A952" s="253"/>
      <c r="B952" s="253"/>
      <c r="C952" s="253"/>
      <c r="D952" s="253"/>
      <c r="E952" s="253"/>
      <c r="F952" s="253"/>
      <c r="G952" s="253"/>
      <c r="H952" s="253"/>
      <c r="I952" s="253"/>
      <c r="J952" s="253"/>
      <c r="K952" s="253"/>
      <c r="L952" s="253"/>
      <c r="M952" s="253"/>
      <c r="N952" s="253"/>
      <c r="O952" s="253"/>
      <c r="P952" s="253"/>
      <c r="Q952" s="253"/>
    </row>
    <row r="953" spans="1:17">
      <c r="A953" s="253"/>
      <c r="B953" s="253"/>
      <c r="C953" s="253"/>
      <c r="D953" s="253"/>
      <c r="E953" s="253"/>
      <c r="F953" s="253"/>
      <c r="G953" s="253"/>
      <c r="H953" s="253"/>
      <c r="I953" s="253"/>
      <c r="J953" s="253"/>
      <c r="K953" s="253"/>
      <c r="L953" s="253"/>
      <c r="M953" s="253"/>
      <c r="N953" s="253"/>
      <c r="O953" s="253"/>
      <c r="P953" s="253"/>
      <c r="Q953" s="253"/>
    </row>
    <row r="954" spans="1:17">
      <c r="A954" s="253"/>
      <c r="B954" s="253"/>
      <c r="C954" s="253"/>
      <c r="D954" s="253"/>
      <c r="E954" s="253"/>
      <c r="F954" s="253"/>
      <c r="G954" s="253"/>
      <c r="H954" s="253"/>
      <c r="I954" s="253"/>
      <c r="J954" s="253"/>
      <c r="K954" s="253"/>
      <c r="L954" s="253"/>
      <c r="M954" s="253"/>
      <c r="N954" s="253"/>
      <c r="O954" s="253"/>
      <c r="P954" s="253"/>
      <c r="Q954" s="253"/>
    </row>
    <row r="955" spans="1:17">
      <c r="A955" s="253"/>
      <c r="B955" s="253"/>
      <c r="C955" s="253"/>
      <c r="D955" s="253"/>
      <c r="E955" s="253"/>
      <c r="F955" s="253"/>
      <c r="G955" s="253"/>
      <c r="H955" s="253"/>
      <c r="I955" s="253"/>
      <c r="J955" s="253"/>
      <c r="K955" s="253"/>
      <c r="L955" s="253"/>
      <c r="M955" s="253"/>
      <c r="N955" s="253"/>
      <c r="O955" s="253"/>
      <c r="P955" s="253"/>
      <c r="Q955" s="253"/>
    </row>
    <row r="956" spans="1:17">
      <c r="A956" s="253"/>
      <c r="B956" s="253"/>
      <c r="C956" s="253"/>
      <c r="D956" s="253"/>
      <c r="E956" s="253"/>
      <c r="F956" s="253"/>
      <c r="G956" s="253"/>
      <c r="H956" s="253"/>
      <c r="I956" s="253"/>
      <c r="J956" s="253"/>
      <c r="K956" s="253"/>
      <c r="L956" s="253"/>
      <c r="M956" s="253"/>
      <c r="N956" s="253"/>
      <c r="O956" s="253"/>
      <c r="P956" s="253"/>
      <c r="Q956" s="253"/>
    </row>
    <row r="957" spans="1:17">
      <c r="A957" s="253"/>
      <c r="B957" s="253"/>
      <c r="C957" s="253"/>
      <c r="D957" s="253"/>
      <c r="E957" s="253"/>
      <c r="F957" s="253"/>
      <c r="G957" s="253"/>
      <c r="H957" s="253"/>
      <c r="I957" s="253"/>
      <c r="J957" s="253"/>
      <c r="K957" s="253"/>
      <c r="L957" s="253"/>
      <c r="M957" s="253"/>
      <c r="N957" s="253"/>
      <c r="O957" s="253"/>
      <c r="P957" s="253"/>
      <c r="Q957" s="253"/>
    </row>
    <row r="958" spans="1:17">
      <c r="A958" s="253"/>
      <c r="B958" s="253"/>
      <c r="C958" s="253"/>
      <c r="D958" s="253"/>
      <c r="E958" s="253"/>
      <c r="F958" s="253"/>
      <c r="G958" s="253"/>
      <c r="H958" s="253"/>
      <c r="I958" s="253"/>
      <c r="J958" s="253"/>
      <c r="K958" s="253"/>
      <c r="L958" s="253"/>
      <c r="M958" s="253"/>
      <c r="N958" s="253"/>
      <c r="O958" s="253"/>
      <c r="P958" s="253"/>
      <c r="Q958" s="253"/>
    </row>
    <row r="959" spans="1:17">
      <c r="A959" s="253"/>
      <c r="B959" s="253"/>
      <c r="C959" s="253"/>
      <c r="D959" s="253"/>
      <c r="E959" s="253"/>
      <c r="F959" s="253"/>
      <c r="G959" s="253"/>
      <c r="H959" s="253"/>
      <c r="I959" s="253"/>
      <c r="J959" s="253"/>
      <c r="K959" s="253"/>
      <c r="L959" s="253"/>
      <c r="M959" s="253"/>
      <c r="N959" s="253"/>
      <c r="O959" s="253"/>
      <c r="P959" s="253"/>
      <c r="Q959" s="253"/>
    </row>
    <row r="960" spans="1:17">
      <c r="A960" s="253"/>
      <c r="B960" s="253"/>
      <c r="C960" s="253"/>
      <c r="D960" s="253"/>
      <c r="E960" s="253"/>
      <c r="F960" s="253"/>
      <c r="G960" s="253"/>
      <c r="H960" s="253"/>
      <c r="I960" s="253"/>
      <c r="J960" s="253"/>
      <c r="K960" s="253"/>
      <c r="L960" s="253"/>
      <c r="M960" s="253"/>
      <c r="N960" s="253"/>
      <c r="O960" s="253"/>
      <c r="P960" s="253"/>
      <c r="Q960" s="253"/>
    </row>
    <row r="961" spans="1:17">
      <c r="A961" s="253"/>
      <c r="B961" s="253"/>
      <c r="C961" s="253"/>
      <c r="D961" s="253"/>
      <c r="E961" s="253"/>
      <c r="F961" s="253"/>
      <c r="G961" s="253"/>
      <c r="H961" s="253"/>
      <c r="I961" s="253"/>
      <c r="J961" s="253"/>
      <c r="K961" s="253"/>
      <c r="L961" s="253"/>
      <c r="M961" s="253"/>
      <c r="N961" s="253"/>
      <c r="O961" s="253"/>
      <c r="P961" s="253"/>
      <c r="Q961" s="253"/>
    </row>
    <row r="962" spans="1:17">
      <c r="A962" s="253"/>
      <c r="B962" s="253"/>
      <c r="C962" s="253"/>
      <c r="D962" s="253"/>
      <c r="E962" s="253"/>
      <c r="F962" s="253"/>
      <c r="G962" s="253"/>
      <c r="H962" s="253"/>
      <c r="I962" s="253"/>
      <c r="J962" s="253"/>
      <c r="K962" s="253"/>
      <c r="L962" s="253"/>
      <c r="M962" s="253"/>
      <c r="N962" s="253"/>
      <c r="O962" s="253"/>
      <c r="P962" s="253"/>
      <c r="Q962" s="253"/>
    </row>
    <row r="963" spans="1:17">
      <c r="A963" s="253"/>
      <c r="B963" s="253"/>
      <c r="C963" s="253"/>
      <c r="D963" s="253"/>
      <c r="E963" s="253"/>
      <c r="F963" s="253"/>
      <c r="G963" s="253"/>
      <c r="H963" s="253"/>
      <c r="I963" s="253"/>
      <c r="J963" s="253"/>
      <c r="K963" s="253"/>
      <c r="L963" s="253"/>
      <c r="M963" s="253"/>
      <c r="N963" s="253"/>
      <c r="O963" s="253"/>
      <c r="P963" s="253"/>
      <c r="Q963" s="253"/>
    </row>
    <row r="964" spans="1:17">
      <c r="A964" s="253"/>
      <c r="B964" s="253"/>
      <c r="C964" s="253"/>
      <c r="D964" s="253"/>
      <c r="E964" s="253"/>
      <c r="F964" s="253"/>
      <c r="G964" s="253"/>
      <c r="H964" s="253"/>
      <c r="I964" s="253"/>
      <c r="J964" s="253"/>
      <c r="K964" s="253"/>
      <c r="L964" s="253"/>
      <c r="M964" s="253"/>
      <c r="N964" s="253"/>
      <c r="O964" s="253"/>
      <c r="P964" s="253"/>
      <c r="Q964" s="253"/>
    </row>
    <row r="965" spans="1:17">
      <c r="A965" s="253"/>
      <c r="B965" s="253"/>
      <c r="C965" s="253"/>
      <c r="D965" s="253"/>
      <c r="E965" s="253"/>
      <c r="F965" s="253"/>
      <c r="G965" s="253"/>
      <c r="H965" s="253"/>
      <c r="I965" s="253"/>
      <c r="J965" s="253"/>
      <c r="K965" s="253"/>
      <c r="L965" s="253"/>
      <c r="M965" s="253"/>
      <c r="N965" s="253"/>
      <c r="O965" s="253"/>
      <c r="P965" s="253"/>
      <c r="Q965" s="253"/>
    </row>
    <row r="966" spans="1:17">
      <c r="A966" s="253"/>
      <c r="B966" s="253"/>
      <c r="C966" s="253"/>
      <c r="D966" s="253"/>
      <c r="E966" s="253"/>
      <c r="F966" s="253"/>
      <c r="G966" s="253"/>
      <c r="H966" s="253"/>
      <c r="I966" s="253"/>
      <c r="J966" s="253"/>
      <c r="K966" s="253"/>
      <c r="L966" s="253"/>
      <c r="M966" s="253"/>
      <c r="N966" s="253"/>
      <c r="O966" s="253"/>
      <c r="P966" s="253"/>
      <c r="Q966" s="253"/>
    </row>
    <row r="967" spans="1:17">
      <c r="A967" s="253"/>
      <c r="B967" s="253"/>
      <c r="C967" s="253"/>
      <c r="D967" s="253"/>
      <c r="E967" s="253"/>
      <c r="F967" s="253"/>
      <c r="G967" s="253"/>
      <c r="H967" s="253"/>
      <c r="I967" s="253"/>
      <c r="J967" s="253"/>
      <c r="K967" s="253"/>
      <c r="L967" s="253"/>
      <c r="M967" s="253"/>
      <c r="N967" s="253"/>
      <c r="O967" s="253"/>
      <c r="P967" s="253"/>
      <c r="Q967" s="253"/>
    </row>
    <row r="968" spans="1:17">
      <c r="A968" s="253"/>
      <c r="B968" s="253"/>
      <c r="C968" s="253"/>
      <c r="D968" s="253"/>
      <c r="E968" s="253"/>
      <c r="F968" s="253"/>
      <c r="G968" s="253"/>
      <c r="H968" s="253"/>
      <c r="I968" s="253"/>
      <c r="J968" s="253"/>
      <c r="K968" s="253"/>
      <c r="L968" s="253"/>
      <c r="M968" s="253"/>
      <c r="N968" s="253"/>
      <c r="O968" s="253"/>
      <c r="P968" s="253"/>
      <c r="Q968" s="253"/>
    </row>
    <row r="969" spans="1:17">
      <c r="A969" s="253"/>
      <c r="B969" s="253"/>
      <c r="C969" s="253"/>
      <c r="D969" s="253"/>
      <c r="E969" s="253"/>
      <c r="F969" s="253"/>
      <c r="G969" s="253"/>
      <c r="H969" s="253"/>
      <c r="I969" s="253"/>
      <c r="J969" s="253"/>
      <c r="K969" s="253"/>
      <c r="L969" s="253"/>
      <c r="M969" s="253"/>
      <c r="N969" s="253"/>
      <c r="O969" s="253"/>
      <c r="P969" s="253"/>
      <c r="Q969" s="253"/>
    </row>
    <row r="970" spans="1:17">
      <c r="A970" s="253"/>
      <c r="B970" s="253"/>
      <c r="C970" s="253"/>
      <c r="D970" s="253"/>
      <c r="E970" s="253"/>
      <c r="F970" s="253"/>
      <c r="G970" s="253"/>
      <c r="H970" s="253"/>
      <c r="I970" s="253"/>
      <c r="J970" s="253"/>
      <c r="K970" s="253"/>
      <c r="L970" s="253"/>
      <c r="M970" s="253"/>
      <c r="N970" s="253"/>
      <c r="O970" s="253"/>
      <c r="P970" s="253"/>
      <c r="Q970" s="253"/>
    </row>
    <row r="971" spans="1:17">
      <c r="A971" s="253"/>
      <c r="B971" s="253"/>
      <c r="C971" s="253"/>
      <c r="D971" s="253"/>
      <c r="E971" s="253"/>
      <c r="F971" s="253"/>
      <c r="G971" s="253"/>
      <c r="H971" s="253"/>
      <c r="I971" s="253"/>
      <c r="J971" s="253"/>
      <c r="K971" s="253"/>
      <c r="L971" s="253"/>
      <c r="M971" s="253"/>
      <c r="N971" s="253"/>
      <c r="O971" s="253"/>
      <c r="P971" s="253"/>
      <c r="Q971" s="253"/>
    </row>
    <row r="972" spans="1:17">
      <c r="A972" s="253"/>
      <c r="B972" s="253"/>
      <c r="C972" s="253"/>
      <c r="D972" s="253"/>
      <c r="E972" s="253"/>
      <c r="F972" s="253"/>
      <c r="G972" s="253"/>
      <c r="H972" s="253"/>
      <c r="I972" s="253"/>
      <c r="J972" s="253"/>
      <c r="K972" s="253"/>
      <c r="L972" s="253"/>
      <c r="M972" s="253"/>
      <c r="N972" s="253"/>
      <c r="O972" s="253"/>
      <c r="P972" s="253"/>
      <c r="Q972" s="253"/>
    </row>
    <row r="973" spans="1:17">
      <c r="A973" s="253"/>
      <c r="B973" s="253"/>
      <c r="C973" s="253"/>
      <c r="D973" s="253"/>
      <c r="E973" s="253"/>
      <c r="F973" s="253"/>
      <c r="G973" s="253"/>
      <c r="H973" s="253"/>
      <c r="I973" s="253"/>
      <c r="J973" s="253"/>
      <c r="K973" s="253"/>
      <c r="L973" s="253"/>
      <c r="M973" s="253"/>
      <c r="N973" s="253"/>
      <c r="O973" s="253"/>
      <c r="P973" s="253"/>
      <c r="Q973" s="253"/>
    </row>
    <row r="974" spans="1:17">
      <c r="A974" s="253"/>
      <c r="B974" s="253"/>
      <c r="C974" s="253"/>
      <c r="D974" s="253"/>
      <c r="E974" s="253"/>
      <c r="F974" s="253"/>
      <c r="G974" s="253"/>
      <c r="H974" s="253"/>
      <c r="I974" s="253"/>
      <c r="J974" s="253"/>
      <c r="K974" s="253"/>
      <c r="L974" s="253"/>
      <c r="M974" s="253"/>
      <c r="N974" s="253"/>
      <c r="O974" s="253"/>
      <c r="P974" s="253"/>
      <c r="Q974" s="253"/>
    </row>
    <row r="975" spans="1:17">
      <c r="A975" s="253"/>
      <c r="B975" s="253"/>
      <c r="C975" s="253"/>
      <c r="D975" s="253"/>
      <c r="E975" s="253"/>
      <c r="F975" s="253"/>
      <c r="G975" s="253"/>
      <c r="H975" s="253"/>
      <c r="I975" s="253"/>
      <c r="J975" s="253"/>
      <c r="K975" s="253"/>
      <c r="L975" s="253"/>
      <c r="M975" s="253"/>
      <c r="N975" s="253"/>
      <c r="O975" s="253"/>
      <c r="P975" s="253"/>
      <c r="Q975" s="253"/>
    </row>
    <row r="976" spans="1:17">
      <c r="A976" s="253"/>
      <c r="B976" s="253"/>
      <c r="C976" s="253"/>
      <c r="D976" s="253"/>
      <c r="E976" s="253"/>
      <c r="F976" s="253"/>
      <c r="G976" s="253"/>
      <c r="H976" s="253"/>
      <c r="I976" s="253"/>
      <c r="J976" s="253"/>
      <c r="K976" s="253"/>
      <c r="L976" s="253"/>
      <c r="M976" s="253"/>
      <c r="N976" s="253"/>
      <c r="O976" s="253"/>
      <c r="P976" s="253"/>
      <c r="Q976" s="253"/>
    </row>
    <row r="977" spans="1:17">
      <c r="A977" s="253"/>
      <c r="B977" s="253"/>
      <c r="C977" s="253"/>
      <c r="D977" s="253"/>
      <c r="E977" s="253"/>
      <c r="F977" s="253"/>
      <c r="G977" s="253"/>
      <c r="H977" s="253"/>
      <c r="I977" s="253"/>
      <c r="J977" s="253"/>
      <c r="K977" s="253"/>
      <c r="L977" s="253"/>
      <c r="M977" s="253"/>
      <c r="N977" s="253"/>
      <c r="O977" s="253"/>
      <c r="P977" s="253"/>
      <c r="Q977" s="253"/>
    </row>
    <row r="978" spans="1:17">
      <c r="A978" s="253"/>
      <c r="B978" s="253"/>
      <c r="C978" s="253"/>
      <c r="D978" s="253"/>
      <c r="E978" s="253"/>
      <c r="F978" s="253"/>
      <c r="G978" s="253"/>
      <c r="H978" s="253"/>
      <c r="I978" s="253"/>
      <c r="J978" s="253"/>
      <c r="K978" s="253"/>
      <c r="L978" s="253"/>
      <c r="M978" s="253"/>
      <c r="N978" s="253"/>
      <c r="O978" s="253"/>
      <c r="P978" s="253"/>
      <c r="Q978" s="253"/>
    </row>
    <row r="979" spans="1:17">
      <c r="A979" s="253"/>
      <c r="B979" s="253"/>
      <c r="C979" s="253"/>
      <c r="D979" s="253"/>
      <c r="E979" s="253"/>
      <c r="F979" s="253"/>
      <c r="G979" s="253"/>
      <c r="H979" s="253"/>
      <c r="I979" s="253"/>
      <c r="J979" s="253"/>
      <c r="K979" s="253"/>
      <c r="L979" s="253"/>
      <c r="M979" s="253"/>
      <c r="N979" s="253"/>
      <c r="O979" s="253"/>
      <c r="P979" s="253"/>
      <c r="Q979" s="253"/>
    </row>
    <row r="980" spans="1:17">
      <c r="A980" s="253"/>
      <c r="B980" s="253"/>
      <c r="C980" s="253"/>
      <c r="D980" s="253"/>
      <c r="E980" s="253"/>
      <c r="F980" s="253"/>
      <c r="G980" s="253"/>
      <c r="H980" s="253"/>
      <c r="I980" s="253"/>
      <c r="J980" s="253"/>
      <c r="K980" s="253"/>
      <c r="L980" s="253"/>
      <c r="M980" s="253"/>
      <c r="N980" s="253"/>
      <c r="O980" s="253"/>
      <c r="P980" s="253"/>
      <c r="Q980" s="253"/>
    </row>
    <row r="981" spans="1:17">
      <c r="A981" s="253"/>
      <c r="B981" s="253"/>
      <c r="C981" s="253"/>
      <c r="D981" s="253"/>
      <c r="E981" s="253"/>
      <c r="F981" s="253"/>
      <c r="G981" s="253"/>
      <c r="H981" s="253"/>
      <c r="I981" s="253"/>
      <c r="J981" s="253"/>
      <c r="K981" s="253"/>
      <c r="L981" s="253"/>
      <c r="M981" s="253"/>
      <c r="N981" s="253"/>
      <c r="O981" s="253"/>
      <c r="P981" s="253"/>
      <c r="Q981" s="253"/>
    </row>
    <row r="982" spans="1:17">
      <c r="A982" s="253"/>
      <c r="B982" s="253"/>
      <c r="C982" s="253"/>
      <c r="D982" s="253"/>
      <c r="E982" s="253"/>
      <c r="F982" s="253"/>
      <c r="G982" s="253"/>
      <c r="H982" s="253"/>
      <c r="I982" s="253"/>
      <c r="J982" s="253"/>
      <c r="K982" s="253"/>
      <c r="L982" s="253"/>
      <c r="M982" s="253"/>
      <c r="N982" s="253"/>
      <c r="O982" s="253"/>
      <c r="P982" s="253"/>
      <c r="Q982" s="253"/>
    </row>
    <row r="983" spans="1:17">
      <c r="A983" s="253"/>
      <c r="B983" s="253"/>
      <c r="C983" s="253"/>
      <c r="D983" s="253"/>
      <c r="E983" s="253"/>
      <c r="F983" s="253"/>
      <c r="G983" s="253"/>
      <c r="H983" s="253"/>
      <c r="I983" s="253"/>
      <c r="J983" s="253"/>
      <c r="K983" s="253"/>
      <c r="L983" s="253"/>
      <c r="M983" s="253"/>
      <c r="N983" s="253"/>
      <c r="O983" s="253"/>
      <c r="P983" s="253"/>
      <c r="Q983" s="253"/>
    </row>
    <row r="984" spans="1:17">
      <c r="A984" s="253"/>
      <c r="B984" s="253"/>
      <c r="C984" s="253"/>
      <c r="D984" s="253"/>
      <c r="E984" s="253"/>
      <c r="F984" s="253"/>
      <c r="G984" s="253"/>
      <c r="H984" s="253"/>
      <c r="I984" s="253"/>
      <c r="J984" s="253"/>
      <c r="K984" s="253"/>
      <c r="L984" s="253"/>
      <c r="M984" s="253"/>
      <c r="N984" s="253"/>
      <c r="O984" s="253"/>
      <c r="P984" s="253"/>
      <c r="Q984" s="253"/>
    </row>
    <row r="985" spans="1:17">
      <c r="A985" s="253"/>
      <c r="B985" s="253"/>
      <c r="C985" s="253"/>
      <c r="D985" s="253"/>
      <c r="E985" s="253"/>
      <c r="F985" s="253"/>
      <c r="G985" s="253"/>
      <c r="H985" s="253"/>
      <c r="I985" s="253"/>
      <c r="J985" s="253"/>
      <c r="K985" s="253"/>
      <c r="L985" s="253"/>
      <c r="M985" s="253"/>
      <c r="N985" s="253"/>
      <c r="O985" s="253"/>
      <c r="P985" s="253"/>
      <c r="Q985" s="253"/>
    </row>
    <row r="986" spans="1:17">
      <c r="A986" s="253"/>
      <c r="B986" s="253"/>
      <c r="C986" s="253"/>
      <c r="D986" s="253"/>
      <c r="E986" s="253"/>
      <c r="F986" s="253"/>
      <c r="G986" s="253"/>
      <c r="H986" s="253"/>
      <c r="I986" s="253"/>
      <c r="J986" s="253"/>
      <c r="K986" s="253"/>
      <c r="L986" s="253"/>
      <c r="M986" s="253"/>
      <c r="N986" s="253"/>
      <c r="O986" s="253"/>
      <c r="P986" s="253"/>
      <c r="Q986" s="253"/>
    </row>
    <row r="987" spans="1:17">
      <c r="A987" s="253"/>
      <c r="B987" s="253"/>
      <c r="C987" s="253"/>
      <c r="D987" s="253"/>
      <c r="E987" s="253"/>
      <c r="F987" s="253"/>
      <c r="G987" s="253"/>
      <c r="H987" s="253"/>
      <c r="I987" s="253"/>
      <c r="J987" s="253"/>
      <c r="K987" s="253"/>
      <c r="L987" s="253"/>
      <c r="M987" s="253"/>
      <c r="N987" s="253"/>
      <c r="O987" s="253"/>
      <c r="P987" s="253"/>
      <c r="Q987" s="253"/>
    </row>
    <row r="988" spans="1:17">
      <c r="A988" s="253"/>
      <c r="B988" s="253"/>
      <c r="C988" s="253"/>
      <c r="D988" s="253"/>
      <c r="E988" s="253"/>
      <c r="F988" s="253"/>
      <c r="G988" s="253"/>
      <c r="H988" s="253"/>
      <c r="I988" s="253"/>
      <c r="J988" s="253"/>
      <c r="K988" s="253"/>
      <c r="L988" s="253"/>
      <c r="M988" s="253"/>
      <c r="N988" s="253"/>
      <c r="O988" s="253"/>
      <c r="P988" s="253"/>
      <c r="Q988" s="253"/>
    </row>
    <row r="989" spans="1:17">
      <c r="A989" s="253"/>
      <c r="B989" s="253"/>
      <c r="C989" s="253"/>
      <c r="D989" s="253"/>
      <c r="E989" s="253"/>
      <c r="F989" s="253"/>
      <c r="G989" s="253"/>
      <c r="H989" s="253"/>
      <c r="I989" s="253"/>
      <c r="J989" s="253"/>
      <c r="K989" s="253"/>
      <c r="L989" s="253"/>
      <c r="M989" s="253"/>
      <c r="N989" s="253"/>
      <c r="O989" s="253"/>
      <c r="P989" s="253"/>
      <c r="Q989" s="253"/>
    </row>
    <row r="990" spans="1:17">
      <c r="A990" s="253"/>
      <c r="B990" s="253"/>
      <c r="C990" s="253"/>
      <c r="D990" s="253"/>
      <c r="E990" s="253"/>
      <c r="F990" s="253"/>
      <c r="G990" s="253"/>
      <c r="H990" s="253"/>
      <c r="I990" s="253"/>
      <c r="J990" s="253"/>
      <c r="K990" s="253"/>
      <c r="L990" s="253"/>
      <c r="M990" s="253"/>
      <c r="N990" s="253"/>
      <c r="O990" s="253"/>
      <c r="P990" s="253"/>
      <c r="Q990" s="253"/>
    </row>
    <row r="991" spans="1:17">
      <c r="A991" s="253"/>
      <c r="B991" s="253"/>
      <c r="C991" s="253"/>
      <c r="D991" s="253"/>
      <c r="E991" s="253"/>
      <c r="F991" s="253"/>
      <c r="G991" s="253"/>
      <c r="H991" s="253"/>
      <c r="I991" s="253"/>
      <c r="J991" s="253"/>
      <c r="K991" s="253"/>
      <c r="L991" s="253"/>
      <c r="M991" s="253"/>
      <c r="N991" s="253"/>
      <c r="O991" s="253"/>
      <c r="P991" s="253"/>
      <c r="Q991" s="253"/>
    </row>
    <row r="992" spans="1:17">
      <c r="A992" s="253"/>
      <c r="B992" s="253"/>
      <c r="C992" s="253"/>
      <c r="D992" s="253"/>
      <c r="E992" s="253"/>
      <c r="F992" s="253"/>
      <c r="G992" s="253"/>
      <c r="H992" s="253"/>
      <c r="I992" s="253"/>
      <c r="J992" s="253"/>
      <c r="K992" s="253"/>
      <c r="L992" s="253"/>
      <c r="M992" s="253"/>
      <c r="N992" s="253"/>
      <c r="O992" s="253"/>
      <c r="P992" s="253"/>
      <c r="Q992" s="253"/>
    </row>
    <row r="993" spans="1:17">
      <c r="A993" s="253"/>
      <c r="B993" s="253"/>
      <c r="C993" s="253"/>
      <c r="D993" s="253"/>
      <c r="E993" s="253"/>
      <c r="F993" s="253"/>
      <c r="G993" s="253"/>
      <c r="H993" s="253"/>
      <c r="I993" s="253"/>
      <c r="J993" s="253"/>
      <c r="K993" s="253"/>
      <c r="L993" s="253"/>
      <c r="M993" s="253"/>
      <c r="N993" s="253"/>
      <c r="O993" s="253"/>
      <c r="P993" s="253"/>
      <c r="Q993" s="253"/>
    </row>
    <row r="994" spans="1:17">
      <c r="A994" s="253"/>
      <c r="B994" s="253"/>
      <c r="C994" s="253"/>
      <c r="D994" s="253"/>
      <c r="E994" s="253"/>
      <c r="F994" s="253"/>
      <c r="G994" s="253"/>
      <c r="H994" s="253"/>
      <c r="I994" s="253"/>
      <c r="J994" s="253"/>
      <c r="K994" s="253"/>
      <c r="L994" s="253"/>
      <c r="M994" s="253"/>
      <c r="N994" s="253"/>
      <c r="O994" s="253"/>
      <c r="P994" s="253"/>
      <c r="Q994" s="253"/>
    </row>
    <row r="995" spans="1:17">
      <c r="A995" s="253"/>
      <c r="B995" s="253"/>
      <c r="C995" s="253"/>
      <c r="D995" s="253"/>
      <c r="E995" s="253"/>
      <c r="F995" s="253"/>
      <c r="G995" s="253"/>
      <c r="H995" s="253"/>
      <c r="I995" s="253"/>
      <c r="J995" s="253"/>
      <c r="K995" s="253"/>
      <c r="L995" s="253"/>
      <c r="M995" s="253"/>
      <c r="N995" s="253"/>
      <c r="O995" s="253"/>
      <c r="P995" s="253"/>
      <c r="Q995" s="253"/>
    </row>
    <row r="996" spans="1:17">
      <c r="A996" s="253"/>
      <c r="B996" s="253"/>
      <c r="C996" s="253"/>
      <c r="D996" s="253"/>
      <c r="E996" s="253"/>
      <c r="F996" s="253"/>
      <c r="G996" s="253"/>
      <c r="H996" s="253"/>
      <c r="I996" s="253"/>
      <c r="J996" s="253"/>
      <c r="K996" s="253"/>
      <c r="L996" s="253"/>
      <c r="M996" s="253"/>
      <c r="N996" s="253"/>
      <c r="O996" s="253"/>
      <c r="P996" s="253"/>
      <c r="Q996" s="253"/>
    </row>
    <row r="997" spans="1:17">
      <c r="A997" s="253"/>
      <c r="B997" s="253"/>
      <c r="C997" s="253"/>
      <c r="D997" s="253"/>
      <c r="E997" s="253"/>
      <c r="F997" s="253"/>
      <c r="G997" s="253"/>
      <c r="H997" s="253"/>
      <c r="I997" s="253"/>
      <c r="J997" s="253"/>
      <c r="K997" s="253"/>
      <c r="L997" s="253"/>
      <c r="M997" s="253"/>
      <c r="N997" s="253"/>
      <c r="O997" s="253"/>
      <c r="P997" s="253"/>
      <c r="Q997" s="253"/>
    </row>
    <row r="998" spans="1:17">
      <c r="A998" s="253"/>
      <c r="B998" s="253"/>
      <c r="C998" s="253"/>
      <c r="D998" s="253"/>
      <c r="E998" s="253"/>
      <c r="F998" s="253"/>
      <c r="G998" s="253"/>
      <c r="H998" s="253"/>
      <c r="I998" s="253"/>
      <c r="J998" s="253"/>
      <c r="K998" s="253"/>
      <c r="L998" s="253"/>
      <c r="M998" s="253"/>
      <c r="N998" s="253"/>
      <c r="O998" s="253"/>
      <c r="P998" s="253"/>
      <c r="Q998" s="253"/>
    </row>
    <row r="999" spans="1:17">
      <c r="A999" s="253"/>
      <c r="B999" s="253"/>
      <c r="C999" s="253"/>
      <c r="D999" s="253"/>
      <c r="E999" s="253"/>
      <c r="F999" s="253"/>
      <c r="G999" s="253"/>
      <c r="H999" s="253"/>
      <c r="I999" s="253"/>
      <c r="J999" s="253"/>
      <c r="K999" s="253"/>
      <c r="L999" s="253"/>
      <c r="M999" s="253"/>
      <c r="N999" s="253"/>
      <c r="O999" s="253"/>
      <c r="P999" s="253"/>
      <c r="Q999" s="253"/>
    </row>
    <row r="1000" spans="1:17">
      <c r="A1000" s="253"/>
      <c r="B1000" s="253"/>
      <c r="C1000" s="253"/>
      <c r="D1000" s="253"/>
      <c r="E1000" s="253"/>
      <c r="F1000" s="253"/>
      <c r="G1000" s="253"/>
      <c r="H1000" s="253"/>
      <c r="I1000" s="253"/>
      <c r="J1000" s="253"/>
      <c r="K1000" s="253"/>
      <c r="L1000" s="253"/>
      <c r="M1000" s="253"/>
      <c r="N1000" s="253"/>
      <c r="O1000" s="253"/>
      <c r="P1000" s="253"/>
      <c r="Q1000" s="253"/>
    </row>
    <row r="1001" spans="1:17">
      <c r="A1001" s="253"/>
      <c r="B1001" s="253"/>
      <c r="C1001" s="253"/>
      <c r="D1001" s="253"/>
      <c r="E1001" s="253"/>
      <c r="F1001" s="253"/>
      <c r="G1001" s="253"/>
      <c r="H1001" s="253"/>
      <c r="I1001" s="253"/>
      <c r="J1001" s="253"/>
      <c r="K1001" s="253"/>
      <c r="L1001" s="253"/>
      <c r="M1001" s="253"/>
      <c r="N1001" s="253"/>
      <c r="O1001" s="253"/>
      <c r="P1001" s="253"/>
      <c r="Q1001" s="253"/>
    </row>
    <row r="1002" spans="1:17">
      <c r="A1002" s="253"/>
      <c r="B1002" s="253"/>
      <c r="C1002" s="253"/>
      <c r="D1002" s="253"/>
      <c r="E1002" s="253"/>
      <c r="F1002" s="253"/>
      <c r="G1002" s="253"/>
      <c r="H1002" s="253"/>
      <c r="I1002" s="253"/>
      <c r="J1002" s="253"/>
      <c r="K1002" s="253"/>
      <c r="L1002" s="253"/>
      <c r="M1002" s="253"/>
      <c r="N1002" s="253"/>
      <c r="O1002" s="253"/>
      <c r="P1002" s="253"/>
      <c r="Q1002" s="253"/>
    </row>
    <row r="1003" spans="1:17">
      <c r="A1003" s="253"/>
      <c r="B1003" s="253"/>
      <c r="C1003" s="253"/>
      <c r="D1003" s="253"/>
      <c r="E1003" s="253"/>
      <c r="F1003" s="253"/>
      <c r="G1003" s="253"/>
      <c r="H1003" s="253"/>
      <c r="I1003" s="253"/>
      <c r="J1003" s="253"/>
      <c r="K1003" s="253"/>
      <c r="L1003" s="253"/>
      <c r="M1003" s="253"/>
      <c r="N1003" s="253"/>
      <c r="O1003" s="253"/>
      <c r="P1003" s="253"/>
      <c r="Q1003" s="253"/>
    </row>
    <row r="1004" spans="1:17">
      <c r="A1004" s="253"/>
      <c r="B1004" s="253"/>
      <c r="C1004" s="253"/>
      <c r="D1004" s="253"/>
      <c r="E1004" s="253"/>
      <c r="F1004" s="253"/>
      <c r="G1004" s="253"/>
      <c r="H1004" s="253"/>
      <c r="I1004" s="253"/>
      <c r="J1004" s="253"/>
      <c r="K1004" s="253"/>
      <c r="L1004" s="253"/>
      <c r="M1004" s="253"/>
      <c r="N1004" s="253"/>
      <c r="O1004" s="253"/>
      <c r="P1004" s="253"/>
      <c r="Q1004" s="253"/>
    </row>
    <row r="1005" spans="1:17">
      <c r="A1005" s="253"/>
      <c r="B1005" s="253"/>
      <c r="C1005" s="253"/>
      <c r="D1005" s="253"/>
      <c r="E1005" s="253"/>
      <c r="F1005" s="253"/>
      <c r="G1005" s="253"/>
      <c r="H1005" s="253"/>
      <c r="I1005" s="253"/>
      <c r="J1005" s="253"/>
      <c r="K1005" s="253"/>
      <c r="L1005" s="253"/>
      <c r="M1005" s="253"/>
      <c r="N1005" s="253"/>
      <c r="O1005" s="253"/>
      <c r="P1005" s="253"/>
      <c r="Q1005" s="253"/>
    </row>
    <row r="1006" spans="1:17">
      <c r="A1006" s="253"/>
      <c r="B1006" s="253"/>
      <c r="C1006" s="253"/>
      <c r="D1006" s="253"/>
      <c r="E1006" s="253"/>
      <c r="F1006" s="253"/>
      <c r="G1006" s="253"/>
      <c r="H1006" s="253"/>
      <c r="I1006" s="253"/>
      <c r="J1006" s="253"/>
      <c r="K1006" s="253"/>
      <c r="L1006" s="253"/>
      <c r="M1006" s="253"/>
      <c r="N1006" s="253"/>
      <c r="O1006" s="253"/>
      <c r="P1006" s="253"/>
      <c r="Q1006" s="253"/>
    </row>
    <row r="1007" spans="1:17">
      <c r="A1007" s="253"/>
      <c r="B1007" s="253"/>
      <c r="C1007" s="253"/>
      <c r="D1007" s="253"/>
      <c r="E1007" s="253"/>
      <c r="F1007" s="253"/>
      <c r="G1007" s="253"/>
      <c r="H1007" s="253"/>
      <c r="I1007" s="253"/>
      <c r="J1007" s="253"/>
      <c r="K1007" s="253"/>
      <c r="L1007" s="253"/>
      <c r="M1007" s="253"/>
      <c r="N1007" s="253"/>
      <c r="O1007" s="253"/>
      <c r="P1007" s="253"/>
      <c r="Q1007" s="253"/>
    </row>
    <row r="1008" spans="1:17">
      <c r="A1008" s="253"/>
      <c r="B1008" s="253"/>
      <c r="C1008" s="253"/>
      <c r="D1008" s="253"/>
      <c r="E1008" s="253"/>
      <c r="F1008" s="253"/>
      <c r="G1008" s="253"/>
      <c r="H1008" s="253"/>
      <c r="I1008" s="253"/>
      <c r="J1008" s="253"/>
      <c r="K1008" s="253"/>
      <c r="L1008" s="253"/>
      <c r="M1008" s="253"/>
      <c r="N1008" s="253"/>
      <c r="O1008" s="253"/>
      <c r="P1008" s="253"/>
      <c r="Q1008" s="253"/>
    </row>
    <row r="1009" spans="1:17">
      <c r="A1009" s="253"/>
      <c r="B1009" s="253"/>
      <c r="C1009" s="253"/>
      <c r="D1009" s="253"/>
      <c r="E1009" s="253"/>
      <c r="F1009" s="253"/>
      <c r="G1009" s="253"/>
      <c r="H1009" s="253"/>
      <c r="I1009" s="253"/>
      <c r="J1009" s="253"/>
      <c r="K1009" s="253"/>
      <c r="L1009" s="253"/>
      <c r="M1009" s="253"/>
      <c r="N1009" s="253"/>
      <c r="O1009" s="253"/>
      <c r="P1009" s="253"/>
      <c r="Q1009" s="253"/>
    </row>
    <row r="1010" spans="1:17">
      <c r="A1010" s="253"/>
      <c r="B1010" s="253"/>
      <c r="C1010" s="253"/>
      <c r="D1010" s="253"/>
      <c r="E1010" s="253"/>
      <c r="F1010" s="253"/>
      <c r="G1010" s="253"/>
      <c r="H1010" s="253"/>
      <c r="I1010" s="253"/>
      <c r="J1010" s="253"/>
      <c r="K1010" s="253"/>
      <c r="L1010" s="253"/>
      <c r="M1010" s="253"/>
      <c r="N1010" s="253"/>
      <c r="O1010" s="253"/>
      <c r="P1010" s="253"/>
      <c r="Q1010" s="253"/>
    </row>
    <row r="1011" spans="1:17">
      <c r="A1011" s="253"/>
      <c r="B1011" s="253"/>
      <c r="C1011" s="253"/>
      <c r="D1011" s="253"/>
      <c r="E1011" s="253"/>
      <c r="F1011" s="253"/>
      <c r="G1011" s="253"/>
      <c r="H1011" s="253"/>
      <c r="I1011" s="253"/>
      <c r="J1011" s="253"/>
      <c r="K1011" s="253"/>
      <c r="L1011" s="253"/>
      <c r="M1011" s="253"/>
      <c r="N1011" s="253"/>
      <c r="O1011" s="253"/>
      <c r="P1011" s="253"/>
      <c r="Q1011" s="253"/>
    </row>
    <row r="1012" spans="1:17">
      <c r="A1012" s="253"/>
      <c r="B1012" s="253"/>
      <c r="C1012" s="253"/>
      <c r="D1012" s="253"/>
      <c r="E1012" s="253"/>
      <c r="F1012" s="253"/>
      <c r="G1012" s="253"/>
      <c r="H1012" s="253"/>
      <c r="I1012" s="253"/>
      <c r="J1012" s="253"/>
      <c r="K1012" s="253"/>
      <c r="L1012" s="253"/>
      <c r="M1012" s="253"/>
      <c r="N1012" s="253"/>
      <c r="O1012" s="253"/>
      <c r="P1012" s="253"/>
      <c r="Q1012" s="253"/>
    </row>
    <row r="1013" spans="1:17">
      <c r="A1013" s="253"/>
      <c r="B1013" s="253"/>
      <c r="C1013" s="253"/>
      <c r="D1013" s="253"/>
      <c r="E1013" s="253"/>
      <c r="F1013" s="253"/>
      <c r="G1013" s="253"/>
      <c r="H1013" s="253"/>
      <c r="I1013" s="253"/>
      <c r="J1013" s="253"/>
      <c r="K1013" s="253"/>
      <c r="L1013" s="253"/>
      <c r="M1013" s="253"/>
      <c r="N1013" s="253"/>
      <c r="O1013" s="253"/>
      <c r="P1013" s="253"/>
      <c r="Q1013" s="253"/>
    </row>
    <row r="1014" spans="1:17">
      <c r="A1014" s="253"/>
      <c r="B1014" s="253"/>
      <c r="C1014" s="253"/>
      <c r="D1014" s="253"/>
      <c r="E1014" s="253"/>
      <c r="F1014" s="253"/>
      <c r="G1014" s="253"/>
      <c r="H1014" s="253"/>
      <c r="I1014" s="253"/>
      <c r="J1014" s="253"/>
      <c r="K1014" s="253"/>
      <c r="L1014" s="253"/>
      <c r="M1014" s="253"/>
      <c r="N1014" s="253"/>
      <c r="O1014" s="253"/>
      <c r="P1014" s="253"/>
      <c r="Q1014" s="253"/>
    </row>
    <row r="1015" spans="1:17">
      <c r="A1015" s="253"/>
      <c r="B1015" s="253"/>
      <c r="C1015" s="253"/>
      <c r="D1015" s="253"/>
      <c r="E1015" s="253"/>
      <c r="F1015" s="253"/>
      <c r="G1015" s="253"/>
      <c r="H1015" s="253"/>
      <c r="I1015" s="253"/>
      <c r="J1015" s="253"/>
      <c r="K1015" s="253"/>
      <c r="L1015" s="253"/>
      <c r="M1015" s="253"/>
      <c r="N1015" s="253"/>
      <c r="O1015" s="253"/>
      <c r="P1015" s="253"/>
      <c r="Q1015" s="253"/>
    </row>
    <row r="1016" spans="1:17">
      <c r="A1016" s="253"/>
      <c r="B1016" s="253"/>
      <c r="C1016" s="253"/>
      <c r="D1016" s="253"/>
      <c r="E1016" s="253"/>
      <c r="F1016" s="253"/>
      <c r="G1016" s="253"/>
      <c r="H1016" s="253"/>
      <c r="I1016" s="253"/>
      <c r="J1016" s="253"/>
      <c r="K1016" s="253"/>
      <c r="L1016" s="253"/>
      <c r="M1016" s="253"/>
      <c r="N1016" s="253"/>
      <c r="O1016" s="253"/>
      <c r="P1016" s="253"/>
      <c r="Q1016" s="253"/>
    </row>
    <row r="1017" spans="1:17">
      <c r="A1017" s="253"/>
      <c r="B1017" s="253"/>
      <c r="C1017" s="253"/>
      <c r="D1017" s="253"/>
      <c r="E1017" s="253"/>
      <c r="F1017" s="253"/>
      <c r="G1017" s="253"/>
      <c r="H1017" s="253"/>
      <c r="I1017" s="253"/>
      <c r="J1017" s="253"/>
      <c r="K1017" s="253"/>
      <c r="L1017" s="253"/>
      <c r="M1017" s="253"/>
      <c r="N1017" s="253"/>
      <c r="O1017" s="253"/>
      <c r="P1017" s="253"/>
      <c r="Q1017" s="253"/>
    </row>
    <row r="1018" spans="1:17">
      <c r="A1018" s="253"/>
      <c r="B1018" s="253"/>
      <c r="C1018" s="253"/>
      <c r="D1018" s="253"/>
      <c r="E1018" s="253"/>
      <c r="F1018" s="253"/>
      <c r="G1018" s="253"/>
      <c r="H1018" s="253"/>
      <c r="I1018" s="253"/>
      <c r="J1018" s="253"/>
      <c r="K1018" s="253"/>
      <c r="L1018" s="253"/>
      <c r="M1018" s="253"/>
      <c r="N1018" s="253"/>
      <c r="O1018" s="253"/>
      <c r="P1018" s="253"/>
      <c r="Q1018" s="253"/>
    </row>
    <row r="1019" spans="1:17">
      <c r="A1019" s="253"/>
      <c r="B1019" s="253"/>
      <c r="C1019" s="253"/>
      <c r="D1019" s="253"/>
      <c r="E1019" s="253"/>
      <c r="F1019" s="253"/>
      <c r="G1019" s="253"/>
      <c r="H1019" s="253"/>
      <c r="I1019" s="253"/>
      <c r="J1019" s="253"/>
      <c r="K1019" s="253"/>
      <c r="L1019" s="253"/>
      <c r="M1019" s="253"/>
      <c r="N1019" s="253"/>
      <c r="O1019" s="253"/>
      <c r="P1019" s="253"/>
      <c r="Q1019" s="253"/>
    </row>
    <row r="1020" spans="1:17">
      <c r="A1020" s="253"/>
      <c r="B1020" s="253"/>
      <c r="C1020" s="253"/>
      <c r="D1020" s="253"/>
      <c r="E1020" s="253"/>
      <c r="F1020" s="253"/>
      <c r="G1020" s="253"/>
      <c r="H1020" s="253"/>
      <c r="I1020" s="253"/>
      <c r="J1020" s="253"/>
      <c r="K1020" s="253"/>
      <c r="L1020" s="253"/>
      <c r="M1020" s="253"/>
      <c r="N1020" s="253"/>
      <c r="O1020" s="253"/>
      <c r="P1020" s="253"/>
      <c r="Q1020" s="253"/>
    </row>
    <row r="1021" spans="1:17">
      <c r="A1021" s="253"/>
      <c r="B1021" s="253"/>
      <c r="C1021" s="253"/>
      <c r="D1021" s="253"/>
      <c r="E1021" s="253"/>
      <c r="F1021" s="253"/>
      <c r="G1021" s="253"/>
      <c r="H1021" s="253"/>
      <c r="I1021" s="253"/>
      <c r="J1021" s="253"/>
      <c r="K1021" s="253"/>
      <c r="L1021" s="253"/>
      <c r="M1021" s="253"/>
      <c r="N1021" s="253"/>
      <c r="O1021" s="253"/>
      <c r="P1021" s="253"/>
      <c r="Q1021" s="253"/>
    </row>
    <row r="1022" spans="1:17">
      <c r="A1022" s="253"/>
      <c r="B1022" s="253"/>
      <c r="C1022" s="253"/>
      <c r="D1022" s="253"/>
      <c r="E1022" s="253"/>
      <c r="F1022" s="253"/>
      <c r="G1022" s="253"/>
      <c r="H1022" s="253"/>
      <c r="I1022" s="253"/>
      <c r="J1022" s="253"/>
      <c r="K1022" s="253"/>
      <c r="L1022" s="253"/>
      <c r="M1022" s="253"/>
      <c r="N1022" s="253"/>
      <c r="O1022" s="253"/>
      <c r="P1022" s="253"/>
      <c r="Q1022" s="253"/>
    </row>
    <row r="1023" spans="1:17">
      <c r="A1023" s="253"/>
      <c r="B1023" s="253"/>
      <c r="C1023" s="253"/>
      <c r="D1023" s="253"/>
      <c r="E1023" s="253"/>
      <c r="F1023" s="253"/>
      <c r="G1023" s="253"/>
      <c r="H1023" s="253"/>
      <c r="I1023" s="253"/>
      <c r="J1023" s="253"/>
      <c r="K1023" s="253"/>
      <c r="L1023" s="253"/>
      <c r="M1023" s="253"/>
      <c r="N1023" s="253"/>
      <c r="O1023" s="253"/>
      <c r="P1023" s="253"/>
      <c r="Q1023" s="253"/>
    </row>
    <row r="1024" spans="1:17">
      <c r="A1024" s="253"/>
      <c r="B1024" s="253"/>
      <c r="C1024" s="253"/>
      <c r="D1024" s="253"/>
      <c r="E1024" s="253"/>
      <c r="F1024" s="253"/>
      <c r="G1024" s="253"/>
      <c r="H1024" s="253"/>
      <c r="I1024" s="253"/>
      <c r="J1024" s="253"/>
      <c r="K1024" s="253"/>
      <c r="L1024" s="253"/>
      <c r="M1024" s="253"/>
      <c r="N1024" s="253"/>
      <c r="O1024" s="253"/>
      <c r="P1024" s="253"/>
      <c r="Q1024" s="253"/>
    </row>
    <row r="1025" spans="1:17">
      <c r="A1025" s="253"/>
      <c r="B1025" s="253"/>
      <c r="C1025" s="253"/>
      <c r="D1025" s="253"/>
      <c r="E1025" s="253"/>
      <c r="F1025" s="253"/>
      <c r="G1025" s="253"/>
      <c r="H1025" s="253"/>
      <c r="I1025" s="253"/>
      <c r="J1025" s="253"/>
      <c r="K1025" s="253"/>
      <c r="L1025" s="253"/>
      <c r="M1025" s="253"/>
      <c r="N1025" s="253"/>
      <c r="O1025" s="253"/>
      <c r="P1025" s="253"/>
      <c r="Q1025" s="253"/>
    </row>
    <row r="1026" spans="1:17">
      <c r="A1026" s="253"/>
      <c r="B1026" s="253"/>
      <c r="C1026" s="253"/>
      <c r="D1026" s="253"/>
      <c r="E1026" s="253"/>
      <c r="F1026" s="253"/>
      <c r="G1026" s="253"/>
      <c r="H1026" s="253"/>
      <c r="I1026" s="253"/>
      <c r="J1026" s="253"/>
      <c r="K1026" s="253"/>
      <c r="L1026" s="253"/>
      <c r="M1026" s="253"/>
      <c r="N1026" s="253"/>
      <c r="O1026" s="253"/>
      <c r="P1026" s="253"/>
      <c r="Q1026" s="253"/>
    </row>
    <row r="1027" spans="1:17">
      <c r="A1027" s="253"/>
      <c r="B1027" s="253"/>
      <c r="C1027" s="253"/>
      <c r="D1027" s="253"/>
      <c r="E1027" s="253"/>
      <c r="F1027" s="253"/>
      <c r="G1027" s="253"/>
      <c r="H1027" s="253"/>
      <c r="I1027" s="253"/>
      <c r="J1027" s="253"/>
      <c r="K1027" s="253"/>
      <c r="L1027" s="253"/>
      <c r="M1027" s="253"/>
      <c r="N1027" s="253"/>
      <c r="O1027" s="253"/>
      <c r="P1027" s="253"/>
      <c r="Q1027" s="253"/>
    </row>
    <row r="1028" spans="1:17">
      <c r="A1028" s="253"/>
      <c r="B1028" s="253"/>
      <c r="C1028" s="253"/>
      <c r="D1028" s="253"/>
      <c r="E1028" s="253"/>
      <c r="F1028" s="253"/>
      <c r="G1028" s="253"/>
      <c r="H1028" s="253"/>
      <c r="I1028" s="253"/>
      <c r="J1028" s="253"/>
      <c r="K1028" s="253"/>
      <c r="L1028" s="253"/>
      <c r="M1028" s="253"/>
      <c r="N1028" s="253"/>
      <c r="O1028" s="253"/>
      <c r="P1028" s="253"/>
      <c r="Q1028" s="253"/>
    </row>
    <row r="1029" spans="1:17">
      <c r="A1029" s="253"/>
      <c r="B1029" s="253"/>
      <c r="C1029" s="253"/>
      <c r="D1029" s="253"/>
      <c r="E1029" s="253"/>
      <c r="F1029" s="253"/>
      <c r="G1029" s="253"/>
      <c r="H1029" s="253"/>
      <c r="I1029" s="253"/>
      <c r="J1029" s="253"/>
      <c r="K1029" s="253"/>
      <c r="L1029" s="253"/>
      <c r="M1029" s="253"/>
      <c r="N1029" s="253"/>
      <c r="O1029" s="253"/>
      <c r="P1029" s="253"/>
      <c r="Q1029" s="253"/>
    </row>
    <row r="1030" spans="1:17">
      <c r="A1030" s="253"/>
      <c r="B1030" s="253"/>
      <c r="C1030" s="253"/>
      <c r="D1030" s="253"/>
      <c r="E1030" s="253"/>
      <c r="F1030" s="253"/>
      <c r="G1030" s="253"/>
      <c r="H1030" s="253"/>
      <c r="I1030" s="253"/>
      <c r="J1030" s="253"/>
      <c r="K1030" s="253"/>
      <c r="L1030" s="253"/>
      <c r="M1030" s="253"/>
      <c r="N1030" s="253"/>
      <c r="O1030" s="253"/>
      <c r="P1030" s="253"/>
      <c r="Q1030" s="253"/>
    </row>
    <row r="1031" spans="1:17">
      <c r="A1031" s="253"/>
      <c r="B1031" s="253"/>
      <c r="C1031" s="253"/>
      <c r="D1031" s="253"/>
      <c r="E1031" s="253"/>
      <c r="F1031" s="253"/>
      <c r="G1031" s="253"/>
      <c r="H1031" s="253"/>
      <c r="I1031" s="253"/>
      <c r="J1031" s="253"/>
      <c r="K1031" s="253"/>
      <c r="L1031" s="253"/>
      <c r="M1031" s="253"/>
      <c r="N1031" s="253"/>
      <c r="O1031" s="253"/>
      <c r="P1031" s="253"/>
      <c r="Q1031" s="253"/>
    </row>
    <row r="1032" spans="1:17">
      <c r="A1032" s="253"/>
      <c r="B1032" s="253"/>
      <c r="C1032" s="253"/>
      <c r="D1032" s="253"/>
      <c r="E1032" s="253"/>
      <c r="F1032" s="253"/>
      <c r="G1032" s="253"/>
      <c r="H1032" s="253"/>
      <c r="I1032" s="253"/>
      <c r="J1032" s="253"/>
      <c r="K1032" s="253"/>
      <c r="L1032" s="253"/>
      <c r="M1032" s="253"/>
      <c r="N1032" s="253"/>
      <c r="O1032" s="253"/>
      <c r="P1032" s="253"/>
      <c r="Q1032" s="253"/>
    </row>
    <row r="1033" spans="1:17">
      <c r="A1033" s="253"/>
      <c r="B1033" s="253"/>
      <c r="C1033" s="253"/>
      <c r="D1033" s="253"/>
      <c r="E1033" s="253"/>
      <c r="F1033" s="253"/>
      <c r="G1033" s="253"/>
      <c r="H1033" s="253"/>
      <c r="I1033" s="253"/>
      <c r="J1033" s="253"/>
      <c r="K1033" s="253"/>
      <c r="L1033" s="253"/>
      <c r="M1033" s="253"/>
      <c r="N1033" s="253"/>
      <c r="O1033" s="253"/>
      <c r="P1033" s="253"/>
      <c r="Q1033" s="253"/>
    </row>
    <row r="1034" spans="1:17">
      <c r="A1034" s="253"/>
      <c r="B1034" s="253"/>
      <c r="C1034" s="253"/>
      <c r="D1034" s="253"/>
      <c r="E1034" s="253"/>
      <c r="F1034" s="253"/>
      <c r="G1034" s="253"/>
      <c r="H1034" s="253"/>
      <c r="I1034" s="253"/>
      <c r="J1034" s="253"/>
      <c r="K1034" s="253"/>
      <c r="L1034" s="253"/>
      <c r="M1034" s="253"/>
      <c r="N1034" s="253"/>
      <c r="O1034" s="253"/>
      <c r="P1034" s="253"/>
      <c r="Q1034" s="253"/>
    </row>
    <row r="1035" spans="1:17">
      <c r="A1035" s="253"/>
      <c r="B1035" s="253"/>
      <c r="C1035" s="253"/>
      <c r="D1035" s="253"/>
      <c r="E1035" s="253"/>
      <c r="F1035" s="253"/>
      <c r="G1035" s="253"/>
      <c r="H1035" s="253"/>
      <c r="I1035" s="253"/>
      <c r="J1035" s="253"/>
      <c r="K1035" s="253"/>
      <c r="L1035" s="253"/>
      <c r="M1035" s="253"/>
      <c r="N1035" s="253"/>
      <c r="O1035" s="253"/>
      <c r="P1035" s="253"/>
      <c r="Q1035" s="253"/>
    </row>
    <row r="1036" spans="1:17">
      <c r="A1036" s="253"/>
      <c r="B1036" s="253"/>
      <c r="C1036" s="253"/>
      <c r="D1036" s="253"/>
      <c r="E1036" s="253"/>
      <c r="F1036" s="253"/>
      <c r="G1036" s="253"/>
      <c r="H1036" s="253"/>
      <c r="I1036" s="253"/>
      <c r="J1036" s="253"/>
      <c r="K1036" s="253"/>
      <c r="L1036" s="253"/>
      <c r="M1036" s="253"/>
      <c r="N1036" s="253"/>
      <c r="O1036" s="253"/>
      <c r="P1036" s="253"/>
      <c r="Q1036" s="253"/>
    </row>
    <row r="1037" spans="1:17">
      <c r="A1037" s="253"/>
      <c r="B1037" s="253"/>
      <c r="C1037" s="253"/>
      <c r="D1037" s="253"/>
      <c r="E1037" s="253"/>
      <c r="F1037" s="253"/>
      <c r="G1037" s="253"/>
      <c r="H1037" s="253"/>
      <c r="I1037" s="253"/>
      <c r="J1037" s="253"/>
      <c r="K1037" s="253"/>
      <c r="L1037" s="253"/>
      <c r="M1037" s="253"/>
      <c r="N1037" s="253"/>
      <c r="O1037" s="253"/>
      <c r="P1037" s="253"/>
      <c r="Q1037" s="253"/>
    </row>
    <row r="1038" spans="1:17">
      <c r="A1038" s="253"/>
      <c r="B1038" s="253"/>
      <c r="C1038" s="253"/>
      <c r="D1038" s="253"/>
      <c r="E1038" s="253"/>
      <c r="F1038" s="253"/>
      <c r="G1038" s="253"/>
      <c r="H1038" s="253"/>
      <c r="I1038" s="253"/>
      <c r="J1038" s="253"/>
      <c r="K1038" s="253"/>
      <c r="L1038" s="253"/>
      <c r="M1038" s="253"/>
      <c r="N1038" s="253"/>
      <c r="O1038" s="253"/>
      <c r="P1038" s="253"/>
      <c r="Q1038" s="253"/>
    </row>
    <row r="1039" spans="1:17">
      <c r="A1039" s="253"/>
      <c r="B1039" s="253"/>
      <c r="C1039" s="253"/>
      <c r="D1039" s="253"/>
      <c r="E1039" s="253"/>
      <c r="F1039" s="253"/>
      <c r="G1039" s="253"/>
      <c r="H1039" s="253"/>
      <c r="I1039" s="253"/>
      <c r="J1039" s="253"/>
      <c r="K1039" s="253"/>
      <c r="L1039" s="253"/>
      <c r="M1039" s="253"/>
      <c r="N1039" s="253"/>
      <c r="O1039" s="253"/>
      <c r="P1039" s="253"/>
      <c r="Q1039" s="253"/>
    </row>
    <row r="1040" spans="1:17">
      <c r="A1040" s="253"/>
      <c r="B1040" s="253"/>
      <c r="C1040" s="253"/>
      <c r="D1040" s="253"/>
      <c r="E1040" s="253"/>
      <c r="F1040" s="253"/>
      <c r="G1040" s="253"/>
      <c r="H1040" s="253"/>
      <c r="I1040" s="253"/>
      <c r="J1040" s="253"/>
      <c r="K1040" s="253"/>
      <c r="L1040" s="253"/>
      <c r="M1040" s="253"/>
      <c r="N1040" s="253"/>
      <c r="O1040" s="253"/>
      <c r="P1040" s="253"/>
      <c r="Q1040" s="253"/>
    </row>
    <row r="1041" spans="1:17">
      <c r="A1041" s="253"/>
      <c r="B1041" s="253"/>
      <c r="C1041" s="253"/>
      <c r="D1041" s="253"/>
      <c r="E1041" s="253"/>
      <c r="F1041" s="253"/>
      <c r="G1041" s="253"/>
      <c r="H1041" s="253"/>
      <c r="I1041" s="253"/>
      <c r="J1041" s="253"/>
      <c r="K1041" s="253"/>
      <c r="L1041" s="253"/>
      <c r="M1041" s="253"/>
      <c r="N1041" s="253"/>
      <c r="O1041" s="253"/>
      <c r="P1041" s="253"/>
      <c r="Q1041" s="253"/>
    </row>
    <row r="1042" spans="1:17">
      <c r="A1042" s="253"/>
      <c r="B1042" s="253"/>
      <c r="C1042" s="253"/>
      <c r="D1042" s="253"/>
      <c r="E1042" s="253"/>
      <c r="F1042" s="253"/>
      <c r="G1042" s="253"/>
      <c r="H1042" s="253"/>
      <c r="I1042" s="253"/>
      <c r="J1042" s="253"/>
      <c r="K1042" s="253"/>
      <c r="L1042" s="253"/>
      <c r="M1042" s="253"/>
      <c r="N1042" s="253"/>
      <c r="O1042" s="253"/>
      <c r="P1042" s="253"/>
      <c r="Q1042" s="253"/>
    </row>
    <row r="1043" spans="1:17">
      <c r="A1043" s="253"/>
      <c r="B1043" s="253"/>
      <c r="C1043" s="253"/>
      <c r="D1043" s="253"/>
      <c r="E1043" s="253"/>
      <c r="F1043" s="253"/>
      <c r="G1043" s="253"/>
      <c r="H1043" s="253"/>
      <c r="I1043" s="253"/>
      <c r="J1043" s="253"/>
      <c r="K1043" s="253"/>
      <c r="L1043" s="253"/>
      <c r="M1043" s="253"/>
      <c r="N1043" s="253"/>
      <c r="O1043" s="253"/>
      <c r="P1043" s="253"/>
      <c r="Q1043" s="253"/>
    </row>
    <row r="1044" spans="1:17">
      <c r="A1044" s="253"/>
      <c r="B1044" s="253"/>
      <c r="C1044" s="253"/>
      <c r="D1044" s="253"/>
      <c r="E1044" s="253"/>
      <c r="F1044" s="253"/>
      <c r="G1044" s="253"/>
      <c r="H1044" s="253"/>
      <c r="I1044" s="253"/>
      <c r="J1044" s="253"/>
      <c r="K1044" s="253"/>
      <c r="L1044" s="253"/>
      <c r="M1044" s="253"/>
      <c r="N1044" s="253"/>
      <c r="O1044" s="253"/>
      <c r="P1044" s="253"/>
      <c r="Q1044" s="253"/>
    </row>
    <row r="1045" spans="1:17">
      <c r="A1045" s="253"/>
      <c r="B1045" s="253"/>
      <c r="C1045" s="253"/>
      <c r="D1045" s="253"/>
      <c r="E1045" s="253"/>
      <c r="F1045" s="253"/>
      <c r="G1045" s="253"/>
      <c r="H1045" s="253"/>
      <c r="I1045" s="253"/>
      <c r="J1045" s="253"/>
      <c r="K1045" s="253"/>
      <c r="L1045" s="253"/>
      <c r="M1045" s="253"/>
      <c r="N1045" s="253"/>
      <c r="O1045" s="253"/>
      <c r="P1045" s="253"/>
      <c r="Q1045" s="253"/>
    </row>
    <row r="1046" spans="1:17">
      <c r="A1046" s="253"/>
      <c r="B1046" s="253"/>
      <c r="C1046" s="253"/>
      <c r="D1046" s="253"/>
      <c r="E1046" s="253"/>
      <c r="F1046" s="253"/>
      <c r="G1046" s="253"/>
      <c r="H1046" s="253"/>
      <c r="I1046" s="253"/>
      <c r="J1046" s="253"/>
      <c r="K1046" s="253"/>
      <c r="L1046" s="253"/>
      <c r="M1046" s="253"/>
      <c r="N1046" s="253"/>
      <c r="O1046" s="253"/>
      <c r="P1046" s="253"/>
      <c r="Q1046" s="253"/>
    </row>
    <row r="1047" spans="1:17">
      <c r="A1047" s="253"/>
      <c r="B1047" s="253"/>
      <c r="C1047" s="253"/>
      <c r="D1047" s="253"/>
      <c r="E1047" s="253"/>
      <c r="F1047" s="253"/>
      <c r="G1047" s="253"/>
      <c r="H1047" s="253"/>
      <c r="I1047" s="253"/>
      <c r="J1047" s="253"/>
      <c r="K1047" s="253"/>
      <c r="L1047" s="253"/>
      <c r="M1047" s="253"/>
      <c r="N1047" s="253"/>
      <c r="O1047" s="253"/>
      <c r="P1047" s="253"/>
      <c r="Q1047" s="253"/>
    </row>
    <row r="1048" spans="1:17">
      <c r="A1048" s="253"/>
      <c r="B1048" s="253"/>
      <c r="C1048" s="253"/>
      <c r="D1048" s="253"/>
      <c r="E1048" s="253"/>
      <c r="F1048" s="253"/>
      <c r="G1048" s="253"/>
      <c r="H1048" s="253"/>
      <c r="I1048" s="253"/>
      <c r="J1048" s="253"/>
      <c r="K1048" s="253"/>
      <c r="L1048" s="253"/>
      <c r="M1048" s="253"/>
      <c r="N1048" s="253"/>
      <c r="O1048" s="253"/>
      <c r="P1048" s="253"/>
      <c r="Q1048" s="253"/>
    </row>
    <row r="1049" spans="1:17">
      <c r="A1049" s="253"/>
      <c r="B1049" s="253"/>
      <c r="C1049" s="253"/>
      <c r="D1049" s="253"/>
      <c r="E1049" s="253"/>
      <c r="F1049" s="253"/>
      <c r="G1049" s="253"/>
      <c r="H1049" s="253"/>
      <c r="I1049" s="253"/>
      <c r="J1049" s="253"/>
      <c r="K1049" s="253"/>
      <c r="L1049" s="253"/>
      <c r="M1049" s="253"/>
      <c r="N1049" s="253"/>
      <c r="O1049" s="253"/>
      <c r="P1049" s="253"/>
      <c r="Q1049" s="253"/>
    </row>
    <row r="1050" spans="1:17">
      <c r="A1050" s="253"/>
      <c r="B1050" s="253"/>
      <c r="C1050" s="253"/>
      <c r="D1050" s="253"/>
      <c r="E1050" s="253"/>
      <c r="F1050" s="253"/>
      <c r="G1050" s="253"/>
      <c r="H1050" s="253"/>
      <c r="I1050" s="253"/>
      <c r="J1050" s="253"/>
      <c r="K1050" s="253"/>
      <c r="L1050" s="253"/>
      <c r="M1050" s="253"/>
      <c r="N1050" s="253"/>
      <c r="O1050" s="253"/>
      <c r="P1050" s="253"/>
      <c r="Q1050" s="253"/>
    </row>
    <row r="1051" spans="1:17">
      <c r="A1051" s="253"/>
      <c r="B1051" s="253"/>
      <c r="C1051" s="253"/>
      <c r="D1051" s="253"/>
      <c r="E1051" s="253"/>
      <c r="F1051" s="253"/>
      <c r="G1051" s="253"/>
      <c r="H1051" s="253"/>
      <c r="I1051" s="253"/>
      <c r="J1051" s="253"/>
      <c r="K1051" s="253"/>
      <c r="L1051" s="253"/>
      <c r="M1051" s="253"/>
      <c r="N1051" s="253"/>
      <c r="O1051" s="253"/>
      <c r="P1051" s="253"/>
      <c r="Q1051" s="253"/>
    </row>
    <row r="1052" spans="1:17">
      <c r="A1052" s="253"/>
      <c r="B1052" s="253"/>
      <c r="C1052" s="253"/>
      <c r="D1052" s="253"/>
      <c r="E1052" s="253"/>
      <c r="F1052" s="253"/>
      <c r="G1052" s="253"/>
      <c r="H1052" s="253"/>
      <c r="I1052" s="253"/>
      <c r="J1052" s="253"/>
      <c r="K1052" s="253"/>
      <c r="L1052" s="253"/>
      <c r="M1052" s="253"/>
      <c r="N1052" s="253"/>
      <c r="O1052" s="253"/>
      <c r="P1052" s="253"/>
      <c r="Q1052" s="253"/>
    </row>
    <row r="1053" spans="1:17">
      <c r="A1053" s="253"/>
      <c r="B1053" s="253"/>
      <c r="C1053" s="253"/>
      <c r="D1053" s="253"/>
      <c r="E1053" s="253"/>
      <c r="F1053" s="253"/>
      <c r="G1053" s="253"/>
      <c r="H1053" s="253"/>
      <c r="I1053" s="253"/>
      <c r="J1053" s="253"/>
      <c r="K1053" s="253"/>
      <c r="L1053" s="253"/>
      <c r="M1053" s="253"/>
      <c r="N1053" s="253"/>
      <c r="O1053" s="253"/>
      <c r="P1053" s="253"/>
      <c r="Q1053" s="253"/>
    </row>
    <row r="1054" spans="1:17">
      <c r="A1054" s="253"/>
      <c r="B1054" s="253"/>
      <c r="C1054" s="253"/>
      <c r="D1054" s="253"/>
      <c r="E1054" s="253"/>
      <c r="F1054" s="253"/>
      <c r="G1054" s="253"/>
      <c r="H1054" s="253"/>
      <c r="I1054" s="253"/>
      <c r="J1054" s="253"/>
      <c r="K1054" s="253"/>
      <c r="L1054" s="253"/>
      <c r="M1054" s="253"/>
      <c r="N1054" s="253"/>
      <c r="O1054" s="253"/>
      <c r="P1054" s="253"/>
      <c r="Q1054" s="253"/>
    </row>
    <row r="1055" spans="1:17">
      <c r="A1055" s="253"/>
      <c r="B1055" s="253"/>
      <c r="C1055" s="253"/>
      <c r="D1055" s="253"/>
      <c r="E1055" s="253"/>
      <c r="F1055" s="253"/>
      <c r="G1055" s="253"/>
      <c r="H1055" s="253"/>
      <c r="I1055" s="253"/>
      <c r="J1055" s="253"/>
      <c r="K1055" s="253"/>
      <c r="L1055" s="253"/>
      <c r="M1055" s="253"/>
      <c r="N1055" s="253"/>
      <c r="O1055" s="253"/>
      <c r="P1055" s="253"/>
      <c r="Q1055" s="253"/>
    </row>
    <row r="1056" spans="1:17">
      <c r="A1056" s="253"/>
      <c r="B1056" s="253"/>
      <c r="C1056" s="253"/>
      <c r="D1056" s="253"/>
      <c r="E1056" s="253"/>
      <c r="F1056" s="253"/>
      <c r="G1056" s="253"/>
      <c r="H1056" s="253"/>
      <c r="I1056" s="253"/>
      <c r="J1056" s="253"/>
      <c r="K1056" s="253"/>
      <c r="L1056" s="253"/>
      <c r="M1056" s="253"/>
      <c r="N1056" s="253"/>
      <c r="O1056" s="253"/>
      <c r="P1056" s="253"/>
      <c r="Q1056" s="253"/>
    </row>
    <row r="1057" spans="1:17">
      <c r="A1057" s="253"/>
      <c r="B1057" s="253"/>
      <c r="C1057" s="253"/>
      <c r="D1057" s="253"/>
      <c r="E1057" s="253"/>
      <c r="F1057" s="253"/>
      <c r="G1057" s="253"/>
      <c r="H1057" s="253"/>
      <c r="I1057" s="253"/>
      <c r="J1057" s="253"/>
      <c r="K1057" s="253"/>
      <c r="L1057" s="253"/>
      <c r="M1057" s="253"/>
      <c r="N1057" s="253"/>
      <c r="O1057" s="253"/>
      <c r="P1057" s="253"/>
      <c r="Q1057" s="253"/>
    </row>
    <row r="1058" spans="1:17">
      <c r="A1058" s="253"/>
      <c r="B1058" s="253"/>
      <c r="C1058" s="253"/>
      <c r="D1058" s="253"/>
      <c r="E1058" s="253"/>
      <c r="F1058" s="253"/>
      <c r="G1058" s="253"/>
      <c r="H1058" s="253"/>
      <c r="I1058" s="253"/>
      <c r="J1058" s="253"/>
      <c r="K1058" s="253"/>
      <c r="L1058" s="253"/>
      <c r="M1058" s="253"/>
      <c r="N1058" s="253"/>
      <c r="O1058" s="253"/>
      <c r="P1058" s="253"/>
      <c r="Q1058" s="253"/>
    </row>
    <row r="1059" spans="1:17">
      <c r="A1059" s="253"/>
      <c r="B1059" s="253"/>
      <c r="C1059" s="253"/>
      <c r="D1059" s="253"/>
      <c r="E1059" s="253"/>
      <c r="F1059" s="253"/>
      <c r="G1059" s="253"/>
      <c r="H1059" s="253"/>
      <c r="I1059" s="253"/>
      <c r="J1059" s="253"/>
      <c r="K1059" s="253"/>
      <c r="L1059" s="253"/>
      <c r="M1059" s="253"/>
      <c r="N1059" s="253"/>
      <c r="O1059" s="253"/>
      <c r="P1059" s="253"/>
      <c r="Q1059" s="253"/>
    </row>
    <row r="1060" spans="1:17">
      <c r="A1060" s="253"/>
      <c r="B1060" s="253"/>
      <c r="C1060" s="253"/>
      <c r="D1060" s="253"/>
      <c r="E1060" s="253"/>
      <c r="F1060" s="253"/>
      <c r="G1060" s="253"/>
      <c r="H1060" s="253"/>
      <c r="I1060" s="253"/>
      <c r="J1060" s="253"/>
      <c r="K1060" s="253"/>
      <c r="L1060" s="253"/>
      <c r="M1060" s="253"/>
      <c r="N1060" s="253"/>
      <c r="O1060" s="253"/>
      <c r="P1060" s="253"/>
      <c r="Q1060" s="253"/>
    </row>
    <row r="1061" spans="1:17">
      <c r="A1061" s="253"/>
      <c r="B1061" s="253"/>
      <c r="C1061" s="253"/>
      <c r="D1061" s="253"/>
      <c r="E1061" s="253"/>
      <c r="F1061" s="253"/>
      <c r="G1061" s="253"/>
      <c r="H1061" s="253"/>
      <c r="I1061" s="253"/>
      <c r="J1061" s="253"/>
      <c r="K1061" s="253"/>
      <c r="L1061" s="253"/>
      <c r="M1061" s="253"/>
      <c r="N1061" s="253"/>
      <c r="O1061" s="253"/>
      <c r="P1061" s="253"/>
      <c r="Q1061" s="253"/>
    </row>
    <row r="1062" spans="1:17">
      <c r="A1062" s="253"/>
      <c r="B1062" s="253"/>
      <c r="C1062" s="253"/>
      <c r="D1062" s="253"/>
      <c r="E1062" s="253"/>
      <c r="F1062" s="253"/>
      <c r="G1062" s="253"/>
      <c r="H1062" s="253"/>
      <c r="I1062" s="253"/>
      <c r="J1062" s="253"/>
      <c r="K1062" s="253"/>
      <c r="L1062" s="253"/>
      <c r="M1062" s="253"/>
      <c r="N1062" s="253"/>
      <c r="O1062" s="253"/>
      <c r="P1062" s="253"/>
      <c r="Q1062" s="253"/>
    </row>
    <row r="1063" spans="1:17">
      <c r="A1063" s="253"/>
      <c r="B1063" s="253"/>
      <c r="C1063" s="253"/>
      <c r="D1063" s="253"/>
      <c r="E1063" s="253"/>
      <c r="F1063" s="253"/>
      <c r="G1063" s="253"/>
      <c r="H1063" s="253"/>
      <c r="I1063" s="253"/>
      <c r="J1063" s="253"/>
      <c r="K1063" s="253"/>
      <c r="L1063" s="253"/>
      <c r="M1063" s="253"/>
      <c r="N1063" s="253"/>
      <c r="O1063" s="253"/>
      <c r="P1063" s="253"/>
      <c r="Q1063" s="253"/>
    </row>
    <row r="1064" spans="1:17">
      <c r="A1064" s="253"/>
      <c r="B1064" s="253"/>
      <c r="C1064" s="253"/>
      <c r="D1064" s="253"/>
      <c r="E1064" s="253"/>
      <c r="F1064" s="253"/>
      <c r="G1064" s="253"/>
      <c r="H1064" s="253"/>
      <c r="I1064" s="253"/>
      <c r="J1064" s="253"/>
      <c r="K1064" s="253"/>
      <c r="L1064" s="253"/>
      <c r="M1064" s="253"/>
      <c r="N1064" s="253"/>
      <c r="O1064" s="253"/>
      <c r="P1064" s="253"/>
      <c r="Q1064" s="253"/>
    </row>
    <row r="1065" spans="1:17">
      <c r="A1065" s="253"/>
      <c r="B1065" s="253"/>
      <c r="C1065" s="253"/>
      <c r="D1065" s="253"/>
      <c r="E1065" s="253"/>
      <c r="F1065" s="253"/>
      <c r="G1065" s="253"/>
      <c r="H1065" s="253"/>
      <c r="I1065" s="253"/>
      <c r="J1065" s="253"/>
      <c r="K1065" s="253"/>
      <c r="L1065" s="253"/>
      <c r="M1065" s="253"/>
      <c r="N1065" s="253"/>
      <c r="O1065" s="253"/>
      <c r="P1065" s="253"/>
      <c r="Q1065" s="253"/>
    </row>
    <row r="1066" spans="1:17">
      <c r="A1066" s="253"/>
      <c r="B1066" s="253"/>
      <c r="C1066" s="253"/>
      <c r="D1066" s="253"/>
      <c r="E1066" s="253"/>
      <c r="F1066" s="253"/>
      <c r="G1066" s="253"/>
      <c r="H1066" s="253"/>
      <c r="I1066" s="253"/>
      <c r="J1066" s="253"/>
      <c r="K1066" s="253"/>
      <c r="L1066" s="253"/>
      <c r="M1066" s="253"/>
      <c r="N1066" s="253"/>
      <c r="O1066" s="253"/>
      <c r="P1066" s="253"/>
      <c r="Q1066" s="253"/>
    </row>
    <row r="1067" spans="1:17">
      <c r="A1067" s="253"/>
      <c r="B1067" s="253"/>
      <c r="C1067" s="253"/>
      <c r="D1067" s="253"/>
      <c r="E1067" s="253"/>
      <c r="F1067" s="253"/>
      <c r="G1067" s="253"/>
      <c r="H1067" s="253"/>
      <c r="I1067" s="253"/>
      <c r="J1067" s="253"/>
      <c r="K1067" s="253"/>
      <c r="L1067" s="253"/>
      <c r="M1067" s="253"/>
      <c r="N1067" s="253"/>
      <c r="O1067" s="253"/>
      <c r="P1067" s="253"/>
      <c r="Q1067" s="253"/>
    </row>
    <row r="1068" spans="1:17">
      <c r="A1068" s="253"/>
      <c r="B1068" s="253"/>
      <c r="C1068" s="253"/>
      <c r="D1068" s="253"/>
      <c r="E1068" s="253"/>
      <c r="F1068" s="253"/>
      <c r="G1068" s="253"/>
      <c r="H1068" s="253"/>
      <c r="I1068" s="253"/>
      <c r="J1068" s="253"/>
      <c r="K1068" s="253"/>
      <c r="L1068" s="253"/>
      <c r="M1068" s="253"/>
      <c r="N1068" s="253"/>
      <c r="O1068" s="253"/>
      <c r="P1068" s="253"/>
      <c r="Q1068" s="253"/>
    </row>
    <row r="1069" spans="1:17">
      <c r="A1069" s="253"/>
      <c r="B1069" s="253"/>
      <c r="C1069" s="253"/>
      <c r="D1069" s="253"/>
      <c r="E1069" s="253"/>
      <c r="F1069" s="253"/>
      <c r="G1069" s="253"/>
      <c r="H1069" s="253"/>
      <c r="I1069" s="253"/>
      <c r="J1069" s="253"/>
      <c r="K1069" s="253"/>
      <c r="L1069" s="253"/>
      <c r="M1069" s="253"/>
      <c r="N1069" s="253"/>
      <c r="O1069" s="253"/>
      <c r="P1069" s="253"/>
      <c r="Q1069" s="253"/>
    </row>
    <row r="1070" spans="1:17">
      <c r="A1070" s="253"/>
      <c r="B1070" s="253"/>
      <c r="C1070" s="253"/>
      <c r="D1070" s="253"/>
      <c r="E1070" s="253"/>
      <c r="F1070" s="253"/>
      <c r="G1070" s="253"/>
      <c r="H1070" s="253"/>
      <c r="I1070" s="253"/>
      <c r="J1070" s="253"/>
      <c r="K1070" s="253"/>
      <c r="L1070" s="253"/>
      <c r="M1070" s="253"/>
      <c r="N1070" s="253"/>
      <c r="O1070" s="253"/>
      <c r="P1070" s="253"/>
      <c r="Q1070" s="253"/>
    </row>
    <row r="1071" spans="1:17">
      <c r="A1071" s="253"/>
      <c r="B1071" s="253"/>
      <c r="C1071" s="253"/>
      <c r="D1071" s="253"/>
      <c r="E1071" s="253"/>
      <c r="F1071" s="253"/>
      <c r="G1071" s="253"/>
      <c r="H1071" s="253"/>
      <c r="I1071" s="253"/>
      <c r="J1071" s="253"/>
      <c r="K1071" s="253"/>
      <c r="L1071" s="253"/>
      <c r="M1071" s="253"/>
      <c r="N1071" s="253"/>
      <c r="O1071" s="253"/>
      <c r="P1071" s="253"/>
      <c r="Q1071" s="253"/>
    </row>
    <row r="1072" spans="1:17">
      <c r="A1072" s="253"/>
      <c r="B1072" s="253"/>
      <c r="C1072" s="253"/>
      <c r="D1072" s="253"/>
      <c r="E1072" s="253"/>
      <c r="F1072" s="253"/>
      <c r="G1072" s="253"/>
      <c r="H1072" s="253"/>
      <c r="I1072" s="253"/>
      <c r="J1072" s="253"/>
      <c r="K1072" s="253"/>
      <c r="L1072" s="253"/>
      <c r="M1072" s="253"/>
      <c r="N1072" s="253"/>
      <c r="O1072" s="253"/>
      <c r="P1072" s="253"/>
      <c r="Q1072" s="253"/>
    </row>
    <row r="1073" spans="1:17">
      <c r="A1073" s="253"/>
      <c r="B1073" s="253"/>
      <c r="C1073" s="253"/>
      <c r="D1073" s="253"/>
      <c r="E1073" s="253"/>
      <c r="F1073" s="253"/>
      <c r="G1073" s="253"/>
      <c r="H1073" s="253"/>
      <c r="I1073" s="253"/>
      <c r="J1073" s="253"/>
      <c r="K1073" s="253"/>
      <c r="L1073" s="253"/>
      <c r="M1073" s="253"/>
      <c r="N1073" s="253"/>
      <c r="O1073" s="253"/>
      <c r="P1073" s="253"/>
      <c r="Q1073" s="253"/>
    </row>
    <row r="1074" spans="1:17">
      <c r="A1074" s="253"/>
      <c r="B1074" s="253"/>
      <c r="C1074" s="253"/>
      <c r="D1074" s="253"/>
      <c r="E1074" s="253"/>
      <c r="F1074" s="253"/>
      <c r="G1074" s="253"/>
      <c r="H1074" s="253"/>
      <c r="I1074" s="253"/>
      <c r="J1074" s="253"/>
      <c r="K1074" s="253"/>
      <c r="L1074" s="253"/>
      <c r="M1074" s="253"/>
      <c r="N1074" s="253"/>
      <c r="O1074" s="253"/>
      <c r="P1074" s="253"/>
      <c r="Q1074" s="253"/>
    </row>
    <row r="1075" spans="1:17">
      <c r="A1075" s="253"/>
      <c r="B1075" s="253"/>
      <c r="C1075" s="253"/>
      <c r="D1075" s="253"/>
      <c r="E1075" s="253"/>
      <c r="F1075" s="253"/>
      <c r="G1075" s="253"/>
      <c r="H1075" s="253"/>
      <c r="I1075" s="253"/>
      <c r="J1075" s="253"/>
      <c r="K1075" s="253"/>
      <c r="L1075" s="253"/>
      <c r="M1075" s="253"/>
      <c r="N1075" s="253"/>
      <c r="O1075" s="253"/>
      <c r="P1075" s="253"/>
      <c r="Q1075" s="253"/>
    </row>
    <row r="1076" spans="1:17">
      <c r="A1076" s="253"/>
      <c r="B1076" s="253"/>
      <c r="C1076" s="253"/>
      <c r="D1076" s="253"/>
      <c r="E1076" s="253"/>
      <c r="F1076" s="253"/>
      <c r="G1076" s="253"/>
      <c r="H1076" s="253"/>
      <c r="I1076" s="253"/>
      <c r="J1076" s="253"/>
      <c r="K1076" s="253"/>
      <c r="L1076" s="253"/>
      <c r="M1076" s="253"/>
      <c r="N1076" s="253"/>
      <c r="O1076" s="253"/>
      <c r="P1076" s="253"/>
      <c r="Q1076" s="253"/>
    </row>
    <row r="1077" spans="1:17">
      <c r="A1077" s="253"/>
      <c r="B1077" s="253"/>
      <c r="C1077" s="253"/>
      <c r="D1077" s="253"/>
      <c r="E1077" s="253"/>
      <c r="F1077" s="253"/>
      <c r="G1077" s="253"/>
      <c r="H1077" s="253"/>
      <c r="I1077" s="253"/>
      <c r="J1077" s="253"/>
      <c r="K1077" s="253"/>
      <c r="L1077" s="253"/>
      <c r="M1077" s="253"/>
      <c r="N1077" s="253"/>
      <c r="O1077" s="253"/>
      <c r="P1077" s="253"/>
      <c r="Q1077" s="253"/>
    </row>
    <row r="1078" spans="1:17">
      <c r="A1078" s="253"/>
      <c r="B1078" s="253"/>
      <c r="C1078" s="253"/>
      <c r="D1078" s="253"/>
      <c r="E1078" s="253"/>
      <c r="F1078" s="253"/>
      <c r="G1078" s="253"/>
      <c r="H1078" s="253"/>
      <c r="I1078" s="253"/>
      <c r="J1078" s="253"/>
      <c r="K1078" s="253"/>
      <c r="L1078" s="253"/>
      <c r="M1078" s="253"/>
      <c r="N1078" s="253"/>
      <c r="O1078" s="253"/>
      <c r="P1078" s="253"/>
      <c r="Q1078" s="253"/>
    </row>
    <row r="1079" spans="1:17">
      <c r="A1079" s="253"/>
      <c r="B1079" s="253"/>
      <c r="C1079" s="253"/>
      <c r="D1079" s="253"/>
      <c r="E1079" s="253"/>
      <c r="F1079" s="253"/>
      <c r="G1079" s="253"/>
      <c r="H1079" s="253"/>
      <c r="I1079" s="253"/>
      <c r="J1079" s="253"/>
      <c r="K1079" s="253"/>
      <c r="L1079" s="253"/>
      <c r="M1079" s="253"/>
      <c r="N1079" s="253"/>
      <c r="O1079" s="253"/>
      <c r="P1079" s="253"/>
      <c r="Q1079" s="253"/>
    </row>
    <row r="1080" spans="1:17">
      <c r="A1080" s="253"/>
      <c r="B1080" s="253"/>
      <c r="C1080" s="253"/>
      <c r="D1080" s="253"/>
      <c r="E1080" s="253"/>
      <c r="F1080" s="253"/>
      <c r="G1080" s="253"/>
      <c r="H1080" s="253"/>
      <c r="I1080" s="253"/>
      <c r="J1080" s="253"/>
      <c r="K1080" s="253"/>
      <c r="L1080" s="253"/>
      <c r="M1080" s="253"/>
      <c r="N1080" s="253"/>
      <c r="O1080" s="253"/>
      <c r="P1080" s="253"/>
      <c r="Q1080" s="253"/>
    </row>
    <row r="1081" spans="1:17">
      <c r="A1081" s="253"/>
      <c r="B1081" s="253"/>
      <c r="C1081" s="253"/>
      <c r="D1081" s="253"/>
      <c r="E1081" s="253"/>
      <c r="F1081" s="253"/>
      <c r="G1081" s="253"/>
      <c r="H1081" s="253"/>
      <c r="I1081" s="253"/>
      <c r="J1081" s="253"/>
      <c r="K1081" s="253"/>
      <c r="L1081" s="253"/>
      <c r="M1081" s="253"/>
      <c r="N1081" s="253"/>
      <c r="O1081" s="253"/>
      <c r="P1081" s="253"/>
      <c r="Q1081" s="253"/>
    </row>
    <row r="1082" spans="1:17">
      <c r="A1082" s="253"/>
      <c r="B1082" s="253"/>
      <c r="C1082" s="253"/>
      <c r="D1082" s="253"/>
      <c r="E1082" s="253"/>
      <c r="F1082" s="253"/>
      <c r="G1082" s="253"/>
      <c r="H1082" s="253"/>
      <c r="I1082" s="253"/>
      <c r="J1082" s="253"/>
      <c r="K1082" s="253"/>
      <c r="L1082" s="253"/>
      <c r="M1082" s="253"/>
      <c r="N1082" s="253"/>
      <c r="O1082" s="253"/>
      <c r="P1082" s="253"/>
      <c r="Q1082" s="253"/>
    </row>
    <row r="1083" spans="1:17">
      <c r="A1083" s="253"/>
      <c r="B1083" s="253"/>
      <c r="C1083" s="253"/>
      <c r="D1083" s="253"/>
      <c r="E1083" s="253"/>
      <c r="F1083" s="253"/>
      <c r="G1083" s="253"/>
      <c r="H1083" s="253"/>
      <c r="I1083" s="253"/>
      <c r="J1083" s="253"/>
      <c r="K1083" s="253"/>
      <c r="L1083" s="253"/>
      <c r="M1083" s="253"/>
      <c r="N1083" s="253"/>
      <c r="O1083" s="253"/>
      <c r="P1083" s="253"/>
      <c r="Q1083" s="253"/>
    </row>
    <row r="1084" spans="1:17">
      <c r="A1084" s="253"/>
      <c r="B1084" s="253"/>
      <c r="C1084" s="253"/>
      <c r="D1084" s="253"/>
      <c r="E1084" s="253"/>
      <c r="F1084" s="253"/>
      <c r="G1084" s="253"/>
      <c r="H1084" s="253"/>
      <c r="I1084" s="253"/>
      <c r="J1084" s="253"/>
      <c r="K1084" s="253"/>
      <c r="L1084" s="253"/>
      <c r="M1084" s="253"/>
      <c r="N1084" s="253"/>
      <c r="O1084" s="253"/>
      <c r="P1084" s="253"/>
      <c r="Q1084" s="253"/>
    </row>
    <row r="1085" spans="1:17">
      <c r="A1085" s="253"/>
      <c r="B1085" s="253"/>
      <c r="C1085" s="253"/>
      <c r="D1085" s="253"/>
      <c r="E1085" s="253"/>
      <c r="F1085" s="253"/>
      <c r="G1085" s="253"/>
      <c r="H1085" s="253"/>
      <c r="I1085" s="253"/>
      <c r="J1085" s="253"/>
      <c r="K1085" s="253"/>
      <c r="L1085" s="253"/>
      <c r="M1085" s="253"/>
      <c r="N1085" s="253"/>
      <c r="O1085" s="253"/>
      <c r="P1085" s="253"/>
      <c r="Q1085" s="253"/>
    </row>
    <row r="1086" spans="1:17">
      <c r="A1086" s="253"/>
      <c r="B1086" s="253"/>
      <c r="C1086" s="253"/>
      <c r="D1086" s="253"/>
      <c r="E1086" s="253"/>
      <c r="F1086" s="253"/>
      <c r="G1086" s="253"/>
      <c r="H1086" s="253"/>
      <c r="I1086" s="253"/>
      <c r="J1086" s="253"/>
      <c r="K1086" s="253"/>
      <c r="L1086" s="253"/>
      <c r="M1086" s="253"/>
      <c r="N1086" s="253"/>
      <c r="O1086" s="253"/>
      <c r="P1086" s="253"/>
      <c r="Q1086" s="253"/>
    </row>
    <row r="1087" spans="1:17">
      <c r="A1087" s="253"/>
      <c r="B1087" s="253"/>
      <c r="C1087" s="253"/>
      <c r="D1087" s="253"/>
      <c r="E1087" s="253"/>
      <c r="F1087" s="253"/>
      <c r="G1087" s="253"/>
      <c r="H1087" s="253"/>
      <c r="I1087" s="253"/>
      <c r="J1087" s="253"/>
      <c r="K1087" s="253"/>
      <c r="L1087" s="253"/>
      <c r="M1087" s="253"/>
      <c r="N1087" s="253"/>
      <c r="O1087" s="253"/>
      <c r="P1087" s="253"/>
      <c r="Q1087" s="253"/>
    </row>
    <row r="1088" spans="1:17">
      <c r="A1088" s="253"/>
      <c r="B1088" s="253"/>
      <c r="C1088" s="253"/>
      <c r="D1088" s="253"/>
      <c r="E1088" s="253"/>
      <c r="F1088" s="253"/>
      <c r="G1088" s="253"/>
      <c r="H1088" s="253"/>
      <c r="I1088" s="253"/>
      <c r="J1088" s="253"/>
      <c r="K1088" s="253"/>
      <c r="L1088" s="253"/>
      <c r="M1088" s="253"/>
      <c r="N1088" s="253"/>
      <c r="O1088" s="253"/>
      <c r="P1088" s="253"/>
      <c r="Q1088" s="253"/>
    </row>
    <row r="1089" spans="1:17">
      <c r="A1089" s="253"/>
      <c r="B1089" s="253"/>
      <c r="C1089" s="253"/>
      <c r="D1089" s="253"/>
      <c r="E1089" s="253"/>
      <c r="F1089" s="253"/>
      <c r="G1089" s="253"/>
      <c r="H1089" s="253"/>
      <c r="I1089" s="253"/>
      <c r="J1089" s="253"/>
      <c r="K1089" s="253"/>
      <c r="L1089" s="253"/>
      <c r="M1089" s="253"/>
      <c r="N1089" s="253"/>
      <c r="O1089" s="253"/>
      <c r="P1089" s="253"/>
      <c r="Q1089" s="253"/>
    </row>
    <row r="1090" spans="1:17">
      <c r="A1090" s="253"/>
      <c r="B1090" s="253"/>
      <c r="C1090" s="253"/>
      <c r="D1090" s="253"/>
      <c r="E1090" s="253"/>
      <c r="F1090" s="253"/>
      <c r="G1090" s="253"/>
      <c r="H1090" s="253"/>
      <c r="I1090" s="253"/>
      <c r="J1090" s="253"/>
      <c r="K1090" s="253"/>
      <c r="L1090" s="253"/>
      <c r="M1090" s="253"/>
      <c r="N1090" s="253"/>
      <c r="O1090" s="253"/>
      <c r="P1090" s="253"/>
      <c r="Q1090" s="253"/>
    </row>
    <row r="1091" spans="1:17">
      <c r="A1091" s="253"/>
      <c r="B1091" s="253"/>
      <c r="C1091" s="253"/>
      <c r="D1091" s="253"/>
      <c r="E1091" s="253"/>
      <c r="F1091" s="253"/>
      <c r="G1091" s="253"/>
      <c r="H1091" s="253"/>
      <c r="I1091" s="253"/>
      <c r="J1091" s="253"/>
      <c r="K1091" s="253"/>
      <c r="L1091" s="253"/>
      <c r="M1091" s="253"/>
      <c r="N1091" s="253"/>
      <c r="O1091" s="253"/>
      <c r="P1091" s="253"/>
      <c r="Q1091" s="253"/>
    </row>
    <row r="1092" spans="1:17">
      <c r="A1092" s="253"/>
      <c r="B1092" s="253"/>
      <c r="C1092" s="253"/>
      <c r="D1092" s="253"/>
      <c r="E1092" s="253"/>
      <c r="F1092" s="253"/>
      <c r="G1092" s="253"/>
      <c r="H1092" s="253"/>
      <c r="I1092" s="253"/>
      <c r="J1092" s="253"/>
      <c r="K1092" s="253"/>
      <c r="L1092" s="253"/>
      <c r="M1092" s="253"/>
      <c r="N1092" s="253"/>
      <c r="O1092" s="253"/>
      <c r="P1092" s="253"/>
      <c r="Q1092" s="253"/>
    </row>
    <row r="1093" spans="1:17">
      <c r="A1093" s="253"/>
      <c r="B1093" s="253"/>
      <c r="C1093" s="253"/>
      <c r="D1093" s="253"/>
      <c r="E1093" s="253"/>
      <c r="F1093" s="253"/>
      <c r="G1093" s="253"/>
      <c r="H1093" s="253"/>
      <c r="I1093" s="253"/>
      <c r="J1093" s="253"/>
      <c r="K1093" s="253"/>
      <c r="L1093" s="253"/>
      <c r="M1093" s="253"/>
      <c r="N1093" s="253"/>
      <c r="O1093" s="253"/>
      <c r="P1093" s="253"/>
      <c r="Q1093" s="253"/>
    </row>
    <row r="1094" spans="1:17">
      <c r="A1094" s="253"/>
      <c r="B1094" s="253"/>
      <c r="C1094" s="253"/>
      <c r="D1094" s="253"/>
      <c r="E1094" s="253"/>
      <c r="F1094" s="253"/>
      <c r="G1094" s="253"/>
      <c r="H1094" s="253"/>
      <c r="I1094" s="253"/>
      <c r="J1094" s="253"/>
      <c r="K1094" s="253"/>
      <c r="L1094" s="253"/>
      <c r="M1094" s="253"/>
      <c r="N1094" s="253"/>
      <c r="O1094" s="253"/>
      <c r="P1094" s="253"/>
      <c r="Q1094" s="253"/>
    </row>
    <row r="1095" spans="1:17">
      <c r="A1095" s="253"/>
      <c r="B1095" s="253"/>
      <c r="C1095" s="253"/>
      <c r="D1095" s="253"/>
      <c r="E1095" s="253"/>
      <c r="F1095" s="253"/>
      <c r="G1095" s="253"/>
      <c r="H1095" s="253"/>
      <c r="I1095" s="253"/>
      <c r="J1095" s="253"/>
      <c r="K1095" s="253"/>
      <c r="L1095" s="253"/>
      <c r="M1095" s="253"/>
      <c r="N1095" s="253"/>
      <c r="O1095" s="253"/>
      <c r="P1095" s="253"/>
      <c r="Q1095" s="253"/>
    </row>
    <row r="1096" spans="1:17">
      <c r="A1096" s="253"/>
      <c r="B1096" s="253"/>
      <c r="C1096" s="253"/>
      <c r="D1096" s="253"/>
      <c r="E1096" s="253"/>
      <c r="F1096" s="253"/>
      <c r="G1096" s="253"/>
      <c r="H1096" s="253"/>
      <c r="I1096" s="253"/>
      <c r="J1096" s="253"/>
      <c r="K1096" s="253"/>
      <c r="L1096" s="253"/>
      <c r="M1096" s="253"/>
      <c r="N1096" s="253"/>
      <c r="O1096" s="253"/>
      <c r="P1096" s="253"/>
      <c r="Q1096" s="253"/>
    </row>
    <row r="1097" spans="1:17">
      <c r="A1097" s="253"/>
      <c r="B1097" s="253"/>
      <c r="C1097" s="253"/>
      <c r="D1097" s="253"/>
      <c r="E1097" s="253"/>
      <c r="F1097" s="253"/>
      <c r="G1097" s="253"/>
      <c r="H1097" s="253"/>
      <c r="I1097" s="253"/>
      <c r="J1097" s="253"/>
      <c r="K1097" s="253"/>
      <c r="L1097" s="253"/>
      <c r="M1097" s="253"/>
      <c r="N1097" s="253"/>
      <c r="O1097" s="253"/>
      <c r="P1097" s="253"/>
      <c r="Q1097" s="253"/>
    </row>
    <row r="1098" spans="1:17">
      <c r="A1098" s="253"/>
      <c r="B1098" s="253"/>
      <c r="C1098" s="253"/>
      <c r="D1098" s="253"/>
      <c r="E1098" s="253"/>
      <c r="F1098" s="253"/>
      <c r="G1098" s="253"/>
      <c r="H1098" s="253"/>
      <c r="I1098" s="253"/>
      <c r="J1098" s="253"/>
      <c r="K1098" s="253"/>
      <c r="L1098" s="253"/>
      <c r="M1098" s="253"/>
      <c r="N1098" s="253"/>
      <c r="O1098" s="253"/>
      <c r="P1098" s="253"/>
      <c r="Q1098" s="253"/>
    </row>
    <row r="1099" spans="1:17">
      <c r="A1099" s="253"/>
      <c r="B1099" s="253"/>
      <c r="C1099" s="253"/>
      <c r="D1099" s="253"/>
      <c r="E1099" s="253"/>
      <c r="F1099" s="253"/>
      <c r="G1099" s="253"/>
      <c r="H1099" s="253"/>
      <c r="I1099" s="253"/>
      <c r="J1099" s="253"/>
      <c r="K1099" s="253"/>
      <c r="L1099" s="253"/>
      <c r="M1099" s="253"/>
      <c r="N1099" s="253"/>
      <c r="O1099" s="253"/>
      <c r="P1099" s="253"/>
      <c r="Q1099" s="253"/>
    </row>
    <row r="1100" spans="1:17">
      <c r="A1100" s="253"/>
      <c r="B1100" s="253"/>
      <c r="C1100" s="253"/>
      <c r="D1100" s="253"/>
      <c r="E1100" s="253"/>
      <c r="F1100" s="253"/>
      <c r="G1100" s="253"/>
      <c r="H1100" s="253"/>
      <c r="I1100" s="253"/>
      <c r="J1100" s="253"/>
      <c r="K1100" s="253"/>
      <c r="L1100" s="253"/>
      <c r="M1100" s="253"/>
      <c r="N1100" s="253"/>
      <c r="O1100" s="253"/>
      <c r="P1100" s="253"/>
      <c r="Q1100" s="253"/>
    </row>
    <row r="1101" spans="1:17">
      <c r="A1101" s="253"/>
      <c r="B1101" s="253"/>
      <c r="C1101" s="253"/>
      <c r="D1101" s="253"/>
      <c r="E1101" s="253"/>
      <c r="F1101" s="253"/>
      <c r="G1101" s="253"/>
      <c r="H1101" s="253"/>
      <c r="I1101" s="253"/>
      <c r="J1101" s="253"/>
      <c r="K1101" s="253"/>
      <c r="L1101" s="253"/>
      <c r="M1101" s="253"/>
      <c r="N1101" s="253"/>
      <c r="O1101" s="253"/>
      <c r="P1101" s="253"/>
      <c r="Q1101" s="253"/>
    </row>
    <row r="1102" spans="1:17">
      <c r="A1102" s="253"/>
      <c r="B1102" s="253"/>
      <c r="C1102" s="253"/>
      <c r="D1102" s="253"/>
      <c r="E1102" s="253"/>
      <c r="F1102" s="253"/>
      <c r="G1102" s="253"/>
      <c r="H1102" s="253"/>
      <c r="I1102" s="253"/>
      <c r="J1102" s="253"/>
      <c r="K1102" s="253"/>
      <c r="L1102" s="253"/>
      <c r="M1102" s="253"/>
      <c r="N1102" s="253"/>
      <c r="O1102" s="253"/>
      <c r="P1102" s="253"/>
      <c r="Q1102" s="253"/>
    </row>
    <row r="1103" spans="1:17">
      <c r="A1103" s="253"/>
      <c r="B1103" s="253"/>
      <c r="C1103" s="253"/>
      <c r="D1103" s="253"/>
      <c r="E1103" s="253"/>
      <c r="F1103" s="253"/>
      <c r="G1103" s="253"/>
      <c r="H1103" s="253"/>
      <c r="I1103" s="253"/>
      <c r="J1103" s="253"/>
      <c r="K1103" s="253"/>
      <c r="L1103" s="253"/>
      <c r="M1103" s="253"/>
      <c r="N1103" s="253"/>
      <c r="O1103" s="253"/>
      <c r="P1103" s="253"/>
      <c r="Q1103" s="253"/>
    </row>
    <row r="1104" spans="1:17">
      <c r="A1104" s="253"/>
      <c r="B1104" s="253"/>
      <c r="C1104" s="253"/>
      <c r="D1104" s="253"/>
      <c r="E1104" s="253"/>
      <c r="F1104" s="253"/>
      <c r="G1104" s="253"/>
      <c r="H1104" s="253"/>
      <c r="I1104" s="253"/>
      <c r="J1104" s="253"/>
      <c r="K1104" s="253"/>
      <c r="L1104" s="253"/>
      <c r="M1104" s="253"/>
      <c r="N1104" s="253"/>
      <c r="O1104" s="253"/>
      <c r="P1104" s="253"/>
      <c r="Q1104" s="253"/>
    </row>
    <row r="1105" spans="1:17">
      <c r="A1105" s="253"/>
      <c r="B1105" s="253"/>
      <c r="C1105" s="253"/>
      <c r="D1105" s="253"/>
      <c r="E1105" s="253"/>
      <c r="F1105" s="253"/>
      <c r="G1105" s="253"/>
      <c r="H1105" s="253"/>
      <c r="I1105" s="253"/>
      <c r="J1105" s="253"/>
      <c r="K1105" s="253"/>
      <c r="L1105" s="253"/>
      <c r="M1105" s="253"/>
      <c r="N1105" s="253"/>
      <c r="O1105" s="253"/>
      <c r="P1105" s="253"/>
      <c r="Q1105" s="253"/>
    </row>
    <row r="1106" spans="1:17">
      <c r="A1106" s="253"/>
      <c r="B1106" s="253"/>
      <c r="C1106" s="253"/>
      <c r="D1106" s="253"/>
      <c r="E1106" s="253"/>
      <c r="F1106" s="253"/>
      <c r="G1106" s="253"/>
      <c r="H1106" s="253"/>
      <c r="I1106" s="253"/>
      <c r="J1106" s="253"/>
      <c r="K1106" s="253"/>
      <c r="L1106" s="253"/>
      <c r="M1106" s="253"/>
      <c r="N1106" s="253"/>
      <c r="O1106" s="253"/>
      <c r="P1106" s="253"/>
      <c r="Q1106" s="253"/>
    </row>
    <row r="1107" spans="1:17">
      <c r="A1107" s="253"/>
      <c r="B1107" s="253"/>
      <c r="C1107" s="253"/>
      <c r="D1107" s="253"/>
      <c r="E1107" s="253"/>
      <c r="F1107" s="253"/>
      <c r="G1107" s="253"/>
      <c r="H1107" s="253"/>
      <c r="I1107" s="253"/>
      <c r="J1107" s="253"/>
      <c r="K1107" s="253"/>
      <c r="L1107" s="253"/>
      <c r="M1107" s="253"/>
      <c r="N1107" s="253"/>
      <c r="O1107" s="253"/>
      <c r="P1107" s="253"/>
      <c r="Q1107" s="253"/>
    </row>
    <row r="1108" spans="1:17">
      <c r="A1108" s="253"/>
      <c r="B1108" s="253"/>
      <c r="C1108" s="253"/>
      <c r="D1108" s="253"/>
      <c r="E1108" s="253"/>
      <c r="F1108" s="253"/>
      <c r="G1108" s="253"/>
      <c r="H1108" s="253"/>
      <c r="I1108" s="253"/>
      <c r="J1108" s="253"/>
      <c r="K1108" s="253"/>
      <c r="L1108" s="253"/>
      <c r="M1108" s="253"/>
      <c r="N1108" s="253"/>
      <c r="O1108" s="253"/>
      <c r="P1108" s="253"/>
      <c r="Q1108" s="253"/>
    </row>
    <row r="1109" spans="1:17">
      <c r="A1109" s="253"/>
      <c r="B1109" s="253"/>
      <c r="C1109" s="253"/>
      <c r="D1109" s="253"/>
      <c r="E1109" s="253"/>
      <c r="F1109" s="253"/>
      <c r="G1109" s="253"/>
      <c r="H1109" s="253"/>
      <c r="I1109" s="253"/>
      <c r="J1109" s="253"/>
      <c r="K1109" s="253"/>
      <c r="L1109" s="253"/>
      <c r="M1109" s="253"/>
      <c r="N1109" s="253"/>
      <c r="O1109" s="253"/>
      <c r="P1109" s="253"/>
      <c r="Q1109" s="253"/>
    </row>
    <row r="1110" spans="1:17">
      <c r="A1110" s="253"/>
      <c r="B1110" s="253"/>
      <c r="C1110" s="253"/>
      <c r="D1110" s="253"/>
      <c r="E1110" s="253"/>
      <c r="F1110" s="253"/>
      <c r="G1110" s="253"/>
      <c r="H1110" s="253"/>
      <c r="I1110" s="253"/>
      <c r="J1110" s="253"/>
      <c r="K1110" s="253"/>
      <c r="L1110" s="253"/>
      <c r="M1110" s="253"/>
      <c r="N1110" s="253"/>
      <c r="O1110" s="253"/>
      <c r="P1110" s="253"/>
      <c r="Q1110" s="253"/>
    </row>
    <row r="1111" spans="1:17">
      <c r="A1111" s="253"/>
      <c r="B1111" s="253"/>
      <c r="C1111" s="253"/>
      <c r="D1111" s="253"/>
      <c r="E1111" s="253"/>
      <c r="F1111" s="253"/>
      <c r="G1111" s="253"/>
      <c r="H1111" s="253"/>
      <c r="I1111" s="253"/>
      <c r="J1111" s="253"/>
      <c r="K1111" s="253"/>
      <c r="L1111" s="253"/>
      <c r="M1111" s="253"/>
      <c r="N1111" s="253"/>
      <c r="O1111" s="253"/>
      <c r="P1111" s="253"/>
      <c r="Q1111" s="253"/>
    </row>
    <row r="1112" spans="1:17">
      <c r="A1112" s="253"/>
      <c r="B1112" s="253"/>
      <c r="C1112" s="253"/>
      <c r="D1112" s="253"/>
      <c r="E1112" s="253"/>
      <c r="F1112" s="253"/>
      <c r="G1112" s="253"/>
      <c r="H1112" s="253"/>
      <c r="I1112" s="253"/>
      <c r="J1112" s="253"/>
      <c r="K1112" s="253"/>
      <c r="L1112" s="253"/>
      <c r="M1112" s="253"/>
      <c r="N1112" s="253"/>
      <c r="O1112" s="253"/>
      <c r="P1112" s="253"/>
      <c r="Q1112" s="253"/>
    </row>
    <row r="1113" spans="1:17">
      <c r="A1113" s="253"/>
      <c r="B1113" s="253"/>
      <c r="C1113" s="253"/>
      <c r="D1113" s="253"/>
      <c r="E1113" s="253"/>
      <c r="F1113" s="253"/>
      <c r="G1113" s="253"/>
      <c r="H1113" s="253"/>
      <c r="I1113" s="253"/>
      <c r="J1113" s="253"/>
      <c r="K1113" s="253"/>
      <c r="L1113" s="253"/>
      <c r="M1113" s="253"/>
      <c r="N1113" s="253"/>
      <c r="O1113" s="253"/>
      <c r="P1113" s="253"/>
      <c r="Q1113" s="253"/>
    </row>
    <row r="1114" spans="1:17">
      <c r="A1114" s="253"/>
      <c r="B1114" s="253"/>
      <c r="C1114" s="253"/>
      <c r="D1114" s="253"/>
      <c r="E1114" s="253"/>
      <c r="F1114" s="253"/>
      <c r="G1114" s="253"/>
      <c r="H1114" s="253"/>
      <c r="I1114" s="253"/>
      <c r="J1114" s="253"/>
      <c r="K1114" s="253"/>
      <c r="L1114" s="253"/>
      <c r="M1114" s="253"/>
      <c r="N1114" s="253"/>
      <c r="O1114" s="253"/>
      <c r="P1114" s="253"/>
      <c r="Q1114" s="253"/>
    </row>
    <row r="1115" spans="1:17">
      <c r="A1115" s="253"/>
      <c r="B1115" s="253"/>
      <c r="C1115" s="253"/>
      <c r="D1115" s="253"/>
      <c r="E1115" s="253"/>
      <c r="F1115" s="253"/>
      <c r="G1115" s="253"/>
      <c r="H1115" s="253"/>
      <c r="I1115" s="253"/>
      <c r="J1115" s="253"/>
      <c r="K1115" s="253"/>
      <c r="L1115" s="253"/>
      <c r="M1115" s="253"/>
      <c r="N1115" s="253"/>
      <c r="O1115" s="253"/>
      <c r="P1115" s="253"/>
      <c r="Q1115" s="253"/>
    </row>
    <row r="1116" spans="1:17">
      <c r="A1116" s="253"/>
      <c r="B1116" s="253"/>
      <c r="C1116" s="253"/>
      <c r="D1116" s="253"/>
      <c r="E1116" s="253"/>
      <c r="F1116" s="253"/>
      <c r="G1116" s="253"/>
      <c r="H1116" s="253"/>
      <c r="I1116" s="253"/>
      <c r="J1116" s="253"/>
      <c r="K1116" s="253"/>
      <c r="L1116" s="253"/>
      <c r="M1116" s="253"/>
      <c r="N1116" s="253"/>
      <c r="O1116" s="253"/>
      <c r="P1116" s="253"/>
      <c r="Q1116" s="253"/>
    </row>
    <row r="1117" spans="1:17">
      <c r="A1117" s="253"/>
      <c r="B1117" s="253"/>
      <c r="C1117" s="253"/>
      <c r="D1117" s="253"/>
      <c r="E1117" s="253"/>
      <c r="F1117" s="253"/>
      <c r="G1117" s="253"/>
      <c r="H1117" s="253"/>
      <c r="I1117" s="253"/>
      <c r="J1117" s="253"/>
      <c r="K1117" s="253"/>
      <c r="L1117" s="253"/>
      <c r="M1117" s="253"/>
      <c r="N1117" s="253"/>
      <c r="O1117" s="253"/>
      <c r="P1117" s="253"/>
      <c r="Q1117" s="253"/>
    </row>
    <row r="1118" spans="1:17">
      <c r="A1118" s="253"/>
      <c r="B1118" s="253"/>
      <c r="C1118" s="253"/>
      <c r="D1118" s="253"/>
      <c r="E1118" s="253"/>
      <c r="F1118" s="253"/>
      <c r="G1118" s="253"/>
      <c r="H1118" s="253"/>
      <c r="I1118" s="253"/>
      <c r="J1118" s="253"/>
      <c r="K1118" s="253"/>
      <c r="L1118" s="253"/>
      <c r="M1118" s="253"/>
      <c r="N1118" s="253"/>
      <c r="O1118" s="253"/>
      <c r="P1118" s="253"/>
      <c r="Q1118" s="253"/>
    </row>
    <row r="1119" spans="1:17">
      <c r="A1119" s="253"/>
      <c r="B1119" s="253"/>
      <c r="C1119" s="253"/>
      <c r="D1119" s="253"/>
      <c r="E1119" s="253"/>
      <c r="F1119" s="253"/>
      <c r="G1119" s="253"/>
      <c r="H1119" s="253"/>
      <c r="I1119" s="253"/>
      <c r="J1119" s="253"/>
      <c r="K1119" s="253"/>
      <c r="L1119" s="253"/>
      <c r="M1119" s="253"/>
      <c r="N1119" s="253"/>
      <c r="O1119" s="253"/>
      <c r="P1119" s="253"/>
      <c r="Q1119" s="253"/>
    </row>
    <row r="1120" spans="1:17">
      <c r="A1120" s="253"/>
      <c r="B1120" s="253"/>
      <c r="C1120" s="253"/>
      <c r="D1120" s="253"/>
      <c r="E1120" s="253"/>
      <c r="F1120" s="253"/>
      <c r="G1120" s="253"/>
      <c r="H1120" s="253"/>
      <c r="I1120" s="253"/>
      <c r="J1120" s="253"/>
      <c r="K1120" s="253"/>
      <c r="L1120" s="253"/>
      <c r="M1120" s="253"/>
      <c r="N1120" s="253"/>
      <c r="O1120" s="253"/>
      <c r="P1120" s="253"/>
      <c r="Q1120" s="253"/>
    </row>
    <row r="1121" spans="1:17">
      <c r="A1121" s="253"/>
      <c r="B1121" s="253"/>
      <c r="C1121" s="253"/>
      <c r="D1121" s="253"/>
      <c r="E1121" s="253"/>
      <c r="F1121" s="253"/>
      <c r="G1121" s="253"/>
      <c r="H1121" s="253"/>
      <c r="I1121" s="253"/>
      <c r="J1121" s="253"/>
      <c r="K1121" s="253"/>
      <c r="L1121" s="253"/>
      <c r="M1121" s="253"/>
      <c r="N1121" s="253"/>
      <c r="O1121" s="253"/>
      <c r="P1121" s="253"/>
      <c r="Q1121" s="253"/>
    </row>
    <row r="1122" spans="1:17">
      <c r="A1122" s="253"/>
      <c r="B1122" s="253"/>
      <c r="C1122" s="253"/>
      <c r="D1122" s="253"/>
      <c r="E1122" s="253"/>
      <c r="F1122" s="253"/>
      <c r="G1122" s="253"/>
      <c r="H1122" s="253"/>
      <c r="I1122" s="253"/>
      <c r="J1122" s="253"/>
      <c r="K1122" s="253"/>
      <c r="L1122" s="253"/>
      <c r="M1122" s="253"/>
      <c r="N1122" s="253"/>
      <c r="O1122" s="253"/>
      <c r="P1122" s="253"/>
      <c r="Q1122" s="253"/>
    </row>
    <row r="1123" spans="1:17">
      <c r="A1123" s="253"/>
      <c r="B1123" s="253"/>
      <c r="C1123" s="253"/>
      <c r="D1123" s="253"/>
      <c r="E1123" s="253"/>
      <c r="F1123" s="253"/>
      <c r="G1123" s="253"/>
      <c r="H1123" s="253"/>
      <c r="I1123" s="253"/>
      <c r="J1123" s="253"/>
      <c r="K1123" s="253"/>
      <c r="L1123" s="253"/>
      <c r="M1123" s="253"/>
      <c r="N1123" s="253"/>
      <c r="O1123" s="253"/>
      <c r="P1123" s="253"/>
      <c r="Q1123" s="253"/>
    </row>
    <row r="1124" spans="1:17">
      <c r="A1124" s="253"/>
      <c r="B1124" s="253"/>
      <c r="C1124" s="253"/>
      <c r="D1124" s="253"/>
      <c r="E1124" s="253"/>
      <c r="F1124" s="253"/>
      <c r="G1124" s="253"/>
      <c r="H1124" s="253"/>
      <c r="I1124" s="253"/>
      <c r="J1124" s="253"/>
      <c r="K1124" s="253"/>
      <c r="L1124" s="253"/>
      <c r="M1124" s="253"/>
      <c r="N1124" s="253"/>
      <c r="O1124" s="253"/>
      <c r="P1124" s="253"/>
      <c r="Q1124" s="253"/>
    </row>
    <row r="1125" spans="1:17">
      <c r="A1125" s="253"/>
      <c r="B1125" s="253"/>
      <c r="C1125" s="253"/>
      <c r="D1125" s="253"/>
      <c r="E1125" s="253"/>
      <c r="F1125" s="253"/>
      <c r="G1125" s="253"/>
      <c r="H1125" s="253"/>
      <c r="I1125" s="253"/>
      <c r="J1125" s="253"/>
      <c r="K1125" s="253"/>
      <c r="L1125" s="253"/>
      <c r="M1125" s="253"/>
      <c r="N1125" s="253"/>
      <c r="O1125" s="253"/>
      <c r="P1125" s="253"/>
      <c r="Q1125" s="253"/>
    </row>
    <row r="1126" spans="1:17">
      <c r="A1126" s="253"/>
      <c r="B1126" s="253"/>
      <c r="C1126" s="253"/>
      <c r="D1126" s="253"/>
      <c r="E1126" s="253"/>
      <c r="F1126" s="253"/>
      <c r="G1126" s="253"/>
      <c r="H1126" s="253"/>
      <c r="I1126" s="253"/>
      <c r="J1126" s="253"/>
      <c r="K1126" s="253"/>
      <c r="L1126" s="253"/>
      <c r="M1126" s="253"/>
      <c r="N1126" s="253"/>
      <c r="O1126" s="253"/>
      <c r="P1126" s="253"/>
      <c r="Q1126" s="253"/>
    </row>
    <row r="1127" spans="1:17">
      <c r="A1127" s="253"/>
      <c r="B1127" s="253"/>
      <c r="C1127" s="253"/>
      <c r="D1127" s="253"/>
      <c r="E1127" s="253"/>
      <c r="F1127" s="253"/>
      <c r="G1127" s="253"/>
      <c r="H1127" s="253"/>
      <c r="I1127" s="253"/>
      <c r="J1127" s="253"/>
      <c r="K1127" s="253"/>
      <c r="L1127" s="253"/>
      <c r="M1127" s="253"/>
      <c r="N1127" s="253"/>
      <c r="O1127" s="253"/>
      <c r="P1127" s="253"/>
      <c r="Q1127" s="253"/>
    </row>
    <row r="1128" spans="1:17">
      <c r="A1128" s="253"/>
      <c r="B1128" s="253"/>
      <c r="C1128" s="253"/>
      <c r="D1128" s="253"/>
      <c r="E1128" s="253"/>
      <c r="F1128" s="253"/>
      <c r="G1128" s="253"/>
      <c r="H1128" s="253"/>
      <c r="I1128" s="253"/>
      <c r="J1128" s="253"/>
      <c r="K1128" s="253"/>
      <c r="L1128" s="253"/>
      <c r="M1128" s="253"/>
      <c r="N1128" s="253"/>
      <c r="O1128" s="253"/>
      <c r="P1128" s="253"/>
      <c r="Q1128" s="253"/>
    </row>
    <row r="1129" spans="1:17">
      <c r="A1129" s="253"/>
      <c r="B1129" s="253"/>
      <c r="C1129" s="253"/>
      <c r="D1129" s="253"/>
      <c r="E1129" s="253"/>
      <c r="F1129" s="253"/>
      <c r="G1129" s="253"/>
      <c r="H1129" s="253"/>
      <c r="I1129" s="253"/>
      <c r="J1129" s="253"/>
      <c r="K1129" s="253"/>
      <c r="L1129" s="253"/>
      <c r="M1129" s="253"/>
      <c r="N1129" s="253"/>
      <c r="O1129" s="253"/>
      <c r="P1129" s="253"/>
      <c r="Q1129" s="253"/>
    </row>
    <row r="1130" spans="1:17">
      <c r="A1130" s="253"/>
      <c r="B1130" s="253"/>
      <c r="C1130" s="253"/>
      <c r="D1130" s="253"/>
      <c r="E1130" s="253"/>
      <c r="F1130" s="253"/>
      <c r="G1130" s="253"/>
      <c r="H1130" s="253"/>
      <c r="I1130" s="253"/>
      <c r="J1130" s="253"/>
      <c r="K1130" s="253"/>
      <c r="L1130" s="253"/>
      <c r="M1130" s="253"/>
      <c r="N1130" s="253"/>
      <c r="O1130" s="253"/>
      <c r="P1130" s="253"/>
      <c r="Q1130" s="253"/>
    </row>
    <row r="1131" spans="1:17">
      <c r="A1131" s="253"/>
      <c r="B1131" s="253"/>
      <c r="C1131" s="253"/>
      <c r="D1131" s="253"/>
      <c r="E1131" s="253"/>
      <c r="F1131" s="253"/>
      <c r="G1131" s="253"/>
      <c r="H1131" s="253"/>
      <c r="I1131" s="253"/>
      <c r="J1131" s="253"/>
      <c r="K1131" s="253"/>
      <c r="L1131" s="253"/>
      <c r="M1131" s="253"/>
      <c r="N1131" s="253"/>
      <c r="O1131" s="253"/>
      <c r="P1131" s="253"/>
      <c r="Q1131" s="253"/>
    </row>
    <row r="1132" spans="1:17">
      <c r="A1132" s="253"/>
      <c r="B1132" s="253"/>
      <c r="C1132" s="253"/>
      <c r="D1132" s="253"/>
      <c r="E1132" s="253"/>
      <c r="F1132" s="253"/>
      <c r="G1132" s="253"/>
      <c r="H1132" s="253"/>
      <c r="I1132" s="253"/>
      <c r="J1132" s="253"/>
      <c r="K1132" s="253"/>
      <c r="L1132" s="253"/>
      <c r="M1132" s="253"/>
      <c r="N1132" s="253"/>
      <c r="O1132" s="253"/>
      <c r="P1132" s="253"/>
      <c r="Q1132" s="253"/>
    </row>
    <row r="1133" spans="1:17">
      <c r="A1133" s="253"/>
      <c r="B1133" s="253"/>
      <c r="C1133" s="253"/>
      <c r="D1133" s="253"/>
      <c r="E1133" s="253"/>
      <c r="F1133" s="253"/>
      <c r="G1133" s="253"/>
      <c r="H1133" s="253"/>
      <c r="I1133" s="253"/>
      <c r="J1133" s="253"/>
      <c r="K1133" s="253"/>
      <c r="L1133" s="253"/>
      <c r="M1133" s="253"/>
      <c r="N1133" s="253"/>
      <c r="O1133" s="253"/>
      <c r="P1133" s="253"/>
      <c r="Q1133" s="253"/>
    </row>
    <row r="1134" spans="1:17">
      <c r="A1134" s="253"/>
      <c r="B1134" s="253"/>
      <c r="C1134" s="253"/>
      <c r="D1134" s="253"/>
      <c r="E1134" s="253"/>
      <c r="F1134" s="253"/>
      <c r="G1134" s="253"/>
      <c r="H1134" s="253"/>
      <c r="I1134" s="253"/>
      <c r="J1134" s="253"/>
      <c r="K1134" s="253"/>
      <c r="L1134" s="253"/>
      <c r="M1134" s="253"/>
      <c r="N1134" s="253"/>
      <c r="O1134" s="253"/>
      <c r="P1134" s="253"/>
      <c r="Q1134" s="253"/>
    </row>
    <row r="1135" spans="1:17">
      <c r="A1135" s="253"/>
      <c r="B1135" s="253"/>
      <c r="C1135" s="253"/>
      <c r="D1135" s="253"/>
      <c r="E1135" s="253"/>
      <c r="F1135" s="253"/>
      <c r="G1135" s="253"/>
      <c r="H1135" s="253"/>
      <c r="I1135" s="253"/>
      <c r="J1135" s="253"/>
      <c r="K1135" s="253"/>
      <c r="L1135" s="253"/>
      <c r="M1135" s="253"/>
      <c r="N1135" s="253"/>
      <c r="O1135" s="253"/>
      <c r="P1135" s="253"/>
      <c r="Q1135" s="253"/>
    </row>
    <row r="1136" spans="1:17">
      <c r="A1136" s="253"/>
      <c r="B1136" s="253"/>
      <c r="C1136" s="253"/>
      <c r="D1136" s="253"/>
      <c r="E1136" s="253"/>
      <c r="F1136" s="253"/>
      <c r="G1136" s="253"/>
      <c r="H1136" s="253"/>
      <c r="I1136" s="253"/>
      <c r="J1136" s="253"/>
      <c r="K1136" s="253"/>
      <c r="L1136" s="253"/>
      <c r="M1136" s="253"/>
      <c r="N1136" s="253"/>
      <c r="O1136" s="253"/>
      <c r="P1136" s="253"/>
      <c r="Q1136" s="253"/>
    </row>
    <row r="1137" spans="1:17">
      <c r="A1137" s="253"/>
      <c r="B1137" s="253"/>
      <c r="C1137" s="253"/>
      <c r="D1137" s="253"/>
      <c r="E1137" s="253"/>
      <c r="F1137" s="253"/>
      <c r="G1137" s="253"/>
      <c r="H1137" s="253"/>
      <c r="I1137" s="253"/>
      <c r="J1137" s="253"/>
      <c r="K1137" s="253"/>
      <c r="L1137" s="253"/>
      <c r="M1137" s="253"/>
      <c r="N1137" s="253"/>
      <c r="O1137" s="253"/>
      <c r="P1137" s="253"/>
      <c r="Q1137" s="253"/>
    </row>
    <row r="1138" spans="1:17">
      <c r="A1138" s="253"/>
      <c r="B1138" s="253"/>
      <c r="C1138" s="253"/>
      <c r="D1138" s="253"/>
      <c r="E1138" s="253"/>
      <c r="F1138" s="253"/>
      <c r="G1138" s="253"/>
      <c r="H1138" s="253"/>
      <c r="I1138" s="253"/>
      <c r="J1138" s="253"/>
      <c r="K1138" s="253"/>
      <c r="L1138" s="253"/>
      <c r="M1138" s="253"/>
      <c r="N1138" s="253"/>
      <c r="O1138" s="253"/>
      <c r="P1138" s="253"/>
      <c r="Q1138" s="253"/>
    </row>
    <row r="1139" spans="1:17">
      <c r="A1139" s="253"/>
      <c r="B1139" s="253"/>
      <c r="C1139" s="253"/>
      <c r="D1139" s="253"/>
      <c r="E1139" s="253"/>
      <c r="F1139" s="253"/>
      <c r="G1139" s="253"/>
      <c r="H1139" s="253"/>
      <c r="I1139" s="253"/>
      <c r="J1139" s="253"/>
      <c r="K1139" s="253"/>
      <c r="L1139" s="253"/>
      <c r="M1139" s="253"/>
      <c r="N1139" s="253"/>
      <c r="O1139" s="253"/>
      <c r="P1139" s="253"/>
      <c r="Q1139" s="253"/>
    </row>
    <row r="1140" spans="1:17">
      <c r="A1140" s="253"/>
      <c r="B1140" s="253"/>
      <c r="C1140" s="253"/>
      <c r="D1140" s="253"/>
      <c r="E1140" s="253"/>
      <c r="F1140" s="253"/>
      <c r="G1140" s="253"/>
      <c r="H1140" s="253"/>
      <c r="I1140" s="253"/>
      <c r="J1140" s="253"/>
      <c r="K1140" s="253"/>
      <c r="L1140" s="253"/>
      <c r="M1140" s="253"/>
      <c r="N1140" s="253"/>
      <c r="O1140" s="253"/>
      <c r="P1140" s="253"/>
      <c r="Q1140" s="253"/>
    </row>
    <row r="1141" spans="1:17">
      <c r="A1141" s="253"/>
      <c r="B1141" s="253"/>
      <c r="C1141" s="253"/>
      <c r="D1141" s="253"/>
      <c r="E1141" s="253"/>
      <c r="F1141" s="253"/>
      <c r="G1141" s="253"/>
      <c r="H1141" s="253"/>
      <c r="I1141" s="253"/>
      <c r="J1141" s="253"/>
      <c r="K1141" s="253"/>
      <c r="L1141" s="253"/>
      <c r="M1141" s="253"/>
      <c r="N1141" s="253"/>
      <c r="O1141" s="253"/>
      <c r="P1141" s="253"/>
      <c r="Q1141" s="253"/>
    </row>
    <row r="1142" spans="1:17">
      <c r="A1142" s="253"/>
      <c r="B1142" s="253"/>
      <c r="C1142" s="253"/>
      <c r="D1142" s="253"/>
      <c r="E1142" s="253"/>
      <c r="F1142" s="253"/>
      <c r="G1142" s="253"/>
      <c r="H1142" s="253"/>
      <c r="I1142" s="253"/>
      <c r="J1142" s="253"/>
      <c r="K1142" s="253"/>
      <c r="L1142" s="253"/>
      <c r="M1142" s="253"/>
      <c r="N1142" s="253"/>
      <c r="O1142" s="253"/>
      <c r="P1142" s="253"/>
      <c r="Q1142" s="253"/>
    </row>
    <row r="1143" spans="1:17">
      <c r="A1143" s="253"/>
      <c r="B1143" s="253"/>
      <c r="C1143" s="253"/>
      <c r="D1143" s="253"/>
      <c r="E1143" s="253"/>
      <c r="F1143" s="253"/>
      <c r="G1143" s="253"/>
      <c r="H1143" s="253"/>
      <c r="I1143" s="253"/>
      <c r="J1143" s="253"/>
      <c r="K1143" s="253"/>
      <c r="L1143" s="253"/>
      <c r="M1143" s="253"/>
      <c r="N1143" s="253"/>
      <c r="O1143" s="253"/>
      <c r="P1143" s="253"/>
      <c r="Q1143" s="253"/>
    </row>
    <row r="1144" spans="1:17">
      <c r="A1144" s="253"/>
      <c r="B1144" s="253"/>
      <c r="C1144" s="253"/>
      <c r="D1144" s="253"/>
      <c r="E1144" s="253"/>
      <c r="F1144" s="253"/>
      <c r="G1144" s="253"/>
      <c r="H1144" s="253"/>
      <c r="I1144" s="253"/>
      <c r="J1144" s="253"/>
      <c r="K1144" s="253"/>
      <c r="L1144" s="253"/>
      <c r="M1144" s="253"/>
      <c r="N1144" s="253"/>
      <c r="O1144" s="253"/>
      <c r="P1144" s="253"/>
      <c r="Q1144" s="253"/>
    </row>
    <row r="1145" spans="1:17">
      <c r="A1145" s="253"/>
      <c r="B1145" s="253"/>
      <c r="C1145" s="253"/>
      <c r="D1145" s="253"/>
      <c r="E1145" s="253"/>
      <c r="F1145" s="253"/>
      <c r="G1145" s="253"/>
      <c r="H1145" s="253"/>
      <c r="I1145" s="253"/>
      <c r="J1145" s="253"/>
      <c r="K1145" s="253"/>
      <c r="L1145" s="253"/>
      <c r="M1145" s="253"/>
      <c r="N1145" s="253"/>
      <c r="O1145" s="253"/>
      <c r="P1145" s="253"/>
      <c r="Q1145" s="253"/>
    </row>
    <row r="1146" spans="1:17">
      <c r="A1146" s="253"/>
      <c r="B1146" s="253"/>
      <c r="C1146" s="253"/>
      <c r="D1146" s="253"/>
      <c r="E1146" s="253"/>
      <c r="F1146" s="253"/>
      <c r="G1146" s="253"/>
      <c r="H1146" s="253"/>
      <c r="I1146" s="253"/>
      <c r="J1146" s="253"/>
      <c r="K1146" s="253"/>
      <c r="L1146" s="253"/>
      <c r="M1146" s="253"/>
      <c r="N1146" s="253"/>
      <c r="O1146" s="253"/>
      <c r="P1146" s="253"/>
      <c r="Q1146" s="253"/>
    </row>
    <row r="1147" spans="1:17">
      <c r="A1147" s="253"/>
      <c r="B1147" s="253"/>
      <c r="C1147" s="253"/>
      <c r="D1147" s="253"/>
      <c r="E1147" s="253"/>
      <c r="F1147" s="253"/>
      <c r="G1147" s="253"/>
      <c r="H1147" s="253"/>
      <c r="I1147" s="253"/>
      <c r="J1147" s="253"/>
      <c r="K1147" s="253"/>
      <c r="L1147" s="253"/>
      <c r="M1147" s="253"/>
      <c r="N1147" s="253"/>
      <c r="O1147" s="253"/>
      <c r="P1147" s="253"/>
      <c r="Q1147" s="253"/>
    </row>
    <row r="1148" spans="1:17">
      <c r="A1148" s="253"/>
      <c r="B1148" s="253"/>
      <c r="C1148" s="253"/>
      <c r="D1148" s="253"/>
      <c r="E1148" s="253"/>
      <c r="F1148" s="253"/>
      <c r="G1148" s="253"/>
      <c r="H1148" s="253"/>
      <c r="I1148" s="253"/>
      <c r="J1148" s="253"/>
      <c r="K1148" s="253"/>
      <c r="L1148" s="253"/>
      <c r="M1148" s="253"/>
      <c r="N1148" s="253"/>
      <c r="O1148" s="253"/>
      <c r="P1148" s="253"/>
      <c r="Q1148" s="253"/>
    </row>
    <row r="1149" spans="1:17">
      <c r="A1149" s="253"/>
      <c r="B1149" s="253"/>
      <c r="C1149" s="253"/>
      <c r="D1149" s="253"/>
      <c r="E1149" s="253"/>
      <c r="F1149" s="253"/>
      <c r="G1149" s="253"/>
      <c r="H1149" s="253"/>
      <c r="I1149" s="253"/>
      <c r="J1149" s="253"/>
      <c r="K1149" s="253"/>
      <c r="L1149" s="253"/>
      <c r="M1149" s="253"/>
      <c r="N1149" s="253"/>
      <c r="O1149" s="253"/>
      <c r="P1149" s="253"/>
      <c r="Q1149" s="253"/>
    </row>
    <row r="1150" spans="1:17">
      <c r="A1150" s="253"/>
      <c r="B1150" s="253"/>
      <c r="C1150" s="253"/>
      <c r="D1150" s="253"/>
      <c r="E1150" s="253"/>
      <c r="F1150" s="253"/>
      <c r="G1150" s="253"/>
      <c r="H1150" s="253"/>
      <c r="I1150" s="253"/>
      <c r="J1150" s="253"/>
      <c r="K1150" s="253"/>
      <c r="L1150" s="253"/>
      <c r="M1150" s="253"/>
      <c r="N1150" s="253"/>
      <c r="O1150" s="253"/>
      <c r="P1150" s="253"/>
      <c r="Q1150" s="253"/>
    </row>
    <row r="1151" spans="1:17">
      <c r="A1151" s="253"/>
      <c r="B1151" s="253"/>
      <c r="C1151" s="253"/>
      <c r="D1151" s="253"/>
      <c r="E1151" s="253"/>
      <c r="F1151" s="253"/>
      <c r="G1151" s="253"/>
      <c r="H1151" s="253"/>
      <c r="I1151" s="253"/>
      <c r="J1151" s="253"/>
      <c r="K1151" s="253"/>
      <c r="L1151" s="253"/>
      <c r="M1151" s="253"/>
      <c r="N1151" s="253"/>
      <c r="O1151" s="253"/>
      <c r="P1151" s="253"/>
      <c r="Q1151" s="253"/>
    </row>
    <row r="1152" spans="1:17">
      <c r="A1152" s="253"/>
      <c r="B1152" s="253"/>
      <c r="C1152" s="253"/>
      <c r="D1152" s="253"/>
      <c r="E1152" s="253"/>
      <c r="F1152" s="253"/>
      <c r="G1152" s="253"/>
      <c r="H1152" s="253"/>
      <c r="I1152" s="253"/>
      <c r="J1152" s="253"/>
      <c r="K1152" s="253"/>
      <c r="L1152" s="253"/>
      <c r="M1152" s="253"/>
      <c r="N1152" s="253"/>
      <c r="O1152" s="253"/>
      <c r="P1152" s="253"/>
      <c r="Q1152" s="253"/>
    </row>
    <row r="1153" spans="1:17">
      <c r="A1153" s="253"/>
      <c r="B1153" s="253"/>
      <c r="C1153" s="253"/>
      <c r="D1153" s="253"/>
      <c r="E1153" s="253"/>
      <c r="F1153" s="253"/>
      <c r="G1153" s="253"/>
      <c r="H1153" s="253"/>
      <c r="I1153" s="253"/>
      <c r="J1153" s="253"/>
      <c r="K1153" s="253"/>
      <c r="L1153" s="253"/>
      <c r="M1153" s="253"/>
      <c r="N1153" s="253"/>
      <c r="O1153" s="253"/>
      <c r="P1153" s="253"/>
      <c r="Q1153" s="253"/>
    </row>
    <row r="1154" spans="1:17">
      <c r="A1154" s="253"/>
      <c r="B1154" s="253"/>
      <c r="C1154" s="253"/>
      <c r="D1154" s="253"/>
      <c r="E1154" s="253"/>
      <c r="F1154" s="253"/>
      <c r="G1154" s="253"/>
      <c r="H1154" s="253"/>
      <c r="I1154" s="253"/>
      <c r="J1154" s="253"/>
      <c r="K1154" s="253"/>
      <c r="L1154" s="253"/>
      <c r="M1154" s="253"/>
      <c r="N1154" s="253"/>
      <c r="O1154" s="253"/>
      <c r="P1154" s="253"/>
      <c r="Q1154" s="253"/>
    </row>
    <row r="1155" spans="1:17">
      <c r="A1155" s="253"/>
      <c r="B1155" s="253"/>
      <c r="C1155" s="253"/>
      <c r="D1155" s="253"/>
      <c r="E1155" s="253"/>
      <c r="F1155" s="253"/>
      <c r="G1155" s="253"/>
      <c r="H1155" s="253"/>
      <c r="I1155" s="253"/>
      <c r="J1155" s="253"/>
      <c r="K1155" s="253"/>
      <c r="L1155" s="253"/>
      <c r="M1155" s="253"/>
      <c r="N1155" s="253"/>
      <c r="O1155" s="253"/>
      <c r="P1155" s="253"/>
      <c r="Q1155" s="253"/>
    </row>
    <row r="1156" spans="1:17">
      <c r="A1156" s="253"/>
      <c r="B1156" s="253"/>
      <c r="C1156" s="253"/>
      <c r="D1156" s="253"/>
      <c r="E1156" s="253"/>
      <c r="F1156" s="253"/>
      <c r="G1156" s="253"/>
      <c r="H1156" s="253"/>
      <c r="I1156" s="253"/>
      <c r="J1156" s="253"/>
      <c r="K1156" s="253"/>
      <c r="L1156" s="253"/>
      <c r="M1156" s="253"/>
      <c r="N1156" s="253"/>
      <c r="O1156" s="253"/>
      <c r="P1156" s="253"/>
      <c r="Q1156" s="253"/>
    </row>
    <row r="1157" spans="1:17">
      <c r="A1157" s="253"/>
      <c r="B1157" s="253"/>
      <c r="C1157" s="253"/>
      <c r="D1157" s="253"/>
      <c r="E1157" s="253"/>
      <c r="F1157" s="253"/>
      <c r="G1157" s="253"/>
      <c r="H1157" s="253"/>
      <c r="I1157" s="253"/>
      <c r="J1157" s="253"/>
      <c r="K1157" s="253"/>
      <c r="L1157" s="253"/>
      <c r="M1157" s="253"/>
      <c r="N1157" s="253"/>
      <c r="O1157" s="253"/>
      <c r="P1157" s="253"/>
      <c r="Q1157" s="253"/>
    </row>
    <row r="1158" spans="1:17">
      <c r="A1158" s="253"/>
      <c r="B1158" s="253"/>
      <c r="C1158" s="253"/>
      <c r="D1158" s="253"/>
      <c r="E1158" s="253"/>
      <c r="F1158" s="253"/>
      <c r="G1158" s="253"/>
      <c r="H1158" s="253"/>
      <c r="I1158" s="253"/>
      <c r="J1158" s="253"/>
      <c r="K1158" s="253"/>
      <c r="L1158" s="253"/>
      <c r="M1158" s="253"/>
      <c r="N1158" s="253"/>
      <c r="O1158" s="253"/>
      <c r="P1158" s="253"/>
      <c r="Q1158" s="253"/>
    </row>
    <row r="1159" spans="1:17">
      <c r="A1159" s="253"/>
      <c r="B1159" s="253"/>
      <c r="C1159" s="253"/>
      <c r="D1159" s="253"/>
      <c r="E1159" s="253"/>
      <c r="F1159" s="253"/>
      <c r="G1159" s="253"/>
      <c r="H1159" s="253"/>
      <c r="I1159" s="253"/>
      <c r="J1159" s="253"/>
      <c r="K1159" s="253"/>
      <c r="L1159" s="253"/>
      <c r="M1159" s="253"/>
      <c r="N1159" s="253"/>
      <c r="O1159" s="253"/>
      <c r="P1159" s="253"/>
      <c r="Q1159" s="253"/>
    </row>
    <row r="1160" spans="1:17">
      <c r="A1160" s="253"/>
      <c r="B1160" s="253"/>
      <c r="C1160" s="253"/>
      <c r="D1160" s="253"/>
      <c r="E1160" s="253"/>
      <c r="F1160" s="253"/>
      <c r="G1160" s="253"/>
      <c r="H1160" s="253"/>
      <c r="I1160" s="253"/>
      <c r="J1160" s="253"/>
      <c r="K1160" s="253"/>
      <c r="L1160" s="253"/>
      <c r="M1160" s="253"/>
      <c r="N1160" s="253"/>
      <c r="O1160" s="253"/>
      <c r="P1160" s="253"/>
      <c r="Q1160" s="253"/>
    </row>
    <row r="1161" spans="1:17">
      <c r="A1161" s="253"/>
      <c r="B1161" s="253"/>
      <c r="C1161" s="253"/>
      <c r="D1161" s="253"/>
      <c r="E1161" s="253"/>
      <c r="F1161" s="253"/>
      <c r="G1161" s="253"/>
      <c r="H1161" s="253"/>
      <c r="I1161" s="253"/>
      <c r="J1161" s="253"/>
      <c r="K1161" s="253"/>
      <c r="L1161" s="253"/>
      <c r="M1161" s="253"/>
      <c r="N1161" s="253"/>
      <c r="O1161" s="253"/>
      <c r="P1161" s="253"/>
      <c r="Q1161" s="253"/>
    </row>
    <row r="1162" spans="1:17">
      <c r="A1162" s="253"/>
      <c r="B1162" s="253"/>
      <c r="C1162" s="253"/>
      <c r="D1162" s="253"/>
      <c r="E1162" s="253"/>
      <c r="F1162" s="253"/>
      <c r="G1162" s="253"/>
      <c r="H1162" s="253"/>
      <c r="I1162" s="253"/>
      <c r="J1162" s="253"/>
      <c r="K1162" s="253"/>
      <c r="L1162" s="253"/>
      <c r="M1162" s="253"/>
      <c r="N1162" s="253"/>
      <c r="O1162" s="253"/>
      <c r="P1162" s="253"/>
      <c r="Q1162" s="253"/>
    </row>
    <row r="1163" spans="1:17">
      <c r="A1163" s="253"/>
      <c r="B1163" s="253"/>
      <c r="C1163" s="253"/>
      <c r="D1163" s="253"/>
      <c r="E1163" s="253"/>
      <c r="F1163" s="253"/>
      <c r="G1163" s="253"/>
      <c r="H1163" s="253"/>
      <c r="I1163" s="253"/>
      <c r="J1163" s="253"/>
      <c r="K1163" s="253"/>
      <c r="L1163" s="253"/>
      <c r="M1163" s="253"/>
      <c r="N1163" s="253"/>
      <c r="O1163" s="253"/>
      <c r="P1163" s="253"/>
      <c r="Q1163" s="253"/>
    </row>
    <row r="1164" spans="1:17">
      <c r="A1164" s="253"/>
      <c r="B1164" s="253"/>
      <c r="C1164" s="253"/>
      <c r="D1164" s="253"/>
      <c r="E1164" s="253"/>
      <c r="F1164" s="253"/>
      <c r="G1164" s="253"/>
      <c r="H1164" s="253"/>
      <c r="I1164" s="253"/>
      <c r="J1164" s="253"/>
      <c r="K1164" s="253"/>
      <c r="L1164" s="253"/>
      <c r="M1164" s="253"/>
      <c r="N1164" s="253"/>
      <c r="O1164" s="253"/>
      <c r="P1164" s="253"/>
      <c r="Q1164" s="253"/>
    </row>
    <row r="1165" spans="1:17">
      <c r="A1165" s="253"/>
      <c r="B1165" s="253"/>
      <c r="C1165" s="253"/>
      <c r="D1165" s="253"/>
      <c r="E1165" s="253"/>
      <c r="F1165" s="253"/>
      <c r="G1165" s="253"/>
      <c r="H1165" s="253"/>
      <c r="I1165" s="253"/>
      <c r="J1165" s="253"/>
      <c r="K1165" s="253"/>
      <c r="L1165" s="253"/>
      <c r="M1165" s="253"/>
      <c r="N1165" s="253"/>
      <c r="O1165" s="253"/>
      <c r="P1165" s="253"/>
      <c r="Q1165" s="253"/>
    </row>
    <row r="1166" spans="1:17">
      <c r="A1166" s="253"/>
      <c r="B1166" s="253"/>
      <c r="C1166" s="253"/>
      <c r="D1166" s="253"/>
      <c r="E1166" s="253"/>
      <c r="F1166" s="253"/>
      <c r="G1166" s="253"/>
      <c r="H1166" s="253"/>
      <c r="I1166" s="253"/>
      <c r="J1166" s="253"/>
      <c r="K1166" s="253"/>
      <c r="L1166" s="253"/>
      <c r="M1166" s="253"/>
      <c r="N1166" s="253"/>
      <c r="O1166" s="253"/>
      <c r="P1166" s="253"/>
      <c r="Q1166" s="253"/>
    </row>
    <row r="1167" spans="1:17">
      <c r="A1167" s="253"/>
      <c r="B1167" s="253"/>
      <c r="C1167" s="253"/>
      <c r="D1167" s="253"/>
      <c r="E1167" s="253"/>
      <c r="F1167" s="253"/>
      <c r="G1167" s="253"/>
      <c r="H1167" s="253"/>
      <c r="I1167" s="253"/>
      <c r="J1167" s="253"/>
      <c r="K1167" s="253"/>
      <c r="L1167" s="253"/>
      <c r="M1167" s="253"/>
      <c r="N1167" s="253"/>
      <c r="O1167" s="253"/>
      <c r="P1167" s="253"/>
      <c r="Q1167" s="253"/>
    </row>
    <row r="1168" spans="1:17">
      <c r="A1168" s="253"/>
      <c r="B1168" s="253"/>
      <c r="C1168" s="253"/>
      <c r="D1168" s="253"/>
      <c r="E1168" s="253"/>
      <c r="F1168" s="253"/>
      <c r="G1168" s="253"/>
      <c r="H1168" s="253"/>
      <c r="I1168" s="253"/>
      <c r="J1168" s="253"/>
      <c r="K1168" s="253"/>
      <c r="L1168" s="253"/>
      <c r="M1168" s="253"/>
      <c r="N1168" s="253"/>
      <c r="O1168" s="253"/>
      <c r="P1168" s="253"/>
      <c r="Q1168" s="253"/>
    </row>
    <row r="1169" spans="1:17">
      <c r="A1169" s="253"/>
      <c r="B1169" s="253"/>
      <c r="C1169" s="253"/>
      <c r="D1169" s="253"/>
      <c r="E1169" s="253"/>
      <c r="F1169" s="253"/>
      <c r="G1169" s="253"/>
      <c r="H1169" s="253"/>
      <c r="I1169" s="253"/>
      <c r="J1169" s="253"/>
      <c r="K1169" s="253"/>
      <c r="L1169" s="253"/>
      <c r="M1169" s="253"/>
      <c r="N1169" s="253"/>
      <c r="O1169" s="253"/>
      <c r="P1169" s="253"/>
      <c r="Q1169" s="253"/>
    </row>
    <row r="1170" spans="1:17">
      <c r="A1170" s="253"/>
      <c r="B1170" s="253"/>
      <c r="C1170" s="253"/>
      <c r="D1170" s="253"/>
      <c r="E1170" s="253"/>
      <c r="F1170" s="253"/>
      <c r="G1170" s="253"/>
      <c r="H1170" s="253"/>
      <c r="I1170" s="253"/>
      <c r="J1170" s="253"/>
      <c r="K1170" s="253"/>
      <c r="L1170" s="253"/>
      <c r="M1170" s="253"/>
      <c r="N1170" s="253"/>
      <c r="O1170" s="253"/>
      <c r="P1170" s="253"/>
      <c r="Q1170" s="253"/>
    </row>
    <row r="1171" spans="1:17">
      <c r="A1171" s="253"/>
      <c r="B1171" s="253"/>
      <c r="C1171" s="253"/>
      <c r="D1171" s="253"/>
      <c r="E1171" s="253"/>
      <c r="F1171" s="253"/>
      <c r="G1171" s="253"/>
      <c r="H1171" s="253"/>
      <c r="I1171" s="253"/>
      <c r="J1171" s="253"/>
      <c r="K1171" s="253"/>
      <c r="L1171" s="253"/>
      <c r="M1171" s="253"/>
      <c r="N1171" s="253"/>
      <c r="O1171" s="253"/>
      <c r="P1171" s="253"/>
      <c r="Q1171" s="253"/>
    </row>
    <row r="1172" spans="1:17">
      <c r="A1172" s="253"/>
      <c r="B1172" s="253"/>
      <c r="C1172" s="253"/>
      <c r="D1172" s="253"/>
      <c r="E1172" s="253"/>
      <c r="F1172" s="253"/>
      <c r="G1172" s="253"/>
      <c r="H1172" s="253"/>
      <c r="I1172" s="253"/>
      <c r="J1172" s="253"/>
      <c r="K1172" s="253"/>
      <c r="L1172" s="253"/>
      <c r="M1172" s="253"/>
      <c r="N1172" s="253"/>
      <c r="O1172" s="253"/>
      <c r="P1172" s="253"/>
      <c r="Q1172" s="253"/>
    </row>
    <row r="1173" spans="1:17">
      <c r="A1173" s="253"/>
      <c r="B1173" s="253"/>
      <c r="C1173" s="253"/>
      <c r="D1173" s="253"/>
      <c r="E1173" s="253"/>
      <c r="F1173" s="253"/>
      <c r="G1173" s="253"/>
      <c r="H1173" s="253"/>
      <c r="I1173" s="253"/>
      <c r="J1173" s="253"/>
      <c r="K1173" s="253"/>
      <c r="L1173" s="253"/>
      <c r="M1173" s="253"/>
      <c r="N1173" s="253"/>
      <c r="O1173" s="253"/>
      <c r="P1173" s="253"/>
      <c r="Q1173" s="253"/>
    </row>
    <row r="1174" spans="1:17">
      <c r="A1174" s="253"/>
      <c r="B1174" s="253"/>
      <c r="C1174" s="253"/>
      <c r="D1174" s="253"/>
      <c r="E1174" s="253"/>
      <c r="F1174" s="253"/>
      <c r="G1174" s="253"/>
      <c r="H1174" s="253"/>
      <c r="I1174" s="253"/>
      <c r="J1174" s="253"/>
      <c r="K1174" s="253"/>
      <c r="L1174" s="253"/>
      <c r="M1174" s="253"/>
      <c r="N1174" s="253"/>
      <c r="O1174" s="253"/>
      <c r="P1174" s="253"/>
      <c r="Q1174" s="253"/>
    </row>
    <row r="1175" spans="1:17">
      <c r="A1175" s="253"/>
      <c r="B1175" s="253"/>
      <c r="C1175" s="253"/>
      <c r="D1175" s="253"/>
      <c r="E1175" s="253"/>
      <c r="F1175" s="253"/>
      <c r="G1175" s="253"/>
      <c r="H1175" s="253"/>
      <c r="I1175" s="253"/>
      <c r="J1175" s="253"/>
      <c r="K1175" s="253"/>
      <c r="L1175" s="253"/>
      <c r="M1175" s="253"/>
      <c r="N1175" s="253"/>
      <c r="O1175" s="253"/>
      <c r="P1175" s="253"/>
      <c r="Q1175" s="253"/>
    </row>
    <row r="1176" spans="1:17">
      <c r="A1176" s="253"/>
      <c r="B1176" s="253"/>
      <c r="C1176" s="253"/>
      <c r="D1176" s="253"/>
      <c r="E1176" s="253"/>
      <c r="F1176" s="253"/>
      <c r="G1176" s="253"/>
      <c r="H1176" s="253"/>
      <c r="I1176" s="253"/>
      <c r="J1176" s="253"/>
      <c r="K1176" s="253"/>
      <c r="L1176" s="253"/>
      <c r="M1176" s="253"/>
      <c r="N1176" s="253"/>
      <c r="O1176" s="253"/>
      <c r="P1176" s="253"/>
      <c r="Q1176" s="253"/>
    </row>
    <row r="1177" spans="1:17">
      <c r="A1177" s="253"/>
      <c r="B1177" s="253"/>
      <c r="C1177" s="253"/>
      <c r="D1177" s="253"/>
      <c r="E1177" s="253"/>
      <c r="F1177" s="253"/>
      <c r="G1177" s="253"/>
      <c r="H1177" s="253"/>
      <c r="I1177" s="253"/>
      <c r="J1177" s="253"/>
      <c r="K1177" s="253"/>
      <c r="L1177" s="253"/>
      <c r="M1177" s="253"/>
      <c r="N1177" s="253"/>
      <c r="O1177" s="253"/>
      <c r="P1177" s="253"/>
      <c r="Q1177" s="253"/>
    </row>
    <row r="1178" spans="1:17">
      <c r="A1178" s="253"/>
      <c r="B1178" s="253"/>
      <c r="C1178" s="253"/>
      <c r="D1178" s="253"/>
      <c r="E1178" s="253"/>
      <c r="F1178" s="253"/>
      <c r="G1178" s="253"/>
      <c r="H1178" s="253"/>
      <c r="I1178" s="253"/>
      <c r="J1178" s="253"/>
      <c r="K1178" s="253"/>
      <c r="L1178" s="253"/>
      <c r="M1178" s="253"/>
      <c r="N1178" s="253"/>
      <c r="O1178" s="253"/>
      <c r="P1178" s="253"/>
      <c r="Q1178" s="253"/>
    </row>
    <row r="1179" spans="1:17">
      <c r="A1179" s="253"/>
      <c r="B1179" s="253"/>
      <c r="C1179" s="253"/>
      <c r="D1179" s="253"/>
      <c r="E1179" s="253"/>
      <c r="F1179" s="253"/>
      <c r="G1179" s="253"/>
      <c r="H1179" s="253"/>
      <c r="I1179" s="253"/>
      <c r="J1179" s="253"/>
      <c r="K1179" s="253"/>
      <c r="L1179" s="253"/>
      <c r="M1179" s="253"/>
      <c r="N1179" s="253"/>
      <c r="O1179" s="253"/>
      <c r="P1179" s="253"/>
      <c r="Q1179" s="253"/>
    </row>
    <row r="1180" spans="1:17">
      <c r="A1180" s="253"/>
      <c r="B1180" s="253"/>
      <c r="C1180" s="253"/>
      <c r="D1180" s="253"/>
      <c r="E1180" s="253"/>
      <c r="F1180" s="253"/>
      <c r="G1180" s="253"/>
      <c r="H1180" s="253"/>
      <c r="I1180" s="253"/>
      <c r="J1180" s="253"/>
      <c r="K1180" s="253"/>
      <c r="L1180" s="253"/>
      <c r="M1180" s="253"/>
      <c r="N1180" s="253"/>
      <c r="O1180" s="253"/>
      <c r="P1180" s="253"/>
      <c r="Q1180" s="253"/>
    </row>
    <row r="1181" spans="1:17">
      <c r="A1181" s="253"/>
      <c r="B1181" s="253"/>
      <c r="C1181" s="253"/>
      <c r="D1181" s="253"/>
      <c r="E1181" s="253"/>
      <c r="F1181" s="253"/>
      <c r="G1181" s="253"/>
      <c r="H1181" s="253"/>
      <c r="I1181" s="253"/>
      <c r="J1181" s="253"/>
      <c r="K1181" s="253"/>
      <c r="L1181" s="253"/>
      <c r="M1181" s="253"/>
      <c r="N1181" s="253"/>
      <c r="O1181" s="253"/>
      <c r="P1181" s="253"/>
      <c r="Q1181" s="253"/>
    </row>
    <row r="1182" spans="1:17">
      <c r="A1182" s="253"/>
      <c r="B1182" s="253"/>
      <c r="C1182" s="253"/>
      <c r="D1182" s="253"/>
      <c r="E1182" s="253"/>
      <c r="F1182" s="253"/>
      <c r="G1182" s="253"/>
      <c r="H1182" s="253"/>
      <c r="I1182" s="253"/>
      <c r="J1182" s="253"/>
      <c r="K1182" s="253"/>
      <c r="L1182" s="253"/>
      <c r="M1182" s="253"/>
      <c r="N1182" s="253"/>
      <c r="O1182" s="253"/>
      <c r="P1182" s="253"/>
      <c r="Q1182" s="253"/>
    </row>
    <row r="1183" spans="1:17">
      <c r="A1183" s="253"/>
      <c r="B1183" s="253"/>
      <c r="C1183" s="253"/>
      <c r="D1183" s="253"/>
      <c r="E1183" s="253"/>
      <c r="F1183" s="253"/>
      <c r="G1183" s="253"/>
      <c r="H1183" s="253"/>
      <c r="I1183" s="253"/>
      <c r="J1183" s="253"/>
      <c r="K1183" s="253"/>
      <c r="L1183" s="253"/>
      <c r="M1183" s="253"/>
      <c r="N1183" s="253"/>
      <c r="O1183" s="253"/>
      <c r="P1183" s="253"/>
      <c r="Q1183" s="253"/>
    </row>
    <row r="1184" spans="1:17">
      <c r="A1184" s="253"/>
      <c r="B1184" s="253"/>
      <c r="C1184" s="253"/>
      <c r="D1184" s="253"/>
      <c r="E1184" s="253"/>
      <c r="F1184" s="253"/>
      <c r="G1184" s="253"/>
      <c r="H1184" s="253"/>
      <c r="I1184" s="253"/>
      <c r="J1184" s="253"/>
      <c r="K1184" s="253"/>
      <c r="L1184" s="253"/>
      <c r="M1184" s="253"/>
      <c r="N1184" s="253"/>
      <c r="O1184" s="253"/>
      <c r="P1184" s="253"/>
      <c r="Q1184" s="253"/>
    </row>
    <row r="1185" spans="1:17">
      <c r="A1185" s="253"/>
      <c r="B1185" s="253"/>
      <c r="C1185" s="253"/>
      <c r="D1185" s="253"/>
      <c r="E1185" s="253"/>
      <c r="F1185" s="253"/>
      <c r="G1185" s="253"/>
      <c r="H1185" s="253"/>
      <c r="I1185" s="253"/>
      <c r="J1185" s="253"/>
      <c r="K1185" s="253"/>
      <c r="L1185" s="253"/>
      <c r="M1185" s="253"/>
      <c r="N1185" s="253"/>
      <c r="O1185" s="253"/>
      <c r="P1185" s="253"/>
      <c r="Q1185" s="253"/>
    </row>
    <row r="1186" spans="1:17">
      <c r="A1186" s="253"/>
      <c r="B1186" s="253"/>
      <c r="C1186" s="253"/>
      <c r="D1186" s="253"/>
      <c r="E1186" s="253"/>
      <c r="F1186" s="253"/>
      <c r="G1186" s="253"/>
      <c r="H1186" s="253"/>
      <c r="I1186" s="253"/>
      <c r="J1186" s="253"/>
      <c r="K1186" s="253"/>
      <c r="L1186" s="253"/>
      <c r="M1186" s="253"/>
      <c r="N1186" s="253"/>
      <c r="O1186" s="253"/>
      <c r="P1186" s="253"/>
      <c r="Q1186" s="253"/>
    </row>
    <row r="1187" spans="1:17">
      <c r="A1187" s="253"/>
      <c r="B1187" s="253"/>
      <c r="C1187" s="253"/>
      <c r="D1187" s="253"/>
      <c r="E1187" s="253"/>
      <c r="F1187" s="253"/>
      <c r="G1187" s="253"/>
      <c r="H1187" s="253"/>
      <c r="I1187" s="253"/>
      <c r="J1187" s="253"/>
      <c r="K1187" s="253"/>
      <c r="L1187" s="253"/>
      <c r="M1187" s="253"/>
      <c r="N1187" s="253"/>
      <c r="O1187" s="253"/>
      <c r="P1187" s="253"/>
      <c r="Q1187" s="253"/>
    </row>
    <row r="1188" spans="1:17">
      <c r="A1188" s="253"/>
      <c r="B1188" s="253"/>
      <c r="C1188" s="253"/>
      <c r="D1188" s="253"/>
      <c r="E1188" s="253"/>
      <c r="F1188" s="253"/>
      <c r="G1188" s="253"/>
      <c r="H1188" s="253"/>
      <c r="I1188" s="253"/>
      <c r="J1188" s="253"/>
      <c r="K1188" s="253"/>
      <c r="L1188" s="253"/>
      <c r="M1188" s="253"/>
      <c r="N1188" s="253"/>
      <c r="O1188" s="253"/>
      <c r="P1188" s="253"/>
      <c r="Q1188" s="253"/>
    </row>
    <row r="1189" spans="1:17">
      <c r="A1189" s="253"/>
      <c r="B1189" s="253"/>
      <c r="C1189" s="253"/>
      <c r="D1189" s="253"/>
      <c r="E1189" s="253"/>
      <c r="F1189" s="253"/>
      <c r="G1189" s="253"/>
      <c r="H1189" s="253"/>
      <c r="I1189" s="253"/>
      <c r="J1189" s="253"/>
      <c r="K1189" s="253"/>
      <c r="L1189" s="253"/>
      <c r="M1189" s="253"/>
      <c r="N1189" s="253"/>
      <c r="O1189" s="253"/>
      <c r="P1189" s="253"/>
      <c r="Q1189" s="253"/>
    </row>
    <row r="1190" spans="1:17">
      <c r="A1190" s="253"/>
      <c r="B1190" s="253"/>
      <c r="C1190" s="253"/>
      <c r="D1190" s="253"/>
      <c r="E1190" s="253"/>
      <c r="F1190" s="253"/>
      <c r="G1190" s="253"/>
      <c r="H1190" s="253"/>
      <c r="I1190" s="253"/>
      <c r="J1190" s="253"/>
      <c r="K1190" s="253"/>
      <c r="L1190" s="253"/>
      <c r="M1190" s="253"/>
      <c r="N1190" s="253"/>
      <c r="O1190" s="253"/>
      <c r="P1190" s="253"/>
      <c r="Q1190" s="253"/>
    </row>
    <row r="1191" spans="1:17">
      <c r="A1191" s="253"/>
      <c r="B1191" s="253"/>
      <c r="C1191" s="253"/>
      <c r="D1191" s="253"/>
      <c r="E1191" s="253"/>
      <c r="F1191" s="253"/>
      <c r="G1191" s="253"/>
      <c r="H1191" s="253"/>
      <c r="I1191" s="253"/>
      <c r="J1191" s="253"/>
      <c r="K1191" s="253"/>
      <c r="L1191" s="253"/>
      <c r="M1191" s="253"/>
      <c r="N1191" s="253"/>
      <c r="O1191" s="253"/>
      <c r="P1191" s="253"/>
      <c r="Q1191" s="253"/>
    </row>
    <row r="1192" spans="1:17">
      <c r="A1192" s="253"/>
      <c r="B1192" s="253"/>
      <c r="C1192" s="253"/>
      <c r="D1192" s="253"/>
      <c r="E1192" s="253"/>
      <c r="F1192" s="253"/>
      <c r="G1192" s="253"/>
      <c r="H1192" s="253"/>
      <c r="I1192" s="253"/>
      <c r="J1192" s="253"/>
      <c r="K1192" s="253"/>
      <c r="L1192" s="253"/>
      <c r="M1192" s="253"/>
      <c r="N1192" s="253"/>
      <c r="O1192" s="253"/>
      <c r="P1192" s="253"/>
      <c r="Q1192" s="253"/>
    </row>
    <row r="1193" spans="1:17">
      <c r="A1193" s="253"/>
      <c r="B1193" s="253"/>
      <c r="C1193" s="253"/>
      <c r="D1193" s="253"/>
      <c r="E1193" s="253"/>
      <c r="F1193" s="253"/>
      <c r="G1193" s="253"/>
      <c r="H1193" s="253"/>
      <c r="I1193" s="253"/>
      <c r="J1193" s="253"/>
      <c r="K1193" s="253"/>
      <c r="L1193" s="253"/>
      <c r="M1193" s="253"/>
      <c r="N1193" s="253"/>
      <c r="O1193" s="253"/>
      <c r="P1193" s="253"/>
      <c r="Q1193" s="253"/>
    </row>
    <row r="1194" spans="1:17">
      <c r="A1194" s="253"/>
      <c r="B1194" s="253"/>
      <c r="C1194" s="253"/>
      <c r="D1194" s="253"/>
      <c r="E1194" s="253"/>
      <c r="F1194" s="253"/>
      <c r="G1194" s="253"/>
      <c r="H1194" s="253"/>
      <c r="I1194" s="253"/>
      <c r="J1194" s="253"/>
      <c r="K1194" s="253"/>
      <c r="L1194" s="253"/>
      <c r="M1194" s="253"/>
      <c r="N1194" s="253"/>
      <c r="O1194" s="253"/>
      <c r="P1194" s="253"/>
      <c r="Q1194" s="253"/>
    </row>
    <row r="1195" spans="1:17">
      <c r="A1195" s="253"/>
      <c r="B1195" s="253"/>
      <c r="C1195" s="253"/>
      <c r="D1195" s="253"/>
      <c r="E1195" s="253"/>
      <c r="F1195" s="253"/>
      <c r="G1195" s="253"/>
      <c r="H1195" s="253"/>
      <c r="I1195" s="253"/>
      <c r="J1195" s="253"/>
      <c r="K1195" s="253"/>
      <c r="L1195" s="253"/>
      <c r="M1195" s="253"/>
      <c r="N1195" s="253"/>
      <c r="O1195" s="253"/>
      <c r="P1195" s="253"/>
      <c r="Q1195" s="253"/>
    </row>
    <row r="1196" spans="1:17">
      <c r="A1196" s="253"/>
      <c r="B1196" s="253"/>
      <c r="C1196" s="253"/>
      <c r="D1196" s="253"/>
      <c r="E1196" s="253"/>
      <c r="F1196" s="253"/>
      <c r="G1196" s="253"/>
      <c r="H1196" s="253"/>
      <c r="I1196" s="253"/>
      <c r="J1196" s="253"/>
      <c r="K1196" s="253"/>
      <c r="L1196" s="253"/>
      <c r="M1196" s="253"/>
      <c r="N1196" s="253"/>
      <c r="O1196" s="253"/>
      <c r="P1196" s="253"/>
      <c r="Q1196" s="253"/>
    </row>
    <row r="1197" spans="1:17">
      <c r="A1197" s="253"/>
      <c r="B1197" s="253"/>
      <c r="C1197" s="253"/>
      <c r="D1197" s="253"/>
      <c r="E1197" s="253"/>
      <c r="F1197" s="253"/>
      <c r="G1197" s="253"/>
      <c r="H1197" s="253"/>
      <c r="I1197" s="253"/>
      <c r="J1197" s="253"/>
      <c r="K1197" s="253"/>
      <c r="L1197" s="253"/>
      <c r="M1197" s="253"/>
      <c r="N1197" s="253"/>
      <c r="O1197" s="253"/>
      <c r="P1197" s="253"/>
      <c r="Q1197" s="253"/>
    </row>
    <row r="1198" spans="1:17">
      <c r="A1198" s="253"/>
      <c r="B1198" s="253"/>
      <c r="C1198" s="253"/>
      <c r="D1198" s="253"/>
      <c r="E1198" s="253"/>
      <c r="F1198" s="253"/>
      <c r="G1198" s="253"/>
      <c r="H1198" s="253"/>
      <c r="I1198" s="253"/>
      <c r="J1198" s="253"/>
      <c r="K1198" s="253"/>
      <c r="L1198" s="253"/>
      <c r="M1198" s="253"/>
      <c r="N1198" s="253"/>
      <c r="O1198" s="253"/>
      <c r="P1198" s="253"/>
      <c r="Q1198" s="253"/>
    </row>
    <row r="1199" spans="1:17">
      <c r="A1199" s="253"/>
      <c r="B1199" s="253"/>
      <c r="C1199" s="253"/>
      <c r="D1199" s="253"/>
      <c r="E1199" s="253"/>
      <c r="F1199" s="253"/>
      <c r="G1199" s="253"/>
      <c r="H1199" s="253"/>
      <c r="I1199" s="253"/>
      <c r="J1199" s="253"/>
      <c r="K1199" s="253"/>
      <c r="L1199" s="253"/>
      <c r="M1199" s="253"/>
      <c r="N1199" s="253"/>
      <c r="O1199" s="253"/>
      <c r="P1199" s="253"/>
      <c r="Q1199" s="253"/>
    </row>
    <row r="1200" spans="1:17">
      <c r="A1200" s="253"/>
      <c r="B1200" s="253"/>
      <c r="C1200" s="253"/>
      <c r="D1200" s="253"/>
      <c r="E1200" s="253"/>
      <c r="F1200" s="253"/>
      <c r="G1200" s="253"/>
      <c r="H1200" s="253"/>
      <c r="I1200" s="253"/>
      <c r="J1200" s="253"/>
      <c r="K1200" s="253"/>
      <c r="L1200" s="253"/>
      <c r="M1200" s="253"/>
      <c r="N1200" s="253"/>
      <c r="O1200" s="253"/>
      <c r="P1200" s="253"/>
      <c r="Q1200" s="253"/>
    </row>
    <row r="1201" spans="1:17">
      <c r="A1201" s="253"/>
      <c r="B1201" s="253"/>
      <c r="C1201" s="253"/>
      <c r="D1201" s="253"/>
      <c r="E1201" s="253"/>
      <c r="F1201" s="253"/>
      <c r="G1201" s="253"/>
      <c r="H1201" s="253"/>
      <c r="I1201" s="253"/>
      <c r="J1201" s="253"/>
      <c r="K1201" s="253"/>
      <c r="L1201" s="253"/>
      <c r="M1201" s="253"/>
      <c r="N1201" s="253"/>
      <c r="O1201" s="253"/>
      <c r="P1201" s="253"/>
      <c r="Q1201" s="253"/>
    </row>
    <row r="1202" spans="1:17">
      <c r="A1202" s="253"/>
      <c r="B1202" s="253"/>
      <c r="C1202" s="253"/>
      <c r="D1202" s="253"/>
      <c r="E1202" s="253"/>
      <c r="F1202" s="253"/>
      <c r="G1202" s="253"/>
      <c r="H1202" s="253"/>
      <c r="I1202" s="253"/>
      <c r="J1202" s="253"/>
      <c r="K1202" s="253"/>
      <c r="L1202" s="253"/>
      <c r="M1202" s="253"/>
      <c r="N1202" s="253"/>
      <c r="O1202" s="253"/>
      <c r="P1202" s="253"/>
      <c r="Q1202" s="253"/>
    </row>
    <row r="1203" spans="1:17">
      <c r="A1203" s="253"/>
      <c r="B1203" s="253"/>
      <c r="C1203" s="253"/>
      <c r="D1203" s="253"/>
      <c r="E1203" s="253"/>
      <c r="F1203" s="253"/>
      <c r="G1203" s="253"/>
      <c r="H1203" s="253"/>
      <c r="I1203" s="253"/>
      <c r="J1203" s="253"/>
      <c r="K1203" s="253"/>
      <c r="L1203" s="253"/>
      <c r="M1203" s="253"/>
      <c r="N1203" s="253"/>
      <c r="O1203" s="253"/>
      <c r="P1203" s="253"/>
      <c r="Q1203" s="253"/>
    </row>
    <row r="1204" spans="1:17">
      <c r="A1204" s="253"/>
      <c r="B1204" s="253"/>
      <c r="C1204" s="253"/>
      <c r="D1204" s="253"/>
      <c r="E1204" s="253"/>
      <c r="F1204" s="253"/>
      <c r="G1204" s="253"/>
      <c r="H1204" s="253"/>
      <c r="I1204" s="253"/>
      <c r="J1204" s="253"/>
      <c r="K1204" s="253"/>
      <c r="L1204" s="253"/>
      <c r="M1204" s="253"/>
      <c r="N1204" s="253"/>
      <c r="O1204" s="253"/>
      <c r="P1204" s="253"/>
      <c r="Q1204" s="253"/>
    </row>
    <row r="1205" spans="1:17">
      <c r="A1205" s="253"/>
      <c r="B1205" s="253"/>
      <c r="C1205" s="253"/>
      <c r="D1205" s="253"/>
      <c r="E1205" s="253"/>
      <c r="F1205" s="253"/>
      <c r="G1205" s="253"/>
      <c r="H1205" s="253"/>
      <c r="I1205" s="253"/>
      <c r="J1205" s="253"/>
      <c r="K1205" s="253"/>
      <c r="L1205" s="253"/>
      <c r="M1205" s="253"/>
      <c r="N1205" s="253"/>
      <c r="O1205" s="253"/>
      <c r="P1205" s="253"/>
      <c r="Q1205" s="253"/>
    </row>
    <row r="1206" spans="1:17">
      <c r="A1206" s="253"/>
      <c r="B1206" s="253"/>
      <c r="C1206" s="253"/>
      <c r="D1206" s="253"/>
      <c r="E1206" s="253"/>
      <c r="F1206" s="253"/>
      <c r="G1206" s="253"/>
      <c r="H1206" s="253"/>
      <c r="I1206" s="253"/>
      <c r="J1206" s="253"/>
      <c r="K1206" s="253"/>
      <c r="L1206" s="253"/>
      <c r="M1206" s="253"/>
      <c r="N1206" s="253"/>
      <c r="O1206" s="253"/>
      <c r="P1206" s="253"/>
      <c r="Q1206" s="253"/>
    </row>
    <row r="1207" spans="1:17">
      <c r="A1207" s="253"/>
      <c r="B1207" s="253"/>
      <c r="C1207" s="253"/>
      <c r="D1207" s="253"/>
      <c r="E1207" s="253"/>
      <c r="F1207" s="253"/>
      <c r="G1207" s="253"/>
      <c r="H1207" s="253"/>
      <c r="I1207" s="253"/>
      <c r="J1207" s="253"/>
      <c r="K1207" s="253"/>
      <c r="L1207" s="253"/>
      <c r="M1207" s="253"/>
      <c r="N1207" s="253"/>
      <c r="O1207" s="253"/>
      <c r="P1207" s="253"/>
      <c r="Q1207" s="253"/>
    </row>
    <row r="1208" spans="1:17">
      <c r="A1208" s="253"/>
      <c r="B1208" s="253"/>
      <c r="C1208" s="253"/>
      <c r="D1208" s="253"/>
      <c r="E1208" s="253"/>
      <c r="F1208" s="253"/>
      <c r="G1208" s="253"/>
      <c r="H1208" s="253"/>
      <c r="I1208" s="253"/>
      <c r="J1208" s="253"/>
      <c r="K1208" s="253"/>
      <c r="L1208" s="253"/>
      <c r="M1208" s="253"/>
      <c r="N1208" s="253"/>
      <c r="O1208" s="253"/>
      <c r="P1208" s="253"/>
      <c r="Q1208" s="253"/>
    </row>
    <row r="1209" spans="1:17">
      <c r="A1209" s="253"/>
      <c r="B1209" s="253"/>
      <c r="C1209" s="253"/>
      <c r="D1209" s="253"/>
      <c r="E1209" s="253"/>
      <c r="F1209" s="253"/>
      <c r="G1209" s="253"/>
      <c r="H1209" s="253"/>
      <c r="I1209" s="253"/>
      <c r="J1209" s="253"/>
      <c r="K1209" s="253"/>
      <c r="L1209" s="253"/>
      <c r="M1209" s="253"/>
      <c r="N1209" s="253"/>
      <c r="O1209" s="253"/>
      <c r="P1209" s="253"/>
      <c r="Q1209" s="253"/>
    </row>
    <row r="1210" spans="1:17">
      <c r="A1210" s="253"/>
      <c r="B1210" s="253"/>
      <c r="C1210" s="253"/>
      <c r="D1210" s="253"/>
      <c r="E1210" s="253"/>
      <c r="F1210" s="253"/>
      <c r="G1210" s="253"/>
      <c r="H1210" s="253"/>
      <c r="I1210" s="253"/>
      <c r="J1210" s="253"/>
      <c r="K1210" s="253"/>
      <c r="L1210" s="253"/>
      <c r="M1210" s="253"/>
      <c r="N1210" s="253"/>
      <c r="O1210" s="253"/>
      <c r="P1210" s="253"/>
      <c r="Q1210" s="253"/>
    </row>
    <row r="1211" spans="1:17">
      <c r="A1211" s="253"/>
      <c r="B1211" s="253"/>
      <c r="C1211" s="253"/>
      <c r="D1211" s="253"/>
      <c r="E1211" s="253"/>
      <c r="F1211" s="253"/>
      <c r="G1211" s="253"/>
      <c r="H1211" s="253"/>
      <c r="I1211" s="253"/>
      <c r="J1211" s="253"/>
      <c r="K1211" s="253"/>
      <c r="L1211" s="253"/>
      <c r="M1211" s="253"/>
      <c r="N1211" s="253"/>
      <c r="O1211" s="253"/>
      <c r="P1211" s="253"/>
      <c r="Q1211" s="253"/>
    </row>
    <row r="1212" spans="1:17">
      <c r="A1212" s="253"/>
      <c r="B1212" s="253"/>
      <c r="C1212" s="253"/>
      <c r="D1212" s="253"/>
      <c r="E1212" s="253"/>
      <c r="F1212" s="253"/>
      <c r="G1212" s="253"/>
      <c r="H1212" s="253"/>
      <c r="I1212" s="253"/>
      <c r="J1212" s="253"/>
      <c r="K1212" s="253"/>
      <c r="L1212" s="253"/>
      <c r="M1212" s="253"/>
      <c r="N1212" s="253"/>
      <c r="O1212" s="253"/>
      <c r="P1212" s="253"/>
      <c r="Q1212" s="253"/>
    </row>
    <row r="1213" spans="1:17">
      <c r="A1213" s="253"/>
      <c r="B1213" s="253"/>
      <c r="C1213" s="253"/>
      <c r="D1213" s="253"/>
      <c r="E1213" s="253"/>
      <c r="F1213" s="253"/>
      <c r="G1213" s="253"/>
      <c r="H1213" s="253"/>
      <c r="I1213" s="253"/>
      <c r="J1213" s="253"/>
      <c r="K1213" s="253"/>
      <c r="L1213" s="253"/>
      <c r="M1213" s="253"/>
      <c r="N1213" s="253"/>
      <c r="O1213" s="253"/>
      <c r="P1213" s="253"/>
      <c r="Q1213" s="253"/>
    </row>
    <row r="1214" spans="1:17">
      <c r="A1214" s="253"/>
      <c r="B1214" s="253"/>
      <c r="C1214" s="253"/>
      <c r="D1214" s="253"/>
      <c r="E1214" s="253"/>
      <c r="F1214" s="253"/>
      <c r="G1214" s="253"/>
      <c r="H1214" s="253"/>
      <c r="I1214" s="253"/>
      <c r="J1214" s="253"/>
      <c r="K1214" s="253"/>
      <c r="L1214" s="253"/>
      <c r="M1214" s="253"/>
      <c r="N1214" s="253"/>
      <c r="O1214" s="253"/>
      <c r="P1214" s="253"/>
      <c r="Q1214" s="253"/>
    </row>
    <row r="1215" spans="1:17">
      <c r="A1215" s="253"/>
      <c r="B1215" s="253"/>
      <c r="C1215" s="253"/>
      <c r="D1215" s="253"/>
      <c r="E1215" s="253"/>
      <c r="F1215" s="253"/>
      <c r="G1215" s="253"/>
      <c r="H1215" s="253"/>
      <c r="I1215" s="253"/>
      <c r="J1215" s="253"/>
      <c r="K1215" s="253"/>
      <c r="L1215" s="253"/>
      <c r="M1215" s="253"/>
      <c r="N1215" s="253"/>
      <c r="O1215" s="253"/>
      <c r="P1215" s="253"/>
      <c r="Q1215" s="253"/>
    </row>
    <row r="1216" spans="1:17">
      <c r="A1216" s="253"/>
      <c r="B1216" s="253"/>
      <c r="C1216" s="253"/>
      <c r="D1216" s="253"/>
      <c r="E1216" s="253"/>
      <c r="F1216" s="253"/>
      <c r="G1216" s="253"/>
      <c r="H1216" s="253"/>
      <c r="I1216" s="253"/>
      <c r="J1216" s="253"/>
      <c r="K1216" s="253"/>
      <c r="L1216" s="253"/>
      <c r="M1216" s="253"/>
      <c r="N1216" s="253"/>
      <c r="O1216" s="253"/>
      <c r="P1216" s="253"/>
      <c r="Q1216" s="253"/>
    </row>
    <row r="1217" spans="1:17">
      <c r="A1217" s="253"/>
      <c r="B1217" s="253"/>
      <c r="C1217" s="253"/>
      <c r="D1217" s="253"/>
      <c r="E1217" s="253"/>
      <c r="F1217" s="253"/>
      <c r="G1217" s="253"/>
      <c r="H1217" s="253"/>
      <c r="I1217" s="253"/>
      <c r="J1217" s="253"/>
      <c r="K1217" s="253"/>
      <c r="L1217" s="253"/>
      <c r="M1217" s="253"/>
      <c r="N1217" s="253"/>
      <c r="O1217" s="253"/>
      <c r="P1217" s="253"/>
      <c r="Q1217" s="253"/>
    </row>
    <row r="1218" spans="1:17">
      <c r="A1218" s="253"/>
      <c r="B1218" s="253"/>
      <c r="C1218" s="253"/>
      <c r="D1218" s="253"/>
      <c r="E1218" s="253"/>
      <c r="F1218" s="253"/>
      <c r="G1218" s="253"/>
      <c r="H1218" s="253"/>
      <c r="I1218" s="253"/>
      <c r="J1218" s="253"/>
      <c r="K1218" s="253"/>
      <c r="L1218" s="253"/>
      <c r="M1218" s="253"/>
      <c r="N1218" s="253"/>
      <c r="O1218" s="253"/>
      <c r="P1218" s="253"/>
      <c r="Q1218" s="253"/>
    </row>
    <row r="1219" spans="1:17">
      <c r="A1219" s="253"/>
      <c r="B1219" s="253"/>
      <c r="C1219" s="253"/>
      <c r="D1219" s="253"/>
      <c r="E1219" s="253"/>
      <c r="F1219" s="253"/>
      <c r="G1219" s="253"/>
      <c r="H1219" s="253"/>
      <c r="I1219" s="253"/>
      <c r="J1219" s="253"/>
      <c r="K1219" s="253"/>
      <c r="L1219" s="253"/>
      <c r="M1219" s="253"/>
      <c r="N1219" s="253"/>
      <c r="O1219" s="253"/>
      <c r="P1219" s="253"/>
      <c r="Q1219" s="253"/>
    </row>
    <row r="1220" spans="1:17">
      <c r="A1220" s="253"/>
      <c r="B1220" s="253"/>
      <c r="C1220" s="253"/>
      <c r="D1220" s="253"/>
      <c r="E1220" s="253"/>
      <c r="F1220" s="253"/>
      <c r="G1220" s="253"/>
      <c r="H1220" s="253"/>
      <c r="I1220" s="253"/>
      <c r="J1220" s="253"/>
      <c r="K1220" s="253"/>
      <c r="L1220" s="253"/>
      <c r="M1220" s="253"/>
      <c r="N1220" s="253"/>
      <c r="O1220" s="253"/>
      <c r="P1220" s="253"/>
      <c r="Q1220" s="253"/>
    </row>
    <row r="1221" spans="1:17">
      <c r="A1221" s="253"/>
      <c r="B1221" s="253"/>
      <c r="C1221" s="253"/>
      <c r="D1221" s="253"/>
      <c r="E1221" s="253"/>
      <c r="F1221" s="253"/>
      <c r="G1221" s="253"/>
      <c r="H1221" s="253"/>
      <c r="I1221" s="253"/>
      <c r="J1221" s="253"/>
      <c r="K1221" s="253"/>
      <c r="L1221" s="253"/>
      <c r="M1221" s="253"/>
      <c r="N1221" s="253"/>
      <c r="O1221" s="253"/>
      <c r="P1221" s="253"/>
      <c r="Q1221" s="253"/>
    </row>
    <row r="1222" spans="1:17">
      <c r="A1222" s="253"/>
      <c r="B1222" s="253"/>
      <c r="C1222" s="253"/>
      <c r="D1222" s="253"/>
      <c r="E1222" s="253"/>
      <c r="F1222" s="253"/>
      <c r="G1222" s="253"/>
      <c r="H1222" s="253"/>
      <c r="I1222" s="253"/>
      <c r="J1222" s="253"/>
      <c r="K1222" s="253"/>
      <c r="L1222" s="253"/>
      <c r="M1222" s="253"/>
      <c r="N1222" s="253"/>
      <c r="O1222" s="253"/>
      <c r="P1222" s="253"/>
      <c r="Q1222" s="253"/>
    </row>
    <row r="1223" spans="1:17">
      <c r="A1223" s="253"/>
      <c r="B1223" s="253"/>
      <c r="C1223" s="253"/>
      <c r="D1223" s="253"/>
      <c r="E1223" s="253"/>
      <c r="F1223" s="253"/>
      <c r="G1223" s="253"/>
      <c r="H1223" s="253"/>
      <c r="I1223" s="253"/>
      <c r="J1223" s="253"/>
      <c r="K1223" s="253"/>
      <c r="L1223" s="253"/>
      <c r="M1223" s="253"/>
      <c r="N1223" s="253"/>
      <c r="O1223" s="253"/>
      <c r="P1223" s="253"/>
      <c r="Q1223" s="253"/>
    </row>
    <row r="1224" spans="1:17">
      <c r="A1224" s="253"/>
      <c r="B1224" s="253"/>
      <c r="C1224" s="253"/>
      <c r="D1224" s="253"/>
      <c r="E1224" s="253"/>
      <c r="F1224" s="253"/>
      <c r="G1224" s="253"/>
      <c r="H1224" s="253"/>
      <c r="I1224" s="253"/>
      <c r="J1224" s="253"/>
      <c r="K1224" s="253"/>
      <c r="L1224" s="253"/>
      <c r="M1224" s="253"/>
      <c r="N1224" s="253"/>
      <c r="O1224" s="253"/>
      <c r="P1224" s="253"/>
      <c r="Q1224" s="253"/>
    </row>
    <row r="1225" spans="1:17">
      <c r="A1225" s="253"/>
      <c r="B1225" s="253"/>
      <c r="C1225" s="253"/>
      <c r="D1225" s="253"/>
      <c r="E1225" s="253"/>
      <c r="F1225" s="253"/>
      <c r="G1225" s="253"/>
      <c r="H1225" s="253"/>
      <c r="I1225" s="253"/>
      <c r="J1225" s="253"/>
      <c r="K1225" s="253"/>
      <c r="L1225" s="253"/>
      <c r="M1225" s="253"/>
      <c r="N1225" s="253"/>
      <c r="O1225" s="253"/>
      <c r="P1225" s="253"/>
      <c r="Q1225" s="253"/>
    </row>
    <row r="1226" spans="1:17">
      <c r="A1226" s="253"/>
      <c r="B1226" s="253"/>
      <c r="C1226" s="253"/>
      <c r="D1226" s="253"/>
      <c r="E1226" s="253"/>
      <c r="F1226" s="253"/>
      <c r="G1226" s="253"/>
      <c r="H1226" s="253"/>
      <c r="I1226" s="253"/>
      <c r="J1226" s="253"/>
      <c r="K1226" s="253"/>
      <c r="L1226" s="253"/>
      <c r="M1226" s="253"/>
      <c r="N1226" s="253"/>
      <c r="O1226" s="253"/>
      <c r="P1226" s="253"/>
      <c r="Q1226" s="253"/>
    </row>
    <row r="1227" spans="1:17">
      <c r="A1227" s="253"/>
      <c r="B1227" s="253"/>
      <c r="C1227" s="253"/>
      <c r="D1227" s="253"/>
      <c r="E1227" s="253"/>
      <c r="F1227" s="253"/>
      <c r="G1227" s="253"/>
      <c r="H1227" s="253"/>
      <c r="I1227" s="253"/>
      <c r="J1227" s="253"/>
      <c r="K1227" s="253"/>
      <c r="L1227" s="253"/>
      <c r="M1227" s="253"/>
      <c r="N1227" s="253"/>
      <c r="O1227" s="253"/>
      <c r="P1227" s="253"/>
      <c r="Q1227" s="253"/>
    </row>
    <row r="1228" spans="1:17">
      <c r="A1228" s="253"/>
      <c r="B1228" s="253"/>
      <c r="C1228" s="253"/>
      <c r="D1228" s="253"/>
      <c r="E1228" s="253"/>
      <c r="F1228" s="253"/>
      <c r="G1228" s="253"/>
      <c r="H1228" s="253"/>
      <c r="I1228" s="253"/>
      <c r="J1228" s="253"/>
      <c r="K1228" s="253"/>
      <c r="L1228" s="253"/>
      <c r="M1228" s="253"/>
      <c r="N1228" s="253"/>
      <c r="O1228" s="253"/>
      <c r="P1228" s="253"/>
      <c r="Q1228" s="253"/>
    </row>
    <row r="1229" spans="1:17">
      <c r="A1229" s="253"/>
      <c r="B1229" s="253"/>
      <c r="C1229" s="253"/>
      <c r="D1229" s="253"/>
      <c r="E1229" s="253"/>
      <c r="F1229" s="253"/>
      <c r="G1229" s="253"/>
      <c r="H1229" s="253"/>
      <c r="I1229" s="253"/>
      <c r="J1229" s="253"/>
      <c r="K1229" s="253"/>
      <c r="L1229" s="253"/>
      <c r="M1229" s="253"/>
      <c r="N1229" s="253"/>
      <c r="O1229" s="253"/>
      <c r="P1229" s="253"/>
      <c r="Q1229" s="253"/>
    </row>
    <row r="1230" spans="1:17">
      <c r="A1230" s="253"/>
      <c r="B1230" s="253"/>
      <c r="C1230" s="253"/>
      <c r="D1230" s="253"/>
      <c r="E1230" s="253"/>
      <c r="F1230" s="253"/>
      <c r="G1230" s="253"/>
      <c r="H1230" s="253"/>
      <c r="I1230" s="253"/>
      <c r="J1230" s="253"/>
      <c r="K1230" s="253"/>
      <c r="L1230" s="253"/>
      <c r="M1230" s="253"/>
      <c r="N1230" s="253"/>
      <c r="O1230" s="253"/>
      <c r="P1230" s="253"/>
      <c r="Q1230" s="253"/>
    </row>
    <row r="1231" spans="1:17">
      <c r="A1231" s="253"/>
      <c r="B1231" s="253"/>
      <c r="C1231" s="253"/>
      <c r="D1231" s="253"/>
      <c r="E1231" s="253"/>
      <c r="F1231" s="253"/>
      <c r="G1231" s="253"/>
      <c r="H1231" s="253"/>
      <c r="I1231" s="253"/>
      <c r="J1231" s="253"/>
      <c r="K1231" s="253"/>
      <c r="L1231" s="253"/>
      <c r="M1231" s="253"/>
      <c r="N1231" s="253"/>
      <c r="O1231" s="253"/>
      <c r="P1231" s="253"/>
      <c r="Q1231" s="253"/>
    </row>
    <row r="1232" spans="1:17">
      <c r="A1232" s="253"/>
      <c r="B1232" s="253"/>
      <c r="C1232" s="253"/>
      <c r="D1232" s="253"/>
      <c r="E1232" s="253"/>
      <c r="F1232" s="253"/>
      <c r="G1232" s="253"/>
      <c r="H1232" s="253"/>
      <c r="I1232" s="253"/>
      <c r="J1232" s="253"/>
      <c r="K1232" s="253"/>
      <c r="L1232" s="253"/>
      <c r="M1232" s="253"/>
      <c r="N1232" s="253"/>
      <c r="O1232" s="253"/>
      <c r="P1232" s="253"/>
      <c r="Q1232" s="253"/>
    </row>
    <row r="1233" spans="1:17">
      <c r="A1233" s="253"/>
      <c r="B1233" s="253"/>
      <c r="C1233" s="253"/>
      <c r="D1233" s="253"/>
      <c r="E1233" s="253"/>
      <c r="F1233" s="253"/>
      <c r="G1233" s="253"/>
      <c r="H1233" s="253"/>
      <c r="I1233" s="253"/>
      <c r="J1233" s="253"/>
      <c r="K1233" s="253"/>
      <c r="L1233" s="253"/>
      <c r="M1233" s="253"/>
      <c r="N1233" s="253"/>
      <c r="O1233" s="253"/>
      <c r="P1233" s="253"/>
      <c r="Q1233" s="253"/>
    </row>
    <row r="1234" spans="1:17">
      <c r="A1234" s="253"/>
      <c r="B1234" s="253"/>
      <c r="C1234" s="253"/>
      <c r="D1234" s="253"/>
      <c r="E1234" s="253"/>
      <c r="F1234" s="253"/>
      <c r="G1234" s="253"/>
      <c r="H1234" s="253"/>
      <c r="I1234" s="253"/>
      <c r="J1234" s="253"/>
      <c r="K1234" s="253"/>
      <c r="L1234" s="253"/>
      <c r="M1234" s="253"/>
      <c r="N1234" s="253"/>
      <c r="O1234" s="253"/>
      <c r="P1234" s="253"/>
      <c r="Q1234" s="253"/>
    </row>
    <row r="1235" spans="1:17">
      <c r="A1235" s="253"/>
      <c r="B1235" s="253"/>
      <c r="C1235" s="253"/>
      <c r="D1235" s="253"/>
      <c r="E1235" s="253"/>
      <c r="F1235" s="253"/>
      <c r="G1235" s="253"/>
      <c r="H1235" s="253"/>
      <c r="I1235" s="253"/>
      <c r="J1235" s="253"/>
      <c r="K1235" s="253"/>
      <c r="L1235" s="253"/>
      <c r="M1235" s="253"/>
      <c r="N1235" s="253"/>
      <c r="O1235" s="253"/>
      <c r="P1235" s="253"/>
      <c r="Q1235" s="253"/>
    </row>
    <row r="1236" spans="1:17">
      <c r="A1236" s="253"/>
      <c r="B1236" s="253"/>
      <c r="C1236" s="253"/>
      <c r="D1236" s="253"/>
      <c r="E1236" s="253"/>
      <c r="F1236" s="253"/>
      <c r="G1236" s="253"/>
      <c r="H1236" s="253"/>
      <c r="I1236" s="253"/>
      <c r="J1236" s="253"/>
      <c r="K1236" s="253"/>
      <c r="L1236" s="253"/>
      <c r="M1236" s="253"/>
      <c r="N1236" s="253"/>
      <c r="O1236" s="253"/>
      <c r="P1236" s="253"/>
      <c r="Q1236" s="253"/>
    </row>
    <row r="1237" spans="1:17">
      <c r="A1237" s="253"/>
      <c r="B1237" s="253"/>
      <c r="C1237" s="253"/>
      <c r="D1237" s="253"/>
      <c r="E1237" s="253"/>
      <c r="F1237" s="253"/>
      <c r="G1237" s="253"/>
      <c r="H1237" s="253"/>
      <c r="I1237" s="253"/>
      <c r="J1237" s="253"/>
      <c r="K1237" s="253"/>
      <c r="L1237" s="253"/>
      <c r="M1237" s="253"/>
      <c r="N1237" s="253"/>
      <c r="O1237" s="253"/>
      <c r="P1237" s="253"/>
      <c r="Q1237" s="253"/>
    </row>
    <row r="1238" spans="1:17">
      <c r="A1238" s="253"/>
      <c r="B1238" s="253"/>
      <c r="C1238" s="253"/>
      <c r="D1238" s="253"/>
      <c r="E1238" s="253"/>
      <c r="F1238" s="253"/>
      <c r="G1238" s="253"/>
      <c r="H1238" s="253"/>
      <c r="I1238" s="253"/>
      <c r="J1238" s="253"/>
      <c r="K1238" s="253"/>
      <c r="L1238" s="253"/>
      <c r="M1238" s="253"/>
      <c r="N1238" s="253"/>
      <c r="O1238" s="253"/>
      <c r="P1238" s="253"/>
      <c r="Q1238" s="253"/>
    </row>
    <row r="1239" spans="1:17">
      <c r="A1239" s="253"/>
      <c r="B1239" s="253"/>
      <c r="C1239" s="253"/>
      <c r="D1239" s="253"/>
      <c r="E1239" s="253"/>
      <c r="F1239" s="253"/>
      <c r="G1239" s="253"/>
      <c r="H1239" s="253"/>
      <c r="I1239" s="253"/>
      <c r="J1239" s="253"/>
      <c r="K1239" s="253"/>
      <c r="L1239" s="253"/>
      <c r="M1239" s="253"/>
      <c r="N1239" s="253"/>
      <c r="O1239" s="253"/>
      <c r="P1239" s="253"/>
      <c r="Q1239" s="253"/>
    </row>
    <row r="1240" spans="1:17">
      <c r="A1240" s="253"/>
      <c r="B1240" s="253"/>
      <c r="C1240" s="253"/>
      <c r="D1240" s="253"/>
      <c r="E1240" s="253"/>
      <c r="F1240" s="253"/>
      <c r="G1240" s="253"/>
      <c r="H1240" s="253"/>
      <c r="I1240" s="253"/>
      <c r="J1240" s="253"/>
      <c r="K1240" s="253"/>
      <c r="L1240" s="253"/>
      <c r="M1240" s="253"/>
      <c r="N1240" s="253"/>
      <c r="O1240" s="253"/>
      <c r="P1240" s="253"/>
      <c r="Q1240" s="253"/>
    </row>
    <row r="1241" spans="1:17">
      <c r="A1241" s="253"/>
      <c r="B1241" s="253"/>
      <c r="C1241" s="253"/>
      <c r="D1241" s="253"/>
      <c r="E1241" s="253"/>
      <c r="F1241" s="253"/>
      <c r="G1241" s="253"/>
      <c r="H1241" s="253"/>
      <c r="I1241" s="253"/>
      <c r="J1241" s="253"/>
      <c r="K1241" s="253"/>
      <c r="L1241" s="253"/>
      <c r="M1241" s="253"/>
      <c r="N1241" s="253"/>
      <c r="O1241" s="253"/>
      <c r="P1241" s="253"/>
      <c r="Q1241" s="253"/>
    </row>
    <row r="1242" spans="1:17">
      <c r="A1242" s="253"/>
      <c r="B1242" s="253"/>
      <c r="C1242" s="253"/>
      <c r="D1242" s="253"/>
      <c r="E1242" s="253"/>
      <c r="F1242" s="253"/>
      <c r="G1242" s="253"/>
      <c r="H1242" s="253"/>
      <c r="I1242" s="253"/>
      <c r="J1242" s="253"/>
      <c r="K1242" s="253"/>
      <c r="L1242" s="253"/>
      <c r="M1242" s="253"/>
      <c r="N1242" s="253"/>
      <c r="O1242" s="253"/>
      <c r="P1242" s="253"/>
      <c r="Q1242" s="253"/>
    </row>
    <row r="1243" spans="1:17">
      <c r="A1243" s="253"/>
      <c r="B1243" s="253"/>
      <c r="C1243" s="253"/>
      <c r="D1243" s="253"/>
      <c r="E1243" s="253"/>
      <c r="F1243" s="253"/>
      <c r="G1243" s="253"/>
      <c r="H1243" s="253"/>
      <c r="I1243" s="253"/>
      <c r="J1243" s="253"/>
      <c r="K1243" s="253"/>
      <c r="L1243" s="253"/>
      <c r="M1243" s="253"/>
      <c r="N1243" s="253"/>
      <c r="O1243" s="253"/>
      <c r="P1243" s="253"/>
      <c r="Q1243" s="253"/>
    </row>
    <row r="1244" spans="1:17">
      <c r="A1244" s="253"/>
      <c r="B1244" s="253"/>
      <c r="C1244" s="253"/>
      <c r="D1244" s="253"/>
      <c r="E1244" s="253"/>
      <c r="F1244" s="253"/>
      <c r="G1244" s="253"/>
      <c r="H1244" s="253"/>
      <c r="I1244" s="253"/>
      <c r="J1244" s="253"/>
      <c r="K1244" s="253"/>
      <c r="L1244" s="253"/>
      <c r="M1244" s="253"/>
      <c r="N1244" s="253"/>
      <c r="O1244" s="253"/>
      <c r="P1244" s="253"/>
      <c r="Q1244" s="253"/>
    </row>
    <row r="1245" spans="1:17">
      <c r="A1245" s="253"/>
      <c r="B1245" s="253"/>
      <c r="C1245" s="253"/>
      <c r="D1245" s="253"/>
      <c r="E1245" s="253"/>
      <c r="F1245" s="253"/>
      <c r="G1245" s="253"/>
      <c r="H1245" s="253"/>
      <c r="I1245" s="253"/>
      <c r="J1245" s="253"/>
      <c r="K1245" s="253"/>
      <c r="L1245" s="253"/>
      <c r="M1245" s="253"/>
      <c r="N1245" s="253"/>
      <c r="O1245" s="253"/>
      <c r="P1245" s="253"/>
      <c r="Q1245" s="253"/>
    </row>
    <row r="1246" spans="1:17">
      <c r="A1246" s="253"/>
      <c r="B1246" s="253"/>
      <c r="C1246" s="253"/>
      <c r="D1246" s="253"/>
      <c r="E1246" s="253"/>
      <c r="F1246" s="253"/>
      <c r="G1246" s="253"/>
      <c r="H1246" s="253"/>
      <c r="I1246" s="253"/>
      <c r="J1246" s="253"/>
      <c r="K1246" s="253"/>
      <c r="L1246" s="253"/>
      <c r="M1246" s="253"/>
      <c r="N1246" s="253"/>
      <c r="O1246" s="253"/>
      <c r="P1246" s="253"/>
      <c r="Q1246" s="253"/>
    </row>
    <row r="1247" spans="1:17">
      <c r="A1247" s="253"/>
      <c r="B1247" s="253"/>
      <c r="C1247" s="253"/>
      <c r="D1247" s="253"/>
      <c r="E1247" s="253"/>
      <c r="F1247" s="253"/>
      <c r="G1247" s="253"/>
      <c r="H1247" s="253"/>
      <c r="I1247" s="253"/>
      <c r="J1247" s="253"/>
      <c r="K1247" s="253"/>
      <c r="L1247" s="253"/>
      <c r="M1247" s="253"/>
      <c r="N1247" s="253"/>
      <c r="O1247" s="253"/>
      <c r="P1247" s="253"/>
      <c r="Q1247" s="253"/>
    </row>
    <row r="1248" spans="1:17">
      <c r="A1248" s="253"/>
      <c r="B1248" s="253"/>
      <c r="C1248" s="253"/>
      <c r="D1248" s="253"/>
      <c r="E1248" s="253"/>
      <c r="F1248" s="253"/>
      <c r="G1248" s="253"/>
      <c r="H1248" s="253"/>
      <c r="I1248" s="253"/>
      <c r="J1248" s="253"/>
      <c r="K1248" s="253"/>
      <c r="L1248" s="253"/>
      <c r="M1248" s="253"/>
      <c r="N1248" s="253"/>
      <c r="O1248" s="253"/>
      <c r="P1248" s="253"/>
      <c r="Q1248" s="253"/>
    </row>
    <row r="1249" spans="1:17">
      <c r="A1249" s="253"/>
      <c r="B1249" s="253"/>
      <c r="C1249" s="253"/>
      <c r="D1249" s="253"/>
      <c r="E1249" s="253"/>
      <c r="F1249" s="253"/>
      <c r="G1249" s="253"/>
      <c r="H1249" s="253"/>
      <c r="I1249" s="253"/>
      <c r="J1249" s="253"/>
      <c r="K1249" s="253"/>
      <c r="L1249" s="253"/>
      <c r="M1249" s="253"/>
      <c r="N1249" s="253"/>
      <c r="O1249" s="253"/>
      <c r="P1249" s="253"/>
      <c r="Q1249" s="253"/>
    </row>
    <row r="1250" spans="1:17">
      <c r="A1250" s="253"/>
      <c r="B1250" s="253"/>
      <c r="C1250" s="253"/>
      <c r="D1250" s="253"/>
      <c r="E1250" s="253"/>
      <c r="F1250" s="253"/>
      <c r="G1250" s="253"/>
      <c r="H1250" s="253"/>
      <c r="I1250" s="253"/>
      <c r="J1250" s="253"/>
      <c r="K1250" s="253"/>
      <c r="L1250" s="253"/>
      <c r="M1250" s="253"/>
      <c r="N1250" s="253"/>
      <c r="O1250" s="253"/>
      <c r="P1250" s="253"/>
      <c r="Q1250" s="253"/>
    </row>
    <row r="1251" spans="1:17">
      <c r="A1251" s="253"/>
      <c r="B1251" s="253"/>
      <c r="C1251" s="253"/>
      <c r="D1251" s="253"/>
      <c r="E1251" s="253"/>
      <c r="F1251" s="253"/>
      <c r="G1251" s="253"/>
      <c r="H1251" s="253"/>
      <c r="I1251" s="253"/>
      <c r="J1251" s="253"/>
      <c r="K1251" s="253"/>
      <c r="L1251" s="253"/>
      <c r="M1251" s="253"/>
      <c r="N1251" s="253"/>
      <c r="O1251" s="253"/>
      <c r="P1251" s="253"/>
      <c r="Q1251" s="253"/>
    </row>
    <row r="1252" spans="1:17">
      <c r="A1252" s="253"/>
      <c r="B1252" s="253"/>
      <c r="C1252" s="253"/>
      <c r="D1252" s="253"/>
      <c r="E1252" s="253"/>
      <c r="F1252" s="253"/>
      <c r="G1252" s="253"/>
      <c r="H1252" s="253"/>
      <c r="I1252" s="253"/>
      <c r="J1252" s="253"/>
      <c r="K1252" s="253"/>
      <c r="L1252" s="253"/>
      <c r="M1252" s="253"/>
      <c r="N1252" s="253"/>
      <c r="O1252" s="253"/>
      <c r="P1252" s="253"/>
      <c r="Q1252" s="253"/>
    </row>
    <row r="1253" spans="1:17">
      <c r="A1253" s="253"/>
      <c r="B1253" s="253"/>
      <c r="C1253" s="253"/>
      <c r="D1253" s="253"/>
      <c r="E1253" s="253"/>
      <c r="F1253" s="253"/>
      <c r="G1253" s="253"/>
      <c r="H1253" s="253"/>
      <c r="I1253" s="253"/>
      <c r="J1253" s="253"/>
      <c r="K1253" s="253"/>
      <c r="L1253" s="253"/>
      <c r="M1253" s="253"/>
      <c r="N1253" s="253"/>
      <c r="O1253" s="253"/>
      <c r="P1253" s="253"/>
      <c r="Q1253" s="253"/>
    </row>
    <row r="1254" spans="1:17">
      <c r="A1254" s="253"/>
      <c r="B1254" s="253"/>
      <c r="C1254" s="253"/>
      <c r="D1254" s="253"/>
      <c r="E1254" s="253"/>
      <c r="F1254" s="253"/>
      <c r="G1254" s="253"/>
      <c r="H1254" s="253"/>
      <c r="I1254" s="253"/>
      <c r="J1254" s="253"/>
      <c r="K1254" s="253"/>
      <c r="L1254" s="253"/>
      <c r="M1254" s="253"/>
      <c r="N1254" s="253"/>
      <c r="O1254" s="253"/>
      <c r="P1254" s="253"/>
      <c r="Q1254" s="253"/>
    </row>
    <row r="1255" spans="1:17">
      <c r="A1255" s="253"/>
      <c r="B1255" s="253"/>
      <c r="C1255" s="253"/>
      <c r="D1255" s="253"/>
      <c r="E1255" s="253"/>
      <c r="F1255" s="253"/>
      <c r="G1255" s="253"/>
      <c r="H1255" s="253"/>
      <c r="I1255" s="253"/>
      <c r="J1255" s="253"/>
      <c r="K1255" s="253"/>
      <c r="L1255" s="253"/>
      <c r="M1255" s="253"/>
      <c r="N1255" s="253"/>
      <c r="O1255" s="253"/>
      <c r="P1255" s="253"/>
      <c r="Q1255" s="253"/>
    </row>
    <row r="1256" spans="1:17">
      <c r="A1256" s="253"/>
      <c r="B1256" s="253"/>
      <c r="C1256" s="253"/>
      <c r="D1256" s="253"/>
      <c r="E1256" s="253"/>
      <c r="F1256" s="253"/>
      <c r="G1256" s="253"/>
      <c r="H1256" s="253"/>
      <c r="I1256" s="253"/>
      <c r="J1256" s="253"/>
      <c r="K1256" s="253"/>
      <c r="L1256" s="253"/>
      <c r="M1256" s="253"/>
      <c r="N1256" s="253"/>
      <c r="O1256" s="253"/>
      <c r="P1256" s="253"/>
      <c r="Q1256" s="253"/>
    </row>
    <row r="1257" spans="1:17">
      <c r="A1257" s="253"/>
      <c r="B1257" s="253"/>
      <c r="C1257" s="253"/>
      <c r="D1257" s="253"/>
      <c r="E1257" s="253"/>
      <c r="F1257" s="253"/>
      <c r="G1257" s="253"/>
      <c r="H1257" s="253"/>
      <c r="I1257" s="253"/>
      <c r="J1257" s="253"/>
      <c r="K1257" s="253"/>
      <c r="L1257" s="253"/>
      <c r="M1257" s="253"/>
      <c r="N1257" s="253"/>
      <c r="O1257" s="253"/>
      <c r="P1257" s="253"/>
      <c r="Q1257" s="253"/>
    </row>
    <row r="1258" spans="1:17">
      <c r="A1258" s="253"/>
      <c r="B1258" s="253"/>
      <c r="C1258" s="253"/>
      <c r="D1258" s="253"/>
      <c r="E1258" s="253"/>
      <c r="F1258" s="253"/>
      <c r="G1258" s="253"/>
      <c r="H1258" s="253"/>
      <c r="I1258" s="253"/>
      <c r="J1258" s="253"/>
      <c r="K1258" s="253"/>
      <c r="L1258" s="253"/>
      <c r="M1258" s="253"/>
      <c r="N1258" s="253"/>
      <c r="O1258" s="253"/>
      <c r="P1258" s="253"/>
      <c r="Q1258" s="253"/>
    </row>
    <row r="1259" spans="1:17">
      <c r="A1259" s="253"/>
      <c r="B1259" s="253"/>
      <c r="C1259" s="253"/>
      <c r="D1259" s="253"/>
      <c r="E1259" s="253"/>
      <c r="F1259" s="253"/>
      <c r="G1259" s="253"/>
      <c r="H1259" s="253"/>
      <c r="I1259" s="253"/>
      <c r="J1259" s="253"/>
      <c r="K1259" s="253"/>
      <c r="L1259" s="253"/>
      <c r="M1259" s="253"/>
      <c r="N1259" s="253"/>
      <c r="O1259" s="253"/>
      <c r="P1259" s="253"/>
      <c r="Q1259" s="253"/>
    </row>
    <row r="1260" spans="1:17">
      <c r="A1260" s="253"/>
      <c r="B1260" s="253"/>
      <c r="C1260" s="253"/>
      <c r="D1260" s="253"/>
      <c r="E1260" s="253"/>
      <c r="F1260" s="253"/>
      <c r="G1260" s="253"/>
      <c r="H1260" s="253"/>
      <c r="I1260" s="253"/>
      <c r="J1260" s="253"/>
      <c r="K1260" s="253"/>
      <c r="L1260" s="253"/>
      <c r="M1260" s="253"/>
      <c r="N1260" s="253"/>
      <c r="O1260" s="253"/>
      <c r="P1260" s="253"/>
      <c r="Q1260" s="253"/>
    </row>
    <row r="1261" spans="1:17">
      <c r="A1261" s="253"/>
      <c r="B1261" s="253"/>
      <c r="C1261" s="253"/>
      <c r="D1261" s="253"/>
      <c r="E1261" s="253"/>
      <c r="F1261" s="253"/>
      <c r="G1261" s="253"/>
      <c r="H1261" s="253"/>
      <c r="I1261" s="253"/>
      <c r="J1261" s="253"/>
      <c r="K1261" s="253"/>
      <c r="L1261" s="253"/>
      <c r="M1261" s="253"/>
      <c r="N1261" s="253"/>
      <c r="O1261" s="253"/>
      <c r="P1261" s="253"/>
      <c r="Q1261" s="253"/>
    </row>
    <row r="1262" spans="1:17">
      <c r="A1262" s="253"/>
      <c r="B1262" s="253"/>
      <c r="C1262" s="253"/>
      <c r="D1262" s="253"/>
      <c r="E1262" s="253"/>
      <c r="F1262" s="253"/>
      <c r="G1262" s="253"/>
      <c r="H1262" s="253"/>
      <c r="I1262" s="253"/>
      <c r="J1262" s="253"/>
      <c r="K1262" s="253"/>
      <c r="L1262" s="253"/>
      <c r="M1262" s="253"/>
      <c r="N1262" s="253"/>
      <c r="O1262" s="253"/>
      <c r="P1262" s="253"/>
      <c r="Q1262" s="253"/>
    </row>
    <row r="1263" spans="1:17">
      <c r="A1263" s="253"/>
      <c r="B1263" s="253"/>
      <c r="C1263" s="253"/>
      <c r="D1263" s="253"/>
      <c r="E1263" s="253"/>
      <c r="F1263" s="253"/>
      <c r="G1263" s="253"/>
      <c r="H1263" s="253"/>
      <c r="I1263" s="253"/>
      <c r="J1263" s="253"/>
      <c r="K1263" s="253"/>
      <c r="L1263" s="253"/>
      <c r="M1263" s="253"/>
      <c r="N1263" s="253"/>
      <c r="O1263" s="253"/>
      <c r="P1263" s="253"/>
      <c r="Q1263" s="253"/>
    </row>
    <row r="1264" spans="1:17">
      <c r="A1264" s="253"/>
      <c r="B1264" s="253"/>
      <c r="C1264" s="253"/>
      <c r="D1264" s="253"/>
      <c r="E1264" s="253"/>
      <c r="F1264" s="253"/>
      <c r="G1264" s="253"/>
      <c r="H1264" s="253"/>
      <c r="I1264" s="253"/>
      <c r="J1264" s="253"/>
      <c r="K1264" s="253"/>
      <c r="L1264" s="253"/>
      <c r="M1264" s="253"/>
      <c r="N1264" s="253"/>
      <c r="O1264" s="253"/>
      <c r="P1264" s="253"/>
      <c r="Q1264" s="253"/>
    </row>
    <row r="1265" spans="1:17">
      <c r="A1265" s="253"/>
      <c r="B1265" s="253"/>
      <c r="C1265" s="253"/>
      <c r="D1265" s="253"/>
      <c r="E1265" s="253"/>
      <c r="F1265" s="253"/>
      <c r="G1265" s="253"/>
      <c r="H1265" s="253"/>
      <c r="I1265" s="253"/>
      <c r="J1265" s="253"/>
      <c r="K1265" s="253"/>
      <c r="L1265" s="253"/>
      <c r="M1265" s="253"/>
      <c r="N1265" s="253"/>
      <c r="O1265" s="253"/>
      <c r="P1265" s="253"/>
      <c r="Q1265" s="253"/>
    </row>
    <row r="1266" spans="1:17">
      <c r="A1266" s="253"/>
      <c r="B1266" s="253"/>
      <c r="C1266" s="253"/>
      <c r="D1266" s="253"/>
      <c r="E1266" s="253"/>
      <c r="F1266" s="253"/>
      <c r="G1266" s="253"/>
      <c r="H1266" s="253"/>
      <c r="I1266" s="253"/>
      <c r="J1266" s="253"/>
      <c r="K1266" s="253"/>
      <c r="L1266" s="253"/>
      <c r="M1266" s="253"/>
      <c r="N1266" s="253"/>
      <c r="O1266" s="253"/>
      <c r="P1266" s="253"/>
      <c r="Q1266" s="253"/>
    </row>
    <row r="1267" spans="1:17">
      <c r="A1267" s="253"/>
      <c r="B1267" s="253"/>
      <c r="C1267" s="253"/>
      <c r="D1267" s="253"/>
      <c r="E1267" s="253"/>
      <c r="F1267" s="253"/>
      <c r="G1267" s="253"/>
      <c r="H1267" s="253"/>
      <c r="I1267" s="253"/>
      <c r="J1267" s="253"/>
      <c r="K1267" s="253"/>
      <c r="L1267" s="253"/>
      <c r="M1267" s="253"/>
      <c r="N1267" s="253"/>
      <c r="O1267" s="253"/>
      <c r="P1267" s="253"/>
      <c r="Q1267" s="253"/>
    </row>
    <row r="1268" spans="1:17">
      <c r="A1268" s="253"/>
      <c r="B1268" s="253"/>
      <c r="C1268" s="253"/>
      <c r="D1268" s="253"/>
      <c r="E1268" s="253"/>
      <c r="F1268" s="253"/>
      <c r="G1268" s="253"/>
      <c r="H1268" s="253"/>
      <c r="I1268" s="253"/>
      <c r="J1268" s="253"/>
      <c r="K1268" s="253"/>
      <c r="L1268" s="253"/>
      <c r="M1268" s="253"/>
      <c r="N1268" s="253"/>
      <c r="O1268" s="253"/>
      <c r="P1268" s="253"/>
      <c r="Q1268" s="253"/>
    </row>
    <row r="1269" spans="1:17">
      <c r="A1269" s="253"/>
      <c r="B1269" s="253"/>
      <c r="C1269" s="253"/>
      <c r="D1269" s="253"/>
      <c r="E1269" s="253"/>
      <c r="F1269" s="253"/>
      <c r="G1269" s="253"/>
      <c r="H1269" s="253"/>
      <c r="I1269" s="253"/>
      <c r="J1269" s="253"/>
      <c r="K1269" s="253"/>
      <c r="L1269" s="253"/>
      <c r="M1269" s="253"/>
      <c r="N1269" s="253"/>
      <c r="O1269" s="253"/>
      <c r="P1269" s="253"/>
      <c r="Q1269" s="253"/>
    </row>
    <row r="1270" spans="1:17">
      <c r="A1270" s="253"/>
      <c r="B1270" s="253"/>
      <c r="C1270" s="253"/>
      <c r="D1270" s="253"/>
      <c r="E1270" s="253"/>
      <c r="F1270" s="253"/>
      <c r="G1270" s="253"/>
      <c r="H1270" s="253"/>
      <c r="I1270" s="253"/>
      <c r="J1270" s="253"/>
      <c r="K1270" s="253"/>
      <c r="L1270" s="253"/>
      <c r="M1270" s="253"/>
      <c r="N1270" s="253"/>
      <c r="O1270" s="253"/>
      <c r="P1270" s="253"/>
      <c r="Q1270" s="253"/>
    </row>
    <row r="1271" spans="1:17">
      <c r="A1271" s="253"/>
      <c r="B1271" s="253"/>
      <c r="C1271" s="253"/>
      <c r="D1271" s="253"/>
      <c r="E1271" s="253"/>
      <c r="F1271" s="253"/>
      <c r="G1271" s="253"/>
      <c r="H1271" s="253"/>
      <c r="I1271" s="253"/>
      <c r="J1271" s="253"/>
      <c r="K1271" s="253"/>
      <c r="L1271" s="253"/>
      <c r="M1271" s="253"/>
      <c r="N1271" s="253"/>
      <c r="O1271" s="253"/>
      <c r="P1271" s="253"/>
      <c r="Q1271" s="253"/>
    </row>
    <row r="1272" spans="1:17">
      <c r="A1272" s="253"/>
      <c r="B1272" s="253"/>
      <c r="C1272" s="253"/>
      <c r="D1272" s="253"/>
      <c r="E1272" s="253"/>
      <c r="F1272" s="253"/>
      <c r="G1272" s="253"/>
      <c r="H1272" s="253"/>
      <c r="I1272" s="253"/>
      <c r="J1272" s="253"/>
      <c r="K1272" s="253"/>
      <c r="L1272" s="253"/>
      <c r="M1272" s="253"/>
      <c r="N1272" s="253"/>
      <c r="O1272" s="253"/>
      <c r="P1272" s="253"/>
      <c r="Q1272" s="253"/>
    </row>
    <row r="1273" spans="1:17">
      <c r="A1273" s="253"/>
      <c r="B1273" s="253"/>
      <c r="C1273" s="253"/>
      <c r="D1273" s="253"/>
      <c r="E1273" s="253"/>
      <c r="F1273" s="253"/>
      <c r="G1273" s="253"/>
      <c r="H1273" s="253"/>
      <c r="I1273" s="253"/>
      <c r="J1273" s="253"/>
      <c r="K1273" s="253"/>
      <c r="L1273" s="253"/>
      <c r="M1273" s="253"/>
      <c r="N1273" s="253"/>
      <c r="O1273" s="253"/>
      <c r="P1273" s="253"/>
      <c r="Q1273" s="253"/>
    </row>
    <row r="1274" spans="1:17">
      <c r="A1274" s="253"/>
      <c r="B1274" s="253"/>
      <c r="C1274" s="253"/>
      <c r="D1274" s="253"/>
      <c r="E1274" s="253"/>
      <c r="F1274" s="253"/>
      <c r="G1274" s="253"/>
      <c r="H1274" s="253"/>
      <c r="I1274" s="253"/>
      <c r="J1274" s="253"/>
      <c r="K1274" s="253"/>
      <c r="L1274" s="253"/>
      <c r="M1274" s="253"/>
      <c r="N1274" s="253"/>
      <c r="O1274" s="253"/>
      <c r="P1274" s="253"/>
      <c r="Q1274" s="253"/>
    </row>
    <row r="1275" spans="1:17">
      <c r="A1275" s="253"/>
      <c r="B1275" s="253"/>
      <c r="C1275" s="253"/>
      <c r="D1275" s="253"/>
      <c r="E1275" s="253"/>
      <c r="F1275" s="253"/>
      <c r="G1275" s="253"/>
      <c r="H1275" s="253"/>
      <c r="I1275" s="253"/>
      <c r="J1275" s="253"/>
      <c r="K1275" s="253"/>
      <c r="L1275" s="253"/>
      <c r="M1275" s="253"/>
      <c r="N1275" s="253"/>
      <c r="O1275" s="253"/>
      <c r="P1275" s="253"/>
      <c r="Q1275" s="253"/>
    </row>
    <row r="1276" spans="1:17">
      <c r="A1276" s="253"/>
      <c r="B1276" s="253"/>
      <c r="C1276" s="253"/>
      <c r="D1276" s="253"/>
      <c r="E1276" s="253"/>
      <c r="F1276" s="253"/>
      <c r="G1276" s="253"/>
      <c r="H1276" s="253"/>
      <c r="I1276" s="253"/>
      <c r="J1276" s="253"/>
      <c r="K1276" s="253"/>
      <c r="L1276" s="253"/>
      <c r="M1276" s="253"/>
      <c r="N1276" s="253"/>
      <c r="O1276" s="253"/>
      <c r="P1276" s="253"/>
      <c r="Q1276" s="253"/>
    </row>
    <row r="1277" spans="1:17">
      <c r="A1277" s="253"/>
      <c r="B1277" s="253"/>
      <c r="C1277" s="253"/>
      <c r="D1277" s="253"/>
      <c r="E1277" s="253"/>
      <c r="F1277" s="253"/>
      <c r="G1277" s="253"/>
      <c r="H1277" s="253"/>
      <c r="I1277" s="253"/>
      <c r="J1277" s="253"/>
      <c r="K1277" s="253"/>
      <c r="L1277" s="253"/>
      <c r="M1277" s="253"/>
      <c r="N1277" s="253"/>
      <c r="O1277" s="253"/>
      <c r="P1277" s="253"/>
      <c r="Q1277" s="253"/>
    </row>
    <row r="1278" spans="1:17">
      <c r="A1278" s="253"/>
      <c r="B1278" s="253"/>
      <c r="C1278" s="253"/>
      <c r="D1278" s="253"/>
      <c r="E1278" s="253"/>
      <c r="F1278" s="253"/>
      <c r="G1278" s="253"/>
      <c r="H1278" s="253"/>
      <c r="I1278" s="253"/>
      <c r="J1278" s="253"/>
      <c r="K1278" s="253"/>
      <c r="L1278" s="253"/>
      <c r="M1278" s="253"/>
      <c r="N1278" s="253"/>
      <c r="O1278" s="253"/>
      <c r="P1278" s="253"/>
      <c r="Q1278" s="253"/>
    </row>
    <row r="1279" spans="1:17">
      <c r="A1279" s="253"/>
      <c r="B1279" s="253"/>
      <c r="C1279" s="253"/>
      <c r="D1279" s="253"/>
      <c r="E1279" s="253"/>
      <c r="F1279" s="253"/>
      <c r="G1279" s="253"/>
      <c r="H1279" s="253"/>
      <c r="I1279" s="253"/>
      <c r="J1279" s="253"/>
      <c r="K1279" s="253"/>
      <c r="L1279" s="253"/>
      <c r="M1279" s="253"/>
      <c r="N1279" s="253"/>
      <c r="O1279" s="253"/>
      <c r="P1279" s="253"/>
      <c r="Q1279" s="253"/>
    </row>
    <row r="1280" spans="1:17">
      <c r="A1280" s="253"/>
      <c r="B1280" s="253"/>
      <c r="C1280" s="253"/>
      <c r="D1280" s="253"/>
      <c r="E1280" s="253"/>
      <c r="F1280" s="253"/>
      <c r="G1280" s="253"/>
      <c r="H1280" s="253"/>
      <c r="I1280" s="253"/>
      <c r="J1280" s="253"/>
      <c r="K1280" s="253"/>
      <c r="L1280" s="253"/>
      <c r="M1280" s="253"/>
      <c r="N1280" s="253"/>
      <c r="O1280" s="253"/>
      <c r="P1280" s="253"/>
      <c r="Q1280" s="253"/>
    </row>
    <row r="1281" spans="1:17">
      <c r="A1281" s="253"/>
      <c r="B1281" s="253"/>
      <c r="C1281" s="253"/>
      <c r="D1281" s="253"/>
      <c r="E1281" s="253"/>
      <c r="F1281" s="253"/>
      <c r="G1281" s="253"/>
      <c r="H1281" s="253"/>
      <c r="I1281" s="253"/>
      <c r="J1281" s="253"/>
      <c r="K1281" s="253"/>
      <c r="L1281" s="253"/>
      <c r="M1281" s="253"/>
      <c r="N1281" s="253"/>
      <c r="O1281" s="253"/>
      <c r="P1281" s="253"/>
      <c r="Q1281" s="253"/>
    </row>
    <row r="1282" spans="1:17">
      <c r="A1282" s="253"/>
      <c r="B1282" s="253"/>
      <c r="C1282" s="253"/>
      <c r="D1282" s="253"/>
      <c r="E1282" s="253"/>
      <c r="F1282" s="253"/>
      <c r="G1282" s="253"/>
      <c r="H1282" s="253"/>
      <c r="I1282" s="253"/>
      <c r="J1282" s="253"/>
      <c r="K1282" s="253"/>
      <c r="L1282" s="253"/>
      <c r="M1282" s="253"/>
      <c r="N1282" s="253"/>
      <c r="O1282" s="253"/>
      <c r="P1282" s="253"/>
      <c r="Q1282" s="253"/>
    </row>
    <row r="1283" spans="1:17">
      <c r="A1283" s="253"/>
      <c r="B1283" s="253"/>
      <c r="C1283" s="253"/>
      <c r="D1283" s="253"/>
      <c r="E1283" s="253"/>
      <c r="F1283" s="253"/>
      <c r="G1283" s="253"/>
      <c r="H1283" s="253"/>
      <c r="I1283" s="253"/>
      <c r="J1283" s="253"/>
      <c r="K1283" s="253"/>
      <c r="L1283" s="253"/>
      <c r="M1283" s="253"/>
      <c r="N1283" s="253"/>
      <c r="O1283" s="253"/>
      <c r="P1283" s="253"/>
      <c r="Q1283" s="253"/>
    </row>
    <row r="1284" spans="1:17">
      <c r="A1284" s="253"/>
      <c r="B1284" s="253"/>
      <c r="C1284" s="253"/>
      <c r="D1284" s="253"/>
      <c r="E1284" s="253"/>
      <c r="F1284" s="253"/>
      <c r="G1284" s="253"/>
      <c r="H1284" s="253"/>
      <c r="I1284" s="253"/>
      <c r="J1284" s="253"/>
      <c r="K1284" s="253"/>
      <c r="L1284" s="253"/>
      <c r="M1284" s="253"/>
      <c r="N1284" s="253"/>
      <c r="O1284" s="253"/>
      <c r="P1284" s="253"/>
      <c r="Q1284" s="253"/>
    </row>
    <row r="1285" spans="1:17">
      <c r="A1285" s="253"/>
      <c r="B1285" s="253"/>
      <c r="C1285" s="253"/>
      <c r="D1285" s="253"/>
      <c r="E1285" s="253"/>
      <c r="F1285" s="253"/>
      <c r="G1285" s="253"/>
      <c r="H1285" s="253"/>
      <c r="I1285" s="253"/>
      <c r="J1285" s="253"/>
      <c r="K1285" s="253"/>
      <c r="L1285" s="253"/>
      <c r="M1285" s="253"/>
      <c r="N1285" s="253"/>
      <c r="O1285" s="253"/>
      <c r="P1285" s="253"/>
      <c r="Q1285" s="253"/>
    </row>
    <row r="1286" spans="1:17">
      <c r="A1286" s="253"/>
      <c r="B1286" s="253"/>
      <c r="C1286" s="253"/>
      <c r="D1286" s="253"/>
      <c r="E1286" s="253"/>
      <c r="F1286" s="253"/>
      <c r="G1286" s="253"/>
      <c r="H1286" s="253"/>
      <c r="I1286" s="253"/>
      <c r="J1286" s="253"/>
      <c r="K1286" s="253"/>
      <c r="L1286" s="253"/>
      <c r="M1286" s="253"/>
      <c r="N1286" s="253"/>
      <c r="O1286" s="253"/>
      <c r="P1286" s="253"/>
      <c r="Q1286" s="253"/>
    </row>
    <row r="1287" spans="1:17">
      <c r="A1287" s="253"/>
      <c r="B1287" s="253"/>
      <c r="C1287" s="253"/>
      <c r="D1287" s="253"/>
      <c r="E1287" s="253"/>
      <c r="F1287" s="253"/>
      <c r="G1287" s="253"/>
      <c r="H1287" s="253"/>
      <c r="I1287" s="253"/>
      <c r="J1287" s="253"/>
      <c r="K1287" s="253"/>
      <c r="L1287" s="253"/>
      <c r="M1287" s="253"/>
      <c r="N1287" s="253"/>
      <c r="O1287" s="253"/>
      <c r="P1287" s="253"/>
      <c r="Q1287" s="253"/>
    </row>
    <row r="1288" spans="1:17">
      <c r="A1288" s="253"/>
      <c r="B1288" s="253"/>
      <c r="C1288" s="253"/>
      <c r="D1288" s="253"/>
      <c r="E1288" s="253"/>
      <c r="F1288" s="253"/>
      <c r="G1288" s="253"/>
      <c r="H1288" s="253"/>
      <c r="I1288" s="253"/>
      <c r="J1288" s="253"/>
      <c r="K1288" s="253"/>
      <c r="L1288" s="253"/>
      <c r="M1288" s="253"/>
      <c r="N1288" s="253"/>
      <c r="O1288" s="253"/>
      <c r="P1288" s="253"/>
      <c r="Q1288" s="253"/>
    </row>
    <row r="1289" spans="1:17">
      <c r="A1289" s="253"/>
      <c r="B1289" s="253"/>
      <c r="C1289" s="253"/>
      <c r="D1289" s="253"/>
      <c r="E1289" s="253"/>
      <c r="F1289" s="253"/>
      <c r="G1289" s="253"/>
      <c r="H1289" s="253"/>
      <c r="I1289" s="253"/>
      <c r="J1289" s="253"/>
      <c r="K1289" s="253"/>
      <c r="L1289" s="253"/>
      <c r="M1289" s="253"/>
      <c r="N1289" s="253"/>
      <c r="O1289" s="253"/>
      <c r="P1289" s="253"/>
      <c r="Q1289" s="253"/>
    </row>
    <row r="1290" spans="1:17">
      <c r="A1290" s="253"/>
      <c r="B1290" s="253"/>
      <c r="C1290" s="253"/>
      <c r="D1290" s="253"/>
      <c r="E1290" s="253"/>
      <c r="F1290" s="253"/>
      <c r="G1290" s="253"/>
      <c r="H1290" s="253"/>
      <c r="I1290" s="253"/>
      <c r="J1290" s="253"/>
      <c r="K1290" s="253"/>
      <c r="L1290" s="253"/>
      <c r="M1290" s="253"/>
      <c r="N1290" s="253"/>
      <c r="O1290" s="253"/>
      <c r="P1290" s="253"/>
      <c r="Q1290" s="253"/>
    </row>
    <row r="1291" spans="1:17">
      <c r="A1291" s="253"/>
      <c r="B1291" s="253"/>
      <c r="C1291" s="253"/>
      <c r="D1291" s="253"/>
      <c r="E1291" s="253"/>
      <c r="F1291" s="253"/>
      <c r="G1291" s="253"/>
      <c r="H1291" s="253"/>
      <c r="I1291" s="253"/>
      <c r="J1291" s="253"/>
      <c r="K1291" s="253"/>
      <c r="L1291" s="253"/>
      <c r="M1291" s="253"/>
      <c r="N1291" s="253"/>
      <c r="O1291" s="253"/>
      <c r="P1291" s="253"/>
      <c r="Q1291" s="253"/>
    </row>
    <row r="1292" spans="1:17">
      <c r="A1292" s="253"/>
      <c r="B1292" s="253"/>
      <c r="C1292" s="253"/>
      <c r="D1292" s="253"/>
      <c r="E1292" s="253"/>
      <c r="F1292" s="253"/>
      <c r="G1292" s="253"/>
      <c r="H1292" s="253"/>
      <c r="I1292" s="253"/>
      <c r="J1292" s="253"/>
      <c r="K1292" s="253"/>
      <c r="L1292" s="253"/>
      <c r="M1292" s="253"/>
      <c r="N1292" s="253"/>
      <c r="O1292" s="253"/>
      <c r="P1292" s="253"/>
      <c r="Q1292" s="253"/>
    </row>
    <row r="1293" spans="1:17">
      <c r="A1293" s="253"/>
      <c r="B1293" s="253"/>
      <c r="C1293" s="253"/>
      <c r="D1293" s="253"/>
      <c r="E1293" s="253"/>
      <c r="F1293" s="253"/>
      <c r="G1293" s="253"/>
      <c r="H1293" s="253"/>
      <c r="I1293" s="253"/>
      <c r="J1293" s="253"/>
      <c r="K1293" s="253"/>
      <c r="L1293" s="253"/>
      <c r="M1293" s="253"/>
      <c r="N1293" s="253"/>
      <c r="O1293" s="253"/>
      <c r="P1293" s="253"/>
      <c r="Q1293" s="253"/>
    </row>
    <row r="1294" spans="1:17">
      <c r="A1294" s="253"/>
      <c r="B1294" s="253"/>
      <c r="C1294" s="253"/>
      <c r="D1294" s="253"/>
      <c r="E1294" s="253"/>
      <c r="F1294" s="253"/>
      <c r="G1294" s="253"/>
      <c r="H1294" s="253"/>
      <c r="I1294" s="253"/>
      <c r="J1294" s="253"/>
      <c r="K1294" s="253"/>
      <c r="L1294" s="253"/>
      <c r="M1294" s="253"/>
      <c r="N1294" s="253"/>
      <c r="O1294" s="253"/>
      <c r="P1294" s="253"/>
      <c r="Q1294" s="253"/>
    </row>
    <row r="1295" spans="1:17">
      <c r="A1295" s="253"/>
      <c r="B1295" s="253"/>
      <c r="C1295" s="253"/>
      <c r="D1295" s="253"/>
      <c r="E1295" s="253"/>
      <c r="F1295" s="253"/>
      <c r="G1295" s="253"/>
      <c r="H1295" s="253"/>
      <c r="I1295" s="253"/>
      <c r="J1295" s="253"/>
      <c r="K1295" s="253"/>
      <c r="L1295" s="253"/>
      <c r="M1295" s="253"/>
      <c r="N1295" s="253"/>
      <c r="O1295" s="253"/>
      <c r="P1295" s="253"/>
      <c r="Q1295" s="253"/>
    </row>
    <row r="1296" spans="1:17">
      <c r="A1296" s="253"/>
      <c r="B1296" s="253"/>
      <c r="C1296" s="253"/>
      <c r="D1296" s="253"/>
      <c r="E1296" s="253"/>
      <c r="F1296" s="253"/>
      <c r="G1296" s="253"/>
      <c r="H1296" s="253"/>
      <c r="I1296" s="253"/>
      <c r="J1296" s="253"/>
      <c r="K1296" s="253"/>
      <c r="L1296" s="253"/>
      <c r="M1296" s="253"/>
      <c r="N1296" s="253"/>
      <c r="O1296" s="253"/>
      <c r="P1296" s="253"/>
      <c r="Q1296" s="253"/>
    </row>
    <row r="1297" spans="1:17">
      <c r="A1297" s="253"/>
      <c r="B1297" s="253"/>
      <c r="C1297" s="253"/>
      <c r="D1297" s="253"/>
      <c r="E1297" s="253"/>
      <c r="F1297" s="253"/>
      <c r="G1297" s="253"/>
      <c r="H1297" s="253"/>
      <c r="I1297" s="253"/>
      <c r="J1297" s="253"/>
      <c r="K1297" s="253"/>
      <c r="L1297" s="253"/>
      <c r="M1297" s="253"/>
      <c r="N1297" s="253"/>
      <c r="O1297" s="253"/>
      <c r="P1297" s="253"/>
      <c r="Q1297" s="253"/>
    </row>
    <row r="1298" spans="1:17">
      <c r="A1298" s="253"/>
      <c r="B1298" s="253"/>
      <c r="C1298" s="253"/>
      <c r="D1298" s="253"/>
      <c r="E1298" s="253"/>
      <c r="F1298" s="253"/>
      <c r="G1298" s="253"/>
      <c r="H1298" s="253"/>
      <c r="I1298" s="253"/>
      <c r="J1298" s="253"/>
      <c r="K1298" s="253"/>
      <c r="L1298" s="253"/>
      <c r="M1298" s="253"/>
      <c r="N1298" s="253"/>
      <c r="O1298" s="253"/>
      <c r="P1298" s="253"/>
      <c r="Q1298" s="253"/>
    </row>
    <row r="1299" spans="1:17">
      <c r="A1299" s="253"/>
      <c r="B1299" s="253"/>
      <c r="C1299" s="253"/>
      <c r="D1299" s="253"/>
      <c r="E1299" s="253"/>
      <c r="F1299" s="253"/>
      <c r="G1299" s="253"/>
      <c r="H1299" s="253"/>
      <c r="I1299" s="253"/>
      <c r="J1299" s="253"/>
      <c r="K1299" s="253"/>
      <c r="L1299" s="253"/>
      <c r="M1299" s="253"/>
      <c r="N1299" s="253"/>
      <c r="O1299" s="253"/>
      <c r="P1299" s="253"/>
      <c r="Q1299" s="253"/>
    </row>
    <row r="1300" spans="1:17">
      <c r="A1300" s="253"/>
      <c r="B1300" s="253"/>
      <c r="C1300" s="253"/>
      <c r="D1300" s="253"/>
      <c r="E1300" s="253"/>
      <c r="F1300" s="253"/>
      <c r="G1300" s="253"/>
      <c r="H1300" s="253"/>
      <c r="I1300" s="253"/>
      <c r="J1300" s="253"/>
      <c r="K1300" s="253"/>
      <c r="L1300" s="253"/>
      <c r="M1300" s="253"/>
      <c r="N1300" s="253"/>
      <c r="O1300" s="253"/>
      <c r="P1300" s="253"/>
      <c r="Q1300" s="253"/>
    </row>
    <row r="1301" spans="1:17">
      <c r="A1301" s="253"/>
      <c r="B1301" s="253"/>
      <c r="C1301" s="253"/>
      <c r="D1301" s="253"/>
      <c r="E1301" s="253"/>
      <c r="F1301" s="253"/>
      <c r="G1301" s="253"/>
      <c r="H1301" s="253"/>
      <c r="I1301" s="253"/>
      <c r="J1301" s="253"/>
      <c r="K1301" s="253"/>
      <c r="L1301" s="253"/>
      <c r="M1301" s="253"/>
      <c r="N1301" s="253"/>
      <c r="O1301" s="253"/>
      <c r="P1301" s="253"/>
      <c r="Q1301" s="253"/>
    </row>
    <row r="1302" spans="1:17">
      <c r="A1302" s="253"/>
      <c r="B1302" s="253"/>
      <c r="C1302" s="253"/>
      <c r="D1302" s="253"/>
      <c r="E1302" s="253"/>
      <c r="F1302" s="253"/>
      <c r="G1302" s="253"/>
      <c r="H1302" s="253"/>
      <c r="I1302" s="253"/>
      <c r="J1302" s="253"/>
      <c r="K1302" s="253"/>
      <c r="L1302" s="253"/>
      <c r="M1302" s="253"/>
      <c r="N1302" s="253"/>
      <c r="O1302" s="253"/>
      <c r="P1302" s="253"/>
      <c r="Q1302" s="253"/>
    </row>
    <row r="1303" spans="1:17">
      <c r="A1303" s="253"/>
      <c r="B1303" s="253"/>
      <c r="C1303" s="253"/>
      <c r="D1303" s="253"/>
      <c r="E1303" s="253"/>
      <c r="F1303" s="253"/>
      <c r="G1303" s="253"/>
      <c r="H1303" s="253"/>
      <c r="I1303" s="253"/>
      <c r="J1303" s="253"/>
      <c r="K1303" s="253"/>
      <c r="L1303" s="253"/>
      <c r="M1303" s="253"/>
      <c r="N1303" s="253"/>
      <c r="O1303" s="253"/>
      <c r="P1303" s="253"/>
      <c r="Q1303" s="253"/>
    </row>
    <row r="1304" spans="1:17">
      <c r="A1304" s="253"/>
      <c r="B1304" s="253"/>
      <c r="C1304" s="253"/>
      <c r="D1304" s="253"/>
      <c r="E1304" s="253"/>
      <c r="F1304" s="253"/>
      <c r="G1304" s="253"/>
      <c r="H1304" s="253"/>
      <c r="I1304" s="253"/>
      <c r="J1304" s="253"/>
      <c r="K1304" s="253"/>
      <c r="L1304" s="253"/>
      <c r="M1304" s="253"/>
      <c r="N1304" s="253"/>
      <c r="O1304" s="253"/>
      <c r="P1304" s="253"/>
      <c r="Q1304" s="253"/>
    </row>
    <row r="1305" spans="1:17">
      <c r="A1305" s="253"/>
      <c r="B1305" s="253"/>
      <c r="C1305" s="253"/>
      <c r="D1305" s="253"/>
      <c r="E1305" s="253"/>
      <c r="F1305" s="253"/>
      <c r="G1305" s="253"/>
      <c r="H1305" s="253"/>
      <c r="I1305" s="253"/>
      <c r="J1305" s="253"/>
      <c r="K1305" s="253"/>
      <c r="L1305" s="253"/>
      <c r="M1305" s="253"/>
      <c r="N1305" s="253"/>
      <c r="O1305" s="253"/>
      <c r="P1305" s="253"/>
      <c r="Q1305" s="253"/>
    </row>
    <row r="1306" spans="1:17">
      <c r="A1306" s="253"/>
      <c r="B1306" s="253"/>
      <c r="C1306" s="253"/>
      <c r="D1306" s="253"/>
      <c r="E1306" s="253"/>
      <c r="F1306" s="253"/>
      <c r="G1306" s="253"/>
      <c r="H1306" s="253"/>
      <c r="I1306" s="253"/>
      <c r="J1306" s="253"/>
      <c r="K1306" s="253"/>
      <c r="L1306" s="253"/>
      <c r="M1306" s="253"/>
      <c r="N1306" s="253"/>
      <c r="O1306" s="253"/>
      <c r="P1306" s="253"/>
      <c r="Q1306" s="253"/>
    </row>
    <row r="1307" spans="1:17">
      <c r="A1307" s="253"/>
      <c r="B1307" s="253"/>
      <c r="C1307" s="253"/>
      <c r="D1307" s="253"/>
      <c r="E1307" s="253"/>
      <c r="F1307" s="253"/>
      <c r="G1307" s="253"/>
      <c r="H1307" s="253"/>
      <c r="I1307" s="253"/>
      <c r="J1307" s="253"/>
      <c r="K1307" s="253"/>
      <c r="L1307" s="253"/>
      <c r="M1307" s="253"/>
      <c r="N1307" s="253"/>
      <c r="O1307" s="253"/>
      <c r="P1307" s="253"/>
      <c r="Q1307" s="253"/>
    </row>
    <row r="1308" spans="1:17">
      <c r="A1308" s="253"/>
      <c r="B1308" s="253"/>
      <c r="C1308" s="253"/>
      <c r="D1308" s="253"/>
      <c r="E1308" s="253"/>
      <c r="F1308" s="253"/>
      <c r="G1308" s="253"/>
      <c r="H1308" s="253"/>
      <c r="I1308" s="253"/>
      <c r="J1308" s="253"/>
      <c r="K1308" s="253"/>
      <c r="L1308" s="253"/>
      <c r="M1308" s="253"/>
      <c r="N1308" s="253"/>
      <c r="O1308" s="253"/>
      <c r="P1308" s="253"/>
      <c r="Q1308" s="253"/>
    </row>
    <row r="1309" spans="1:17">
      <c r="A1309" s="253"/>
      <c r="B1309" s="253"/>
      <c r="C1309" s="253"/>
      <c r="D1309" s="253"/>
      <c r="E1309" s="253"/>
      <c r="F1309" s="253"/>
      <c r="G1309" s="253"/>
      <c r="H1309" s="253"/>
      <c r="I1309" s="253"/>
      <c r="J1309" s="253"/>
      <c r="K1309" s="253"/>
      <c r="L1309" s="253"/>
      <c r="M1309" s="253"/>
      <c r="N1309" s="253"/>
      <c r="O1309" s="253"/>
      <c r="P1309" s="253"/>
      <c r="Q1309" s="253"/>
    </row>
    <row r="1310" spans="1:17">
      <c r="A1310" s="253"/>
      <c r="B1310" s="253"/>
      <c r="C1310" s="253"/>
      <c r="D1310" s="253"/>
      <c r="E1310" s="253"/>
      <c r="F1310" s="253"/>
      <c r="G1310" s="253"/>
      <c r="H1310" s="253"/>
      <c r="I1310" s="253"/>
      <c r="J1310" s="253"/>
      <c r="K1310" s="253"/>
      <c r="L1310" s="253"/>
      <c r="M1310" s="253"/>
      <c r="N1310" s="253"/>
      <c r="O1310" s="253"/>
      <c r="P1310" s="253"/>
      <c r="Q1310" s="253"/>
    </row>
    <row r="1311" spans="1:17">
      <c r="A1311" s="253"/>
      <c r="B1311" s="253"/>
      <c r="C1311" s="253"/>
      <c r="D1311" s="253"/>
      <c r="E1311" s="253"/>
      <c r="F1311" s="253"/>
      <c r="G1311" s="253"/>
      <c r="H1311" s="253"/>
      <c r="I1311" s="253"/>
      <c r="J1311" s="253"/>
      <c r="K1311" s="253"/>
      <c r="L1311" s="253"/>
      <c r="M1311" s="253"/>
      <c r="N1311" s="253"/>
      <c r="O1311" s="253"/>
      <c r="P1311" s="253"/>
      <c r="Q1311" s="253"/>
    </row>
    <row r="1312" spans="1:17">
      <c r="A1312" s="253"/>
      <c r="B1312" s="253"/>
      <c r="C1312" s="253"/>
      <c r="D1312" s="253"/>
      <c r="E1312" s="253"/>
      <c r="F1312" s="253"/>
      <c r="G1312" s="253"/>
      <c r="H1312" s="253"/>
      <c r="I1312" s="253"/>
      <c r="J1312" s="253"/>
      <c r="K1312" s="253"/>
      <c r="L1312" s="253"/>
      <c r="M1312" s="253"/>
      <c r="N1312" s="253"/>
      <c r="O1312" s="253"/>
      <c r="P1312" s="253"/>
      <c r="Q1312" s="253"/>
    </row>
    <row r="1313" spans="1:17">
      <c r="A1313" s="253"/>
      <c r="B1313" s="253"/>
      <c r="C1313" s="253"/>
      <c r="D1313" s="253"/>
      <c r="E1313" s="253"/>
      <c r="F1313" s="253"/>
      <c r="G1313" s="253"/>
      <c r="H1313" s="253"/>
      <c r="I1313" s="253"/>
      <c r="J1313" s="253"/>
      <c r="K1313" s="253"/>
      <c r="L1313" s="253"/>
      <c r="M1313" s="253"/>
      <c r="N1313" s="253"/>
      <c r="O1313" s="253"/>
      <c r="P1313" s="253"/>
      <c r="Q1313" s="253"/>
    </row>
    <row r="1314" spans="1:17">
      <c r="A1314" s="253"/>
      <c r="B1314" s="253"/>
      <c r="C1314" s="253"/>
      <c r="D1314" s="253"/>
      <c r="E1314" s="253"/>
      <c r="F1314" s="253"/>
      <c r="G1314" s="253"/>
      <c r="H1314" s="253"/>
      <c r="I1314" s="253"/>
      <c r="J1314" s="253"/>
      <c r="K1314" s="253"/>
      <c r="L1314" s="253"/>
      <c r="M1314" s="253"/>
      <c r="N1314" s="253"/>
      <c r="O1314" s="253"/>
      <c r="P1314" s="253"/>
      <c r="Q1314" s="253"/>
    </row>
    <row r="1315" spans="1:17">
      <c r="A1315" s="253"/>
      <c r="B1315" s="253"/>
      <c r="C1315" s="253"/>
      <c r="D1315" s="253"/>
      <c r="E1315" s="253"/>
      <c r="F1315" s="253"/>
      <c r="G1315" s="253"/>
      <c r="H1315" s="253"/>
      <c r="I1315" s="253"/>
      <c r="J1315" s="253"/>
      <c r="K1315" s="253"/>
      <c r="L1315" s="253"/>
      <c r="M1315" s="253"/>
      <c r="N1315" s="253"/>
      <c r="O1315" s="253"/>
      <c r="P1315" s="253"/>
      <c r="Q1315" s="253"/>
    </row>
    <row r="1316" spans="1:17">
      <c r="A1316" s="253"/>
      <c r="B1316" s="253"/>
      <c r="C1316" s="253"/>
      <c r="D1316" s="253"/>
      <c r="E1316" s="253"/>
      <c r="F1316" s="253"/>
      <c r="G1316" s="253"/>
      <c r="H1316" s="253"/>
      <c r="I1316" s="253"/>
      <c r="J1316" s="253"/>
      <c r="K1316" s="253"/>
      <c r="L1316" s="253"/>
      <c r="M1316" s="253"/>
      <c r="N1316" s="253"/>
      <c r="O1316" s="253"/>
      <c r="P1316" s="253"/>
      <c r="Q1316" s="253"/>
    </row>
    <row r="1317" spans="1:17">
      <c r="A1317" s="253"/>
      <c r="B1317" s="253"/>
      <c r="C1317" s="253"/>
      <c r="D1317" s="253"/>
      <c r="E1317" s="253"/>
      <c r="F1317" s="253"/>
      <c r="G1317" s="253"/>
      <c r="H1317" s="253"/>
      <c r="I1317" s="253"/>
      <c r="J1317" s="253"/>
      <c r="K1317" s="253"/>
      <c r="L1317" s="253"/>
      <c r="M1317" s="253"/>
      <c r="N1317" s="253"/>
      <c r="O1317" s="253"/>
      <c r="P1317" s="253"/>
      <c r="Q1317" s="253"/>
    </row>
    <row r="1318" spans="1:17">
      <c r="A1318" s="253"/>
      <c r="B1318" s="253"/>
      <c r="C1318" s="253"/>
      <c r="D1318" s="253"/>
      <c r="E1318" s="253"/>
      <c r="F1318" s="253"/>
      <c r="G1318" s="253"/>
      <c r="H1318" s="253"/>
      <c r="I1318" s="253"/>
      <c r="J1318" s="253"/>
      <c r="K1318" s="253"/>
      <c r="L1318" s="253"/>
      <c r="M1318" s="253"/>
      <c r="N1318" s="253"/>
      <c r="O1318" s="253"/>
      <c r="P1318" s="253"/>
      <c r="Q1318" s="253"/>
    </row>
    <row r="1319" spans="1:17">
      <c r="A1319" s="253"/>
      <c r="B1319" s="253"/>
      <c r="C1319" s="253"/>
      <c r="D1319" s="253"/>
      <c r="E1319" s="253"/>
      <c r="F1319" s="253"/>
      <c r="G1319" s="253"/>
      <c r="H1319" s="253"/>
      <c r="I1319" s="253"/>
      <c r="J1319" s="253"/>
      <c r="K1319" s="253"/>
      <c r="L1319" s="253"/>
      <c r="M1319" s="253"/>
      <c r="N1319" s="253"/>
      <c r="O1319" s="253"/>
      <c r="P1319" s="253"/>
      <c r="Q1319" s="253"/>
    </row>
    <row r="1320" spans="1:17">
      <c r="A1320" s="253"/>
      <c r="B1320" s="253"/>
      <c r="C1320" s="253"/>
      <c r="D1320" s="253"/>
      <c r="E1320" s="253"/>
      <c r="F1320" s="253"/>
      <c r="G1320" s="253"/>
      <c r="H1320" s="253"/>
      <c r="I1320" s="253"/>
      <c r="J1320" s="253"/>
      <c r="K1320" s="253"/>
      <c r="L1320" s="253"/>
      <c r="M1320" s="253"/>
      <c r="N1320" s="253"/>
      <c r="O1320" s="253"/>
      <c r="P1320" s="253"/>
      <c r="Q1320" s="253"/>
    </row>
    <row r="1321" spans="1:17">
      <c r="A1321" s="253"/>
      <c r="B1321" s="253"/>
      <c r="C1321" s="253"/>
      <c r="D1321" s="253"/>
      <c r="E1321" s="253"/>
      <c r="F1321" s="253"/>
      <c r="G1321" s="253"/>
      <c r="H1321" s="253"/>
      <c r="I1321" s="253"/>
      <c r="J1321" s="253"/>
      <c r="K1321" s="253"/>
      <c r="L1321" s="253"/>
      <c r="M1321" s="253"/>
      <c r="N1321" s="253"/>
      <c r="O1321" s="253"/>
      <c r="P1321" s="253"/>
      <c r="Q1321" s="253"/>
    </row>
    <row r="1322" spans="1:17">
      <c r="A1322" s="253"/>
      <c r="B1322" s="253"/>
      <c r="C1322" s="253"/>
      <c r="D1322" s="253"/>
      <c r="E1322" s="253"/>
      <c r="F1322" s="253"/>
      <c r="G1322" s="253"/>
      <c r="H1322" s="253"/>
      <c r="I1322" s="253"/>
      <c r="J1322" s="253"/>
      <c r="K1322" s="253"/>
      <c r="L1322" s="253"/>
      <c r="M1322" s="253"/>
      <c r="N1322" s="253"/>
      <c r="O1322" s="253"/>
      <c r="P1322" s="253"/>
      <c r="Q1322" s="253"/>
    </row>
    <row r="1323" spans="1:17">
      <c r="A1323" s="253"/>
      <c r="B1323" s="253"/>
      <c r="C1323" s="253"/>
      <c r="D1323" s="253"/>
      <c r="E1323" s="253"/>
      <c r="F1323" s="253"/>
      <c r="G1323" s="253"/>
      <c r="H1323" s="253"/>
      <c r="I1323" s="253"/>
      <c r="J1323" s="253"/>
      <c r="K1323" s="253"/>
      <c r="L1323" s="253"/>
      <c r="M1323" s="253"/>
      <c r="N1323" s="253"/>
      <c r="O1323" s="253"/>
      <c r="P1323" s="253"/>
      <c r="Q1323" s="253"/>
    </row>
    <row r="1324" spans="1:17">
      <c r="A1324" s="253"/>
      <c r="B1324" s="253"/>
      <c r="C1324" s="253"/>
      <c r="D1324" s="253"/>
      <c r="E1324" s="253"/>
      <c r="F1324" s="253"/>
      <c r="G1324" s="253"/>
      <c r="H1324" s="253"/>
      <c r="I1324" s="253"/>
      <c r="J1324" s="253"/>
      <c r="K1324" s="253"/>
      <c r="L1324" s="253"/>
      <c r="M1324" s="253"/>
      <c r="N1324" s="253"/>
      <c r="O1324" s="253"/>
      <c r="P1324" s="253"/>
      <c r="Q1324" s="253"/>
    </row>
    <row r="1325" spans="1:17">
      <c r="A1325" s="253"/>
      <c r="B1325" s="253"/>
      <c r="C1325" s="253"/>
      <c r="D1325" s="253"/>
      <c r="E1325" s="253"/>
      <c r="F1325" s="253"/>
      <c r="G1325" s="253"/>
      <c r="H1325" s="253"/>
      <c r="I1325" s="253"/>
      <c r="J1325" s="253"/>
      <c r="K1325" s="253"/>
      <c r="L1325" s="253"/>
      <c r="M1325" s="253"/>
      <c r="N1325" s="253"/>
      <c r="O1325" s="253"/>
      <c r="P1325" s="253"/>
      <c r="Q1325" s="253"/>
    </row>
    <row r="1326" spans="1:17">
      <c r="A1326" s="253"/>
      <c r="B1326" s="253"/>
      <c r="C1326" s="253"/>
      <c r="D1326" s="253"/>
      <c r="E1326" s="253"/>
      <c r="F1326" s="253"/>
      <c r="G1326" s="253"/>
      <c r="H1326" s="253"/>
      <c r="I1326" s="253"/>
      <c r="J1326" s="253"/>
      <c r="K1326" s="253"/>
      <c r="L1326" s="253"/>
      <c r="M1326" s="253"/>
      <c r="N1326" s="253"/>
      <c r="O1326" s="253"/>
      <c r="P1326" s="253"/>
      <c r="Q1326" s="253"/>
    </row>
    <row r="1327" spans="1:17">
      <c r="A1327" s="253"/>
      <c r="B1327" s="253"/>
      <c r="C1327" s="253"/>
      <c r="D1327" s="253"/>
      <c r="E1327" s="253"/>
      <c r="F1327" s="253"/>
      <c r="G1327" s="253"/>
      <c r="H1327" s="253"/>
      <c r="I1327" s="253"/>
      <c r="J1327" s="253"/>
      <c r="K1327" s="253"/>
      <c r="L1327" s="253"/>
      <c r="M1327" s="253"/>
      <c r="N1327" s="253"/>
      <c r="O1327" s="253"/>
      <c r="P1327" s="253"/>
      <c r="Q1327" s="253"/>
    </row>
    <row r="1328" spans="1:17">
      <c r="A1328" s="253"/>
      <c r="B1328" s="253"/>
      <c r="C1328" s="253"/>
      <c r="D1328" s="253"/>
      <c r="E1328" s="253"/>
      <c r="F1328" s="253"/>
      <c r="G1328" s="253"/>
      <c r="H1328" s="253"/>
      <c r="I1328" s="253"/>
      <c r="J1328" s="253"/>
      <c r="K1328" s="253"/>
      <c r="L1328" s="253"/>
      <c r="M1328" s="253"/>
      <c r="N1328" s="253"/>
      <c r="O1328" s="253"/>
      <c r="P1328" s="253"/>
      <c r="Q1328" s="253"/>
    </row>
    <row r="1329" spans="1:17">
      <c r="A1329" s="253"/>
      <c r="B1329" s="253"/>
      <c r="C1329" s="253"/>
      <c r="D1329" s="253"/>
      <c r="E1329" s="253"/>
      <c r="F1329" s="253"/>
      <c r="G1329" s="253"/>
      <c r="H1329" s="253"/>
      <c r="I1329" s="253"/>
      <c r="J1329" s="253"/>
      <c r="K1329" s="253"/>
      <c r="L1329" s="253"/>
      <c r="M1329" s="253"/>
      <c r="N1329" s="253"/>
      <c r="O1329" s="253"/>
      <c r="P1329" s="253"/>
      <c r="Q1329" s="253"/>
    </row>
    <row r="1330" spans="1:17">
      <c r="A1330" s="253"/>
      <c r="B1330" s="253"/>
      <c r="C1330" s="253"/>
      <c r="D1330" s="253"/>
      <c r="E1330" s="253"/>
      <c r="F1330" s="253"/>
      <c r="G1330" s="253"/>
      <c r="H1330" s="253"/>
      <c r="I1330" s="253"/>
      <c r="J1330" s="253"/>
      <c r="K1330" s="253"/>
      <c r="L1330" s="253"/>
      <c r="M1330" s="253"/>
      <c r="N1330" s="253"/>
      <c r="O1330" s="253"/>
      <c r="P1330" s="253"/>
      <c r="Q1330" s="253"/>
    </row>
    <row r="1331" spans="1:17">
      <c r="A1331" s="253"/>
      <c r="B1331" s="253"/>
      <c r="C1331" s="253"/>
      <c r="D1331" s="253"/>
      <c r="E1331" s="253"/>
      <c r="F1331" s="253"/>
      <c r="G1331" s="253"/>
      <c r="H1331" s="253"/>
      <c r="I1331" s="253"/>
      <c r="J1331" s="253"/>
      <c r="K1331" s="253"/>
      <c r="L1331" s="253"/>
      <c r="M1331" s="253"/>
      <c r="N1331" s="253"/>
      <c r="O1331" s="253"/>
      <c r="P1331" s="253"/>
      <c r="Q1331" s="253"/>
    </row>
    <row r="1332" spans="1:17">
      <c r="A1332" s="253"/>
      <c r="B1332" s="253"/>
      <c r="C1332" s="253"/>
      <c r="D1332" s="253"/>
      <c r="E1332" s="253"/>
      <c r="F1332" s="253"/>
      <c r="G1332" s="253"/>
      <c r="H1332" s="253"/>
      <c r="I1332" s="253"/>
      <c r="J1332" s="253"/>
      <c r="K1332" s="253"/>
      <c r="L1332" s="253"/>
      <c r="M1332" s="253"/>
      <c r="N1332" s="253"/>
      <c r="O1332" s="253"/>
      <c r="P1332" s="253"/>
      <c r="Q1332" s="253"/>
    </row>
    <row r="1333" spans="1:17">
      <c r="A1333" s="253"/>
      <c r="B1333" s="253"/>
      <c r="C1333" s="253"/>
      <c r="D1333" s="253"/>
      <c r="E1333" s="253"/>
      <c r="F1333" s="253"/>
      <c r="G1333" s="253"/>
      <c r="H1333" s="253"/>
      <c r="I1333" s="253"/>
      <c r="J1333" s="253"/>
      <c r="K1333" s="253"/>
      <c r="L1333" s="253"/>
      <c r="M1333" s="253"/>
      <c r="N1333" s="253"/>
      <c r="O1333" s="253"/>
      <c r="P1333" s="253"/>
      <c r="Q1333" s="253"/>
    </row>
    <row r="1334" spans="1:17">
      <c r="A1334" s="253"/>
      <c r="B1334" s="253"/>
      <c r="C1334" s="253"/>
      <c r="D1334" s="253"/>
      <c r="E1334" s="253"/>
      <c r="F1334" s="253"/>
      <c r="G1334" s="253"/>
      <c r="H1334" s="253"/>
      <c r="I1334" s="253"/>
      <c r="J1334" s="253"/>
      <c r="K1334" s="253"/>
      <c r="L1334" s="253"/>
      <c r="M1334" s="253"/>
      <c r="N1334" s="253"/>
      <c r="O1334" s="253"/>
      <c r="P1334" s="253"/>
      <c r="Q1334" s="253"/>
    </row>
    <row r="1335" spans="1:17">
      <c r="A1335" s="253"/>
      <c r="B1335" s="253"/>
      <c r="C1335" s="253"/>
      <c r="D1335" s="253"/>
      <c r="E1335" s="253"/>
      <c r="F1335" s="253"/>
      <c r="G1335" s="253"/>
      <c r="H1335" s="253"/>
      <c r="I1335" s="253"/>
      <c r="J1335" s="253"/>
      <c r="K1335" s="253"/>
      <c r="L1335" s="253"/>
      <c r="M1335" s="253"/>
      <c r="N1335" s="253"/>
      <c r="O1335" s="253"/>
      <c r="P1335" s="253"/>
      <c r="Q1335" s="253"/>
    </row>
    <row r="1336" spans="1:17">
      <c r="A1336" s="253"/>
      <c r="B1336" s="253"/>
      <c r="C1336" s="253"/>
      <c r="D1336" s="253"/>
      <c r="E1336" s="253"/>
      <c r="F1336" s="253"/>
      <c r="G1336" s="253"/>
      <c r="H1336" s="253"/>
      <c r="I1336" s="253"/>
      <c r="J1336" s="253"/>
      <c r="K1336" s="253"/>
      <c r="L1336" s="253"/>
      <c r="M1336" s="253"/>
      <c r="N1336" s="253"/>
      <c r="O1336" s="253"/>
      <c r="P1336" s="253"/>
      <c r="Q1336" s="253"/>
    </row>
    <row r="1337" spans="1:17">
      <c r="A1337" s="253"/>
      <c r="B1337" s="253"/>
      <c r="C1337" s="253"/>
      <c r="D1337" s="253"/>
      <c r="E1337" s="253"/>
      <c r="F1337" s="253"/>
      <c r="G1337" s="253"/>
      <c r="H1337" s="253"/>
      <c r="I1337" s="253"/>
      <c r="J1337" s="253"/>
      <c r="K1337" s="253"/>
      <c r="L1337" s="253"/>
      <c r="M1337" s="253"/>
      <c r="N1337" s="253"/>
      <c r="O1337" s="253"/>
      <c r="P1337" s="253"/>
      <c r="Q1337" s="253"/>
    </row>
    <row r="1338" spans="1:17">
      <c r="A1338" s="253"/>
      <c r="B1338" s="253"/>
      <c r="C1338" s="253"/>
      <c r="D1338" s="253"/>
      <c r="E1338" s="253"/>
      <c r="F1338" s="253"/>
      <c r="G1338" s="253"/>
      <c r="H1338" s="253"/>
      <c r="I1338" s="253"/>
      <c r="J1338" s="253"/>
      <c r="K1338" s="253"/>
      <c r="L1338" s="253"/>
      <c r="M1338" s="253"/>
      <c r="N1338" s="253"/>
      <c r="O1338" s="253"/>
      <c r="P1338" s="253"/>
      <c r="Q1338" s="253"/>
    </row>
    <row r="1339" spans="1:17">
      <c r="A1339" s="253"/>
      <c r="B1339" s="253"/>
      <c r="C1339" s="253"/>
      <c r="D1339" s="253"/>
      <c r="E1339" s="253"/>
      <c r="F1339" s="253"/>
      <c r="G1339" s="253"/>
      <c r="H1339" s="253"/>
      <c r="I1339" s="253"/>
      <c r="J1339" s="253"/>
      <c r="K1339" s="253"/>
      <c r="L1339" s="253"/>
      <c r="M1339" s="253"/>
      <c r="N1339" s="253"/>
      <c r="O1339" s="253"/>
      <c r="P1339" s="253"/>
      <c r="Q1339" s="253"/>
    </row>
    <row r="1340" spans="1:17">
      <c r="A1340" s="253"/>
      <c r="B1340" s="253"/>
      <c r="C1340" s="253"/>
      <c r="D1340" s="253"/>
      <c r="E1340" s="253"/>
      <c r="F1340" s="253"/>
      <c r="G1340" s="253"/>
      <c r="H1340" s="253"/>
      <c r="I1340" s="253"/>
      <c r="J1340" s="253"/>
      <c r="K1340" s="253"/>
      <c r="L1340" s="253"/>
      <c r="M1340" s="253"/>
      <c r="N1340" s="253"/>
      <c r="O1340" s="253"/>
      <c r="P1340" s="253"/>
      <c r="Q1340" s="253"/>
    </row>
    <row r="1341" spans="1:17">
      <c r="A1341" s="253"/>
      <c r="B1341" s="253"/>
      <c r="C1341" s="253"/>
      <c r="D1341" s="253"/>
      <c r="E1341" s="253"/>
      <c r="F1341" s="253"/>
      <c r="G1341" s="253"/>
      <c r="H1341" s="253"/>
      <c r="I1341" s="253"/>
      <c r="J1341" s="253"/>
      <c r="K1341" s="253"/>
      <c r="L1341" s="253"/>
      <c r="M1341" s="253"/>
      <c r="N1341" s="253"/>
      <c r="O1341" s="253"/>
      <c r="P1341" s="253"/>
      <c r="Q1341" s="253"/>
    </row>
    <row r="1342" spans="1:17">
      <c r="A1342" s="253"/>
      <c r="B1342" s="253"/>
      <c r="C1342" s="253"/>
      <c r="D1342" s="253"/>
      <c r="E1342" s="253"/>
      <c r="F1342" s="253"/>
      <c r="G1342" s="253"/>
      <c r="H1342" s="253"/>
      <c r="I1342" s="253"/>
      <c r="J1342" s="253"/>
      <c r="K1342" s="253"/>
      <c r="L1342" s="253"/>
      <c r="M1342" s="253"/>
      <c r="N1342" s="253"/>
      <c r="O1342" s="253"/>
      <c r="P1342" s="253"/>
      <c r="Q1342" s="253"/>
    </row>
    <row r="1343" spans="1:17">
      <c r="A1343" s="253"/>
      <c r="B1343" s="253"/>
      <c r="C1343" s="253"/>
      <c r="D1343" s="253"/>
      <c r="E1343" s="253"/>
      <c r="F1343" s="253"/>
      <c r="G1343" s="253"/>
      <c r="H1343" s="253"/>
      <c r="I1343" s="253"/>
      <c r="J1343" s="253"/>
      <c r="K1343" s="253"/>
      <c r="L1343" s="253"/>
      <c r="M1343" s="253"/>
      <c r="N1343" s="253"/>
      <c r="O1343" s="253"/>
      <c r="P1343" s="253"/>
      <c r="Q1343" s="253"/>
    </row>
    <row r="1344" spans="1:17">
      <c r="A1344" s="253"/>
      <c r="B1344" s="253"/>
      <c r="C1344" s="253"/>
      <c r="D1344" s="253"/>
      <c r="E1344" s="253"/>
      <c r="F1344" s="253"/>
      <c r="G1344" s="253"/>
      <c r="H1344" s="253"/>
      <c r="I1344" s="253"/>
      <c r="J1344" s="253"/>
      <c r="K1344" s="253"/>
      <c r="L1344" s="253"/>
      <c r="M1344" s="253"/>
      <c r="N1344" s="253"/>
      <c r="O1344" s="253"/>
      <c r="P1344" s="253"/>
      <c r="Q1344" s="253"/>
    </row>
    <row r="1345" spans="1:17">
      <c r="A1345" s="253"/>
      <c r="B1345" s="253"/>
      <c r="C1345" s="253"/>
      <c r="D1345" s="253"/>
      <c r="E1345" s="253"/>
      <c r="F1345" s="253"/>
      <c r="G1345" s="253"/>
      <c r="H1345" s="253"/>
      <c r="I1345" s="253"/>
      <c r="J1345" s="253"/>
      <c r="K1345" s="253"/>
      <c r="L1345" s="253"/>
      <c r="M1345" s="253"/>
      <c r="N1345" s="253"/>
      <c r="O1345" s="253"/>
      <c r="P1345" s="253"/>
      <c r="Q1345" s="253"/>
    </row>
    <row r="1346" spans="1:17">
      <c r="A1346" s="253"/>
      <c r="B1346" s="253"/>
      <c r="C1346" s="253"/>
      <c r="D1346" s="253"/>
      <c r="E1346" s="253"/>
      <c r="F1346" s="253"/>
      <c r="G1346" s="253"/>
      <c r="H1346" s="253"/>
      <c r="I1346" s="253"/>
      <c r="J1346" s="253"/>
      <c r="K1346" s="253"/>
      <c r="L1346" s="253"/>
      <c r="M1346" s="253"/>
      <c r="N1346" s="253"/>
      <c r="O1346" s="253"/>
      <c r="P1346" s="253"/>
      <c r="Q1346" s="253"/>
    </row>
    <row r="1347" spans="1:17">
      <c r="A1347" s="253"/>
      <c r="B1347" s="253"/>
      <c r="C1347" s="253"/>
      <c r="D1347" s="253"/>
      <c r="E1347" s="253"/>
      <c r="F1347" s="253"/>
      <c r="G1347" s="253"/>
      <c r="H1347" s="253"/>
      <c r="I1347" s="253"/>
      <c r="J1347" s="253"/>
      <c r="K1347" s="253"/>
      <c r="L1347" s="253"/>
      <c r="M1347" s="253"/>
      <c r="N1347" s="253"/>
      <c r="O1347" s="253"/>
      <c r="P1347" s="253"/>
      <c r="Q1347" s="253"/>
    </row>
    <row r="1348" spans="1:17">
      <c r="A1348" s="253"/>
      <c r="B1348" s="253"/>
      <c r="C1348" s="253"/>
      <c r="D1348" s="253"/>
      <c r="E1348" s="253"/>
      <c r="F1348" s="253"/>
      <c r="G1348" s="253"/>
      <c r="H1348" s="253"/>
      <c r="I1348" s="253"/>
      <c r="J1348" s="253"/>
      <c r="K1348" s="253"/>
      <c r="L1348" s="253"/>
      <c r="M1348" s="253"/>
      <c r="N1348" s="253"/>
      <c r="O1348" s="253"/>
      <c r="P1348" s="253"/>
      <c r="Q1348" s="253"/>
    </row>
    <row r="1349" spans="1:17">
      <c r="A1349" s="253"/>
      <c r="B1349" s="253"/>
      <c r="C1349" s="253"/>
      <c r="D1349" s="253"/>
      <c r="E1349" s="253"/>
      <c r="F1349" s="253"/>
      <c r="G1349" s="253"/>
      <c r="H1349" s="253"/>
      <c r="I1349" s="253"/>
      <c r="J1349" s="253"/>
      <c r="K1349" s="253"/>
      <c r="L1349" s="253"/>
      <c r="M1349" s="253"/>
      <c r="N1349" s="253"/>
      <c r="O1349" s="253"/>
      <c r="P1349" s="253"/>
      <c r="Q1349" s="253"/>
    </row>
    <row r="1350" spans="1:17">
      <c r="A1350" s="253"/>
      <c r="B1350" s="253"/>
      <c r="C1350" s="253"/>
      <c r="D1350" s="253"/>
      <c r="E1350" s="253"/>
      <c r="F1350" s="253"/>
      <c r="G1350" s="253"/>
      <c r="H1350" s="253"/>
      <c r="I1350" s="253"/>
      <c r="J1350" s="253"/>
      <c r="K1350" s="253"/>
      <c r="L1350" s="253"/>
      <c r="M1350" s="253"/>
      <c r="N1350" s="253"/>
      <c r="O1350" s="253"/>
      <c r="P1350" s="253"/>
      <c r="Q1350" s="253"/>
    </row>
    <row r="1351" spans="1:17">
      <c r="A1351" s="253"/>
      <c r="B1351" s="253"/>
      <c r="C1351" s="253"/>
      <c r="D1351" s="253"/>
      <c r="E1351" s="253"/>
      <c r="F1351" s="253"/>
      <c r="G1351" s="253"/>
      <c r="H1351" s="253"/>
      <c r="I1351" s="253"/>
      <c r="J1351" s="253"/>
      <c r="K1351" s="253"/>
      <c r="L1351" s="253"/>
      <c r="M1351" s="253"/>
      <c r="N1351" s="253"/>
      <c r="O1351" s="253"/>
      <c r="P1351" s="253"/>
      <c r="Q1351" s="253"/>
    </row>
    <row r="1352" spans="1:17">
      <c r="A1352" s="253"/>
      <c r="B1352" s="253"/>
      <c r="C1352" s="253"/>
      <c r="D1352" s="253"/>
      <c r="E1352" s="253"/>
      <c r="F1352" s="253"/>
      <c r="G1352" s="253"/>
      <c r="H1352" s="253"/>
      <c r="I1352" s="253"/>
      <c r="J1352" s="253"/>
      <c r="K1352" s="253"/>
      <c r="L1352" s="253"/>
      <c r="M1352" s="253"/>
      <c r="N1352" s="253"/>
      <c r="O1352" s="253"/>
      <c r="P1352" s="253"/>
      <c r="Q1352" s="253"/>
    </row>
    <row r="1353" spans="1:17">
      <c r="A1353" s="253"/>
      <c r="B1353" s="253"/>
      <c r="C1353" s="253"/>
      <c r="D1353" s="253"/>
      <c r="E1353" s="253"/>
      <c r="F1353" s="253"/>
      <c r="G1353" s="253"/>
      <c r="H1353" s="253"/>
      <c r="I1353" s="253"/>
      <c r="J1353" s="253"/>
      <c r="K1353" s="253"/>
      <c r="L1353" s="253"/>
      <c r="M1353" s="253"/>
      <c r="N1353" s="253"/>
      <c r="O1353" s="253"/>
      <c r="P1353" s="253"/>
      <c r="Q1353" s="253"/>
    </row>
    <row r="1354" spans="1:17">
      <c r="A1354" s="253"/>
      <c r="B1354" s="253"/>
      <c r="C1354" s="253"/>
      <c r="D1354" s="253"/>
      <c r="E1354" s="253"/>
      <c r="F1354" s="253"/>
      <c r="G1354" s="253"/>
      <c r="H1354" s="253"/>
      <c r="I1354" s="253"/>
      <c r="J1354" s="253"/>
      <c r="K1354" s="253"/>
      <c r="L1354" s="253"/>
      <c r="M1354" s="253"/>
      <c r="N1354" s="253"/>
      <c r="O1354" s="253"/>
      <c r="P1354" s="253"/>
      <c r="Q1354" s="253"/>
    </row>
    <row r="1355" spans="1:17">
      <c r="A1355" s="253"/>
      <c r="B1355" s="253"/>
      <c r="C1355" s="253"/>
      <c r="D1355" s="253"/>
      <c r="E1355" s="253"/>
      <c r="F1355" s="253"/>
      <c r="G1355" s="253"/>
      <c r="H1355" s="253"/>
      <c r="I1355" s="253"/>
      <c r="J1355" s="253"/>
      <c r="K1355" s="253"/>
      <c r="L1355" s="253"/>
      <c r="M1355" s="253"/>
      <c r="N1355" s="253"/>
      <c r="O1355" s="253"/>
      <c r="P1355" s="253"/>
      <c r="Q1355" s="253"/>
    </row>
    <row r="1356" spans="1:17">
      <c r="A1356" s="253"/>
      <c r="B1356" s="253"/>
      <c r="C1356" s="253"/>
      <c r="D1356" s="253"/>
      <c r="E1356" s="253"/>
      <c r="F1356" s="253"/>
      <c r="G1356" s="253"/>
      <c r="H1356" s="253"/>
      <c r="I1356" s="253"/>
      <c r="J1356" s="253"/>
      <c r="K1356" s="253"/>
      <c r="L1356" s="253"/>
      <c r="M1356" s="253"/>
      <c r="N1356" s="253"/>
      <c r="O1356" s="253"/>
      <c r="P1356" s="253"/>
      <c r="Q1356" s="253"/>
    </row>
    <row r="1357" spans="1:17">
      <c r="A1357" s="253"/>
      <c r="B1357" s="253"/>
      <c r="C1357" s="253"/>
      <c r="D1357" s="253"/>
      <c r="E1357" s="253"/>
      <c r="F1357" s="253"/>
      <c r="G1357" s="253"/>
      <c r="H1357" s="253"/>
      <c r="I1357" s="253"/>
      <c r="J1357" s="253"/>
      <c r="K1357" s="253"/>
      <c r="L1357" s="253"/>
      <c r="M1357" s="253"/>
      <c r="N1357" s="253"/>
      <c r="O1357" s="253"/>
      <c r="P1357" s="253"/>
      <c r="Q1357" s="253"/>
    </row>
    <row r="1358" spans="1:17">
      <c r="A1358" s="253"/>
      <c r="B1358" s="253"/>
      <c r="C1358" s="253"/>
      <c r="D1358" s="253"/>
      <c r="E1358" s="253"/>
      <c r="F1358" s="253"/>
      <c r="G1358" s="253"/>
      <c r="H1358" s="253"/>
      <c r="I1358" s="253"/>
      <c r="J1358" s="253"/>
      <c r="K1358" s="253"/>
      <c r="L1358" s="253"/>
      <c r="M1358" s="253"/>
      <c r="N1358" s="253"/>
      <c r="O1358" s="253"/>
      <c r="P1358" s="253"/>
      <c r="Q1358" s="253"/>
    </row>
    <row r="1359" spans="1:17">
      <c r="A1359" s="253"/>
      <c r="B1359" s="253"/>
      <c r="C1359" s="253"/>
      <c r="D1359" s="253"/>
      <c r="E1359" s="253"/>
      <c r="F1359" s="253"/>
      <c r="G1359" s="253"/>
      <c r="H1359" s="253"/>
      <c r="I1359" s="253"/>
      <c r="J1359" s="253"/>
      <c r="K1359" s="253"/>
      <c r="L1359" s="253"/>
      <c r="M1359" s="253"/>
      <c r="N1359" s="253"/>
      <c r="O1359" s="253"/>
      <c r="P1359" s="253"/>
      <c r="Q1359" s="253"/>
    </row>
    <row r="1360" spans="1:17">
      <c r="A1360" s="253"/>
      <c r="B1360" s="253"/>
      <c r="C1360" s="253"/>
      <c r="D1360" s="253"/>
      <c r="E1360" s="253"/>
      <c r="F1360" s="253"/>
      <c r="G1360" s="253"/>
      <c r="H1360" s="253"/>
      <c r="I1360" s="253"/>
      <c r="J1360" s="253"/>
      <c r="K1360" s="253"/>
      <c r="L1360" s="253"/>
      <c r="M1360" s="253"/>
      <c r="N1360" s="253"/>
      <c r="O1360" s="253"/>
      <c r="P1360" s="253"/>
      <c r="Q1360" s="253"/>
    </row>
    <row r="1361" spans="1:17">
      <c r="A1361" s="253"/>
      <c r="B1361" s="253"/>
      <c r="C1361" s="253"/>
      <c r="D1361" s="253"/>
      <c r="E1361" s="253"/>
      <c r="F1361" s="253"/>
      <c r="G1361" s="253"/>
      <c r="H1361" s="253"/>
      <c r="I1361" s="253"/>
      <c r="J1361" s="253"/>
      <c r="K1361" s="253"/>
      <c r="L1361" s="253"/>
      <c r="M1361" s="253"/>
      <c r="N1361" s="253"/>
      <c r="O1361" s="253"/>
      <c r="P1361" s="253"/>
      <c r="Q1361" s="253"/>
    </row>
    <row r="1362" spans="1:17">
      <c r="A1362" s="253"/>
      <c r="B1362" s="253"/>
      <c r="C1362" s="253"/>
      <c r="D1362" s="253"/>
      <c r="E1362" s="253"/>
      <c r="F1362" s="253"/>
      <c r="G1362" s="253"/>
      <c r="H1362" s="253"/>
      <c r="I1362" s="253"/>
      <c r="J1362" s="253"/>
      <c r="K1362" s="253"/>
      <c r="L1362" s="253"/>
      <c r="M1362" s="253"/>
      <c r="N1362" s="253"/>
      <c r="O1362" s="253"/>
      <c r="P1362" s="253"/>
      <c r="Q1362" s="253"/>
    </row>
    <row r="1363" spans="1:17">
      <c r="A1363" s="253"/>
      <c r="B1363" s="253"/>
      <c r="C1363" s="253"/>
      <c r="D1363" s="253"/>
      <c r="E1363" s="253"/>
      <c r="F1363" s="253"/>
      <c r="G1363" s="253"/>
      <c r="H1363" s="253"/>
      <c r="I1363" s="253"/>
      <c r="J1363" s="253"/>
      <c r="K1363" s="253"/>
      <c r="L1363" s="253"/>
      <c r="M1363" s="253"/>
      <c r="N1363" s="253"/>
      <c r="O1363" s="253"/>
      <c r="P1363" s="253"/>
      <c r="Q1363" s="253"/>
    </row>
    <row r="1364" spans="1:17">
      <c r="A1364" s="253"/>
      <c r="B1364" s="253"/>
      <c r="C1364" s="253"/>
      <c r="D1364" s="253"/>
      <c r="E1364" s="253"/>
      <c r="F1364" s="253"/>
      <c r="G1364" s="253"/>
      <c r="H1364" s="253"/>
      <c r="I1364" s="253"/>
      <c r="J1364" s="253"/>
      <c r="K1364" s="253"/>
      <c r="L1364" s="253"/>
      <c r="M1364" s="253"/>
      <c r="N1364" s="253"/>
      <c r="O1364" s="253"/>
      <c r="P1364" s="253"/>
      <c r="Q1364" s="253"/>
    </row>
    <row r="1365" spans="1:17">
      <c r="A1365" s="253"/>
      <c r="B1365" s="253"/>
      <c r="C1365" s="253"/>
      <c r="D1365" s="253"/>
      <c r="E1365" s="253"/>
      <c r="F1365" s="253"/>
      <c r="G1365" s="253"/>
      <c r="H1365" s="253"/>
      <c r="I1365" s="253"/>
      <c r="J1365" s="253"/>
      <c r="K1365" s="253"/>
      <c r="L1365" s="253"/>
      <c r="M1365" s="253"/>
      <c r="N1365" s="253"/>
      <c r="O1365" s="253"/>
      <c r="P1365" s="253"/>
      <c r="Q1365" s="253"/>
    </row>
    <row r="1366" spans="1:17">
      <c r="A1366" s="253"/>
      <c r="B1366" s="253"/>
      <c r="C1366" s="253"/>
      <c r="D1366" s="253"/>
      <c r="E1366" s="253"/>
      <c r="F1366" s="253"/>
      <c r="G1366" s="253"/>
      <c r="H1366" s="253"/>
      <c r="I1366" s="253"/>
      <c r="J1366" s="253"/>
      <c r="K1366" s="253"/>
      <c r="L1366" s="253"/>
      <c r="M1366" s="253"/>
      <c r="N1366" s="253"/>
      <c r="O1366" s="253"/>
      <c r="P1366" s="253"/>
      <c r="Q1366" s="253"/>
    </row>
    <row r="1367" spans="1:17">
      <c r="A1367" s="253"/>
      <c r="B1367" s="253"/>
      <c r="C1367" s="253"/>
      <c r="D1367" s="253"/>
      <c r="E1367" s="253"/>
      <c r="F1367" s="253"/>
      <c r="G1367" s="253"/>
      <c r="H1367" s="253"/>
      <c r="I1367" s="253"/>
      <c r="J1367" s="253"/>
      <c r="K1367" s="253"/>
      <c r="L1367" s="253"/>
      <c r="M1367" s="253"/>
      <c r="N1367" s="253"/>
      <c r="O1367" s="253"/>
      <c r="P1367" s="253"/>
      <c r="Q1367" s="253"/>
    </row>
    <row r="1368" spans="1:17">
      <c r="A1368" s="253"/>
      <c r="B1368" s="253"/>
      <c r="C1368" s="253"/>
      <c r="D1368" s="253"/>
      <c r="E1368" s="253"/>
      <c r="F1368" s="253"/>
      <c r="G1368" s="253"/>
      <c r="H1368" s="253"/>
      <c r="I1368" s="253"/>
      <c r="J1368" s="253"/>
      <c r="K1368" s="253"/>
      <c r="L1368" s="253"/>
      <c r="M1368" s="253"/>
      <c r="N1368" s="253"/>
      <c r="O1368" s="253"/>
      <c r="P1368" s="253"/>
      <c r="Q1368" s="253"/>
    </row>
    <row r="1369" spans="1:17">
      <c r="A1369" s="253"/>
      <c r="B1369" s="253"/>
      <c r="C1369" s="253"/>
      <c r="D1369" s="253"/>
      <c r="E1369" s="253"/>
      <c r="F1369" s="253"/>
      <c r="G1369" s="253"/>
      <c r="H1369" s="253"/>
      <c r="I1369" s="253"/>
      <c r="J1369" s="253"/>
      <c r="K1369" s="253"/>
      <c r="L1369" s="253"/>
      <c r="M1369" s="253"/>
      <c r="N1369" s="253"/>
      <c r="O1369" s="253"/>
      <c r="P1369" s="253"/>
      <c r="Q1369" s="253"/>
    </row>
    <row r="1370" spans="1:17">
      <c r="A1370" s="253"/>
      <c r="B1370" s="253"/>
      <c r="C1370" s="253"/>
      <c r="D1370" s="253"/>
      <c r="E1370" s="253"/>
      <c r="F1370" s="253"/>
      <c r="G1370" s="253"/>
      <c r="H1370" s="253"/>
      <c r="I1370" s="253"/>
      <c r="J1370" s="253"/>
      <c r="K1370" s="253"/>
      <c r="L1370" s="253"/>
      <c r="M1370" s="253"/>
      <c r="N1370" s="253"/>
      <c r="O1370" s="253"/>
      <c r="P1370" s="253"/>
      <c r="Q1370" s="253"/>
    </row>
    <row r="1371" spans="1:17">
      <c r="A1371" s="253"/>
      <c r="B1371" s="253"/>
      <c r="C1371" s="253"/>
      <c r="D1371" s="253"/>
      <c r="E1371" s="253"/>
      <c r="F1371" s="253"/>
      <c r="G1371" s="253"/>
      <c r="H1371" s="253"/>
      <c r="I1371" s="253"/>
      <c r="J1371" s="253"/>
      <c r="K1371" s="253"/>
      <c r="L1371" s="253"/>
      <c r="M1371" s="253"/>
      <c r="N1371" s="253"/>
      <c r="O1371" s="253"/>
      <c r="P1371" s="253"/>
      <c r="Q1371" s="253"/>
    </row>
    <row r="1372" spans="1:17">
      <c r="A1372" s="253"/>
      <c r="B1372" s="253"/>
      <c r="C1372" s="253"/>
      <c r="D1372" s="253"/>
      <c r="E1372" s="253"/>
      <c r="F1372" s="253"/>
      <c r="G1372" s="253"/>
      <c r="H1372" s="253"/>
      <c r="I1372" s="253"/>
      <c r="J1372" s="253"/>
      <c r="K1372" s="253"/>
      <c r="L1372" s="253"/>
      <c r="M1372" s="253"/>
      <c r="N1372" s="253"/>
      <c r="O1372" s="253"/>
      <c r="P1372" s="253"/>
      <c r="Q1372" s="253"/>
    </row>
    <row r="1373" spans="1:17">
      <c r="A1373" s="253"/>
      <c r="B1373" s="253"/>
      <c r="C1373" s="253"/>
      <c r="D1373" s="253"/>
      <c r="E1373" s="253"/>
      <c r="F1373" s="253"/>
      <c r="G1373" s="253"/>
      <c r="H1373" s="253"/>
      <c r="I1373" s="253"/>
      <c r="J1373" s="253"/>
      <c r="K1373" s="253"/>
      <c r="L1373" s="253"/>
      <c r="M1373" s="253"/>
      <c r="N1373" s="253"/>
      <c r="O1373" s="253"/>
      <c r="P1373" s="253"/>
      <c r="Q1373" s="253"/>
    </row>
    <row r="1374" spans="1:17">
      <c r="A1374" s="253"/>
      <c r="B1374" s="253"/>
      <c r="C1374" s="253"/>
      <c r="D1374" s="253"/>
      <c r="E1374" s="253"/>
      <c r="F1374" s="253"/>
      <c r="G1374" s="253"/>
      <c r="H1374" s="253"/>
      <c r="I1374" s="253"/>
      <c r="J1374" s="253"/>
      <c r="K1374" s="253"/>
      <c r="L1374" s="253"/>
      <c r="M1374" s="253"/>
      <c r="N1374" s="253"/>
      <c r="O1374" s="253"/>
      <c r="P1374" s="253"/>
      <c r="Q1374" s="253"/>
    </row>
    <row r="1375" spans="1:17">
      <c r="A1375" s="253"/>
      <c r="B1375" s="253"/>
      <c r="C1375" s="253"/>
      <c r="D1375" s="253"/>
      <c r="E1375" s="253"/>
      <c r="F1375" s="253"/>
      <c r="G1375" s="253"/>
      <c r="H1375" s="253"/>
      <c r="I1375" s="253"/>
      <c r="J1375" s="253"/>
      <c r="K1375" s="253"/>
      <c r="L1375" s="253"/>
      <c r="M1375" s="253"/>
      <c r="N1375" s="253"/>
      <c r="O1375" s="253"/>
      <c r="P1375" s="253"/>
      <c r="Q1375" s="253"/>
    </row>
    <row r="1376" spans="1:17">
      <c r="A1376" s="253"/>
      <c r="B1376" s="253"/>
      <c r="C1376" s="253"/>
      <c r="D1376" s="253"/>
      <c r="E1376" s="253"/>
      <c r="F1376" s="253"/>
      <c r="G1376" s="253"/>
      <c r="H1376" s="253"/>
      <c r="I1376" s="253"/>
      <c r="J1376" s="253"/>
      <c r="K1376" s="253"/>
      <c r="L1376" s="253"/>
      <c r="M1376" s="253"/>
      <c r="N1376" s="253"/>
      <c r="O1376" s="253"/>
      <c r="P1376" s="253"/>
      <c r="Q1376" s="253"/>
    </row>
    <row r="1377" spans="1:17">
      <c r="A1377" s="253"/>
      <c r="B1377" s="253"/>
      <c r="C1377" s="253"/>
      <c r="D1377" s="253"/>
      <c r="E1377" s="253"/>
      <c r="F1377" s="253"/>
      <c r="G1377" s="253"/>
      <c r="H1377" s="253"/>
      <c r="I1377" s="253"/>
      <c r="J1377" s="253"/>
      <c r="K1377" s="253"/>
      <c r="L1377" s="253"/>
      <c r="M1377" s="253"/>
      <c r="N1377" s="253"/>
      <c r="O1377" s="253"/>
      <c r="P1377" s="253"/>
      <c r="Q1377" s="253"/>
    </row>
    <row r="1378" spans="1:17">
      <c r="A1378" s="253"/>
      <c r="B1378" s="253"/>
      <c r="C1378" s="253"/>
      <c r="D1378" s="253"/>
      <c r="E1378" s="253"/>
      <c r="F1378" s="253"/>
      <c r="G1378" s="253"/>
      <c r="H1378" s="253"/>
      <c r="I1378" s="253"/>
      <c r="J1378" s="253"/>
      <c r="K1378" s="253"/>
      <c r="L1378" s="253"/>
      <c r="M1378" s="253"/>
      <c r="N1378" s="253"/>
      <c r="O1378" s="253"/>
      <c r="P1378" s="253"/>
      <c r="Q1378" s="253"/>
    </row>
    <row r="1379" spans="1:17">
      <c r="A1379" s="253"/>
      <c r="B1379" s="253"/>
      <c r="C1379" s="253"/>
      <c r="D1379" s="253"/>
      <c r="E1379" s="253"/>
      <c r="F1379" s="253"/>
      <c r="G1379" s="253"/>
      <c r="H1379" s="253"/>
      <c r="I1379" s="253"/>
      <c r="J1379" s="253"/>
      <c r="K1379" s="253"/>
      <c r="L1379" s="253"/>
      <c r="M1379" s="253"/>
      <c r="N1379" s="253"/>
      <c r="O1379" s="253"/>
      <c r="P1379" s="253"/>
      <c r="Q1379" s="253"/>
    </row>
    <row r="1380" spans="1:17">
      <c r="A1380" s="253"/>
      <c r="B1380" s="253"/>
      <c r="C1380" s="253"/>
      <c r="D1380" s="253"/>
      <c r="E1380" s="253"/>
      <c r="F1380" s="253"/>
      <c r="G1380" s="253"/>
      <c r="H1380" s="253"/>
      <c r="I1380" s="253"/>
      <c r="J1380" s="253"/>
      <c r="K1380" s="253"/>
      <c r="L1380" s="253"/>
      <c r="M1380" s="253"/>
      <c r="N1380" s="253"/>
      <c r="O1380" s="253"/>
      <c r="P1380" s="253"/>
      <c r="Q1380" s="253"/>
    </row>
    <row r="1381" spans="1:17">
      <c r="A1381" s="253"/>
      <c r="B1381" s="253"/>
      <c r="C1381" s="253"/>
      <c r="D1381" s="253"/>
      <c r="E1381" s="253"/>
      <c r="F1381" s="253"/>
      <c r="G1381" s="253"/>
      <c r="H1381" s="253"/>
      <c r="I1381" s="253"/>
      <c r="J1381" s="253"/>
      <c r="K1381" s="253"/>
      <c r="L1381" s="253"/>
      <c r="M1381" s="253"/>
      <c r="N1381" s="253"/>
      <c r="O1381" s="253"/>
      <c r="P1381" s="253"/>
      <c r="Q1381" s="253"/>
    </row>
    <row r="1382" spans="1:17">
      <c r="A1382" s="253"/>
      <c r="B1382" s="253"/>
      <c r="C1382" s="253"/>
      <c r="D1382" s="253"/>
      <c r="E1382" s="253"/>
      <c r="F1382" s="253"/>
      <c r="G1382" s="253"/>
      <c r="H1382" s="253"/>
      <c r="I1382" s="253"/>
      <c r="J1382" s="253"/>
      <c r="K1382" s="253"/>
      <c r="L1382" s="253"/>
      <c r="M1382" s="253"/>
      <c r="N1382" s="253"/>
      <c r="O1382" s="253"/>
      <c r="P1382" s="253"/>
      <c r="Q1382" s="253"/>
    </row>
    <row r="1383" spans="1:17">
      <c r="A1383" s="253"/>
      <c r="B1383" s="253"/>
      <c r="C1383" s="253"/>
      <c r="D1383" s="253"/>
      <c r="E1383" s="253"/>
      <c r="F1383" s="253"/>
      <c r="G1383" s="253"/>
      <c r="H1383" s="253"/>
      <c r="I1383" s="253"/>
      <c r="J1383" s="253"/>
      <c r="K1383" s="253"/>
      <c r="L1383" s="253"/>
      <c r="M1383" s="253"/>
      <c r="N1383" s="253"/>
      <c r="O1383" s="253"/>
      <c r="P1383" s="253"/>
      <c r="Q1383" s="253"/>
    </row>
    <row r="1384" spans="1:17">
      <c r="A1384" s="253"/>
      <c r="B1384" s="253"/>
      <c r="C1384" s="253"/>
      <c r="D1384" s="253"/>
      <c r="E1384" s="253"/>
      <c r="F1384" s="253"/>
      <c r="G1384" s="253"/>
      <c r="H1384" s="253"/>
      <c r="I1384" s="253"/>
      <c r="J1384" s="253"/>
      <c r="K1384" s="253"/>
      <c r="L1384" s="253"/>
      <c r="M1384" s="253"/>
      <c r="N1384" s="253"/>
      <c r="O1384" s="253"/>
      <c r="P1384" s="253"/>
      <c r="Q1384" s="253"/>
    </row>
    <row r="1385" spans="1:17">
      <c r="A1385" s="253"/>
      <c r="B1385" s="253"/>
      <c r="C1385" s="253"/>
      <c r="D1385" s="253"/>
      <c r="E1385" s="253"/>
      <c r="F1385" s="253"/>
      <c r="G1385" s="253"/>
      <c r="H1385" s="253"/>
      <c r="I1385" s="253"/>
      <c r="J1385" s="253"/>
      <c r="K1385" s="253"/>
      <c r="L1385" s="253"/>
      <c r="M1385" s="253"/>
      <c r="N1385" s="253"/>
      <c r="O1385" s="253"/>
      <c r="P1385" s="253"/>
      <c r="Q1385" s="253"/>
    </row>
    <row r="1386" spans="1:17">
      <c r="A1386" s="253"/>
      <c r="B1386" s="253"/>
      <c r="C1386" s="253"/>
      <c r="D1386" s="253"/>
      <c r="E1386" s="253"/>
      <c r="F1386" s="253"/>
      <c r="G1386" s="253"/>
      <c r="H1386" s="253"/>
      <c r="I1386" s="253"/>
      <c r="J1386" s="253"/>
      <c r="K1386" s="253"/>
      <c r="L1386" s="253"/>
      <c r="M1386" s="253"/>
      <c r="N1386" s="253"/>
      <c r="O1386" s="253"/>
      <c r="P1386" s="253"/>
      <c r="Q1386" s="253"/>
    </row>
    <row r="1387" spans="1:17">
      <c r="A1387" s="253"/>
      <c r="B1387" s="253"/>
      <c r="C1387" s="253"/>
      <c r="D1387" s="253"/>
      <c r="E1387" s="253"/>
      <c r="F1387" s="253"/>
      <c r="G1387" s="253"/>
      <c r="H1387" s="253"/>
      <c r="I1387" s="253"/>
      <c r="J1387" s="253"/>
      <c r="K1387" s="253"/>
      <c r="L1387" s="253"/>
      <c r="M1387" s="253"/>
      <c r="N1387" s="253"/>
      <c r="O1387" s="253"/>
      <c r="P1387" s="253"/>
      <c r="Q1387" s="253"/>
    </row>
    <row r="1388" spans="1:17">
      <c r="A1388" s="253"/>
      <c r="B1388" s="253"/>
      <c r="C1388" s="253"/>
      <c r="D1388" s="253"/>
      <c r="E1388" s="253"/>
      <c r="F1388" s="253"/>
      <c r="G1388" s="253"/>
      <c r="H1388" s="253"/>
      <c r="I1388" s="253"/>
      <c r="J1388" s="253"/>
      <c r="K1388" s="253"/>
      <c r="L1388" s="253"/>
      <c r="M1388" s="253"/>
      <c r="N1388" s="253"/>
      <c r="O1388" s="253"/>
      <c r="P1388" s="253"/>
      <c r="Q1388" s="253"/>
    </row>
    <row r="1389" spans="1:17">
      <c r="A1389" s="253"/>
      <c r="B1389" s="253"/>
      <c r="C1389" s="253"/>
      <c r="D1389" s="253"/>
      <c r="E1389" s="253"/>
      <c r="F1389" s="253"/>
      <c r="G1389" s="253"/>
      <c r="H1389" s="253"/>
      <c r="I1389" s="253"/>
      <c r="J1389" s="253"/>
      <c r="K1389" s="253"/>
      <c r="L1389" s="253"/>
      <c r="M1389" s="253"/>
      <c r="N1389" s="253"/>
      <c r="O1389" s="253"/>
      <c r="P1389" s="253"/>
      <c r="Q1389" s="253"/>
    </row>
    <row r="1390" spans="1:17">
      <c r="A1390" s="253"/>
      <c r="B1390" s="253"/>
      <c r="C1390" s="253"/>
      <c r="D1390" s="253"/>
      <c r="E1390" s="253"/>
      <c r="F1390" s="253"/>
      <c r="G1390" s="253"/>
      <c r="H1390" s="253"/>
      <c r="I1390" s="253"/>
      <c r="J1390" s="253"/>
      <c r="K1390" s="253"/>
      <c r="L1390" s="253"/>
      <c r="M1390" s="253"/>
      <c r="N1390" s="253"/>
      <c r="O1390" s="253"/>
      <c r="P1390" s="253"/>
      <c r="Q1390" s="253"/>
    </row>
    <row r="1391" spans="1:17">
      <c r="A1391" s="253"/>
      <c r="B1391" s="253"/>
      <c r="C1391" s="253"/>
      <c r="D1391" s="253"/>
      <c r="E1391" s="253"/>
      <c r="F1391" s="253"/>
      <c r="G1391" s="253"/>
      <c r="H1391" s="253"/>
      <c r="I1391" s="253"/>
      <c r="J1391" s="253"/>
      <c r="K1391" s="253"/>
      <c r="L1391" s="253"/>
      <c r="M1391" s="253"/>
      <c r="N1391" s="253"/>
      <c r="O1391" s="253"/>
      <c r="P1391" s="253"/>
      <c r="Q1391" s="253"/>
    </row>
    <row r="1392" spans="1:17">
      <c r="A1392" s="253"/>
      <c r="B1392" s="253"/>
      <c r="C1392" s="253"/>
      <c r="D1392" s="253"/>
      <c r="E1392" s="253"/>
      <c r="F1392" s="253"/>
      <c r="G1392" s="253"/>
      <c r="H1392" s="253"/>
      <c r="I1392" s="253"/>
      <c r="J1392" s="253"/>
      <c r="K1392" s="253"/>
      <c r="L1392" s="253"/>
      <c r="M1392" s="253"/>
      <c r="N1392" s="253"/>
      <c r="O1392" s="253"/>
      <c r="P1392" s="253"/>
      <c r="Q1392" s="253"/>
    </row>
    <row r="1393" spans="1:17">
      <c r="A1393" s="253"/>
      <c r="B1393" s="253"/>
      <c r="C1393" s="253"/>
      <c r="D1393" s="253"/>
      <c r="E1393" s="253"/>
      <c r="F1393" s="253"/>
      <c r="G1393" s="253"/>
      <c r="H1393" s="253"/>
      <c r="I1393" s="253"/>
      <c r="J1393" s="253"/>
      <c r="K1393" s="253"/>
      <c r="L1393" s="253"/>
      <c r="M1393" s="253"/>
      <c r="N1393" s="253"/>
      <c r="O1393" s="253"/>
      <c r="P1393" s="253"/>
      <c r="Q1393" s="253"/>
    </row>
    <row r="1394" spans="1:17">
      <c r="A1394" s="253"/>
      <c r="B1394" s="253"/>
      <c r="C1394" s="253"/>
      <c r="D1394" s="253"/>
      <c r="E1394" s="253"/>
      <c r="F1394" s="253"/>
      <c r="G1394" s="253"/>
      <c r="H1394" s="253"/>
      <c r="I1394" s="253"/>
      <c r="J1394" s="253"/>
      <c r="K1394" s="253"/>
      <c r="L1394" s="253"/>
      <c r="M1394" s="253"/>
      <c r="N1394" s="253"/>
      <c r="O1394" s="253"/>
      <c r="P1394" s="253"/>
      <c r="Q1394" s="253"/>
    </row>
    <row r="1395" spans="1:17">
      <c r="A1395" s="253"/>
      <c r="B1395" s="253"/>
      <c r="C1395" s="253"/>
      <c r="D1395" s="253"/>
      <c r="E1395" s="253"/>
      <c r="F1395" s="253"/>
      <c r="G1395" s="253"/>
      <c r="H1395" s="253"/>
      <c r="I1395" s="253"/>
      <c r="J1395" s="253"/>
      <c r="K1395" s="253"/>
      <c r="L1395" s="253"/>
      <c r="M1395" s="253"/>
      <c r="N1395" s="253"/>
      <c r="O1395" s="253"/>
      <c r="P1395" s="253"/>
      <c r="Q1395" s="253"/>
    </row>
    <row r="1396" spans="1:17">
      <c r="A1396" s="253"/>
      <c r="B1396" s="253"/>
      <c r="C1396" s="253"/>
      <c r="D1396" s="253"/>
      <c r="E1396" s="253"/>
      <c r="F1396" s="253"/>
      <c r="G1396" s="253"/>
      <c r="H1396" s="253"/>
      <c r="I1396" s="253"/>
      <c r="J1396" s="253"/>
      <c r="K1396" s="253"/>
      <c r="L1396" s="253"/>
      <c r="M1396" s="253"/>
      <c r="N1396" s="253"/>
      <c r="O1396" s="253"/>
      <c r="P1396" s="253"/>
      <c r="Q1396" s="253"/>
    </row>
    <row r="1397" spans="1:17">
      <c r="A1397" s="253"/>
      <c r="B1397" s="253"/>
      <c r="C1397" s="253"/>
      <c r="D1397" s="253"/>
      <c r="E1397" s="253"/>
      <c r="F1397" s="253"/>
      <c r="G1397" s="253"/>
      <c r="H1397" s="253"/>
      <c r="I1397" s="253"/>
      <c r="J1397" s="253"/>
      <c r="K1397" s="253"/>
      <c r="L1397" s="253"/>
      <c r="M1397" s="253"/>
      <c r="N1397" s="253"/>
      <c r="O1397" s="253"/>
      <c r="P1397" s="253"/>
      <c r="Q1397" s="253"/>
    </row>
    <row r="1398" spans="1:17">
      <c r="A1398" s="253"/>
      <c r="B1398" s="253"/>
      <c r="C1398" s="253"/>
      <c r="D1398" s="253"/>
      <c r="E1398" s="253"/>
      <c r="F1398" s="253"/>
      <c r="G1398" s="253"/>
      <c r="H1398" s="253"/>
      <c r="I1398" s="253"/>
      <c r="J1398" s="253"/>
      <c r="K1398" s="253"/>
      <c r="L1398" s="253"/>
      <c r="M1398" s="253"/>
      <c r="N1398" s="253"/>
      <c r="O1398" s="253"/>
      <c r="P1398" s="253"/>
      <c r="Q1398" s="253"/>
    </row>
    <row r="1399" spans="1:17">
      <c r="A1399" s="253"/>
      <c r="B1399" s="253"/>
      <c r="C1399" s="253"/>
      <c r="D1399" s="253"/>
      <c r="E1399" s="253"/>
      <c r="F1399" s="253"/>
      <c r="G1399" s="253"/>
      <c r="H1399" s="253"/>
      <c r="I1399" s="253"/>
      <c r="J1399" s="253"/>
      <c r="K1399" s="253"/>
      <c r="L1399" s="253"/>
      <c r="M1399" s="253"/>
      <c r="N1399" s="253"/>
      <c r="O1399" s="253"/>
      <c r="P1399" s="253"/>
      <c r="Q1399" s="253"/>
    </row>
    <row r="1400" spans="1:17">
      <c r="A1400" s="253"/>
      <c r="B1400" s="253"/>
      <c r="C1400" s="253"/>
      <c r="D1400" s="253"/>
      <c r="E1400" s="253"/>
      <c r="F1400" s="253"/>
      <c r="G1400" s="253"/>
      <c r="H1400" s="253"/>
      <c r="I1400" s="253"/>
      <c r="J1400" s="253"/>
      <c r="K1400" s="253"/>
      <c r="L1400" s="253"/>
      <c r="M1400" s="253"/>
      <c r="N1400" s="253"/>
      <c r="O1400" s="253"/>
      <c r="P1400" s="253"/>
      <c r="Q1400" s="253"/>
    </row>
    <row r="1401" spans="1:17">
      <c r="A1401" s="253"/>
      <c r="B1401" s="253"/>
      <c r="C1401" s="253"/>
      <c r="D1401" s="253"/>
      <c r="E1401" s="253"/>
      <c r="F1401" s="253"/>
      <c r="G1401" s="253"/>
      <c r="H1401" s="253"/>
      <c r="I1401" s="253"/>
      <c r="J1401" s="253"/>
      <c r="K1401" s="253"/>
      <c r="L1401" s="253"/>
      <c r="M1401" s="253"/>
      <c r="N1401" s="253"/>
      <c r="O1401" s="253"/>
      <c r="P1401" s="253"/>
      <c r="Q1401" s="253"/>
    </row>
    <row r="1402" spans="1:17">
      <c r="A1402" s="253"/>
      <c r="B1402" s="253"/>
      <c r="C1402" s="253"/>
      <c r="D1402" s="253"/>
      <c r="E1402" s="253"/>
      <c r="F1402" s="253"/>
      <c r="G1402" s="253"/>
      <c r="H1402" s="253"/>
      <c r="I1402" s="253"/>
      <c r="J1402" s="253"/>
      <c r="K1402" s="253"/>
      <c r="L1402" s="253"/>
      <c r="M1402" s="253"/>
      <c r="N1402" s="253"/>
      <c r="O1402" s="253"/>
      <c r="P1402" s="253"/>
      <c r="Q1402" s="253"/>
    </row>
    <row r="1403" spans="1:17">
      <c r="A1403" s="253"/>
      <c r="B1403" s="253"/>
      <c r="C1403" s="253"/>
      <c r="D1403" s="253"/>
      <c r="E1403" s="253"/>
      <c r="F1403" s="253"/>
      <c r="G1403" s="253"/>
      <c r="H1403" s="253"/>
      <c r="I1403" s="253"/>
      <c r="J1403" s="253"/>
      <c r="K1403" s="253"/>
      <c r="L1403" s="253"/>
      <c r="M1403" s="253"/>
      <c r="N1403" s="253"/>
      <c r="O1403" s="253"/>
      <c r="P1403" s="253"/>
      <c r="Q1403" s="253"/>
    </row>
    <row r="1404" spans="1:17">
      <c r="A1404" s="253"/>
      <c r="B1404" s="253"/>
      <c r="C1404" s="253"/>
      <c r="D1404" s="253"/>
      <c r="E1404" s="253"/>
      <c r="F1404" s="253"/>
      <c r="G1404" s="253"/>
      <c r="H1404" s="253"/>
      <c r="I1404" s="253"/>
      <c r="J1404" s="253"/>
      <c r="K1404" s="253"/>
      <c r="L1404" s="253"/>
      <c r="M1404" s="253"/>
      <c r="N1404" s="253"/>
      <c r="O1404" s="253"/>
      <c r="P1404" s="253"/>
      <c r="Q1404" s="253"/>
    </row>
    <row r="1405" spans="1:17">
      <c r="A1405" s="253"/>
      <c r="B1405" s="253"/>
      <c r="C1405" s="253"/>
      <c r="D1405" s="253"/>
      <c r="E1405" s="253"/>
      <c r="F1405" s="253"/>
      <c r="G1405" s="253"/>
      <c r="H1405" s="253"/>
      <c r="I1405" s="253"/>
      <c r="J1405" s="253"/>
      <c r="K1405" s="253"/>
      <c r="L1405" s="253"/>
      <c r="M1405" s="253"/>
      <c r="N1405" s="253"/>
      <c r="O1405" s="253"/>
      <c r="P1405" s="253"/>
      <c r="Q1405" s="253"/>
    </row>
    <row r="1406" spans="1:17">
      <c r="A1406" s="253"/>
      <c r="B1406" s="253"/>
      <c r="C1406" s="253"/>
      <c r="D1406" s="253"/>
      <c r="E1406" s="253"/>
      <c r="F1406" s="253"/>
      <c r="G1406" s="253"/>
      <c r="H1406" s="253"/>
      <c r="I1406" s="253"/>
      <c r="J1406" s="253"/>
      <c r="K1406" s="253"/>
      <c r="L1406" s="253"/>
      <c r="M1406" s="253"/>
      <c r="N1406" s="253"/>
      <c r="O1406" s="253"/>
      <c r="P1406" s="253"/>
      <c r="Q1406" s="253"/>
    </row>
    <row r="1407" spans="1:17">
      <c r="A1407" s="253"/>
      <c r="B1407" s="253"/>
      <c r="C1407" s="253"/>
      <c r="D1407" s="253"/>
      <c r="E1407" s="253"/>
      <c r="F1407" s="253"/>
      <c r="G1407" s="253"/>
      <c r="H1407" s="253"/>
      <c r="I1407" s="253"/>
      <c r="J1407" s="253"/>
      <c r="K1407" s="253"/>
      <c r="L1407" s="253"/>
      <c r="M1407" s="253"/>
      <c r="N1407" s="253"/>
      <c r="O1407" s="253"/>
      <c r="P1407" s="253"/>
      <c r="Q1407" s="253"/>
    </row>
    <row r="1408" spans="1:17">
      <c r="A1408" s="253"/>
      <c r="B1408" s="253"/>
      <c r="C1408" s="253"/>
      <c r="D1408" s="253"/>
      <c r="E1408" s="253"/>
      <c r="F1408" s="253"/>
      <c r="G1408" s="253"/>
      <c r="H1408" s="253"/>
      <c r="I1408" s="253"/>
      <c r="J1408" s="253"/>
      <c r="K1408" s="253"/>
      <c r="L1408" s="253"/>
      <c r="M1408" s="253"/>
      <c r="N1408" s="253"/>
      <c r="O1408" s="253"/>
      <c r="P1408" s="253"/>
      <c r="Q1408" s="253"/>
    </row>
    <row r="1409" spans="1:17">
      <c r="A1409" s="253"/>
      <c r="B1409" s="253"/>
      <c r="C1409" s="253"/>
      <c r="D1409" s="253"/>
      <c r="E1409" s="253"/>
      <c r="F1409" s="253"/>
      <c r="G1409" s="253"/>
      <c r="H1409" s="253"/>
      <c r="I1409" s="253"/>
      <c r="J1409" s="253"/>
      <c r="K1409" s="253"/>
      <c r="L1409" s="253"/>
      <c r="M1409" s="253"/>
      <c r="N1409" s="253"/>
      <c r="O1409" s="253"/>
      <c r="P1409" s="253"/>
      <c r="Q1409" s="253"/>
    </row>
    <row r="1410" spans="1:17">
      <c r="A1410" s="253"/>
      <c r="B1410" s="253"/>
      <c r="C1410" s="253"/>
      <c r="D1410" s="253"/>
      <c r="E1410" s="253"/>
      <c r="F1410" s="253"/>
      <c r="G1410" s="253"/>
      <c r="H1410" s="253"/>
      <c r="I1410" s="253"/>
      <c r="J1410" s="253"/>
      <c r="K1410" s="253"/>
      <c r="L1410" s="253"/>
      <c r="M1410" s="253"/>
      <c r="N1410" s="253"/>
      <c r="O1410" s="253"/>
      <c r="P1410" s="253"/>
      <c r="Q1410" s="253"/>
    </row>
    <row r="1411" spans="1:17">
      <c r="A1411" s="253"/>
      <c r="B1411" s="253"/>
      <c r="C1411" s="253"/>
      <c r="D1411" s="253"/>
      <c r="E1411" s="253"/>
      <c r="F1411" s="253"/>
      <c r="G1411" s="253"/>
      <c r="H1411" s="253"/>
      <c r="I1411" s="253"/>
      <c r="J1411" s="253"/>
      <c r="K1411" s="253"/>
      <c r="L1411" s="253"/>
      <c r="M1411" s="253"/>
      <c r="N1411" s="253"/>
      <c r="O1411" s="253"/>
      <c r="P1411" s="253"/>
      <c r="Q1411" s="253"/>
    </row>
    <row r="1412" spans="1:17">
      <c r="A1412" s="253"/>
      <c r="B1412" s="253"/>
      <c r="C1412" s="253"/>
      <c r="D1412" s="253"/>
      <c r="E1412" s="253"/>
      <c r="F1412" s="253"/>
      <c r="G1412" s="253"/>
      <c r="H1412" s="253"/>
      <c r="I1412" s="253"/>
      <c r="J1412" s="253"/>
      <c r="K1412" s="253"/>
      <c r="L1412" s="253"/>
      <c r="M1412" s="253"/>
      <c r="N1412" s="253"/>
      <c r="O1412" s="253"/>
      <c r="P1412" s="253"/>
      <c r="Q1412" s="253"/>
    </row>
    <row r="1413" spans="1:17">
      <c r="A1413" s="253"/>
      <c r="B1413" s="253"/>
      <c r="C1413" s="253"/>
      <c r="D1413" s="253"/>
      <c r="E1413" s="253"/>
      <c r="F1413" s="253"/>
      <c r="G1413" s="253"/>
      <c r="H1413" s="253"/>
      <c r="I1413" s="253"/>
      <c r="J1413" s="253"/>
      <c r="K1413" s="253"/>
      <c r="L1413" s="253"/>
      <c r="M1413" s="253"/>
      <c r="N1413" s="253"/>
      <c r="O1413" s="253"/>
      <c r="P1413" s="253"/>
      <c r="Q1413" s="253"/>
    </row>
    <row r="1414" spans="1:17">
      <c r="A1414" s="253"/>
      <c r="B1414" s="253"/>
      <c r="C1414" s="253"/>
      <c r="D1414" s="253"/>
      <c r="E1414" s="253"/>
      <c r="F1414" s="253"/>
      <c r="G1414" s="253"/>
      <c r="H1414" s="253"/>
      <c r="I1414" s="253"/>
      <c r="J1414" s="253"/>
      <c r="K1414" s="253"/>
      <c r="L1414" s="253"/>
      <c r="M1414" s="253"/>
      <c r="N1414" s="253"/>
      <c r="O1414" s="253"/>
      <c r="P1414" s="253"/>
      <c r="Q1414" s="253"/>
    </row>
    <row r="1415" spans="1:17">
      <c r="A1415" s="253"/>
      <c r="B1415" s="253"/>
      <c r="C1415" s="253"/>
      <c r="D1415" s="253"/>
      <c r="E1415" s="253"/>
      <c r="F1415" s="253"/>
      <c r="G1415" s="253"/>
      <c r="H1415" s="253"/>
      <c r="I1415" s="253"/>
      <c r="J1415" s="253"/>
      <c r="K1415" s="253"/>
      <c r="L1415" s="253"/>
      <c r="M1415" s="253"/>
      <c r="N1415" s="253"/>
      <c r="O1415" s="253"/>
      <c r="P1415" s="253"/>
      <c r="Q1415" s="253"/>
    </row>
    <row r="1416" spans="1:17">
      <c r="A1416" s="253"/>
      <c r="B1416" s="253"/>
      <c r="C1416" s="253"/>
      <c r="D1416" s="253"/>
      <c r="E1416" s="253"/>
      <c r="F1416" s="253"/>
      <c r="G1416" s="253"/>
      <c r="H1416" s="253"/>
      <c r="I1416" s="253"/>
      <c r="J1416" s="253"/>
      <c r="K1416" s="253"/>
      <c r="L1416" s="253"/>
      <c r="M1416" s="253"/>
      <c r="N1416" s="253"/>
      <c r="O1416" s="253"/>
      <c r="P1416" s="253"/>
      <c r="Q1416" s="253"/>
    </row>
    <row r="1417" spans="1:17">
      <c r="A1417" s="253"/>
      <c r="B1417" s="253"/>
      <c r="C1417" s="253"/>
      <c r="D1417" s="253"/>
      <c r="E1417" s="253"/>
      <c r="F1417" s="253"/>
      <c r="G1417" s="253"/>
      <c r="H1417" s="253"/>
      <c r="I1417" s="253"/>
      <c r="J1417" s="253"/>
      <c r="K1417" s="253"/>
      <c r="L1417" s="253"/>
      <c r="M1417" s="253"/>
      <c r="N1417" s="253"/>
      <c r="O1417" s="253"/>
      <c r="P1417" s="253"/>
      <c r="Q1417" s="253"/>
    </row>
    <row r="1418" spans="1:17">
      <c r="A1418" s="253"/>
      <c r="B1418" s="253"/>
      <c r="C1418" s="253"/>
      <c r="D1418" s="253"/>
      <c r="E1418" s="253"/>
      <c r="F1418" s="253"/>
      <c r="G1418" s="253"/>
      <c r="H1418" s="253"/>
      <c r="I1418" s="253"/>
      <c r="J1418" s="253"/>
      <c r="K1418" s="253"/>
      <c r="L1418" s="253"/>
      <c r="M1418" s="253"/>
      <c r="N1418" s="253"/>
      <c r="O1418" s="253"/>
      <c r="P1418" s="253"/>
      <c r="Q1418" s="253"/>
    </row>
    <row r="1419" spans="1:17">
      <c r="A1419" s="253"/>
      <c r="B1419" s="253"/>
      <c r="C1419" s="253"/>
      <c r="D1419" s="253"/>
      <c r="E1419" s="253"/>
      <c r="F1419" s="253"/>
      <c r="G1419" s="253"/>
      <c r="H1419" s="253"/>
      <c r="I1419" s="253"/>
      <c r="J1419" s="253"/>
      <c r="K1419" s="253"/>
      <c r="L1419" s="253"/>
      <c r="M1419" s="253"/>
      <c r="N1419" s="253"/>
      <c r="O1419" s="253"/>
      <c r="P1419" s="253"/>
      <c r="Q1419" s="253"/>
    </row>
    <row r="1420" spans="1:17">
      <c r="A1420" s="253"/>
      <c r="B1420" s="253"/>
      <c r="C1420" s="253"/>
      <c r="D1420" s="253"/>
      <c r="E1420" s="253"/>
      <c r="F1420" s="253"/>
      <c r="G1420" s="253"/>
      <c r="H1420" s="253"/>
      <c r="I1420" s="253"/>
      <c r="J1420" s="253"/>
      <c r="K1420" s="253"/>
      <c r="L1420" s="253"/>
      <c r="M1420" s="253"/>
      <c r="N1420" s="253"/>
      <c r="O1420" s="253"/>
      <c r="P1420" s="253"/>
      <c r="Q1420" s="253"/>
    </row>
    <row r="1421" spans="1:17">
      <c r="A1421" s="253"/>
      <c r="B1421" s="253"/>
      <c r="C1421" s="253"/>
      <c r="D1421" s="253"/>
      <c r="E1421" s="253"/>
      <c r="F1421" s="253"/>
      <c r="G1421" s="253"/>
      <c r="H1421" s="253"/>
      <c r="I1421" s="253"/>
      <c r="J1421" s="253"/>
      <c r="K1421" s="253"/>
      <c r="L1421" s="253"/>
      <c r="M1421" s="253"/>
      <c r="N1421" s="253"/>
      <c r="O1421" s="253"/>
      <c r="P1421" s="253"/>
      <c r="Q1421" s="253"/>
    </row>
    <row r="1422" spans="1:17">
      <c r="A1422" s="253"/>
      <c r="B1422" s="253"/>
      <c r="C1422" s="253"/>
      <c r="D1422" s="253"/>
      <c r="E1422" s="253"/>
      <c r="F1422" s="253"/>
      <c r="G1422" s="253"/>
      <c r="H1422" s="253"/>
      <c r="I1422" s="253"/>
      <c r="J1422" s="253"/>
      <c r="K1422" s="253"/>
      <c r="L1422" s="253"/>
      <c r="M1422" s="253"/>
      <c r="N1422" s="253"/>
      <c r="O1422" s="253"/>
      <c r="P1422" s="253"/>
      <c r="Q1422" s="253"/>
    </row>
    <row r="1423" spans="1:17">
      <c r="A1423" s="253"/>
      <c r="B1423" s="253"/>
      <c r="C1423" s="253"/>
      <c r="D1423" s="253"/>
      <c r="E1423" s="253"/>
      <c r="F1423" s="253"/>
      <c r="G1423" s="253"/>
      <c r="H1423" s="253"/>
      <c r="I1423" s="253"/>
      <c r="J1423" s="253"/>
      <c r="K1423" s="253"/>
      <c r="L1423" s="253"/>
      <c r="M1423" s="253"/>
      <c r="N1423" s="253"/>
      <c r="O1423" s="253"/>
      <c r="P1423" s="253"/>
      <c r="Q1423" s="253"/>
    </row>
    <row r="1424" spans="1:17">
      <c r="A1424" s="253"/>
      <c r="B1424" s="253"/>
      <c r="C1424" s="253"/>
      <c r="D1424" s="253"/>
      <c r="E1424" s="253"/>
      <c r="F1424" s="253"/>
      <c r="G1424" s="253"/>
      <c r="H1424" s="253"/>
      <c r="I1424" s="253"/>
      <c r="J1424" s="253"/>
      <c r="K1424" s="253"/>
      <c r="L1424" s="253"/>
      <c r="M1424" s="253"/>
      <c r="N1424" s="253"/>
      <c r="O1424" s="253"/>
      <c r="P1424" s="253"/>
      <c r="Q1424" s="253"/>
    </row>
    <row r="1425" spans="1:17">
      <c r="A1425" s="253"/>
      <c r="B1425" s="253"/>
      <c r="C1425" s="253"/>
      <c r="D1425" s="253"/>
      <c r="E1425" s="253"/>
      <c r="F1425" s="253"/>
      <c r="G1425" s="253"/>
      <c r="H1425" s="253"/>
      <c r="I1425" s="253"/>
      <c r="J1425" s="253"/>
      <c r="K1425" s="253"/>
      <c r="L1425" s="253"/>
      <c r="M1425" s="253"/>
      <c r="N1425" s="253"/>
      <c r="O1425" s="253"/>
      <c r="P1425" s="253"/>
      <c r="Q1425" s="253"/>
    </row>
    <row r="1426" spans="1:17">
      <c r="A1426" s="253"/>
      <c r="B1426" s="253"/>
      <c r="C1426" s="253"/>
      <c r="D1426" s="253"/>
      <c r="E1426" s="253"/>
      <c r="F1426" s="253"/>
      <c r="G1426" s="253"/>
      <c r="H1426" s="253"/>
      <c r="I1426" s="253"/>
      <c r="J1426" s="253"/>
      <c r="K1426" s="253"/>
      <c r="L1426" s="253"/>
      <c r="M1426" s="253"/>
      <c r="N1426" s="253"/>
      <c r="O1426" s="253"/>
      <c r="P1426" s="253"/>
      <c r="Q1426" s="253"/>
    </row>
    <row r="1427" spans="1:17">
      <c r="A1427" s="253"/>
      <c r="B1427" s="253"/>
      <c r="C1427" s="253"/>
      <c r="D1427" s="253"/>
      <c r="E1427" s="253"/>
      <c r="F1427" s="253"/>
      <c r="G1427" s="253"/>
      <c r="H1427" s="253"/>
      <c r="I1427" s="253"/>
      <c r="J1427" s="253"/>
      <c r="K1427" s="253"/>
      <c r="L1427" s="253"/>
      <c r="M1427" s="253"/>
      <c r="N1427" s="253"/>
      <c r="O1427" s="253"/>
      <c r="P1427" s="253"/>
      <c r="Q1427" s="253"/>
    </row>
    <row r="1428" spans="1:17">
      <c r="A1428" s="253"/>
      <c r="B1428" s="253"/>
      <c r="C1428" s="253"/>
      <c r="D1428" s="253"/>
      <c r="E1428" s="253"/>
      <c r="F1428" s="253"/>
      <c r="G1428" s="253"/>
      <c r="H1428" s="253"/>
      <c r="I1428" s="253"/>
      <c r="J1428" s="253"/>
      <c r="K1428" s="253"/>
      <c r="L1428" s="253"/>
      <c r="M1428" s="253"/>
      <c r="N1428" s="253"/>
      <c r="O1428" s="253"/>
      <c r="P1428" s="253"/>
      <c r="Q1428" s="253"/>
    </row>
    <row r="1429" spans="1:17">
      <c r="A1429" s="253"/>
      <c r="B1429" s="253"/>
      <c r="C1429" s="253"/>
      <c r="D1429" s="253"/>
      <c r="E1429" s="253"/>
      <c r="F1429" s="253"/>
      <c r="G1429" s="253"/>
      <c r="H1429" s="253"/>
      <c r="I1429" s="253"/>
      <c r="J1429" s="253"/>
      <c r="K1429" s="253"/>
      <c r="L1429" s="253"/>
      <c r="M1429" s="253"/>
      <c r="N1429" s="253"/>
      <c r="O1429" s="253"/>
      <c r="P1429" s="253"/>
      <c r="Q1429" s="253"/>
    </row>
    <row r="1430" spans="1:17">
      <c r="A1430" s="253"/>
      <c r="B1430" s="253"/>
      <c r="C1430" s="253"/>
      <c r="D1430" s="253"/>
      <c r="E1430" s="253"/>
      <c r="F1430" s="253"/>
      <c r="G1430" s="253"/>
      <c r="H1430" s="253"/>
      <c r="I1430" s="253"/>
      <c r="J1430" s="253"/>
      <c r="K1430" s="253"/>
      <c r="L1430" s="253"/>
      <c r="M1430" s="253"/>
      <c r="N1430" s="253"/>
      <c r="O1430" s="253"/>
      <c r="P1430" s="253"/>
      <c r="Q1430" s="253"/>
    </row>
    <row r="1431" spans="1:17">
      <c r="A1431" s="253"/>
      <c r="B1431" s="253"/>
      <c r="C1431" s="253"/>
      <c r="D1431" s="253"/>
      <c r="E1431" s="253"/>
      <c r="F1431" s="253"/>
      <c r="G1431" s="253"/>
      <c r="H1431" s="253"/>
      <c r="I1431" s="253"/>
      <c r="J1431" s="253"/>
      <c r="K1431" s="253"/>
      <c r="L1431" s="253"/>
      <c r="M1431" s="253"/>
      <c r="N1431" s="253"/>
      <c r="O1431" s="253"/>
      <c r="P1431" s="253"/>
      <c r="Q1431" s="253"/>
    </row>
    <row r="1432" spans="1:17">
      <c r="A1432" s="253"/>
      <c r="B1432" s="253"/>
      <c r="C1432" s="253"/>
      <c r="D1432" s="253"/>
      <c r="E1432" s="253"/>
      <c r="F1432" s="253"/>
      <c r="G1432" s="253"/>
      <c r="H1432" s="253"/>
      <c r="I1432" s="253"/>
      <c r="J1432" s="253"/>
      <c r="K1432" s="253"/>
      <c r="L1432" s="253"/>
      <c r="M1432" s="253"/>
      <c r="N1432" s="253"/>
      <c r="O1432" s="253"/>
      <c r="P1432" s="253"/>
      <c r="Q1432" s="253"/>
    </row>
    <row r="1433" spans="1:17">
      <c r="A1433" s="253"/>
      <c r="B1433" s="253"/>
      <c r="C1433" s="253"/>
      <c r="D1433" s="253"/>
      <c r="E1433" s="253"/>
      <c r="F1433" s="253"/>
      <c r="G1433" s="253"/>
      <c r="H1433" s="253"/>
      <c r="I1433" s="253"/>
      <c r="J1433" s="253"/>
      <c r="K1433" s="253"/>
      <c r="L1433" s="253"/>
      <c r="M1433" s="253"/>
      <c r="N1433" s="253"/>
      <c r="O1433" s="253"/>
      <c r="P1433" s="253"/>
      <c r="Q1433" s="253"/>
    </row>
    <row r="1434" spans="1:17">
      <c r="A1434" s="253"/>
      <c r="B1434" s="253"/>
      <c r="C1434" s="253"/>
      <c r="D1434" s="253"/>
      <c r="E1434" s="253"/>
      <c r="F1434" s="253"/>
      <c r="G1434" s="253"/>
      <c r="H1434" s="253"/>
      <c r="I1434" s="253"/>
      <c r="J1434" s="253"/>
      <c r="K1434" s="253"/>
      <c r="L1434" s="253"/>
      <c r="M1434" s="253"/>
      <c r="N1434" s="253"/>
      <c r="O1434" s="253"/>
      <c r="P1434" s="253"/>
      <c r="Q1434" s="253"/>
    </row>
    <row r="1435" spans="1:17">
      <c r="A1435" s="253"/>
      <c r="B1435" s="253"/>
      <c r="C1435" s="253"/>
      <c r="D1435" s="253"/>
      <c r="E1435" s="253"/>
      <c r="F1435" s="253"/>
      <c r="G1435" s="253"/>
      <c r="H1435" s="253"/>
      <c r="I1435" s="253"/>
      <c r="J1435" s="253"/>
      <c r="K1435" s="253"/>
      <c r="L1435" s="253"/>
      <c r="M1435" s="253"/>
      <c r="N1435" s="253"/>
      <c r="O1435" s="253"/>
      <c r="P1435" s="253"/>
      <c r="Q1435" s="253"/>
    </row>
    <row r="1436" spans="1:17">
      <c r="A1436" s="253"/>
      <c r="B1436" s="253"/>
      <c r="C1436" s="253"/>
      <c r="D1436" s="253"/>
      <c r="E1436" s="253"/>
      <c r="F1436" s="253"/>
      <c r="G1436" s="253"/>
      <c r="H1436" s="253"/>
      <c r="I1436" s="253"/>
      <c r="J1436" s="253"/>
      <c r="K1436" s="253"/>
      <c r="L1436" s="253"/>
      <c r="M1436" s="253"/>
      <c r="N1436" s="253"/>
      <c r="O1436" s="253"/>
      <c r="P1436" s="253"/>
      <c r="Q1436" s="253"/>
    </row>
    <row r="1437" spans="1:17">
      <c r="A1437" s="253"/>
      <c r="B1437" s="253"/>
      <c r="C1437" s="253"/>
      <c r="D1437" s="253"/>
      <c r="E1437" s="253"/>
      <c r="F1437" s="253"/>
      <c r="G1437" s="253"/>
      <c r="H1437" s="253"/>
      <c r="I1437" s="253"/>
      <c r="J1437" s="253"/>
      <c r="K1437" s="253"/>
      <c r="L1437" s="253"/>
      <c r="M1437" s="253"/>
      <c r="N1437" s="253"/>
      <c r="O1437" s="253"/>
      <c r="P1437" s="253"/>
      <c r="Q1437" s="253"/>
    </row>
    <row r="1438" spans="1:17">
      <c r="A1438" s="253"/>
      <c r="B1438" s="253"/>
      <c r="C1438" s="253"/>
      <c r="D1438" s="253"/>
      <c r="E1438" s="253"/>
      <c r="F1438" s="253"/>
      <c r="G1438" s="253"/>
      <c r="H1438" s="253"/>
      <c r="I1438" s="253"/>
      <c r="J1438" s="253"/>
      <c r="K1438" s="253"/>
      <c r="L1438" s="253"/>
      <c r="M1438" s="253"/>
      <c r="N1438" s="253"/>
      <c r="O1438" s="253"/>
      <c r="P1438" s="253"/>
      <c r="Q1438" s="253"/>
    </row>
    <row r="1439" spans="1:17">
      <c r="A1439" s="253"/>
      <c r="B1439" s="253"/>
      <c r="C1439" s="253"/>
      <c r="D1439" s="253"/>
      <c r="E1439" s="253"/>
      <c r="F1439" s="253"/>
      <c r="G1439" s="253"/>
      <c r="H1439" s="253"/>
      <c r="I1439" s="253"/>
      <c r="J1439" s="253"/>
      <c r="K1439" s="253"/>
      <c r="L1439" s="253"/>
      <c r="M1439" s="253"/>
      <c r="N1439" s="253"/>
      <c r="O1439" s="253"/>
      <c r="P1439" s="253"/>
      <c r="Q1439" s="253"/>
    </row>
    <row r="1440" spans="1:17">
      <c r="A1440" s="253"/>
      <c r="B1440" s="253"/>
      <c r="C1440" s="253"/>
      <c r="D1440" s="253"/>
      <c r="E1440" s="253"/>
      <c r="F1440" s="253"/>
      <c r="G1440" s="253"/>
      <c r="H1440" s="253"/>
      <c r="I1440" s="253"/>
      <c r="J1440" s="253"/>
      <c r="K1440" s="253"/>
      <c r="L1440" s="253"/>
      <c r="M1440" s="253"/>
      <c r="N1440" s="253"/>
      <c r="O1440" s="253"/>
      <c r="P1440" s="253"/>
      <c r="Q1440" s="253"/>
    </row>
    <row r="1441" spans="1:17">
      <c r="A1441" s="253"/>
      <c r="B1441" s="253"/>
      <c r="C1441" s="253"/>
      <c r="D1441" s="253"/>
      <c r="E1441" s="253"/>
      <c r="F1441" s="253"/>
      <c r="G1441" s="253"/>
      <c r="H1441" s="253"/>
      <c r="I1441" s="253"/>
      <c r="J1441" s="253"/>
      <c r="K1441" s="253"/>
      <c r="L1441" s="253"/>
      <c r="M1441" s="253"/>
      <c r="N1441" s="253"/>
      <c r="O1441" s="253"/>
      <c r="P1441" s="253"/>
      <c r="Q1441" s="253"/>
    </row>
    <row r="1442" spans="1:17">
      <c r="A1442" s="253"/>
      <c r="B1442" s="253"/>
      <c r="C1442" s="253"/>
      <c r="D1442" s="253"/>
      <c r="E1442" s="253"/>
      <c r="F1442" s="253"/>
      <c r="G1442" s="253"/>
      <c r="H1442" s="253"/>
      <c r="I1442" s="253"/>
      <c r="J1442" s="253"/>
      <c r="K1442" s="253"/>
      <c r="L1442" s="253"/>
      <c r="M1442" s="253"/>
      <c r="N1442" s="253"/>
      <c r="O1442" s="253"/>
      <c r="P1442" s="253"/>
      <c r="Q1442" s="253"/>
    </row>
    <row r="1443" spans="1:17">
      <c r="A1443" s="253"/>
      <c r="B1443" s="253"/>
      <c r="C1443" s="253"/>
      <c r="D1443" s="253"/>
      <c r="E1443" s="253"/>
      <c r="F1443" s="253"/>
      <c r="G1443" s="253"/>
      <c r="H1443" s="253"/>
      <c r="I1443" s="253"/>
      <c r="J1443" s="253"/>
      <c r="K1443" s="253"/>
      <c r="L1443" s="253"/>
      <c r="M1443" s="253"/>
      <c r="N1443" s="253"/>
      <c r="O1443" s="253"/>
      <c r="P1443" s="253"/>
      <c r="Q1443" s="253"/>
    </row>
    <row r="1444" spans="1:17">
      <c r="A1444" s="253"/>
      <c r="B1444" s="253"/>
      <c r="C1444" s="253"/>
      <c r="D1444" s="253"/>
      <c r="E1444" s="253"/>
      <c r="F1444" s="253"/>
      <c r="G1444" s="253"/>
      <c r="H1444" s="253"/>
      <c r="I1444" s="253"/>
      <c r="J1444" s="253"/>
      <c r="K1444" s="253"/>
      <c r="L1444" s="253"/>
      <c r="M1444" s="253"/>
      <c r="N1444" s="253"/>
      <c r="O1444" s="253"/>
      <c r="P1444" s="253"/>
      <c r="Q1444" s="253"/>
    </row>
    <row r="1445" spans="1:17">
      <c r="A1445" s="253"/>
      <c r="B1445" s="253"/>
      <c r="C1445" s="253"/>
      <c r="D1445" s="253"/>
      <c r="E1445" s="253"/>
      <c r="F1445" s="253"/>
      <c r="G1445" s="253"/>
      <c r="H1445" s="253"/>
      <c r="I1445" s="253"/>
      <c r="J1445" s="253"/>
      <c r="K1445" s="253"/>
      <c r="L1445" s="253"/>
      <c r="M1445" s="253"/>
      <c r="N1445" s="253"/>
      <c r="O1445" s="253"/>
      <c r="P1445" s="253"/>
      <c r="Q1445" s="253"/>
    </row>
    <row r="1446" spans="1:17">
      <c r="A1446" s="253"/>
      <c r="B1446" s="253"/>
      <c r="C1446" s="253"/>
      <c r="D1446" s="253"/>
      <c r="E1446" s="253"/>
      <c r="F1446" s="253"/>
      <c r="G1446" s="253"/>
      <c r="H1446" s="253"/>
      <c r="I1446" s="253"/>
      <c r="J1446" s="253"/>
      <c r="K1446" s="253"/>
      <c r="L1446" s="253"/>
      <c r="M1446" s="253"/>
      <c r="N1446" s="253"/>
      <c r="O1446" s="253"/>
      <c r="P1446" s="253"/>
      <c r="Q1446" s="253"/>
    </row>
    <row r="1447" spans="1:17">
      <c r="A1447" s="253"/>
      <c r="B1447" s="253"/>
      <c r="C1447" s="253"/>
      <c r="D1447" s="253"/>
      <c r="E1447" s="253"/>
      <c r="F1447" s="253"/>
      <c r="G1447" s="253"/>
      <c r="H1447" s="253"/>
      <c r="I1447" s="253"/>
      <c r="J1447" s="253"/>
      <c r="K1447" s="253"/>
      <c r="L1447" s="253"/>
      <c r="M1447" s="253"/>
      <c r="N1447" s="253"/>
      <c r="O1447" s="253"/>
      <c r="P1447" s="253"/>
      <c r="Q1447" s="253"/>
    </row>
    <row r="1448" spans="1:17">
      <c r="A1448" s="253"/>
      <c r="B1448" s="253"/>
      <c r="C1448" s="253"/>
      <c r="D1448" s="253"/>
      <c r="E1448" s="253"/>
      <c r="F1448" s="253"/>
      <c r="G1448" s="253"/>
      <c r="H1448" s="253"/>
      <c r="I1448" s="253"/>
      <c r="J1448" s="253"/>
      <c r="K1448" s="253"/>
      <c r="L1448" s="253"/>
      <c r="M1448" s="253"/>
      <c r="N1448" s="253"/>
      <c r="O1448" s="253"/>
      <c r="P1448" s="253"/>
      <c r="Q1448" s="253"/>
    </row>
    <row r="1449" spans="1:17">
      <c r="A1449" s="253"/>
      <c r="B1449" s="253"/>
      <c r="C1449" s="253"/>
      <c r="D1449" s="253"/>
      <c r="E1449" s="253"/>
      <c r="F1449" s="253"/>
      <c r="G1449" s="253"/>
      <c r="H1449" s="253"/>
      <c r="I1449" s="253"/>
      <c r="J1449" s="253"/>
      <c r="K1449" s="253"/>
      <c r="L1449" s="253"/>
      <c r="M1449" s="253"/>
      <c r="N1449" s="253"/>
      <c r="O1449" s="253"/>
      <c r="P1449" s="253"/>
      <c r="Q1449" s="253"/>
    </row>
    <row r="1450" spans="1:17">
      <c r="A1450" s="253"/>
      <c r="B1450" s="253"/>
      <c r="C1450" s="253"/>
      <c r="D1450" s="253"/>
      <c r="E1450" s="253"/>
      <c r="F1450" s="253"/>
      <c r="G1450" s="253"/>
      <c r="H1450" s="253"/>
      <c r="I1450" s="253"/>
      <c r="J1450" s="253"/>
      <c r="K1450" s="253"/>
      <c r="L1450" s="253"/>
      <c r="M1450" s="253"/>
      <c r="N1450" s="253"/>
      <c r="O1450" s="253"/>
      <c r="P1450" s="253"/>
      <c r="Q1450" s="253"/>
    </row>
    <row r="1451" spans="1:17">
      <c r="A1451" s="253"/>
      <c r="B1451" s="253"/>
      <c r="C1451" s="253"/>
      <c r="D1451" s="253"/>
      <c r="E1451" s="253"/>
      <c r="F1451" s="253"/>
      <c r="G1451" s="253"/>
      <c r="H1451" s="253"/>
      <c r="I1451" s="253"/>
      <c r="J1451" s="253"/>
      <c r="K1451" s="253"/>
      <c r="L1451" s="253"/>
      <c r="M1451" s="253"/>
      <c r="N1451" s="253"/>
      <c r="O1451" s="253"/>
      <c r="P1451" s="253"/>
      <c r="Q1451" s="253"/>
    </row>
    <row r="1452" spans="1:17">
      <c r="A1452" s="253"/>
      <c r="B1452" s="253"/>
      <c r="C1452" s="253"/>
      <c r="D1452" s="253"/>
      <c r="E1452" s="253"/>
      <c r="F1452" s="253"/>
      <c r="G1452" s="253"/>
      <c r="H1452" s="253"/>
      <c r="I1452" s="253"/>
      <c r="J1452" s="253"/>
      <c r="K1452" s="253"/>
      <c r="L1452" s="253"/>
      <c r="M1452" s="253"/>
      <c r="N1452" s="253"/>
      <c r="O1452" s="253"/>
      <c r="P1452" s="253"/>
      <c r="Q1452" s="253"/>
    </row>
    <row r="1453" spans="1:17">
      <c r="A1453" s="253"/>
      <c r="B1453" s="253"/>
      <c r="C1453" s="253"/>
      <c r="D1453" s="253"/>
      <c r="E1453" s="253"/>
      <c r="F1453" s="253"/>
      <c r="G1453" s="253"/>
      <c r="H1453" s="253"/>
      <c r="I1453" s="253"/>
      <c r="J1453" s="253"/>
      <c r="K1453" s="253"/>
      <c r="L1453" s="253"/>
      <c r="M1453" s="253"/>
      <c r="N1453" s="253"/>
      <c r="O1453" s="253"/>
      <c r="P1453" s="253"/>
      <c r="Q1453" s="253"/>
    </row>
    <row r="1454" spans="1:17">
      <c r="A1454" s="253"/>
      <c r="B1454" s="253"/>
      <c r="C1454" s="253"/>
      <c r="D1454" s="253"/>
      <c r="E1454" s="253"/>
      <c r="F1454" s="253"/>
      <c r="G1454" s="253"/>
      <c r="H1454" s="253"/>
      <c r="I1454" s="253"/>
      <c r="J1454" s="253"/>
      <c r="K1454" s="253"/>
      <c r="L1454" s="253"/>
      <c r="M1454" s="253"/>
      <c r="N1454" s="253"/>
      <c r="O1454" s="253"/>
      <c r="P1454" s="253"/>
      <c r="Q1454" s="253"/>
    </row>
    <row r="1455" spans="1:17">
      <c r="A1455" s="253"/>
      <c r="B1455" s="253"/>
      <c r="C1455" s="253"/>
      <c r="D1455" s="253"/>
      <c r="E1455" s="253"/>
      <c r="F1455" s="253"/>
      <c r="G1455" s="253"/>
      <c r="H1455" s="253"/>
      <c r="I1455" s="253"/>
      <c r="J1455" s="253"/>
      <c r="K1455" s="253"/>
      <c r="L1455" s="253"/>
      <c r="M1455" s="253"/>
      <c r="N1455" s="253"/>
      <c r="O1455" s="253"/>
      <c r="P1455" s="253"/>
      <c r="Q1455" s="253"/>
    </row>
    <row r="1456" spans="1:17">
      <c r="A1456" s="253"/>
      <c r="B1456" s="253"/>
      <c r="C1456" s="253"/>
      <c r="D1456" s="253"/>
      <c r="E1456" s="253"/>
      <c r="F1456" s="253"/>
      <c r="G1456" s="253"/>
      <c r="H1456" s="253"/>
      <c r="I1456" s="253"/>
      <c r="J1456" s="253"/>
      <c r="K1456" s="253"/>
      <c r="L1456" s="253"/>
      <c r="M1456" s="253"/>
      <c r="N1456" s="253"/>
      <c r="O1456" s="253"/>
      <c r="P1456" s="253"/>
      <c r="Q1456" s="253"/>
    </row>
    <row r="1457" spans="1:17">
      <c r="A1457" s="253"/>
      <c r="B1457" s="253"/>
      <c r="C1457" s="253"/>
      <c r="D1457" s="253"/>
      <c r="E1457" s="253"/>
      <c r="F1457" s="253"/>
      <c r="G1457" s="253"/>
      <c r="H1457" s="253"/>
      <c r="I1457" s="253"/>
      <c r="J1457" s="253"/>
      <c r="K1457" s="253"/>
      <c r="L1457" s="253"/>
      <c r="M1457" s="253"/>
      <c r="N1457" s="253"/>
      <c r="O1457" s="253"/>
      <c r="P1457" s="253"/>
      <c r="Q1457" s="253"/>
    </row>
    <row r="1458" spans="1:17">
      <c r="A1458" s="253"/>
      <c r="B1458" s="253"/>
      <c r="C1458" s="253"/>
      <c r="D1458" s="253"/>
      <c r="E1458" s="253"/>
      <c r="F1458" s="253"/>
      <c r="G1458" s="253"/>
      <c r="H1458" s="253"/>
      <c r="I1458" s="253"/>
      <c r="J1458" s="253"/>
      <c r="K1458" s="253"/>
      <c r="L1458" s="253"/>
      <c r="M1458" s="253"/>
      <c r="N1458" s="253"/>
      <c r="O1458" s="253"/>
      <c r="P1458" s="253"/>
      <c r="Q1458" s="253"/>
    </row>
    <row r="1459" spans="1:17">
      <c r="A1459" s="253"/>
      <c r="B1459" s="253"/>
      <c r="C1459" s="253"/>
      <c r="D1459" s="253"/>
      <c r="E1459" s="253"/>
      <c r="F1459" s="253"/>
      <c r="G1459" s="253"/>
      <c r="H1459" s="253"/>
      <c r="I1459" s="253"/>
      <c r="J1459" s="253"/>
      <c r="K1459" s="253"/>
      <c r="L1459" s="253"/>
      <c r="M1459" s="253"/>
      <c r="N1459" s="253"/>
      <c r="O1459" s="253"/>
      <c r="P1459" s="253"/>
      <c r="Q1459" s="253"/>
    </row>
    <row r="1460" spans="1:17">
      <c r="A1460" s="253"/>
      <c r="B1460" s="253"/>
      <c r="C1460" s="253"/>
      <c r="D1460" s="253"/>
      <c r="E1460" s="253"/>
      <c r="F1460" s="253"/>
      <c r="G1460" s="253"/>
      <c r="H1460" s="253"/>
      <c r="I1460" s="253"/>
      <c r="J1460" s="253"/>
      <c r="K1460" s="253"/>
      <c r="L1460" s="253"/>
      <c r="M1460" s="253"/>
      <c r="N1460" s="253"/>
      <c r="O1460" s="253"/>
      <c r="P1460" s="253"/>
      <c r="Q1460" s="253"/>
    </row>
    <row r="1461" spans="1:17">
      <c r="A1461" s="253"/>
      <c r="B1461" s="253"/>
      <c r="C1461" s="253"/>
      <c r="D1461" s="253"/>
      <c r="E1461" s="253"/>
      <c r="F1461" s="253"/>
      <c r="G1461" s="253"/>
      <c r="H1461" s="253"/>
      <c r="I1461" s="253"/>
      <c r="J1461" s="253"/>
      <c r="K1461" s="253"/>
      <c r="L1461" s="253"/>
      <c r="M1461" s="253"/>
      <c r="N1461" s="253"/>
      <c r="O1461" s="253"/>
      <c r="P1461" s="253"/>
      <c r="Q1461" s="253"/>
    </row>
    <row r="1462" spans="1:17">
      <c r="A1462" s="253"/>
      <c r="B1462" s="253"/>
      <c r="C1462" s="253"/>
      <c r="D1462" s="253"/>
      <c r="E1462" s="253"/>
      <c r="F1462" s="253"/>
      <c r="G1462" s="253"/>
      <c r="H1462" s="253"/>
      <c r="I1462" s="253"/>
      <c r="J1462" s="253"/>
      <c r="K1462" s="253"/>
      <c r="L1462" s="253"/>
      <c r="M1462" s="253"/>
      <c r="N1462" s="253"/>
      <c r="O1462" s="253"/>
      <c r="P1462" s="253"/>
      <c r="Q1462" s="253"/>
    </row>
    <row r="1463" spans="1:17">
      <c r="A1463" s="253"/>
      <c r="B1463" s="253"/>
      <c r="C1463" s="253"/>
      <c r="D1463" s="253"/>
      <c r="E1463" s="253"/>
      <c r="F1463" s="253"/>
      <c r="G1463" s="253"/>
      <c r="H1463" s="253"/>
      <c r="I1463" s="253"/>
      <c r="J1463" s="253"/>
      <c r="K1463" s="253"/>
      <c r="L1463" s="253"/>
      <c r="M1463" s="253"/>
      <c r="N1463" s="253"/>
      <c r="O1463" s="253"/>
      <c r="P1463" s="253"/>
      <c r="Q1463" s="253"/>
    </row>
    <row r="1464" spans="1:17">
      <c r="A1464" s="253"/>
      <c r="B1464" s="253"/>
      <c r="C1464" s="253"/>
      <c r="D1464" s="253"/>
      <c r="E1464" s="253"/>
      <c r="F1464" s="253"/>
      <c r="G1464" s="253"/>
      <c r="H1464" s="253"/>
      <c r="I1464" s="253"/>
      <c r="J1464" s="253"/>
      <c r="K1464" s="253"/>
      <c r="L1464" s="253"/>
      <c r="M1464" s="253"/>
      <c r="N1464" s="253"/>
      <c r="O1464" s="253"/>
      <c r="P1464" s="253"/>
      <c r="Q1464" s="253"/>
    </row>
    <row r="1465" spans="1:17">
      <c r="A1465" s="253"/>
      <c r="B1465" s="253"/>
      <c r="C1465" s="253"/>
      <c r="D1465" s="253"/>
      <c r="E1465" s="253"/>
      <c r="F1465" s="253"/>
      <c r="G1465" s="253"/>
      <c r="H1465" s="253"/>
      <c r="I1465" s="253"/>
      <c r="J1465" s="253"/>
      <c r="K1465" s="253"/>
      <c r="L1465" s="253"/>
      <c r="M1465" s="253"/>
      <c r="N1465" s="253"/>
      <c r="O1465" s="253"/>
      <c r="P1465" s="253"/>
      <c r="Q1465" s="253"/>
    </row>
    <row r="1466" spans="1:17">
      <c r="A1466" s="253"/>
      <c r="B1466" s="253"/>
      <c r="C1466" s="253"/>
      <c r="D1466" s="253"/>
      <c r="E1466" s="253"/>
      <c r="F1466" s="253"/>
      <c r="G1466" s="253"/>
      <c r="H1466" s="253"/>
      <c r="I1466" s="253"/>
      <c r="J1466" s="253"/>
      <c r="K1466" s="253"/>
      <c r="L1466" s="253"/>
      <c r="M1466" s="253"/>
      <c r="N1466" s="253"/>
      <c r="O1466" s="253"/>
      <c r="P1466" s="253"/>
      <c r="Q1466" s="253"/>
    </row>
    <row r="1467" spans="1:17">
      <c r="A1467" s="253"/>
      <c r="B1467" s="253"/>
      <c r="C1467" s="253"/>
      <c r="D1467" s="253"/>
      <c r="E1467" s="253"/>
      <c r="F1467" s="253"/>
      <c r="G1467" s="253"/>
      <c r="H1467" s="253"/>
      <c r="I1467" s="253"/>
      <c r="J1467" s="253"/>
      <c r="K1467" s="253"/>
      <c r="L1467" s="253"/>
      <c r="M1467" s="253"/>
      <c r="N1467" s="253"/>
      <c r="O1467" s="253"/>
      <c r="P1467" s="253"/>
      <c r="Q1467" s="253"/>
    </row>
    <row r="1468" spans="1:17">
      <c r="A1468" s="253"/>
      <c r="B1468" s="253"/>
      <c r="C1468" s="253"/>
      <c r="D1468" s="253"/>
      <c r="E1468" s="253"/>
      <c r="F1468" s="253"/>
      <c r="G1468" s="253"/>
      <c r="H1468" s="253"/>
      <c r="I1468" s="253"/>
      <c r="J1468" s="253"/>
      <c r="K1468" s="253"/>
      <c r="L1468" s="253"/>
      <c r="M1468" s="253"/>
      <c r="N1468" s="253"/>
      <c r="O1468" s="253"/>
      <c r="P1468" s="253"/>
      <c r="Q1468" s="253"/>
    </row>
    <row r="1469" spans="1:17">
      <c r="A1469" s="253"/>
      <c r="B1469" s="253"/>
      <c r="C1469" s="253"/>
      <c r="D1469" s="253"/>
      <c r="E1469" s="253"/>
      <c r="F1469" s="253"/>
      <c r="G1469" s="253"/>
      <c r="H1469" s="253"/>
      <c r="I1469" s="253"/>
      <c r="J1469" s="253"/>
      <c r="K1469" s="253"/>
      <c r="L1469" s="253"/>
      <c r="M1469" s="253"/>
      <c r="N1469" s="253"/>
      <c r="O1469" s="253"/>
      <c r="P1469" s="253"/>
      <c r="Q1469" s="253"/>
    </row>
    <row r="1470" spans="1:17">
      <c r="A1470" s="253"/>
      <c r="B1470" s="253"/>
      <c r="C1470" s="253"/>
      <c r="D1470" s="253"/>
      <c r="E1470" s="253"/>
      <c r="F1470" s="253"/>
      <c r="G1470" s="253"/>
      <c r="H1470" s="253"/>
      <c r="I1470" s="253"/>
      <c r="J1470" s="253"/>
      <c r="K1470" s="253"/>
      <c r="L1470" s="253"/>
      <c r="M1470" s="253"/>
      <c r="N1470" s="253"/>
      <c r="O1470" s="253"/>
      <c r="P1470" s="253"/>
      <c r="Q1470" s="253"/>
    </row>
    <row r="1471" spans="1:17">
      <c r="A1471" s="253"/>
      <c r="B1471" s="253"/>
      <c r="C1471" s="253"/>
      <c r="D1471" s="253"/>
      <c r="E1471" s="253"/>
      <c r="F1471" s="253"/>
      <c r="G1471" s="253"/>
      <c r="H1471" s="253"/>
      <c r="I1471" s="253"/>
      <c r="J1471" s="253"/>
      <c r="K1471" s="253"/>
      <c r="L1471" s="253"/>
      <c r="M1471" s="253"/>
      <c r="N1471" s="253"/>
      <c r="O1471" s="253"/>
      <c r="P1471" s="253"/>
      <c r="Q1471" s="253"/>
    </row>
    <row r="1472" spans="1:17">
      <c r="A1472" s="253"/>
      <c r="B1472" s="253"/>
      <c r="C1472" s="253"/>
      <c r="D1472" s="253"/>
      <c r="E1472" s="253"/>
      <c r="F1472" s="253"/>
      <c r="G1472" s="253"/>
      <c r="H1472" s="253"/>
      <c r="I1472" s="253"/>
      <c r="J1472" s="253"/>
      <c r="K1472" s="253"/>
      <c r="L1472" s="253"/>
      <c r="M1472" s="253"/>
      <c r="N1472" s="253"/>
      <c r="O1472" s="253"/>
      <c r="P1472" s="253"/>
      <c r="Q1472" s="253"/>
    </row>
    <row r="1473" spans="1:17">
      <c r="A1473" s="253"/>
      <c r="B1473" s="253"/>
      <c r="C1473" s="253"/>
      <c r="D1473" s="253"/>
      <c r="E1473" s="253"/>
      <c r="F1473" s="253"/>
      <c r="G1473" s="253"/>
      <c r="H1473" s="253"/>
      <c r="I1473" s="253"/>
      <c r="J1473" s="253"/>
      <c r="K1473" s="253"/>
      <c r="L1473" s="253"/>
      <c r="M1473" s="253"/>
      <c r="N1473" s="253"/>
      <c r="O1473" s="253"/>
      <c r="P1473" s="253"/>
      <c r="Q1473" s="253"/>
    </row>
    <row r="1474" spans="1:17">
      <c r="A1474" s="253"/>
      <c r="B1474" s="253"/>
      <c r="C1474" s="253"/>
      <c r="D1474" s="253"/>
      <c r="E1474" s="253"/>
      <c r="F1474" s="253"/>
      <c r="G1474" s="253"/>
      <c r="H1474" s="253"/>
      <c r="I1474" s="253"/>
      <c r="J1474" s="253"/>
      <c r="K1474" s="253"/>
      <c r="L1474" s="253"/>
      <c r="M1474" s="253"/>
      <c r="N1474" s="253"/>
      <c r="O1474" s="253"/>
      <c r="P1474" s="253"/>
      <c r="Q1474" s="253"/>
    </row>
    <row r="1475" spans="1:17">
      <c r="A1475" s="253"/>
      <c r="B1475" s="253"/>
      <c r="C1475" s="253"/>
      <c r="D1475" s="253"/>
      <c r="E1475" s="253"/>
      <c r="F1475" s="253"/>
      <c r="G1475" s="253"/>
      <c r="H1475" s="253"/>
      <c r="I1475" s="253"/>
      <c r="J1475" s="253"/>
      <c r="K1475" s="253"/>
      <c r="L1475" s="253"/>
      <c r="M1475" s="253"/>
      <c r="N1475" s="253"/>
      <c r="O1475" s="253"/>
      <c r="P1475" s="253"/>
      <c r="Q1475" s="253"/>
    </row>
    <row r="1476" spans="1:17">
      <c r="A1476" s="253"/>
      <c r="B1476" s="253"/>
      <c r="C1476" s="253"/>
      <c r="D1476" s="253"/>
      <c r="E1476" s="253"/>
      <c r="F1476" s="253"/>
      <c r="G1476" s="253"/>
      <c r="H1476" s="253"/>
      <c r="I1476" s="253"/>
      <c r="J1476" s="253"/>
      <c r="K1476" s="253"/>
      <c r="L1476" s="253"/>
      <c r="M1476" s="253"/>
      <c r="N1476" s="253"/>
      <c r="O1476" s="253"/>
      <c r="P1476" s="253"/>
      <c r="Q1476" s="253"/>
    </row>
    <row r="1477" spans="1:17">
      <c r="A1477" s="253"/>
      <c r="B1477" s="253"/>
      <c r="C1477" s="253"/>
      <c r="D1477" s="253"/>
      <c r="E1477" s="253"/>
      <c r="F1477" s="253"/>
      <c r="G1477" s="253"/>
      <c r="H1477" s="253"/>
      <c r="I1477" s="253"/>
      <c r="J1477" s="253"/>
      <c r="K1477" s="253"/>
      <c r="L1477" s="253"/>
      <c r="M1477" s="253"/>
      <c r="N1477" s="253"/>
      <c r="O1477" s="253"/>
      <c r="P1477" s="253"/>
      <c r="Q1477" s="253"/>
    </row>
    <row r="1478" spans="1:17">
      <c r="A1478" s="253"/>
      <c r="B1478" s="253"/>
      <c r="C1478" s="253"/>
      <c r="D1478" s="253"/>
      <c r="E1478" s="253"/>
      <c r="F1478" s="253"/>
      <c r="G1478" s="253"/>
      <c r="H1478" s="253"/>
      <c r="I1478" s="253"/>
      <c r="J1478" s="253"/>
      <c r="K1478" s="253"/>
      <c r="L1478" s="253"/>
      <c r="M1478" s="253"/>
      <c r="N1478" s="253"/>
      <c r="O1478" s="253"/>
      <c r="P1478" s="253"/>
      <c r="Q1478" s="253"/>
    </row>
    <row r="1479" spans="1:17">
      <c r="A1479" s="253"/>
      <c r="B1479" s="253"/>
      <c r="C1479" s="253"/>
      <c r="D1479" s="253"/>
      <c r="E1479" s="253"/>
      <c r="F1479" s="253"/>
      <c r="G1479" s="253"/>
      <c r="H1479" s="253"/>
      <c r="I1479" s="253"/>
      <c r="J1479" s="253"/>
      <c r="K1479" s="253"/>
      <c r="L1479" s="253"/>
      <c r="M1479" s="253"/>
      <c r="N1479" s="253"/>
      <c r="O1479" s="253"/>
      <c r="P1479" s="253"/>
      <c r="Q1479" s="253"/>
    </row>
    <row r="1480" spans="1:17">
      <c r="A1480" s="253"/>
      <c r="B1480" s="253"/>
      <c r="C1480" s="253"/>
      <c r="D1480" s="253"/>
      <c r="E1480" s="253"/>
      <c r="F1480" s="253"/>
      <c r="G1480" s="253"/>
      <c r="H1480" s="253"/>
      <c r="I1480" s="253"/>
      <c r="J1480" s="253"/>
      <c r="K1480" s="253"/>
      <c r="L1480" s="253"/>
      <c r="M1480" s="253"/>
      <c r="N1480" s="253"/>
      <c r="O1480" s="253"/>
      <c r="P1480" s="253"/>
      <c r="Q1480" s="253"/>
    </row>
    <row r="1481" spans="1:17">
      <c r="A1481" s="253"/>
      <c r="B1481" s="253"/>
      <c r="C1481" s="253"/>
      <c r="D1481" s="253"/>
      <c r="E1481" s="253"/>
      <c r="F1481" s="253"/>
      <c r="G1481" s="253"/>
      <c r="H1481" s="253"/>
      <c r="I1481" s="253"/>
      <c r="J1481" s="253"/>
      <c r="K1481" s="253"/>
      <c r="L1481" s="253"/>
      <c r="M1481" s="253"/>
      <c r="N1481" s="253"/>
      <c r="O1481" s="253"/>
      <c r="P1481" s="253"/>
      <c r="Q1481" s="253"/>
    </row>
    <row r="1482" spans="1:17">
      <c r="A1482" s="253"/>
      <c r="B1482" s="253"/>
      <c r="C1482" s="253"/>
      <c r="D1482" s="253"/>
      <c r="E1482" s="253"/>
      <c r="F1482" s="253"/>
      <c r="G1482" s="253"/>
      <c r="H1482" s="253"/>
      <c r="I1482" s="253"/>
      <c r="J1482" s="253"/>
      <c r="K1482" s="253"/>
      <c r="L1482" s="253"/>
      <c r="M1482" s="253"/>
      <c r="N1482" s="253"/>
      <c r="O1482" s="253"/>
      <c r="P1482" s="253"/>
      <c r="Q1482" s="253"/>
    </row>
    <row r="1483" spans="1:17">
      <c r="A1483" s="253"/>
      <c r="B1483" s="253"/>
      <c r="C1483" s="253"/>
      <c r="D1483" s="253"/>
      <c r="E1483" s="253"/>
      <c r="F1483" s="253"/>
      <c r="G1483" s="253"/>
      <c r="H1483" s="253"/>
      <c r="I1483" s="253"/>
      <c r="J1483" s="253"/>
      <c r="K1483" s="253"/>
      <c r="L1483" s="253"/>
      <c r="M1483" s="253"/>
      <c r="N1483" s="253"/>
      <c r="O1483" s="253"/>
      <c r="P1483" s="253"/>
      <c r="Q1483" s="253"/>
    </row>
    <row r="1484" spans="1:17">
      <c r="A1484" s="253"/>
      <c r="B1484" s="253"/>
      <c r="C1484" s="253"/>
      <c r="D1484" s="253"/>
      <c r="E1484" s="253"/>
      <c r="F1484" s="253"/>
      <c r="G1484" s="253"/>
      <c r="H1484" s="253"/>
      <c r="I1484" s="253"/>
      <c r="J1484" s="253"/>
      <c r="K1484" s="253"/>
      <c r="L1484" s="253"/>
      <c r="M1484" s="253"/>
      <c r="N1484" s="253"/>
      <c r="O1484" s="253"/>
      <c r="P1484" s="253"/>
      <c r="Q1484" s="253"/>
    </row>
    <row r="1485" spans="1:17">
      <c r="A1485" s="253"/>
      <c r="B1485" s="253"/>
      <c r="C1485" s="253"/>
      <c r="D1485" s="253"/>
      <c r="E1485" s="253"/>
      <c r="F1485" s="253"/>
      <c r="G1485" s="253"/>
      <c r="H1485" s="253"/>
      <c r="I1485" s="253"/>
      <c r="J1485" s="253"/>
      <c r="K1485" s="253"/>
      <c r="L1485" s="253"/>
      <c r="M1485" s="253"/>
      <c r="N1485" s="253"/>
      <c r="O1485" s="253"/>
      <c r="P1485" s="253"/>
      <c r="Q1485" s="253"/>
    </row>
    <row r="1486" spans="1:17">
      <c r="A1486" s="253"/>
      <c r="B1486" s="253"/>
      <c r="C1486" s="253"/>
      <c r="D1486" s="253"/>
      <c r="E1486" s="253"/>
      <c r="F1486" s="253"/>
      <c r="G1486" s="253"/>
      <c r="H1486" s="253"/>
      <c r="I1486" s="253"/>
      <c r="J1486" s="253"/>
      <c r="K1486" s="253"/>
      <c r="L1486" s="253"/>
      <c r="M1486" s="253"/>
      <c r="N1486" s="253"/>
      <c r="O1486" s="253"/>
      <c r="P1486" s="253"/>
      <c r="Q1486" s="253"/>
    </row>
    <row r="1487" spans="1:17">
      <c r="A1487" s="253"/>
      <c r="B1487" s="253"/>
      <c r="C1487" s="253"/>
      <c r="D1487" s="253"/>
      <c r="E1487" s="253"/>
      <c r="F1487" s="253"/>
      <c r="G1487" s="253"/>
      <c r="H1487" s="253"/>
      <c r="I1487" s="253"/>
      <c r="J1487" s="253"/>
      <c r="K1487" s="253"/>
      <c r="L1487" s="253"/>
      <c r="M1487" s="253"/>
      <c r="N1487" s="253"/>
      <c r="O1487" s="253"/>
      <c r="P1487" s="253"/>
      <c r="Q1487" s="253"/>
    </row>
    <row r="1488" spans="1:17">
      <c r="A1488" s="253"/>
      <c r="B1488" s="253"/>
      <c r="C1488" s="253"/>
      <c r="D1488" s="253"/>
      <c r="E1488" s="253"/>
      <c r="F1488" s="253"/>
      <c r="G1488" s="253"/>
      <c r="H1488" s="253"/>
      <c r="I1488" s="253"/>
      <c r="J1488" s="253"/>
      <c r="K1488" s="253"/>
      <c r="L1488" s="253"/>
      <c r="M1488" s="253"/>
      <c r="N1488" s="253"/>
      <c r="O1488" s="253"/>
      <c r="P1488" s="253"/>
      <c r="Q1488" s="253"/>
    </row>
    <row r="1489" spans="1:17">
      <c r="A1489" s="253"/>
      <c r="B1489" s="253"/>
      <c r="C1489" s="253"/>
      <c r="D1489" s="253"/>
      <c r="E1489" s="253"/>
      <c r="F1489" s="253"/>
      <c r="G1489" s="253"/>
      <c r="H1489" s="253"/>
      <c r="I1489" s="253"/>
      <c r="J1489" s="253"/>
      <c r="K1489" s="253"/>
      <c r="L1489" s="253"/>
      <c r="M1489" s="253"/>
      <c r="N1489" s="253"/>
      <c r="O1489" s="253"/>
      <c r="P1489" s="253"/>
      <c r="Q1489" s="253"/>
    </row>
    <row r="1490" spans="1:17">
      <c r="A1490" s="253"/>
      <c r="B1490" s="253"/>
      <c r="C1490" s="253"/>
      <c r="D1490" s="253"/>
      <c r="E1490" s="253"/>
      <c r="F1490" s="253"/>
      <c r="G1490" s="253"/>
      <c r="H1490" s="253"/>
      <c r="I1490" s="253"/>
      <c r="J1490" s="253"/>
      <c r="K1490" s="253"/>
      <c r="L1490" s="253"/>
      <c r="M1490" s="253"/>
      <c r="N1490" s="253"/>
      <c r="O1490" s="253"/>
      <c r="P1490" s="253"/>
      <c r="Q1490" s="253"/>
    </row>
    <row r="1491" spans="1:17">
      <c r="A1491" s="253"/>
      <c r="B1491" s="253"/>
      <c r="C1491" s="253"/>
      <c r="D1491" s="253"/>
      <c r="E1491" s="253"/>
      <c r="F1491" s="253"/>
      <c r="G1491" s="253"/>
      <c r="H1491" s="253"/>
      <c r="I1491" s="253"/>
      <c r="J1491" s="253"/>
      <c r="K1491" s="253"/>
      <c r="L1491" s="253"/>
      <c r="M1491" s="253"/>
      <c r="N1491" s="253"/>
      <c r="O1491" s="253"/>
      <c r="P1491" s="253"/>
      <c r="Q1491" s="253"/>
    </row>
    <row r="1492" spans="1:17">
      <c r="A1492" s="253"/>
      <c r="B1492" s="253"/>
      <c r="C1492" s="253"/>
      <c r="D1492" s="253"/>
      <c r="E1492" s="253"/>
      <c r="F1492" s="253"/>
      <c r="G1492" s="253"/>
      <c r="H1492" s="253"/>
      <c r="I1492" s="253"/>
      <c r="J1492" s="253"/>
      <c r="K1492" s="253"/>
      <c r="L1492" s="253"/>
      <c r="M1492" s="253"/>
      <c r="N1492" s="253"/>
      <c r="O1492" s="253"/>
      <c r="P1492" s="253"/>
      <c r="Q1492" s="253"/>
    </row>
    <row r="1493" spans="1:17">
      <c r="A1493" s="253"/>
      <c r="B1493" s="253"/>
      <c r="C1493" s="253"/>
      <c r="D1493" s="253"/>
      <c r="E1493" s="253"/>
      <c r="F1493" s="253"/>
      <c r="G1493" s="253"/>
      <c r="H1493" s="253"/>
      <c r="I1493" s="253"/>
      <c r="J1493" s="253"/>
      <c r="K1493" s="253"/>
      <c r="L1493" s="253"/>
      <c r="M1493" s="253"/>
      <c r="N1493" s="253"/>
      <c r="O1493" s="253"/>
      <c r="P1493" s="253"/>
      <c r="Q1493" s="253"/>
    </row>
    <row r="1494" spans="1:17">
      <c r="A1494" s="253"/>
      <c r="B1494" s="253"/>
      <c r="C1494" s="253"/>
      <c r="D1494" s="253"/>
      <c r="E1494" s="253"/>
      <c r="F1494" s="253"/>
      <c r="G1494" s="253"/>
      <c r="H1494" s="253"/>
      <c r="I1494" s="253"/>
      <c r="J1494" s="253"/>
      <c r="K1494" s="253"/>
      <c r="L1494" s="253"/>
      <c r="M1494" s="253"/>
      <c r="N1494" s="253"/>
      <c r="O1494" s="253"/>
      <c r="P1494" s="253"/>
      <c r="Q1494" s="253"/>
    </row>
    <row r="1495" spans="1:17">
      <c r="A1495" s="253"/>
      <c r="B1495" s="253"/>
      <c r="C1495" s="253"/>
      <c r="D1495" s="253"/>
      <c r="E1495" s="253"/>
      <c r="F1495" s="253"/>
      <c r="G1495" s="253"/>
      <c r="H1495" s="253"/>
      <c r="I1495" s="253"/>
      <c r="J1495" s="253"/>
      <c r="K1495" s="253"/>
      <c r="L1495" s="253"/>
      <c r="M1495" s="253"/>
      <c r="N1495" s="253"/>
      <c r="O1495" s="253"/>
      <c r="P1495" s="253"/>
      <c r="Q1495" s="253"/>
    </row>
    <row r="1496" spans="1:17">
      <c r="A1496" s="253"/>
      <c r="B1496" s="253"/>
      <c r="C1496" s="253"/>
      <c r="D1496" s="253"/>
      <c r="E1496" s="253"/>
      <c r="F1496" s="253"/>
      <c r="G1496" s="253"/>
      <c r="H1496" s="253"/>
      <c r="I1496" s="253"/>
      <c r="J1496" s="253"/>
      <c r="K1496" s="253"/>
      <c r="L1496" s="253"/>
      <c r="M1496" s="253"/>
      <c r="N1496" s="253"/>
      <c r="O1496" s="253"/>
      <c r="P1496" s="253"/>
      <c r="Q1496" s="253"/>
    </row>
    <row r="1497" spans="1:17">
      <c r="A1497" s="253"/>
      <c r="B1497" s="253"/>
      <c r="C1497" s="253"/>
      <c r="D1497" s="253"/>
      <c r="E1497" s="253"/>
      <c r="F1497" s="253"/>
      <c r="G1497" s="253"/>
      <c r="H1497" s="253"/>
      <c r="I1497" s="253"/>
      <c r="J1497" s="253"/>
      <c r="K1497" s="253"/>
      <c r="L1497" s="253"/>
      <c r="M1497" s="253"/>
      <c r="N1497" s="253"/>
      <c r="O1497" s="253"/>
      <c r="P1497" s="253"/>
      <c r="Q1497" s="253"/>
    </row>
    <row r="1498" spans="1:17">
      <c r="A1498" s="253"/>
      <c r="B1498" s="253"/>
      <c r="C1498" s="253"/>
      <c r="D1498" s="253"/>
      <c r="E1498" s="253"/>
      <c r="F1498" s="253"/>
      <c r="G1498" s="253"/>
      <c r="H1498" s="253"/>
      <c r="I1498" s="253"/>
      <c r="J1498" s="253"/>
      <c r="K1498" s="253"/>
      <c r="L1498" s="253"/>
      <c r="M1498" s="253"/>
      <c r="N1498" s="253"/>
      <c r="O1498" s="253"/>
      <c r="P1498" s="253"/>
      <c r="Q1498" s="253"/>
    </row>
    <row r="1499" spans="1:17">
      <c r="A1499" s="253"/>
      <c r="B1499" s="253"/>
      <c r="C1499" s="253"/>
      <c r="D1499" s="253"/>
      <c r="E1499" s="253"/>
      <c r="F1499" s="253"/>
      <c r="G1499" s="253"/>
      <c r="H1499" s="253"/>
      <c r="I1499" s="253"/>
      <c r="J1499" s="253"/>
      <c r="K1499" s="253"/>
      <c r="L1499" s="253"/>
      <c r="M1499" s="253"/>
      <c r="N1499" s="253"/>
      <c r="O1499" s="253"/>
      <c r="P1499" s="253"/>
      <c r="Q1499" s="253"/>
    </row>
    <row r="1500" spans="1:17">
      <c r="A1500" s="253"/>
      <c r="B1500" s="253"/>
      <c r="C1500" s="253"/>
      <c r="D1500" s="253"/>
      <c r="E1500" s="253"/>
      <c r="F1500" s="253"/>
      <c r="G1500" s="253"/>
      <c r="H1500" s="253"/>
      <c r="I1500" s="253"/>
      <c r="J1500" s="253"/>
      <c r="K1500" s="253"/>
      <c r="L1500" s="253"/>
      <c r="M1500" s="253"/>
      <c r="N1500" s="253"/>
      <c r="O1500" s="253"/>
      <c r="P1500" s="253"/>
      <c r="Q1500" s="253"/>
    </row>
    <row r="1501" spans="1:17">
      <c r="A1501" s="253"/>
      <c r="B1501" s="253"/>
      <c r="C1501" s="253"/>
      <c r="D1501" s="253"/>
      <c r="E1501" s="253"/>
      <c r="F1501" s="253"/>
      <c r="G1501" s="253"/>
      <c r="H1501" s="253"/>
      <c r="I1501" s="253"/>
      <c r="J1501" s="253"/>
      <c r="K1501" s="253"/>
      <c r="L1501" s="253"/>
      <c r="M1501" s="253"/>
      <c r="N1501" s="253"/>
      <c r="O1501" s="253"/>
      <c r="P1501" s="253"/>
      <c r="Q1501" s="253"/>
    </row>
    <row r="1502" spans="1:17">
      <c r="A1502" s="253"/>
      <c r="B1502" s="253"/>
      <c r="C1502" s="253"/>
      <c r="D1502" s="253"/>
      <c r="E1502" s="253"/>
      <c r="F1502" s="253"/>
      <c r="G1502" s="253"/>
      <c r="H1502" s="253"/>
      <c r="I1502" s="253"/>
      <c r="J1502" s="253"/>
      <c r="K1502" s="253"/>
      <c r="L1502" s="253"/>
      <c r="M1502" s="253"/>
      <c r="N1502" s="253"/>
      <c r="O1502" s="253"/>
      <c r="P1502" s="253"/>
      <c r="Q1502" s="253"/>
    </row>
    <row r="1503" spans="1:17">
      <c r="A1503" s="253"/>
      <c r="B1503" s="253"/>
      <c r="C1503" s="253"/>
      <c r="D1503" s="253"/>
      <c r="E1503" s="253"/>
      <c r="F1503" s="253"/>
      <c r="G1503" s="253"/>
      <c r="H1503" s="253"/>
      <c r="I1503" s="253"/>
      <c r="J1503" s="253"/>
      <c r="K1503" s="253"/>
      <c r="L1503" s="253"/>
      <c r="M1503" s="253"/>
      <c r="N1503" s="253"/>
      <c r="O1503" s="253"/>
      <c r="P1503" s="253"/>
      <c r="Q1503" s="253"/>
    </row>
    <row r="1504" spans="1:17">
      <c r="A1504" s="253"/>
      <c r="B1504" s="253"/>
      <c r="C1504" s="253"/>
      <c r="D1504" s="253"/>
      <c r="E1504" s="253"/>
      <c r="F1504" s="253"/>
      <c r="G1504" s="253"/>
      <c r="H1504" s="253"/>
      <c r="I1504" s="253"/>
      <c r="J1504" s="253"/>
      <c r="K1504" s="253"/>
      <c r="L1504" s="253"/>
      <c r="M1504" s="253"/>
      <c r="N1504" s="253"/>
      <c r="O1504" s="253"/>
      <c r="P1504" s="253"/>
      <c r="Q1504" s="253"/>
    </row>
    <row r="1505" spans="1:17">
      <c r="A1505" s="253"/>
      <c r="B1505" s="253"/>
      <c r="C1505" s="253"/>
      <c r="D1505" s="253"/>
      <c r="E1505" s="253"/>
      <c r="F1505" s="253"/>
      <c r="G1505" s="253"/>
      <c r="H1505" s="253"/>
      <c r="I1505" s="253"/>
      <c r="J1505" s="253"/>
      <c r="K1505" s="253"/>
      <c r="L1505" s="253"/>
      <c r="M1505" s="253"/>
      <c r="N1505" s="253"/>
      <c r="O1505" s="253"/>
      <c r="P1505" s="253"/>
      <c r="Q1505" s="253"/>
    </row>
    <row r="1506" spans="1:17">
      <c r="A1506" s="253"/>
      <c r="B1506" s="253"/>
      <c r="C1506" s="253"/>
      <c r="D1506" s="253"/>
      <c r="E1506" s="253"/>
      <c r="F1506" s="253"/>
      <c r="G1506" s="253"/>
      <c r="H1506" s="253"/>
      <c r="I1506" s="253"/>
      <c r="J1506" s="253"/>
      <c r="K1506" s="253"/>
      <c r="L1506" s="253"/>
      <c r="M1506" s="253"/>
      <c r="N1506" s="253"/>
      <c r="O1506" s="253"/>
      <c r="P1506" s="253"/>
      <c r="Q1506" s="253"/>
    </row>
    <row r="1507" spans="1:17">
      <c r="A1507" s="253"/>
      <c r="B1507" s="253"/>
      <c r="C1507" s="253"/>
      <c r="D1507" s="253"/>
      <c r="E1507" s="253"/>
      <c r="F1507" s="253"/>
      <c r="G1507" s="253"/>
      <c r="H1507" s="253"/>
      <c r="I1507" s="253"/>
      <c r="J1507" s="253"/>
      <c r="K1507" s="253"/>
      <c r="L1507" s="253"/>
      <c r="M1507" s="253"/>
      <c r="N1507" s="253"/>
      <c r="O1507" s="253"/>
      <c r="P1507" s="253"/>
      <c r="Q1507" s="253"/>
    </row>
    <row r="1508" spans="1:17">
      <c r="A1508" s="253"/>
      <c r="B1508" s="253"/>
      <c r="C1508" s="253"/>
      <c r="D1508" s="253"/>
      <c r="E1508" s="253"/>
      <c r="F1508" s="253"/>
      <c r="G1508" s="253"/>
      <c r="H1508" s="253"/>
      <c r="I1508" s="253"/>
      <c r="J1508" s="253"/>
      <c r="K1508" s="253"/>
      <c r="L1508" s="253"/>
      <c r="M1508" s="253"/>
      <c r="N1508" s="253"/>
      <c r="O1508" s="253"/>
      <c r="P1508" s="253"/>
      <c r="Q1508" s="253"/>
    </row>
    <row r="1509" spans="1:17">
      <c r="A1509" s="253"/>
      <c r="B1509" s="253"/>
      <c r="C1509" s="253"/>
      <c r="D1509" s="253"/>
      <c r="E1509" s="253"/>
      <c r="F1509" s="253"/>
      <c r="G1509" s="253"/>
      <c r="H1509" s="253"/>
      <c r="I1509" s="253"/>
      <c r="J1509" s="253"/>
      <c r="K1509" s="253"/>
      <c r="L1509" s="253"/>
      <c r="M1509" s="253"/>
      <c r="N1509" s="253"/>
      <c r="O1509" s="253"/>
      <c r="P1509" s="253"/>
      <c r="Q1509" s="253"/>
    </row>
    <row r="1510" spans="1:17">
      <c r="A1510" s="253"/>
      <c r="B1510" s="253"/>
      <c r="C1510" s="253"/>
      <c r="D1510" s="253"/>
      <c r="E1510" s="253"/>
      <c r="F1510" s="253"/>
      <c r="G1510" s="253"/>
      <c r="H1510" s="253"/>
      <c r="I1510" s="253"/>
      <c r="J1510" s="253"/>
      <c r="K1510" s="253"/>
      <c r="L1510" s="253"/>
      <c r="M1510" s="253"/>
      <c r="N1510" s="253"/>
      <c r="O1510" s="253"/>
      <c r="P1510" s="253"/>
      <c r="Q1510" s="253"/>
    </row>
    <row r="1511" spans="1:17">
      <c r="A1511" s="253"/>
      <c r="B1511" s="253"/>
      <c r="C1511" s="253"/>
      <c r="D1511" s="253"/>
      <c r="E1511" s="253"/>
      <c r="F1511" s="253"/>
      <c r="G1511" s="253"/>
      <c r="H1511" s="253"/>
      <c r="I1511" s="253"/>
      <c r="J1511" s="253"/>
      <c r="K1511" s="253"/>
      <c r="L1511" s="253"/>
      <c r="M1511" s="253"/>
      <c r="N1511" s="253"/>
      <c r="O1511" s="253"/>
      <c r="P1511" s="253"/>
      <c r="Q1511" s="253"/>
    </row>
    <row r="1512" spans="1:17">
      <c r="A1512" s="253"/>
      <c r="B1512" s="253"/>
      <c r="C1512" s="253"/>
      <c r="D1512" s="253"/>
      <c r="E1512" s="253"/>
      <c r="F1512" s="253"/>
      <c r="G1512" s="253"/>
      <c r="H1512" s="253"/>
      <c r="I1512" s="253"/>
      <c r="J1512" s="253"/>
      <c r="K1512" s="253"/>
      <c r="L1512" s="253"/>
      <c r="M1512" s="253"/>
      <c r="N1512" s="253"/>
      <c r="O1512" s="253"/>
      <c r="P1512" s="253"/>
      <c r="Q1512" s="253"/>
    </row>
    <row r="1513" spans="1:17">
      <c r="A1513" s="253"/>
      <c r="B1513" s="253"/>
      <c r="C1513" s="253"/>
      <c r="D1513" s="253"/>
      <c r="E1513" s="253"/>
      <c r="F1513" s="253"/>
      <c r="G1513" s="253"/>
      <c r="H1513" s="253"/>
      <c r="I1513" s="253"/>
      <c r="J1513" s="253"/>
      <c r="K1513" s="253"/>
      <c r="L1513" s="253"/>
      <c r="M1513" s="253"/>
      <c r="N1513" s="253"/>
      <c r="O1513" s="253"/>
      <c r="P1513" s="253"/>
      <c r="Q1513" s="253"/>
    </row>
    <row r="1514" spans="1:17">
      <c r="A1514" s="253"/>
      <c r="B1514" s="253"/>
      <c r="C1514" s="253"/>
      <c r="D1514" s="253"/>
      <c r="E1514" s="253"/>
      <c r="F1514" s="253"/>
      <c r="G1514" s="253"/>
      <c r="H1514" s="253"/>
      <c r="I1514" s="253"/>
      <c r="J1514" s="253"/>
      <c r="K1514" s="253"/>
      <c r="L1514" s="253"/>
      <c r="M1514" s="253"/>
      <c r="N1514" s="253"/>
      <c r="O1514" s="253"/>
      <c r="P1514" s="253"/>
      <c r="Q1514" s="253"/>
    </row>
    <row r="1515" spans="1:17">
      <c r="A1515" s="253"/>
      <c r="B1515" s="253"/>
      <c r="C1515" s="253"/>
      <c r="D1515" s="253"/>
      <c r="E1515" s="253"/>
      <c r="F1515" s="253"/>
      <c r="G1515" s="253"/>
      <c r="H1515" s="253"/>
      <c r="I1515" s="253"/>
      <c r="J1515" s="253"/>
      <c r="K1515" s="253"/>
      <c r="L1515" s="253"/>
      <c r="M1515" s="253"/>
      <c r="N1515" s="253"/>
      <c r="O1515" s="253"/>
      <c r="P1515" s="253"/>
      <c r="Q1515" s="253"/>
    </row>
    <row r="1516" spans="1:17">
      <c r="A1516" s="253"/>
      <c r="B1516" s="253"/>
      <c r="C1516" s="253"/>
      <c r="D1516" s="253"/>
      <c r="E1516" s="253"/>
      <c r="F1516" s="253"/>
      <c r="G1516" s="253"/>
      <c r="H1516" s="253"/>
      <c r="I1516" s="253"/>
      <c r="J1516" s="253"/>
      <c r="K1516" s="253"/>
      <c r="L1516" s="253"/>
      <c r="M1516" s="253"/>
      <c r="N1516" s="253"/>
      <c r="O1516" s="253"/>
      <c r="P1516" s="253"/>
      <c r="Q1516" s="253"/>
    </row>
    <row r="1517" spans="1:17">
      <c r="A1517" s="253"/>
      <c r="B1517" s="253"/>
      <c r="C1517" s="253"/>
      <c r="D1517" s="253"/>
      <c r="E1517" s="253"/>
      <c r="F1517" s="253"/>
      <c r="G1517" s="253"/>
      <c r="H1517" s="253"/>
      <c r="I1517" s="253"/>
      <c r="J1517" s="253"/>
      <c r="K1517" s="253"/>
      <c r="L1517" s="253"/>
      <c r="M1517" s="253"/>
      <c r="N1517" s="253"/>
      <c r="O1517" s="253"/>
      <c r="P1517" s="253"/>
      <c r="Q1517" s="253"/>
    </row>
    <row r="1518" spans="1:17">
      <c r="A1518" s="253"/>
      <c r="B1518" s="253"/>
      <c r="C1518" s="253"/>
      <c r="D1518" s="253"/>
      <c r="E1518" s="253"/>
      <c r="F1518" s="253"/>
      <c r="G1518" s="253"/>
      <c r="H1518" s="253"/>
      <c r="I1518" s="253"/>
      <c r="J1518" s="253"/>
      <c r="K1518" s="253"/>
      <c r="L1518" s="253"/>
      <c r="M1518" s="253"/>
      <c r="N1518" s="253"/>
      <c r="O1518" s="253"/>
      <c r="P1518" s="253"/>
      <c r="Q1518" s="253"/>
    </row>
    <row r="1519" spans="1:17">
      <c r="A1519" s="253"/>
      <c r="B1519" s="253"/>
      <c r="C1519" s="253"/>
      <c r="D1519" s="253"/>
      <c r="E1519" s="253"/>
      <c r="F1519" s="253"/>
      <c r="G1519" s="253"/>
      <c r="H1519" s="253"/>
      <c r="I1519" s="253"/>
      <c r="J1519" s="253"/>
      <c r="K1519" s="253"/>
      <c r="L1519" s="253"/>
      <c r="M1519" s="253"/>
      <c r="N1519" s="253"/>
      <c r="O1519" s="253"/>
      <c r="P1519" s="253"/>
      <c r="Q1519" s="253"/>
    </row>
    <row r="1520" spans="1:17">
      <c r="A1520" s="253"/>
      <c r="B1520" s="253"/>
      <c r="C1520" s="253"/>
      <c r="D1520" s="253"/>
      <c r="E1520" s="253"/>
      <c r="F1520" s="253"/>
      <c r="G1520" s="253"/>
      <c r="H1520" s="253"/>
      <c r="I1520" s="253"/>
      <c r="J1520" s="253"/>
      <c r="K1520" s="253"/>
      <c r="L1520" s="253"/>
      <c r="M1520" s="253"/>
      <c r="N1520" s="253"/>
      <c r="O1520" s="253"/>
      <c r="P1520" s="253"/>
      <c r="Q1520" s="253"/>
    </row>
    <row r="1521" spans="1:17">
      <c r="A1521" s="253"/>
      <c r="B1521" s="253"/>
      <c r="C1521" s="253"/>
      <c r="D1521" s="253"/>
      <c r="E1521" s="253"/>
      <c r="F1521" s="253"/>
      <c r="G1521" s="253"/>
      <c r="H1521" s="253"/>
      <c r="I1521" s="253"/>
      <c r="J1521" s="253"/>
      <c r="K1521" s="253"/>
      <c r="L1521" s="253"/>
      <c r="M1521" s="253"/>
      <c r="N1521" s="253"/>
      <c r="O1521" s="253"/>
      <c r="P1521" s="253"/>
      <c r="Q1521" s="253"/>
    </row>
    <row r="1522" spans="1:17">
      <c r="A1522" s="253"/>
      <c r="B1522" s="253"/>
      <c r="C1522" s="253"/>
      <c r="D1522" s="253"/>
      <c r="E1522" s="253"/>
      <c r="F1522" s="253"/>
      <c r="G1522" s="253"/>
      <c r="H1522" s="253"/>
      <c r="I1522" s="253"/>
      <c r="J1522" s="253"/>
      <c r="K1522" s="253"/>
      <c r="L1522" s="253"/>
      <c r="M1522" s="253"/>
      <c r="N1522" s="253"/>
      <c r="O1522" s="253"/>
      <c r="P1522" s="253"/>
      <c r="Q1522" s="253"/>
    </row>
    <row r="1523" spans="1:17">
      <c r="A1523" s="253"/>
      <c r="B1523" s="253"/>
      <c r="C1523" s="253"/>
      <c r="D1523" s="253"/>
      <c r="E1523" s="253"/>
      <c r="F1523" s="253"/>
      <c r="G1523" s="253"/>
      <c r="H1523" s="253"/>
      <c r="I1523" s="253"/>
      <c r="J1523" s="253"/>
      <c r="K1523" s="253"/>
      <c r="L1523" s="253"/>
      <c r="M1523" s="253"/>
      <c r="N1523" s="253"/>
      <c r="O1523" s="253"/>
      <c r="P1523" s="253"/>
      <c r="Q1523" s="253"/>
    </row>
    <row r="1524" spans="1:17">
      <c r="A1524" s="253"/>
      <c r="B1524" s="253"/>
      <c r="C1524" s="253"/>
      <c r="D1524" s="253"/>
      <c r="E1524" s="253"/>
      <c r="F1524" s="253"/>
      <c r="G1524" s="253"/>
      <c r="H1524" s="253"/>
      <c r="I1524" s="253"/>
      <c r="J1524" s="253"/>
      <c r="K1524" s="253"/>
      <c r="L1524" s="253"/>
      <c r="M1524" s="253"/>
      <c r="N1524" s="253"/>
      <c r="O1524" s="253"/>
      <c r="P1524" s="253"/>
      <c r="Q1524" s="253"/>
    </row>
    <row r="1525" spans="1:17">
      <c r="A1525" s="253"/>
      <c r="B1525" s="253"/>
      <c r="C1525" s="253"/>
      <c r="D1525" s="253"/>
      <c r="E1525" s="253"/>
      <c r="F1525" s="253"/>
      <c r="G1525" s="253"/>
      <c r="H1525" s="253"/>
      <c r="I1525" s="253"/>
      <c r="J1525" s="253"/>
      <c r="K1525" s="253"/>
      <c r="L1525" s="253"/>
      <c r="M1525" s="253"/>
      <c r="N1525" s="253"/>
      <c r="O1525" s="253"/>
      <c r="P1525" s="253"/>
      <c r="Q1525" s="253"/>
    </row>
    <row r="1526" spans="1:17">
      <c r="A1526" s="253"/>
      <c r="B1526" s="253"/>
      <c r="C1526" s="253"/>
      <c r="D1526" s="253"/>
      <c r="E1526" s="253"/>
      <c r="F1526" s="253"/>
      <c r="G1526" s="253"/>
      <c r="H1526" s="253"/>
      <c r="I1526" s="253"/>
      <c r="J1526" s="253"/>
      <c r="K1526" s="253"/>
      <c r="L1526" s="253"/>
      <c r="M1526" s="253"/>
      <c r="N1526" s="253"/>
      <c r="O1526" s="253"/>
      <c r="P1526" s="253"/>
      <c r="Q1526" s="253"/>
    </row>
    <row r="1527" spans="1:17">
      <c r="A1527" s="253"/>
      <c r="B1527" s="253"/>
      <c r="C1527" s="253"/>
      <c r="D1527" s="253"/>
      <c r="E1527" s="253"/>
      <c r="F1527" s="253"/>
      <c r="G1527" s="253"/>
      <c r="H1527" s="253"/>
      <c r="I1527" s="253"/>
      <c r="J1527" s="253"/>
      <c r="K1527" s="253"/>
      <c r="L1527" s="253"/>
      <c r="M1527" s="253"/>
      <c r="N1527" s="253"/>
      <c r="O1527" s="253"/>
      <c r="P1527" s="253"/>
      <c r="Q1527" s="253"/>
    </row>
    <row r="1528" spans="1:17">
      <c r="A1528" s="253"/>
      <c r="B1528" s="253"/>
      <c r="C1528" s="253"/>
      <c r="D1528" s="253"/>
      <c r="E1528" s="253"/>
      <c r="F1528" s="253"/>
      <c r="G1528" s="253"/>
      <c r="H1528" s="253"/>
      <c r="I1528" s="253"/>
      <c r="J1528" s="253"/>
      <c r="K1528" s="253"/>
      <c r="L1528" s="253"/>
      <c r="M1528" s="253"/>
      <c r="N1528" s="253"/>
      <c r="O1528" s="253"/>
      <c r="P1528" s="253"/>
      <c r="Q1528" s="253"/>
    </row>
    <row r="1529" spans="1:17">
      <c r="A1529" s="253"/>
      <c r="B1529" s="253"/>
      <c r="C1529" s="253"/>
      <c r="D1529" s="253"/>
      <c r="E1529" s="253"/>
      <c r="F1529" s="253"/>
      <c r="G1529" s="253"/>
      <c r="H1529" s="253"/>
      <c r="I1529" s="253"/>
      <c r="J1529" s="253"/>
      <c r="K1529" s="253"/>
      <c r="L1529" s="253"/>
      <c r="M1529" s="253"/>
      <c r="N1529" s="253"/>
      <c r="O1529" s="253"/>
      <c r="P1529" s="253"/>
      <c r="Q1529" s="253"/>
    </row>
    <row r="1530" spans="1:17">
      <c r="A1530" s="253"/>
      <c r="B1530" s="253"/>
      <c r="C1530" s="253"/>
      <c r="D1530" s="253"/>
      <c r="E1530" s="253"/>
      <c r="F1530" s="253"/>
      <c r="G1530" s="253"/>
      <c r="H1530" s="253"/>
      <c r="I1530" s="253"/>
      <c r="J1530" s="253"/>
      <c r="K1530" s="253"/>
      <c r="L1530" s="253"/>
      <c r="M1530" s="253"/>
      <c r="N1530" s="253"/>
      <c r="O1530" s="253"/>
      <c r="P1530" s="253"/>
      <c r="Q1530" s="253"/>
    </row>
    <row r="1531" spans="1:17">
      <c r="A1531" s="253"/>
      <c r="B1531" s="253"/>
      <c r="C1531" s="253"/>
      <c r="D1531" s="253"/>
      <c r="E1531" s="253"/>
      <c r="F1531" s="253"/>
      <c r="G1531" s="253"/>
      <c r="H1531" s="253"/>
      <c r="I1531" s="253"/>
      <c r="J1531" s="253"/>
      <c r="K1531" s="253"/>
      <c r="L1531" s="253"/>
      <c r="M1531" s="253"/>
      <c r="N1531" s="253"/>
      <c r="O1531" s="253"/>
      <c r="P1531" s="253"/>
      <c r="Q1531" s="253"/>
    </row>
    <row r="1532" spans="1:17">
      <c r="A1532" s="253"/>
      <c r="B1532" s="253"/>
      <c r="C1532" s="253"/>
      <c r="D1532" s="253"/>
      <c r="E1532" s="253"/>
      <c r="F1532" s="253"/>
      <c r="G1532" s="253"/>
      <c r="H1532" s="253"/>
      <c r="I1532" s="253"/>
      <c r="J1532" s="253"/>
      <c r="K1532" s="253"/>
      <c r="L1532" s="253"/>
      <c r="M1532" s="253"/>
      <c r="N1532" s="253"/>
      <c r="O1532" s="253"/>
      <c r="P1532" s="253"/>
      <c r="Q1532" s="253"/>
    </row>
    <row r="1533" spans="1:17">
      <c r="A1533" s="253"/>
      <c r="B1533" s="253"/>
      <c r="C1533" s="253"/>
      <c r="D1533" s="253"/>
      <c r="E1533" s="253"/>
      <c r="F1533" s="253"/>
      <c r="G1533" s="253"/>
      <c r="H1533" s="253"/>
      <c r="I1533" s="253"/>
      <c r="J1533" s="253"/>
      <c r="K1533" s="253"/>
      <c r="L1533" s="253"/>
      <c r="M1533" s="253"/>
      <c r="N1533" s="253"/>
      <c r="O1533" s="253"/>
      <c r="P1533" s="253"/>
      <c r="Q1533" s="253"/>
    </row>
    <row r="1534" spans="1:17">
      <c r="A1534" s="253"/>
      <c r="B1534" s="253"/>
      <c r="C1534" s="253"/>
      <c r="D1534" s="253"/>
      <c r="E1534" s="253"/>
      <c r="F1534" s="253"/>
      <c r="G1534" s="253"/>
      <c r="H1534" s="253"/>
      <c r="I1534" s="253"/>
      <c r="J1534" s="253"/>
      <c r="K1534" s="253"/>
      <c r="L1534" s="253"/>
      <c r="M1534" s="253"/>
      <c r="N1534" s="253"/>
      <c r="O1534" s="253"/>
      <c r="P1534" s="253"/>
      <c r="Q1534" s="253"/>
    </row>
    <row r="1535" spans="1:17">
      <c r="A1535" s="253"/>
      <c r="B1535" s="253"/>
      <c r="C1535" s="253"/>
      <c r="D1535" s="253"/>
      <c r="E1535" s="253"/>
      <c r="F1535" s="253"/>
      <c r="G1535" s="253"/>
      <c r="H1535" s="253"/>
      <c r="I1535" s="253"/>
      <c r="J1535" s="253"/>
      <c r="K1535" s="253"/>
      <c r="L1535" s="253"/>
      <c r="M1535" s="253"/>
      <c r="N1535" s="253"/>
      <c r="O1535" s="253"/>
      <c r="P1535" s="253"/>
      <c r="Q1535" s="253"/>
    </row>
    <row r="1536" spans="1:17">
      <c r="A1536" s="253"/>
      <c r="B1536" s="253"/>
      <c r="C1536" s="253"/>
      <c r="D1536" s="253"/>
      <c r="E1536" s="253"/>
      <c r="F1536" s="253"/>
      <c r="G1536" s="253"/>
      <c r="H1536" s="253"/>
      <c r="I1536" s="253"/>
      <c r="J1536" s="253"/>
      <c r="K1536" s="253"/>
      <c r="L1536" s="253"/>
      <c r="M1536" s="253"/>
      <c r="N1536" s="253"/>
      <c r="O1536" s="253"/>
      <c r="P1536" s="253"/>
      <c r="Q1536" s="253"/>
    </row>
    <row r="1537" spans="1:17">
      <c r="A1537" s="253"/>
      <c r="B1537" s="253"/>
      <c r="C1537" s="253"/>
      <c r="D1537" s="253"/>
      <c r="E1537" s="253"/>
      <c r="F1537" s="253"/>
      <c r="G1537" s="253"/>
      <c r="H1537" s="253"/>
      <c r="I1537" s="253"/>
      <c r="J1537" s="253"/>
      <c r="K1537" s="253"/>
      <c r="L1537" s="253"/>
      <c r="M1537" s="253"/>
      <c r="N1537" s="253"/>
      <c r="O1537" s="253"/>
      <c r="P1537" s="253"/>
      <c r="Q1537" s="253"/>
    </row>
    <row r="1538" spans="1:17">
      <c r="A1538" s="253"/>
      <c r="B1538" s="253"/>
      <c r="C1538" s="253"/>
      <c r="D1538" s="253"/>
      <c r="E1538" s="253"/>
      <c r="F1538" s="253"/>
      <c r="G1538" s="253"/>
      <c r="H1538" s="253"/>
      <c r="I1538" s="253"/>
      <c r="J1538" s="253"/>
      <c r="K1538" s="253"/>
      <c r="L1538" s="253"/>
      <c r="M1538" s="253"/>
      <c r="N1538" s="253"/>
      <c r="O1538" s="253"/>
      <c r="P1538" s="253"/>
      <c r="Q1538" s="253"/>
    </row>
    <row r="1539" spans="1:17">
      <c r="A1539" s="253"/>
      <c r="B1539" s="253"/>
      <c r="C1539" s="253"/>
      <c r="D1539" s="253"/>
      <c r="E1539" s="253"/>
      <c r="F1539" s="253"/>
      <c r="G1539" s="253"/>
      <c r="H1539" s="253"/>
      <c r="I1539" s="253"/>
      <c r="J1539" s="253"/>
      <c r="K1539" s="253"/>
      <c r="L1539" s="253"/>
      <c r="M1539" s="253"/>
      <c r="N1539" s="253"/>
      <c r="O1539" s="253"/>
      <c r="P1539" s="253"/>
      <c r="Q1539" s="253"/>
    </row>
    <row r="1540" spans="1:17">
      <c r="A1540" s="253"/>
      <c r="B1540" s="253"/>
      <c r="C1540" s="253"/>
      <c r="D1540" s="253"/>
      <c r="E1540" s="253"/>
      <c r="F1540" s="253"/>
      <c r="G1540" s="253"/>
      <c r="H1540" s="253"/>
      <c r="I1540" s="253"/>
      <c r="J1540" s="253"/>
      <c r="K1540" s="253"/>
      <c r="L1540" s="253"/>
      <c r="M1540" s="253"/>
      <c r="N1540" s="253"/>
      <c r="O1540" s="253"/>
      <c r="P1540" s="253"/>
      <c r="Q1540" s="253"/>
    </row>
    <row r="1541" spans="1:17">
      <c r="A1541" s="253"/>
      <c r="B1541" s="253"/>
      <c r="C1541" s="253"/>
      <c r="D1541" s="253"/>
      <c r="E1541" s="253"/>
      <c r="F1541" s="253"/>
      <c r="G1541" s="253"/>
      <c r="H1541" s="253"/>
      <c r="I1541" s="253"/>
      <c r="J1541" s="253"/>
      <c r="K1541" s="253"/>
      <c r="L1541" s="253"/>
      <c r="M1541" s="253"/>
      <c r="N1541" s="253"/>
      <c r="O1541" s="253"/>
      <c r="P1541" s="253"/>
      <c r="Q1541" s="253"/>
    </row>
    <row r="1542" spans="1:17">
      <c r="A1542" s="253"/>
      <c r="B1542" s="253"/>
      <c r="C1542" s="253"/>
      <c r="D1542" s="253"/>
      <c r="E1542" s="253"/>
      <c r="F1542" s="253"/>
      <c r="G1542" s="253"/>
      <c r="H1542" s="253"/>
      <c r="I1542" s="253"/>
      <c r="J1542" s="253"/>
      <c r="K1542" s="253"/>
      <c r="L1542" s="253"/>
      <c r="M1542" s="253"/>
      <c r="N1542" s="253"/>
      <c r="O1542" s="253"/>
      <c r="P1542" s="253"/>
      <c r="Q1542" s="253"/>
    </row>
    <row r="1543" spans="1:17">
      <c r="A1543" s="253"/>
      <c r="B1543" s="253"/>
      <c r="C1543" s="253"/>
      <c r="D1543" s="253"/>
      <c r="E1543" s="253"/>
      <c r="F1543" s="253"/>
      <c r="G1543" s="253"/>
      <c r="H1543" s="253"/>
      <c r="I1543" s="253"/>
      <c r="J1543" s="253"/>
      <c r="K1543" s="253"/>
      <c r="L1543" s="253"/>
      <c r="M1543" s="253"/>
      <c r="N1543" s="253"/>
      <c r="O1543" s="253"/>
      <c r="P1543" s="253"/>
      <c r="Q1543" s="253"/>
    </row>
    <row r="1544" spans="1:17">
      <c r="A1544" s="253"/>
      <c r="B1544" s="253"/>
      <c r="C1544" s="253"/>
      <c r="D1544" s="253"/>
      <c r="E1544" s="253"/>
      <c r="F1544" s="253"/>
      <c r="G1544" s="253"/>
      <c r="H1544" s="253"/>
      <c r="I1544" s="253"/>
      <c r="J1544" s="253"/>
      <c r="K1544" s="253"/>
      <c r="L1544" s="253"/>
      <c r="M1544" s="253"/>
      <c r="N1544" s="253"/>
      <c r="O1544" s="253"/>
      <c r="P1544" s="253"/>
      <c r="Q1544" s="253"/>
    </row>
    <row r="1545" spans="1:17">
      <c r="A1545" s="253"/>
      <c r="B1545" s="253"/>
      <c r="C1545" s="253"/>
      <c r="D1545" s="253"/>
      <c r="E1545" s="253"/>
      <c r="F1545" s="253"/>
      <c r="G1545" s="253"/>
      <c r="H1545" s="253"/>
      <c r="I1545" s="253"/>
      <c r="J1545" s="253"/>
      <c r="K1545" s="253"/>
      <c r="L1545" s="253"/>
      <c r="M1545" s="253"/>
      <c r="N1545" s="253"/>
      <c r="O1545" s="253"/>
      <c r="P1545" s="253"/>
      <c r="Q1545" s="253"/>
    </row>
    <row r="1546" spans="1:17">
      <c r="A1546" s="253"/>
      <c r="B1546" s="253"/>
      <c r="C1546" s="253"/>
      <c r="D1546" s="253"/>
      <c r="E1546" s="253"/>
      <c r="F1546" s="253"/>
      <c r="G1546" s="253"/>
      <c r="H1546" s="253"/>
      <c r="I1546" s="253"/>
      <c r="J1546" s="253"/>
      <c r="K1546" s="253"/>
      <c r="L1546" s="253"/>
      <c r="M1546" s="253"/>
      <c r="N1546" s="253"/>
      <c r="O1546" s="253"/>
      <c r="P1546" s="253"/>
      <c r="Q1546" s="253"/>
    </row>
    <row r="1547" spans="1:17">
      <c r="A1547" s="253"/>
      <c r="B1547" s="253"/>
      <c r="C1547" s="253"/>
      <c r="D1547" s="253"/>
      <c r="E1547" s="253"/>
      <c r="F1547" s="253"/>
      <c r="G1547" s="253"/>
      <c r="H1547" s="253"/>
      <c r="I1547" s="253"/>
      <c r="J1547" s="253"/>
      <c r="K1547" s="253"/>
      <c r="L1547" s="253"/>
      <c r="M1547" s="253"/>
      <c r="N1547" s="253"/>
      <c r="O1547" s="253"/>
      <c r="P1547" s="253"/>
      <c r="Q1547" s="253"/>
    </row>
    <row r="1548" spans="1:17">
      <c r="A1548" s="253"/>
      <c r="B1548" s="253"/>
      <c r="C1548" s="253"/>
      <c r="D1548" s="253"/>
      <c r="E1548" s="253"/>
      <c r="F1548" s="253"/>
      <c r="G1548" s="253"/>
      <c r="H1548" s="253"/>
      <c r="I1548" s="253"/>
      <c r="J1548" s="253"/>
      <c r="K1548" s="253"/>
      <c r="L1548" s="253"/>
      <c r="M1548" s="253"/>
      <c r="N1548" s="253"/>
      <c r="O1548" s="253"/>
      <c r="P1548" s="253"/>
      <c r="Q1548" s="253"/>
    </row>
    <row r="1549" spans="1:17">
      <c r="A1549" s="253"/>
      <c r="B1549" s="253"/>
      <c r="C1549" s="253"/>
      <c r="D1549" s="253"/>
      <c r="E1549" s="253"/>
      <c r="F1549" s="253"/>
      <c r="G1549" s="253"/>
      <c r="H1549" s="253"/>
      <c r="I1549" s="253"/>
      <c r="J1549" s="253"/>
      <c r="K1549" s="253"/>
      <c r="L1549" s="253"/>
      <c r="M1549" s="253"/>
      <c r="N1549" s="253"/>
      <c r="O1549" s="253"/>
      <c r="P1549" s="253"/>
      <c r="Q1549" s="253"/>
    </row>
    <row r="1550" spans="1:17">
      <c r="A1550" s="253"/>
      <c r="B1550" s="253"/>
      <c r="C1550" s="253"/>
      <c r="D1550" s="253"/>
      <c r="E1550" s="253"/>
      <c r="F1550" s="253"/>
      <c r="G1550" s="253"/>
      <c r="H1550" s="253"/>
      <c r="I1550" s="253"/>
      <c r="J1550" s="253"/>
      <c r="K1550" s="253"/>
      <c r="L1550" s="253"/>
      <c r="M1550" s="253"/>
      <c r="N1550" s="253"/>
      <c r="O1550" s="253"/>
      <c r="P1550" s="253"/>
      <c r="Q1550" s="253"/>
    </row>
    <row r="1551" spans="1:17">
      <c r="A1551" s="253"/>
      <c r="B1551" s="253"/>
      <c r="C1551" s="253"/>
      <c r="D1551" s="253"/>
      <c r="E1551" s="253"/>
      <c r="F1551" s="253"/>
      <c r="G1551" s="253"/>
      <c r="H1551" s="253"/>
      <c r="I1551" s="253"/>
      <c r="J1551" s="253"/>
      <c r="K1551" s="253"/>
      <c r="L1551" s="253"/>
      <c r="M1551" s="253"/>
      <c r="N1551" s="253"/>
      <c r="O1551" s="253"/>
      <c r="P1551" s="253"/>
      <c r="Q1551" s="253"/>
    </row>
    <row r="1552" spans="1:17">
      <c r="A1552" s="253"/>
      <c r="B1552" s="253"/>
      <c r="C1552" s="253"/>
      <c r="D1552" s="253"/>
      <c r="E1552" s="253"/>
      <c r="F1552" s="253"/>
      <c r="G1552" s="253"/>
      <c r="H1552" s="253"/>
      <c r="I1552" s="253"/>
      <c r="J1552" s="253"/>
      <c r="K1552" s="253"/>
      <c r="L1552" s="253"/>
      <c r="M1552" s="253"/>
      <c r="N1552" s="253"/>
      <c r="O1552" s="253"/>
      <c r="P1552" s="253"/>
      <c r="Q1552" s="253"/>
    </row>
    <row r="1553" spans="1:17">
      <c r="A1553" s="253"/>
      <c r="B1553" s="253"/>
      <c r="C1553" s="253"/>
      <c r="D1553" s="253"/>
      <c r="E1553" s="253"/>
      <c r="F1553" s="253"/>
      <c r="G1553" s="253"/>
      <c r="H1553" s="253"/>
      <c r="I1553" s="253"/>
      <c r="J1553" s="253"/>
      <c r="K1553" s="253"/>
      <c r="L1553" s="253"/>
      <c r="M1553" s="253"/>
      <c r="N1553" s="253"/>
      <c r="O1553" s="253"/>
      <c r="P1553" s="253"/>
      <c r="Q1553" s="253"/>
    </row>
    <row r="1554" spans="1:17">
      <c r="A1554" s="253"/>
      <c r="B1554" s="253"/>
      <c r="C1554" s="253"/>
      <c r="D1554" s="253"/>
      <c r="E1554" s="253"/>
      <c r="F1554" s="253"/>
      <c r="G1554" s="253"/>
      <c r="H1554" s="253"/>
      <c r="I1554" s="253"/>
      <c r="J1554" s="253"/>
      <c r="K1554" s="253"/>
      <c r="L1554" s="253"/>
      <c r="M1554" s="253"/>
      <c r="N1554" s="253"/>
      <c r="O1554" s="253"/>
      <c r="P1554" s="253"/>
      <c r="Q1554" s="253"/>
    </row>
    <row r="1555" spans="1:17">
      <c r="A1555" s="253"/>
      <c r="B1555" s="253"/>
      <c r="C1555" s="253"/>
      <c r="D1555" s="253"/>
      <c r="E1555" s="253"/>
      <c r="F1555" s="253"/>
      <c r="G1555" s="253"/>
      <c r="H1555" s="253"/>
      <c r="I1555" s="253"/>
      <c r="J1555" s="253"/>
      <c r="K1555" s="253"/>
      <c r="L1555" s="253"/>
      <c r="M1555" s="253"/>
      <c r="N1555" s="253"/>
      <c r="O1555" s="253"/>
      <c r="P1555" s="253"/>
      <c r="Q1555" s="253"/>
    </row>
    <row r="1556" spans="1:17">
      <c r="A1556" s="253"/>
      <c r="B1556" s="253"/>
      <c r="C1556" s="253"/>
      <c r="D1556" s="253"/>
      <c r="E1556" s="253"/>
      <c r="F1556" s="253"/>
      <c r="G1556" s="253"/>
      <c r="H1556" s="253"/>
      <c r="I1556" s="253"/>
      <c r="J1556" s="253"/>
      <c r="K1556" s="253"/>
      <c r="L1556" s="253"/>
      <c r="M1556" s="253"/>
      <c r="N1556" s="253"/>
      <c r="O1556" s="253"/>
      <c r="P1556" s="253"/>
      <c r="Q1556" s="253"/>
    </row>
    <row r="1557" spans="1:17">
      <c r="A1557" s="253"/>
      <c r="B1557" s="253"/>
      <c r="C1557" s="253"/>
      <c r="D1557" s="253"/>
      <c r="E1557" s="253"/>
      <c r="F1557" s="253"/>
      <c r="G1557" s="253"/>
      <c r="H1557" s="253"/>
      <c r="I1557" s="253"/>
      <c r="J1557" s="253"/>
      <c r="K1557" s="253"/>
      <c r="L1557" s="253"/>
      <c r="M1557" s="253"/>
      <c r="N1557" s="253"/>
      <c r="O1557" s="253"/>
      <c r="P1557" s="253"/>
      <c r="Q1557" s="253"/>
    </row>
    <row r="1558" spans="1:17">
      <c r="A1558" s="253"/>
      <c r="B1558" s="253"/>
      <c r="C1558" s="253"/>
      <c r="D1558" s="253"/>
      <c r="E1558" s="253"/>
      <c r="F1558" s="253"/>
      <c r="G1558" s="253"/>
      <c r="H1558" s="253"/>
      <c r="I1558" s="253"/>
      <c r="J1558" s="253"/>
      <c r="K1558" s="253"/>
      <c r="L1558" s="253"/>
      <c r="M1558" s="253"/>
      <c r="N1558" s="253"/>
      <c r="O1558" s="253"/>
      <c r="P1558" s="253"/>
      <c r="Q1558" s="253"/>
    </row>
    <row r="1559" spans="1:17">
      <c r="A1559" s="253"/>
      <c r="B1559" s="253"/>
      <c r="C1559" s="253"/>
      <c r="D1559" s="253"/>
      <c r="E1559" s="253"/>
      <c r="F1559" s="253"/>
      <c r="G1559" s="253"/>
      <c r="H1559" s="253"/>
      <c r="I1559" s="253"/>
      <c r="J1559" s="253"/>
      <c r="K1559" s="253"/>
      <c r="L1559" s="253"/>
      <c r="M1559" s="253"/>
      <c r="N1559" s="253"/>
      <c r="O1559" s="253"/>
      <c r="P1559" s="253"/>
      <c r="Q1559" s="253"/>
    </row>
    <row r="1560" spans="1:17">
      <c r="A1560" s="253"/>
      <c r="B1560" s="253"/>
      <c r="C1560" s="253"/>
      <c r="D1560" s="253"/>
      <c r="E1560" s="253"/>
      <c r="F1560" s="253"/>
      <c r="G1560" s="253"/>
      <c r="H1560" s="253"/>
      <c r="I1560" s="253"/>
      <c r="J1560" s="253"/>
      <c r="K1560" s="253"/>
      <c r="L1560" s="253"/>
      <c r="M1560" s="253"/>
      <c r="N1560" s="253"/>
      <c r="O1560" s="253"/>
      <c r="P1560" s="253"/>
      <c r="Q1560" s="253"/>
    </row>
    <row r="1561" spans="1:17">
      <c r="A1561" s="253"/>
      <c r="B1561" s="253"/>
      <c r="C1561" s="253"/>
      <c r="D1561" s="253"/>
      <c r="E1561" s="253"/>
      <c r="F1561" s="253"/>
      <c r="G1561" s="253"/>
      <c r="H1561" s="253"/>
      <c r="I1561" s="253"/>
      <c r="J1561" s="253"/>
      <c r="K1561" s="253"/>
      <c r="L1561" s="253"/>
      <c r="M1561" s="253"/>
      <c r="N1561" s="253"/>
      <c r="O1561" s="253"/>
      <c r="P1561" s="253"/>
      <c r="Q1561" s="253"/>
    </row>
    <row r="1562" spans="1:17">
      <c r="A1562" s="253"/>
      <c r="B1562" s="253"/>
      <c r="C1562" s="253"/>
      <c r="D1562" s="253"/>
      <c r="E1562" s="253"/>
      <c r="F1562" s="253"/>
      <c r="G1562" s="253"/>
      <c r="H1562" s="253"/>
      <c r="I1562" s="253"/>
      <c r="J1562" s="253"/>
      <c r="K1562" s="253"/>
      <c r="L1562" s="253"/>
      <c r="M1562" s="253"/>
      <c r="N1562" s="253"/>
      <c r="O1562" s="253"/>
      <c r="P1562" s="253"/>
      <c r="Q1562" s="253"/>
    </row>
    <row r="1563" spans="1:17">
      <c r="A1563" s="253"/>
      <c r="B1563" s="253"/>
      <c r="C1563" s="253"/>
      <c r="D1563" s="253"/>
      <c r="E1563" s="253"/>
      <c r="F1563" s="253"/>
      <c r="G1563" s="253"/>
      <c r="H1563" s="253"/>
      <c r="I1563" s="253"/>
      <c r="J1563" s="253"/>
      <c r="K1563" s="253"/>
      <c r="L1563" s="253"/>
      <c r="M1563" s="253"/>
      <c r="N1563" s="253"/>
      <c r="O1563" s="253"/>
      <c r="P1563" s="253"/>
      <c r="Q1563" s="253"/>
    </row>
    <row r="1564" spans="1:17">
      <c r="A1564" s="253"/>
      <c r="B1564" s="253"/>
      <c r="C1564" s="253"/>
      <c r="D1564" s="253"/>
      <c r="E1564" s="253"/>
      <c r="F1564" s="253"/>
      <c r="G1564" s="253"/>
      <c r="H1564" s="253"/>
      <c r="I1564" s="253"/>
      <c r="J1564" s="253"/>
      <c r="K1564" s="253"/>
      <c r="L1564" s="253"/>
      <c r="M1564" s="253"/>
      <c r="N1564" s="253"/>
      <c r="O1564" s="253"/>
      <c r="P1564" s="253"/>
      <c r="Q1564" s="253"/>
    </row>
    <row r="1565" spans="1:17">
      <c r="A1565" s="253"/>
      <c r="B1565" s="253"/>
      <c r="C1565" s="253"/>
      <c r="D1565" s="253"/>
      <c r="E1565" s="253"/>
      <c r="F1565" s="253"/>
      <c r="G1565" s="253"/>
      <c r="H1565" s="253"/>
      <c r="I1565" s="253"/>
      <c r="J1565" s="253"/>
      <c r="K1565" s="253"/>
      <c r="L1565" s="253"/>
      <c r="M1565" s="253"/>
      <c r="N1565" s="253"/>
      <c r="O1565" s="253"/>
      <c r="P1565" s="253"/>
      <c r="Q1565" s="253"/>
    </row>
    <row r="1566" spans="1:17">
      <c r="A1566" s="253"/>
      <c r="B1566" s="253"/>
      <c r="C1566" s="253"/>
      <c r="D1566" s="253"/>
      <c r="E1566" s="253"/>
      <c r="F1566" s="253"/>
      <c r="G1566" s="253"/>
      <c r="H1566" s="253"/>
      <c r="I1566" s="253"/>
      <c r="J1566" s="253"/>
      <c r="K1566" s="253"/>
      <c r="L1566" s="253"/>
      <c r="M1566" s="253"/>
      <c r="N1566" s="253"/>
      <c r="O1566" s="253"/>
      <c r="P1566" s="253"/>
      <c r="Q1566" s="253"/>
    </row>
    <row r="1567" spans="1:17">
      <c r="A1567" s="253"/>
      <c r="B1567" s="253"/>
      <c r="C1567" s="253"/>
      <c r="D1567" s="253"/>
      <c r="E1567" s="253"/>
      <c r="F1567" s="253"/>
      <c r="G1567" s="253"/>
      <c r="H1567" s="253"/>
      <c r="I1567" s="253"/>
      <c r="J1567" s="253"/>
      <c r="K1567" s="253"/>
      <c r="L1567" s="253"/>
      <c r="M1567" s="253"/>
      <c r="N1567" s="253"/>
      <c r="O1567" s="253"/>
      <c r="P1567" s="253"/>
      <c r="Q1567" s="253"/>
    </row>
    <row r="1568" spans="1:17">
      <c r="A1568" s="253"/>
      <c r="B1568" s="253"/>
      <c r="C1568" s="253"/>
      <c r="D1568" s="253"/>
      <c r="E1568" s="253"/>
      <c r="F1568" s="253"/>
      <c r="G1568" s="253"/>
      <c r="H1568" s="253"/>
      <c r="I1568" s="253"/>
      <c r="J1568" s="253"/>
      <c r="K1568" s="253"/>
      <c r="L1568" s="253"/>
      <c r="M1568" s="253"/>
      <c r="N1568" s="253"/>
      <c r="O1568" s="253"/>
      <c r="P1568" s="253"/>
      <c r="Q1568" s="253"/>
    </row>
    <row r="1569" spans="1:17">
      <c r="A1569" s="253"/>
      <c r="B1569" s="253"/>
      <c r="C1569" s="253"/>
      <c r="D1569" s="253"/>
      <c r="E1569" s="253"/>
      <c r="F1569" s="253"/>
      <c r="G1569" s="253"/>
      <c r="H1569" s="253"/>
      <c r="I1569" s="253"/>
      <c r="J1569" s="253"/>
      <c r="K1569" s="253"/>
      <c r="L1569" s="253"/>
      <c r="M1569" s="253"/>
      <c r="N1569" s="253"/>
      <c r="O1569" s="253"/>
      <c r="P1569" s="253"/>
      <c r="Q1569" s="253"/>
    </row>
    <row r="1570" spans="1:17">
      <c r="A1570" s="253"/>
      <c r="B1570" s="253"/>
      <c r="C1570" s="253"/>
      <c r="D1570" s="253"/>
      <c r="E1570" s="253"/>
      <c r="F1570" s="253"/>
      <c r="G1570" s="253"/>
      <c r="H1570" s="253"/>
      <c r="I1570" s="253"/>
      <c r="J1570" s="253"/>
      <c r="K1570" s="253"/>
      <c r="L1570" s="253"/>
      <c r="M1570" s="253"/>
      <c r="N1570" s="253"/>
      <c r="O1570" s="253"/>
      <c r="P1570" s="253"/>
      <c r="Q1570" s="253"/>
    </row>
    <row r="1571" spans="1:17">
      <c r="A1571" s="253"/>
      <c r="B1571" s="253"/>
      <c r="C1571" s="253"/>
      <c r="D1571" s="253"/>
      <c r="E1571" s="253"/>
      <c r="F1571" s="253"/>
      <c r="G1571" s="253"/>
      <c r="H1571" s="253"/>
      <c r="I1571" s="253"/>
      <c r="J1571" s="253"/>
      <c r="K1571" s="253"/>
      <c r="L1571" s="253"/>
      <c r="M1571" s="253"/>
      <c r="N1571" s="253"/>
      <c r="O1571" s="253"/>
      <c r="P1571" s="253"/>
      <c r="Q1571" s="253"/>
    </row>
    <row r="1572" spans="1:17">
      <c r="A1572" s="253"/>
      <c r="B1572" s="253"/>
      <c r="C1572" s="253"/>
      <c r="D1572" s="253"/>
      <c r="E1572" s="253"/>
      <c r="F1572" s="253"/>
      <c r="G1572" s="253"/>
      <c r="H1572" s="253"/>
      <c r="I1572" s="253"/>
      <c r="J1572" s="253"/>
      <c r="K1572" s="253"/>
      <c r="L1572" s="253"/>
      <c r="M1572" s="253"/>
      <c r="N1572" s="253"/>
      <c r="O1572" s="253"/>
      <c r="P1572" s="253"/>
      <c r="Q1572" s="253"/>
    </row>
    <row r="1573" spans="1:17">
      <c r="A1573" s="253"/>
      <c r="B1573" s="253"/>
      <c r="C1573" s="253"/>
      <c r="D1573" s="253"/>
      <c r="E1573" s="253"/>
      <c r="F1573" s="253"/>
      <c r="G1573" s="253"/>
      <c r="H1573" s="253"/>
      <c r="I1573" s="253"/>
      <c r="J1573" s="253"/>
      <c r="K1573" s="253"/>
      <c r="L1573" s="253"/>
      <c r="M1573" s="253"/>
      <c r="N1573" s="253"/>
      <c r="O1573" s="253"/>
      <c r="P1573" s="253"/>
      <c r="Q1573" s="253"/>
    </row>
    <row r="1574" spans="1:17">
      <c r="A1574" s="253"/>
      <c r="B1574" s="253"/>
      <c r="C1574" s="253"/>
      <c r="D1574" s="253"/>
      <c r="E1574" s="253"/>
      <c r="F1574" s="253"/>
      <c r="G1574" s="253"/>
      <c r="H1574" s="253"/>
      <c r="I1574" s="253"/>
      <c r="J1574" s="253"/>
      <c r="K1574" s="253"/>
      <c r="L1574" s="253"/>
      <c r="M1574" s="253"/>
      <c r="N1574" s="253"/>
      <c r="O1574" s="253"/>
      <c r="P1574" s="253"/>
      <c r="Q1574" s="253"/>
    </row>
    <row r="1575" spans="1:17">
      <c r="A1575" s="253"/>
      <c r="B1575" s="253"/>
      <c r="C1575" s="253"/>
      <c r="D1575" s="253"/>
      <c r="E1575" s="253"/>
      <c r="F1575" s="253"/>
      <c r="G1575" s="253"/>
      <c r="H1575" s="253"/>
      <c r="I1575" s="253"/>
      <c r="J1575" s="253"/>
      <c r="K1575" s="253"/>
      <c r="L1575" s="253"/>
      <c r="M1575" s="253"/>
      <c r="N1575" s="253"/>
      <c r="O1575" s="253"/>
      <c r="P1575" s="253"/>
      <c r="Q1575" s="253"/>
    </row>
    <row r="1576" spans="1:17">
      <c r="A1576" s="253"/>
      <c r="B1576" s="253"/>
      <c r="C1576" s="253"/>
      <c r="D1576" s="253"/>
      <c r="E1576" s="253"/>
      <c r="F1576" s="253"/>
      <c r="G1576" s="253"/>
      <c r="H1576" s="253"/>
      <c r="I1576" s="253"/>
      <c r="J1576" s="253"/>
      <c r="K1576" s="253"/>
      <c r="L1576" s="253"/>
      <c r="M1576" s="253"/>
      <c r="N1576" s="253"/>
      <c r="O1576" s="253"/>
      <c r="P1576" s="253"/>
      <c r="Q1576" s="253"/>
    </row>
    <row r="1577" spans="1:17">
      <c r="A1577" s="253"/>
      <c r="B1577" s="253"/>
      <c r="C1577" s="253"/>
      <c r="D1577" s="253"/>
      <c r="E1577" s="253"/>
      <c r="F1577" s="253"/>
      <c r="G1577" s="253"/>
      <c r="H1577" s="253"/>
      <c r="I1577" s="253"/>
      <c r="J1577" s="253"/>
      <c r="K1577" s="253"/>
      <c r="L1577" s="253"/>
      <c r="M1577" s="253"/>
      <c r="N1577" s="253"/>
      <c r="O1577" s="253"/>
      <c r="P1577" s="253"/>
      <c r="Q1577" s="253"/>
    </row>
    <row r="1578" spans="1:17">
      <c r="A1578" s="253"/>
      <c r="B1578" s="253"/>
      <c r="C1578" s="253"/>
      <c r="D1578" s="253"/>
      <c r="E1578" s="253"/>
      <c r="F1578" s="253"/>
      <c r="G1578" s="253"/>
      <c r="H1578" s="253"/>
      <c r="I1578" s="253"/>
      <c r="J1578" s="253"/>
      <c r="K1578" s="253"/>
      <c r="L1578" s="253"/>
      <c r="M1578" s="253"/>
      <c r="N1578" s="253"/>
      <c r="O1578" s="253"/>
      <c r="P1578" s="253"/>
      <c r="Q1578" s="253"/>
    </row>
    <row r="1579" spans="1:17">
      <c r="A1579" s="253"/>
      <c r="B1579" s="253"/>
      <c r="C1579" s="253"/>
      <c r="D1579" s="253"/>
      <c r="E1579" s="253"/>
      <c r="F1579" s="253"/>
      <c r="G1579" s="253"/>
      <c r="H1579" s="253"/>
      <c r="I1579" s="253"/>
      <c r="J1579" s="253"/>
      <c r="K1579" s="253"/>
      <c r="L1579" s="253"/>
      <c r="M1579" s="253"/>
      <c r="N1579" s="253"/>
      <c r="O1579" s="253"/>
      <c r="P1579" s="253"/>
      <c r="Q1579" s="253"/>
    </row>
    <row r="1580" spans="1:17">
      <c r="A1580" s="253"/>
      <c r="B1580" s="253"/>
      <c r="C1580" s="253"/>
      <c r="D1580" s="253"/>
      <c r="E1580" s="253"/>
      <c r="F1580" s="253"/>
      <c r="G1580" s="253"/>
      <c r="H1580" s="253"/>
      <c r="I1580" s="253"/>
      <c r="J1580" s="253"/>
      <c r="K1580" s="253"/>
      <c r="L1580" s="253"/>
      <c r="M1580" s="253"/>
      <c r="N1580" s="253"/>
      <c r="O1580" s="253"/>
      <c r="P1580" s="253"/>
      <c r="Q1580" s="253"/>
    </row>
    <row r="1581" spans="1:17">
      <c r="A1581" s="253"/>
      <c r="B1581" s="253"/>
      <c r="C1581" s="253"/>
      <c r="D1581" s="253"/>
      <c r="E1581" s="253"/>
      <c r="F1581" s="253"/>
      <c r="G1581" s="253"/>
      <c r="H1581" s="253"/>
      <c r="I1581" s="253"/>
      <c r="J1581" s="253"/>
      <c r="K1581" s="253"/>
      <c r="L1581" s="253"/>
      <c r="M1581" s="253"/>
      <c r="N1581" s="253"/>
      <c r="O1581" s="253"/>
      <c r="P1581" s="253"/>
      <c r="Q1581" s="253"/>
    </row>
    <row r="1582" spans="1:17">
      <c r="A1582" s="253"/>
      <c r="B1582" s="253"/>
      <c r="C1582" s="253"/>
      <c r="D1582" s="253"/>
      <c r="E1582" s="253"/>
      <c r="F1582" s="253"/>
      <c r="G1582" s="253"/>
      <c r="H1582" s="253"/>
      <c r="I1582" s="253"/>
      <c r="J1582" s="253"/>
      <c r="K1582" s="253"/>
      <c r="L1582" s="253"/>
      <c r="M1582" s="253"/>
      <c r="N1582" s="253"/>
      <c r="O1582" s="253"/>
      <c r="P1582" s="253"/>
      <c r="Q1582" s="253"/>
    </row>
    <row r="1583" spans="1:17">
      <c r="A1583" s="253"/>
      <c r="B1583" s="253"/>
      <c r="C1583" s="253"/>
      <c r="D1583" s="253"/>
      <c r="E1583" s="253"/>
      <c r="F1583" s="253"/>
      <c r="G1583" s="253"/>
      <c r="H1583" s="253"/>
      <c r="I1583" s="253"/>
      <c r="J1583" s="253"/>
      <c r="K1583" s="253"/>
      <c r="L1583" s="253"/>
      <c r="M1583" s="253"/>
      <c r="N1583" s="253"/>
      <c r="O1583" s="253"/>
      <c r="P1583" s="253"/>
      <c r="Q1583" s="253"/>
    </row>
    <row r="1584" spans="1:17">
      <c r="A1584" s="253"/>
      <c r="B1584" s="253"/>
      <c r="C1584" s="253"/>
      <c r="D1584" s="253"/>
      <c r="E1584" s="253"/>
      <c r="F1584" s="253"/>
      <c r="G1584" s="253"/>
      <c r="H1584" s="253"/>
      <c r="I1584" s="253"/>
      <c r="J1584" s="253"/>
      <c r="K1584" s="253"/>
      <c r="L1584" s="253"/>
      <c r="M1584" s="253"/>
      <c r="N1584" s="253"/>
      <c r="O1584" s="253"/>
      <c r="P1584" s="253"/>
      <c r="Q1584" s="253"/>
    </row>
    <row r="1585" spans="1:17">
      <c r="A1585" s="253"/>
      <c r="B1585" s="253"/>
      <c r="C1585" s="253"/>
      <c r="D1585" s="253"/>
      <c r="E1585" s="253"/>
      <c r="F1585" s="253"/>
      <c r="G1585" s="253"/>
      <c r="H1585" s="253"/>
      <c r="I1585" s="253"/>
      <c r="J1585" s="253"/>
      <c r="K1585" s="253"/>
      <c r="L1585" s="253"/>
      <c r="M1585" s="253"/>
      <c r="N1585" s="253"/>
      <c r="O1585" s="253"/>
      <c r="P1585" s="253"/>
      <c r="Q1585" s="253"/>
    </row>
    <row r="1586" spans="1:17">
      <c r="A1586" s="253"/>
      <c r="B1586" s="253"/>
      <c r="C1586" s="253"/>
      <c r="D1586" s="253"/>
      <c r="E1586" s="253"/>
      <c r="F1586" s="253"/>
      <c r="G1586" s="253"/>
      <c r="H1586" s="253"/>
      <c r="I1586" s="253"/>
      <c r="J1586" s="253"/>
      <c r="K1586" s="253"/>
      <c r="L1586" s="253"/>
      <c r="M1586" s="253"/>
      <c r="N1586" s="253"/>
      <c r="O1586" s="253"/>
      <c r="P1586" s="253"/>
      <c r="Q1586" s="253"/>
    </row>
    <row r="1587" spans="1:17">
      <c r="A1587" s="253"/>
      <c r="B1587" s="253"/>
      <c r="C1587" s="253"/>
      <c r="D1587" s="253"/>
      <c r="E1587" s="253"/>
      <c r="F1587" s="253"/>
      <c r="G1587" s="253"/>
      <c r="H1587" s="253"/>
      <c r="I1587" s="253"/>
      <c r="J1587" s="253"/>
      <c r="K1587" s="253"/>
      <c r="L1587" s="253"/>
      <c r="M1587" s="253"/>
      <c r="N1587" s="253"/>
      <c r="O1587" s="253"/>
      <c r="P1587" s="253"/>
      <c r="Q1587" s="253"/>
    </row>
    <row r="1588" spans="1:17">
      <c r="A1588" s="253"/>
      <c r="B1588" s="253"/>
      <c r="C1588" s="253"/>
      <c r="D1588" s="253"/>
      <c r="E1588" s="253"/>
      <c r="F1588" s="253"/>
      <c r="G1588" s="253"/>
      <c r="H1588" s="253"/>
      <c r="I1588" s="253"/>
      <c r="J1588" s="253"/>
      <c r="K1588" s="253"/>
      <c r="L1588" s="253"/>
      <c r="M1588" s="253"/>
      <c r="N1588" s="253"/>
      <c r="O1588" s="253"/>
      <c r="P1588" s="253"/>
      <c r="Q1588" s="253"/>
    </row>
    <row r="1589" spans="1:17">
      <c r="A1589" s="253"/>
      <c r="B1589" s="253"/>
      <c r="C1589" s="253"/>
      <c r="D1589" s="253"/>
      <c r="E1589" s="253"/>
      <c r="F1589" s="253"/>
      <c r="G1589" s="253"/>
      <c r="H1589" s="253"/>
      <c r="I1589" s="253"/>
      <c r="J1589" s="253"/>
      <c r="K1589" s="253"/>
      <c r="L1589" s="253"/>
      <c r="M1589" s="253"/>
      <c r="N1589" s="253"/>
      <c r="O1589" s="253"/>
      <c r="P1589" s="253"/>
      <c r="Q1589" s="253"/>
    </row>
    <row r="1590" spans="1:17">
      <c r="A1590" s="253"/>
      <c r="B1590" s="253"/>
      <c r="C1590" s="253"/>
      <c r="D1590" s="253"/>
      <c r="E1590" s="253"/>
      <c r="F1590" s="253"/>
      <c r="G1590" s="253"/>
      <c r="H1590" s="253"/>
      <c r="I1590" s="253"/>
      <c r="J1590" s="253"/>
      <c r="K1590" s="253"/>
      <c r="L1590" s="253"/>
      <c r="M1590" s="253"/>
      <c r="N1590" s="253"/>
      <c r="O1590" s="253"/>
      <c r="P1590" s="253"/>
      <c r="Q1590" s="253"/>
    </row>
    <row r="1591" spans="1:17">
      <c r="A1591" s="253"/>
      <c r="B1591" s="253"/>
      <c r="C1591" s="253"/>
      <c r="D1591" s="253"/>
      <c r="E1591" s="253"/>
      <c r="F1591" s="253"/>
      <c r="G1591" s="253"/>
      <c r="H1591" s="253"/>
      <c r="I1591" s="253"/>
      <c r="J1591" s="253"/>
      <c r="K1591" s="253"/>
      <c r="L1591" s="253"/>
      <c r="M1591" s="253"/>
      <c r="N1591" s="253"/>
      <c r="O1591" s="253"/>
      <c r="P1591" s="253"/>
      <c r="Q1591" s="253"/>
    </row>
    <row r="1592" spans="1:17">
      <c r="A1592" s="253"/>
      <c r="B1592" s="253"/>
      <c r="C1592" s="253"/>
      <c r="D1592" s="253"/>
      <c r="E1592" s="253"/>
      <c r="F1592" s="253"/>
      <c r="G1592" s="253"/>
      <c r="H1592" s="253"/>
      <c r="I1592" s="253"/>
      <c r="J1592" s="253"/>
      <c r="K1592" s="253"/>
      <c r="L1592" s="253"/>
      <c r="M1592" s="253"/>
      <c r="N1592" s="253"/>
      <c r="O1592" s="253"/>
      <c r="P1592" s="253"/>
      <c r="Q1592" s="253"/>
    </row>
    <row r="1593" spans="1:17">
      <c r="A1593" s="253"/>
      <c r="B1593" s="253"/>
      <c r="C1593" s="253"/>
      <c r="D1593" s="253"/>
      <c r="E1593" s="253"/>
      <c r="F1593" s="253"/>
      <c r="G1593" s="253"/>
      <c r="H1593" s="253"/>
      <c r="I1593" s="253"/>
      <c r="J1593" s="253"/>
      <c r="K1593" s="253"/>
      <c r="L1593" s="253"/>
      <c r="M1593" s="253"/>
      <c r="N1593" s="253"/>
      <c r="O1593" s="253"/>
      <c r="P1593" s="253"/>
      <c r="Q1593" s="253"/>
    </row>
    <row r="1594" spans="1:17">
      <c r="A1594" s="253"/>
      <c r="B1594" s="253"/>
      <c r="C1594" s="253"/>
      <c r="D1594" s="253"/>
      <c r="E1594" s="253"/>
      <c r="F1594" s="253"/>
      <c r="G1594" s="253"/>
      <c r="H1594" s="253"/>
      <c r="I1594" s="253"/>
      <c r="J1594" s="253"/>
      <c r="K1594" s="253"/>
      <c r="L1594" s="253"/>
      <c r="M1594" s="253"/>
      <c r="N1594" s="253"/>
      <c r="O1594" s="253"/>
      <c r="P1594" s="253"/>
      <c r="Q1594" s="253"/>
    </row>
    <row r="1595" spans="1:17">
      <c r="A1595" s="253"/>
      <c r="B1595" s="253"/>
      <c r="C1595" s="253"/>
      <c r="D1595" s="253"/>
      <c r="E1595" s="253"/>
      <c r="F1595" s="253"/>
      <c r="G1595" s="253"/>
      <c r="H1595" s="253"/>
      <c r="I1595" s="253"/>
      <c r="J1595" s="253"/>
      <c r="K1595" s="253"/>
      <c r="L1595" s="253"/>
      <c r="M1595" s="253"/>
      <c r="N1595" s="253"/>
      <c r="O1595" s="253"/>
      <c r="P1595" s="253"/>
      <c r="Q1595" s="253"/>
    </row>
    <row r="1596" spans="1:17">
      <c r="A1596" s="253"/>
      <c r="B1596" s="253"/>
      <c r="C1596" s="253"/>
      <c r="D1596" s="253"/>
      <c r="E1596" s="253"/>
      <c r="F1596" s="253"/>
      <c r="G1596" s="253"/>
      <c r="H1596" s="253"/>
      <c r="I1596" s="253"/>
      <c r="J1596" s="253"/>
      <c r="K1596" s="253"/>
      <c r="L1596" s="253"/>
      <c r="M1596" s="253"/>
      <c r="N1596" s="253"/>
      <c r="O1596" s="253"/>
      <c r="P1596" s="253"/>
      <c r="Q1596" s="253"/>
    </row>
    <row r="1597" spans="1:17">
      <c r="A1597" s="253"/>
      <c r="B1597" s="253"/>
      <c r="C1597" s="253"/>
      <c r="D1597" s="253"/>
      <c r="E1597" s="253"/>
      <c r="F1597" s="253"/>
      <c r="G1597" s="253"/>
      <c r="H1597" s="253"/>
      <c r="I1597" s="253"/>
      <c r="J1597" s="253"/>
      <c r="K1597" s="253"/>
      <c r="L1597" s="253"/>
      <c r="M1597" s="253"/>
      <c r="N1597" s="253"/>
      <c r="O1597" s="253"/>
      <c r="P1597" s="253"/>
      <c r="Q1597" s="253"/>
    </row>
    <row r="1598" spans="1:17">
      <c r="A1598" s="253"/>
      <c r="B1598" s="253"/>
      <c r="C1598" s="253"/>
      <c r="D1598" s="253"/>
      <c r="E1598" s="253"/>
      <c r="F1598" s="253"/>
      <c r="G1598" s="253"/>
      <c r="H1598" s="253"/>
      <c r="I1598" s="253"/>
      <c r="J1598" s="253"/>
      <c r="K1598" s="253"/>
      <c r="L1598" s="253"/>
      <c r="M1598" s="253"/>
      <c r="N1598" s="253"/>
      <c r="O1598" s="253"/>
      <c r="P1598" s="253"/>
      <c r="Q1598" s="253"/>
    </row>
    <row r="1599" spans="1:17">
      <c r="A1599" s="253"/>
      <c r="B1599" s="253"/>
      <c r="C1599" s="253"/>
      <c r="D1599" s="253"/>
      <c r="E1599" s="253"/>
      <c r="F1599" s="253"/>
      <c r="G1599" s="253"/>
      <c r="H1599" s="253"/>
      <c r="I1599" s="253"/>
      <c r="J1599" s="253"/>
      <c r="K1599" s="253"/>
      <c r="L1599" s="253"/>
      <c r="M1599" s="253"/>
      <c r="N1599" s="253"/>
      <c r="O1599" s="253"/>
      <c r="P1599" s="253"/>
      <c r="Q1599" s="253"/>
    </row>
    <row r="1600" spans="1:17">
      <c r="A1600" s="253"/>
      <c r="B1600" s="253"/>
      <c r="C1600" s="253"/>
      <c r="D1600" s="253"/>
      <c r="E1600" s="253"/>
      <c r="F1600" s="253"/>
      <c r="G1600" s="253"/>
      <c r="H1600" s="253"/>
      <c r="I1600" s="253"/>
      <c r="J1600" s="253"/>
      <c r="K1600" s="253"/>
      <c r="L1600" s="253"/>
      <c r="M1600" s="253"/>
      <c r="N1600" s="253"/>
      <c r="O1600" s="253"/>
      <c r="P1600" s="253"/>
      <c r="Q1600" s="253"/>
    </row>
    <row r="1601" spans="1:17">
      <c r="A1601" s="253"/>
      <c r="B1601" s="253"/>
      <c r="C1601" s="253"/>
      <c r="D1601" s="253"/>
      <c r="E1601" s="253"/>
      <c r="F1601" s="253"/>
      <c r="G1601" s="253"/>
      <c r="H1601" s="253"/>
      <c r="I1601" s="253"/>
      <c r="J1601" s="253"/>
      <c r="K1601" s="253"/>
      <c r="L1601" s="253"/>
      <c r="M1601" s="253"/>
      <c r="N1601" s="253"/>
      <c r="O1601" s="253"/>
      <c r="P1601" s="253"/>
      <c r="Q1601" s="253"/>
    </row>
    <row r="1602" spans="1:17">
      <c r="A1602" s="253"/>
      <c r="B1602" s="253"/>
      <c r="C1602" s="253"/>
      <c r="D1602" s="253"/>
      <c r="E1602" s="253"/>
      <c r="F1602" s="253"/>
      <c r="G1602" s="253"/>
      <c r="H1602" s="253"/>
      <c r="I1602" s="253"/>
      <c r="J1602" s="253"/>
      <c r="K1602" s="253"/>
      <c r="L1602" s="253"/>
      <c r="M1602" s="253"/>
      <c r="N1602" s="253"/>
      <c r="O1602" s="253"/>
      <c r="P1602" s="253"/>
      <c r="Q1602" s="253"/>
    </row>
    <row r="1603" spans="1:17">
      <c r="A1603" s="253"/>
      <c r="B1603" s="253"/>
      <c r="C1603" s="253"/>
      <c r="D1603" s="253"/>
      <c r="E1603" s="253"/>
      <c r="F1603" s="253"/>
      <c r="G1603" s="253"/>
      <c r="H1603" s="253"/>
      <c r="I1603" s="253"/>
      <c r="J1603" s="253"/>
      <c r="K1603" s="253"/>
      <c r="L1603" s="253"/>
      <c r="M1603" s="253"/>
      <c r="N1603" s="253"/>
      <c r="O1603" s="253"/>
      <c r="P1603" s="253"/>
      <c r="Q1603" s="253"/>
    </row>
    <row r="1604" spans="1:17">
      <c r="A1604" s="253"/>
      <c r="B1604" s="253"/>
      <c r="C1604" s="253"/>
      <c r="D1604" s="253"/>
      <c r="E1604" s="253"/>
      <c r="F1604" s="253"/>
      <c r="G1604" s="253"/>
      <c r="H1604" s="253"/>
      <c r="I1604" s="253"/>
      <c r="J1604" s="253"/>
      <c r="K1604" s="253"/>
      <c r="L1604" s="253"/>
      <c r="M1604" s="253"/>
      <c r="N1604" s="253"/>
      <c r="O1604" s="253"/>
      <c r="P1604" s="253"/>
      <c r="Q1604" s="253"/>
    </row>
    <row r="1605" spans="1:17">
      <c r="A1605" s="253"/>
      <c r="B1605" s="253"/>
      <c r="C1605" s="253"/>
      <c r="D1605" s="253"/>
      <c r="E1605" s="253"/>
      <c r="F1605" s="253"/>
      <c r="G1605" s="253"/>
      <c r="H1605" s="253"/>
      <c r="I1605" s="253"/>
      <c r="J1605" s="253"/>
      <c r="K1605" s="253"/>
      <c r="L1605" s="253"/>
      <c r="M1605" s="253"/>
      <c r="N1605" s="253"/>
      <c r="O1605" s="253"/>
      <c r="P1605" s="253"/>
      <c r="Q1605" s="253"/>
    </row>
    <row r="1606" spans="1:17">
      <c r="A1606" s="253"/>
      <c r="B1606" s="253"/>
      <c r="C1606" s="253"/>
      <c r="D1606" s="253"/>
      <c r="E1606" s="253"/>
      <c r="F1606" s="253"/>
      <c r="G1606" s="253"/>
      <c r="H1606" s="253"/>
      <c r="I1606" s="253"/>
      <c r="J1606" s="253"/>
      <c r="K1606" s="253"/>
      <c r="L1606" s="253"/>
      <c r="M1606" s="253"/>
      <c r="N1606" s="253"/>
      <c r="O1606" s="253"/>
      <c r="P1606" s="253"/>
      <c r="Q1606" s="253"/>
    </row>
    <row r="1607" spans="1:17">
      <c r="A1607" s="253"/>
      <c r="B1607" s="253"/>
      <c r="C1607" s="253"/>
      <c r="D1607" s="253"/>
      <c r="E1607" s="253"/>
      <c r="F1607" s="253"/>
      <c r="G1607" s="253"/>
      <c r="H1607" s="253"/>
      <c r="I1607" s="253"/>
      <c r="J1607" s="253"/>
      <c r="K1607" s="253"/>
      <c r="L1607" s="253"/>
      <c r="M1607" s="253"/>
      <c r="N1607" s="253"/>
      <c r="O1607" s="253"/>
      <c r="P1607" s="253"/>
      <c r="Q1607" s="253"/>
    </row>
    <row r="1608" spans="1:17">
      <c r="A1608" s="253"/>
      <c r="B1608" s="253"/>
      <c r="C1608" s="253"/>
      <c r="D1608" s="253"/>
      <c r="E1608" s="253"/>
      <c r="F1608" s="253"/>
      <c r="G1608" s="253"/>
      <c r="H1608" s="253"/>
      <c r="I1608" s="253"/>
      <c r="J1608" s="253"/>
      <c r="K1608" s="253"/>
      <c r="L1608" s="253"/>
      <c r="M1608" s="253"/>
      <c r="N1608" s="253"/>
      <c r="O1608" s="253"/>
      <c r="P1608" s="253"/>
      <c r="Q1608" s="253"/>
    </row>
    <row r="1609" spans="1:17">
      <c r="A1609" s="253"/>
      <c r="B1609" s="253"/>
      <c r="C1609" s="253"/>
      <c r="D1609" s="253"/>
      <c r="E1609" s="253"/>
      <c r="F1609" s="253"/>
      <c r="G1609" s="253"/>
      <c r="H1609" s="253"/>
      <c r="I1609" s="253"/>
      <c r="J1609" s="253"/>
      <c r="K1609" s="253"/>
      <c r="L1609" s="253"/>
      <c r="M1609" s="253"/>
      <c r="N1609" s="253"/>
      <c r="O1609" s="253"/>
      <c r="P1609" s="253"/>
      <c r="Q1609" s="253"/>
    </row>
    <row r="1610" spans="1:17">
      <c r="A1610" s="253"/>
      <c r="B1610" s="253"/>
      <c r="C1610" s="253"/>
      <c r="D1610" s="253"/>
      <c r="E1610" s="253"/>
      <c r="F1610" s="253"/>
      <c r="G1610" s="253"/>
      <c r="H1610" s="253"/>
      <c r="I1610" s="253"/>
      <c r="J1610" s="253"/>
      <c r="K1610" s="253"/>
      <c r="L1610" s="253"/>
      <c r="M1610" s="253"/>
      <c r="N1610" s="253"/>
      <c r="O1610" s="253"/>
      <c r="P1610" s="253"/>
      <c r="Q1610" s="253"/>
    </row>
    <row r="1611" spans="1:17">
      <c r="A1611" s="253"/>
      <c r="B1611" s="253"/>
      <c r="C1611" s="253"/>
      <c r="D1611" s="253"/>
      <c r="E1611" s="253"/>
      <c r="F1611" s="253"/>
      <c r="G1611" s="253"/>
      <c r="H1611" s="253"/>
      <c r="I1611" s="253"/>
      <c r="J1611" s="253"/>
      <c r="K1611" s="253"/>
      <c r="L1611" s="253"/>
      <c r="M1611" s="253"/>
      <c r="N1611" s="253"/>
      <c r="O1611" s="253"/>
      <c r="P1611" s="253"/>
      <c r="Q1611" s="253"/>
    </row>
    <row r="1612" spans="1:17">
      <c r="A1612" s="253"/>
      <c r="B1612" s="253"/>
      <c r="C1612" s="253"/>
      <c r="D1612" s="253"/>
      <c r="E1612" s="253"/>
      <c r="F1612" s="253"/>
      <c r="G1612" s="253"/>
      <c r="H1612" s="253"/>
      <c r="I1612" s="253"/>
      <c r="J1612" s="253"/>
      <c r="K1612" s="253"/>
      <c r="L1612" s="253"/>
      <c r="M1612" s="253"/>
      <c r="N1612" s="253"/>
      <c r="O1612" s="253"/>
      <c r="P1612" s="253"/>
      <c r="Q1612" s="253"/>
    </row>
    <row r="1613" spans="1:17">
      <c r="A1613" s="253"/>
      <c r="B1613" s="253"/>
      <c r="C1613" s="253"/>
      <c r="D1613" s="253"/>
      <c r="E1613" s="253"/>
      <c r="F1613" s="253"/>
      <c r="G1613" s="253"/>
      <c r="H1613" s="253"/>
      <c r="I1613" s="253"/>
      <c r="J1613" s="253"/>
      <c r="K1613" s="253"/>
      <c r="L1613" s="253"/>
      <c r="M1613" s="253"/>
      <c r="N1613" s="253"/>
      <c r="O1613" s="253"/>
      <c r="P1613" s="253"/>
      <c r="Q1613" s="253"/>
    </row>
    <row r="1614" spans="1:17">
      <c r="A1614" s="253"/>
      <c r="B1614" s="253"/>
      <c r="C1614" s="253"/>
      <c r="D1614" s="253"/>
      <c r="E1614" s="253"/>
      <c r="F1614" s="253"/>
      <c r="G1614" s="253"/>
      <c r="H1614" s="253"/>
      <c r="I1614" s="253"/>
      <c r="J1614" s="253"/>
      <c r="K1614" s="253"/>
      <c r="L1614" s="253"/>
      <c r="M1614" s="253"/>
      <c r="N1614" s="253"/>
      <c r="O1614" s="253"/>
      <c r="P1614" s="253"/>
      <c r="Q1614" s="253"/>
    </row>
    <row r="1615" spans="1:17">
      <c r="A1615" s="253"/>
      <c r="B1615" s="253"/>
      <c r="C1615" s="253"/>
      <c r="D1615" s="253"/>
      <c r="E1615" s="253"/>
      <c r="F1615" s="253"/>
      <c r="G1615" s="253"/>
      <c r="H1615" s="253"/>
      <c r="I1615" s="253"/>
      <c r="J1615" s="253"/>
      <c r="K1615" s="253"/>
      <c r="L1615" s="253"/>
      <c r="M1615" s="253"/>
      <c r="N1615" s="253"/>
      <c r="O1615" s="253"/>
      <c r="P1615" s="253"/>
      <c r="Q1615" s="253"/>
    </row>
    <row r="1616" spans="1:17">
      <c r="A1616" s="253"/>
      <c r="B1616" s="253"/>
      <c r="C1616" s="253"/>
      <c r="D1616" s="253"/>
      <c r="E1616" s="253"/>
      <c r="F1616" s="253"/>
      <c r="G1616" s="253"/>
      <c r="H1616" s="253"/>
      <c r="I1616" s="253"/>
      <c r="J1616" s="253"/>
      <c r="K1616" s="253"/>
      <c r="L1616" s="253"/>
      <c r="M1616" s="253"/>
      <c r="N1616" s="253"/>
      <c r="O1616" s="253"/>
      <c r="P1616" s="253"/>
      <c r="Q1616" s="253"/>
    </row>
    <row r="1617" spans="1:17">
      <c r="A1617" s="253"/>
      <c r="B1617" s="253"/>
      <c r="C1617" s="253"/>
      <c r="D1617" s="253"/>
      <c r="E1617" s="253"/>
      <c r="F1617" s="253"/>
      <c r="G1617" s="253"/>
      <c r="H1617" s="253"/>
      <c r="I1617" s="253"/>
      <c r="J1617" s="253"/>
      <c r="K1617" s="253"/>
      <c r="L1617" s="253"/>
      <c r="M1617" s="253"/>
      <c r="N1617" s="253"/>
      <c r="O1617" s="253"/>
      <c r="P1617" s="253"/>
      <c r="Q1617" s="253"/>
    </row>
    <row r="1618" spans="1:17">
      <c r="A1618" s="253"/>
      <c r="B1618" s="253"/>
      <c r="C1618" s="253"/>
      <c r="D1618" s="253"/>
      <c r="E1618" s="253"/>
      <c r="F1618" s="253"/>
      <c r="G1618" s="253"/>
      <c r="H1618" s="253"/>
      <c r="I1618" s="253"/>
      <c r="J1618" s="253"/>
      <c r="K1618" s="253"/>
      <c r="L1618" s="253"/>
      <c r="M1618" s="253"/>
      <c r="N1618" s="253"/>
      <c r="O1618" s="253"/>
      <c r="P1618" s="253"/>
      <c r="Q1618" s="253"/>
    </row>
    <row r="1619" spans="1:17">
      <c r="A1619" s="253"/>
      <c r="B1619" s="253"/>
      <c r="C1619" s="253"/>
      <c r="D1619" s="253"/>
      <c r="E1619" s="253"/>
      <c r="F1619" s="253"/>
      <c r="G1619" s="253"/>
      <c r="H1619" s="253"/>
      <c r="I1619" s="253"/>
      <c r="J1619" s="253"/>
      <c r="K1619" s="253"/>
      <c r="L1619" s="253"/>
      <c r="M1619" s="253"/>
      <c r="N1619" s="253"/>
      <c r="O1619" s="253"/>
      <c r="P1619" s="253"/>
      <c r="Q1619" s="253"/>
    </row>
    <row r="1620" spans="1:17">
      <c r="A1620" s="253"/>
      <c r="B1620" s="253"/>
      <c r="C1620" s="253"/>
      <c r="D1620" s="253"/>
      <c r="E1620" s="253"/>
      <c r="F1620" s="253"/>
      <c r="G1620" s="253"/>
      <c r="H1620" s="253"/>
      <c r="I1620" s="253"/>
      <c r="J1620" s="253"/>
      <c r="K1620" s="253"/>
      <c r="L1620" s="253"/>
      <c r="M1620" s="253"/>
      <c r="N1620" s="253"/>
      <c r="O1620" s="253"/>
      <c r="P1620" s="253"/>
      <c r="Q1620" s="253"/>
    </row>
    <row r="1621" spans="1:17">
      <c r="A1621" s="253"/>
      <c r="B1621" s="253"/>
      <c r="C1621" s="253"/>
      <c r="D1621" s="253"/>
      <c r="E1621" s="253"/>
      <c r="F1621" s="253"/>
      <c r="G1621" s="253"/>
      <c r="H1621" s="253"/>
      <c r="I1621" s="253"/>
      <c r="J1621" s="253"/>
      <c r="K1621" s="253"/>
      <c r="L1621" s="253"/>
      <c r="M1621" s="253"/>
      <c r="N1621" s="253"/>
      <c r="O1621" s="253"/>
      <c r="P1621" s="253"/>
      <c r="Q1621" s="253"/>
    </row>
    <row r="1622" spans="1:17">
      <c r="A1622" s="253"/>
      <c r="B1622" s="253"/>
      <c r="C1622" s="253"/>
      <c r="D1622" s="253"/>
      <c r="E1622" s="253"/>
      <c r="F1622" s="253"/>
      <c r="G1622" s="253"/>
      <c r="H1622" s="253"/>
      <c r="I1622" s="253"/>
      <c r="J1622" s="253"/>
      <c r="K1622" s="253"/>
      <c r="L1622" s="253"/>
      <c r="M1622" s="253"/>
      <c r="N1622" s="253"/>
      <c r="O1622" s="253"/>
      <c r="P1622" s="253"/>
      <c r="Q1622" s="253"/>
    </row>
    <row r="1623" spans="1:17">
      <c r="A1623" s="253"/>
      <c r="B1623" s="253"/>
      <c r="C1623" s="253"/>
      <c r="D1623" s="253"/>
      <c r="E1623" s="253"/>
      <c r="F1623" s="253"/>
      <c r="G1623" s="253"/>
      <c r="H1623" s="253"/>
      <c r="I1623" s="253"/>
      <c r="J1623" s="253"/>
      <c r="K1623" s="253"/>
      <c r="L1623" s="253"/>
      <c r="M1623" s="253"/>
      <c r="N1623" s="253"/>
      <c r="O1623" s="253"/>
      <c r="P1623" s="253"/>
      <c r="Q1623" s="253"/>
    </row>
    <row r="1624" spans="1:17">
      <c r="A1624" s="253"/>
      <c r="B1624" s="253"/>
      <c r="C1624" s="253"/>
      <c r="D1624" s="253"/>
      <c r="E1624" s="253"/>
      <c r="F1624" s="253"/>
      <c r="G1624" s="253"/>
      <c r="H1624" s="253"/>
      <c r="I1624" s="253"/>
      <c r="J1624" s="253"/>
      <c r="K1624" s="253"/>
      <c r="L1624" s="253"/>
      <c r="M1624" s="253"/>
      <c r="N1624" s="253"/>
      <c r="O1624" s="253"/>
      <c r="P1624" s="253"/>
      <c r="Q1624" s="253"/>
    </row>
    <row r="1625" spans="1:17">
      <c r="A1625" s="253"/>
      <c r="B1625" s="253"/>
      <c r="C1625" s="253"/>
      <c r="D1625" s="253"/>
      <c r="E1625" s="253"/>
      <c r="F1625" s="253"/>
      <c r="G1625" s="253"/>
      <c r="H1625" s="253"/>
      <c r="I1625" s="253"/>
      <c r="J1625" s="253"/>
      <c r="K1625" s="253"/>
      <c r="L1625" s="253"/>
      <c r="M1625" s="253"/>
      <c r="N1625" s="253"/>
      <c r="O1625" s="253"/>
      <c r="P1625" s="253"/>
      <c r="Q1625" s="253"/>
    </row>
    <row r="1626" spans="1:17">
      <c r="A1626" s="253"/>
      <c r="B1626" s="253"/>
      <c r="C1626" s="253"/>
      <c r="D1626" s="253"/>
      <c r="E1626" s="253"/>
      <c r="F1626" s="253"/>
      <c r="G1626" s="253"/>
      <c r="H1626" s="253"/>
      <c r="I1626" s="253"/>
      <c r="J1626" s="253"/>
      <c r="K1626" s="253"/>
      <c r="L1626" s="253"/>
      <c r="M1626" s="253"/>
      <c r="N1626" s="253"/>
      <c r="O1626" s="253"/>
      <c r="P1626" s="253"/>
      <c r="Q1626" s="253"/>
    </row>
    <row r="1627" spans="1:17">
      <c r="A1627" s="253"/>
      <c r="B1627" s="253"/>
      <c r="C1627" s="253"/>
      <c r="D1627" s="253"/>
      <c r="E1627" s="253"/>
      <c r="F1627" s="253"/>
      <c r="G1627" s="253"/>
      <c r="H1627" s="253"/>
      <c r="I1627" s="253"/>
      <c r="J1627" s="253"/>
      <c r="K1627" s="253"/>
      <c r="L1627" s="253"/>
      <c r="M1627" s="253"/>
      <c r="N1627" s="253"/>
      <c r="O1627" s="253"/>
      <c r="P1627" s="253"/>
      <c r="Q1627" s="253"/>
    </row>
    <row r="1628" spans="1:17">
      <c r="A1628" s="253"/>
      <c r="B1628" s="253"/>
      <c r="C1628" s="253"/>
      <c r="D1628" s="253"/>
      <c r="E1628" s="253"/>
      <c r="F1628" s="253"/>
      <c r="G1628" s="253"/>
      <c r="H1628" s="253"/>
      <c r="I1628" s="253"/>
      <c r="J1628" s="253"/>
      <c r="K1628" s="253"/>
      <c r="L1628" s="253"/>
      <c r="M1628" s="253"/>
      <c r="N1628" s="253"/>
      <c r="O1628" s="253"/>
      <c r="P1628" s="253"/>
      <c r="Q1628" s="253"/>
    </row>
    <row r="1629" spans="1:17">
      <c r="A1629" s="253"/>
      <c r="B1629" s="253"/>
      <c r="C1629" s="253"/>
      <c r="D1629" s="253"/>
      <c r="E1629" s="253"/>
      <c r="F1629" s="253"/>
      <c r="G1629" s="253"/>
      <c r="H1629" s="253"/>
      <c r="I1629" s="253"/>
      <c r="J1629" s="253"/>
      <c r="K1629" s="253"/>
      <c r="L1629" s="253"/>
      <c r="M1629" s="253"/>
      <c r="N1629" s="253"/>
      <c r="O1629" s="253"/>
      <c r="P1629" s="253"/>
      <c r="Q1629" s="253"/>
    </row>
    <row r="1630" spans="1:17">
      <c r="A1630" s="253"/>
      <c r="B1630" s="253"/>
      <c r="C1630" s="253"/>
      <c r="D1630" s="253"/>
      <c r="E1630" s="253"/>
      <c r="F1630" s="253"/>
      <c r="G1630" s="253"/>
      <c r="H1630" s="253"/>
      <c r="I1630" s="253"/>
      <c r="J1630" s="253"/>
      <c r="K1630" s="253"/>
      <c r="L1630" s="253"/>
      <c r="M1630" s="253"/>
      <c r="N1630" s="253"/>
      <c r="O1630" s="253"/>
      <c r="P1630" s="253"/>
      <c r="Q1630" s="253"/>
    </row>
    <row r="1631" spans="1:17">
      <c r="A1631" s="253"/>
      <c r="B1631" s="253"/>
      <c r="C1631" s="253"/>
      <c r="D1631" s="253"/>
      <c r="E1631" s="253"/>
      <c r="F1631" s="253"/>
      <c r="G1631" s="253"/>
      <c r="H1631" s="253"/>
      <c r="I1631" s="253"/>
      <c r="J1631" s="253"/>
      <c r="K1631" s="253"/>
      <c r="L1631" s="253"/>
      <c r="M1631" s="253"/>
      <c r="N1631" s="253"/>
      <c r="O1631" s="253"/>
      <c r="P1631" s="253"/>
      <c r="Q1631" s="253"/>
    </row>
    <row r="1632" spans="1:17">
      <c r="A1632" s="253"/>
      <c r="B1632" s="253"/>
      <c r="C1632" s="253"/>
      <c r="D1632" s="253"/>
      <c r="E1632" s="253"/>
      <c r="F1632" s="253"/>
      <c r="G1632" s="253"/>
      <c r="H1632" s="253"/>
      <c r="I1632" s="253"/>
      <c r="J1632" s="253"/>
      <c r="K1632" s="253"/>
      <c r="L1632" s="253"/>
      <c r="M1632" s="253"/>
      <c r="N1632" s="253"/>
      <c r="O1632" s="253"/>
      <c r="P1632" s="253"/>
      <c r="Q1632" s="253"/>
    </row>
    <row r="1633" spans="1:17">
      <c r="A1633" s="253"/>
      <c r="B1633" s="253"/>
      <c r="C1633" s="253"/>
      <c r="D1633" s="253"/>
      <c r="E1633" s="253"/>
      <c r="F1633" s="253"/>
      <c r="G1633" s="253"/>
      <c r="H1633" s="253"/>
      <c r="I1633" s="253"/>
      <c r="J1633" s="253"/>
      <c r="K1633" s="253"/>
      <c r="L1633" s="253"/>
      <c r="M1633" s="253"/>
      <c r="N1633" s="253"/>
      <c r="O1633" s="253"/>
      <c r="P1633" s="253"/>
      <c r="Q1633" s="253"/>
    </row>
    <row r="1634" spans="1:17">
      <c r="A1634" s="253"/>
      <c r="B1634" s="253"/>
      <c r="C1634" s="253"/>
      <c r="D1634" s="253"/>
      <c r="E1634" s="253"/>
      <c r="F1634" s="253"/>
      <c r="G1634" s="253"/>
      <c r="H1634" s="253"/>
      <c r="I1634" s="253"/>
      <c r="J1634" s="253"/>
      <c r="K1634" s="253"/>
      <c r="L1634" s="253"/>
      <c r="M1634" s="253"/>
      <c r="N1634" s="253"/>
      <c r="O1634" s="253"/>
      <c r="P1634" s="253"/>
      <c r="Q1634" s="253"/>
    </row>
    <row r="1635" spans="1:17">
      <c r="A1635" s="253"/>
      <c r="B1635" s="253"/>
      <c r="C1635" s="253"/>
      <c r="D1635" s="253"/>
      <c r="E1635" s="253"/>
      <c r="F1635" s="253"/>
      <c r="G1635" s="253"/>
      <c r="H1635" s="253"/>
      <c r="I1635" s="253"/>
      <c r="J1635" s="253"/>
      <c r="K1635" s="253"/>
      <c r="L1635" s="253"/>
      <c r="M1635" s="253"/>
      <c r="N1635" s="253"/>
      <c r="O1635" s="253"/>
      <c r="P1635" s="253"/>
      <c r="Q1635" s="253"/>
    </row>
    <row r="1636" spans="1:17">
      <c r="A1636" s="253"/>
      <c r="B1636" s="253"/>
      <c r="C1636" s="253"/>
      <c r="D1636" s="253"/>
      <c r="E1636" s="253"/>
      <c r="F1636" s="253"/>
      <c r="G1636" s="253"/>
      <c r="H1636" s="253"/>
      <c r="I1636" s="253"/>
      <c r="J1636" s="253"/>
      <c r="K1636" s="253"/>
      <c r="L1636" s="253"/>
      <c r="M1636" s="253"/>
      <c r="N1636" s="253"/>
      <c r="O1636" s="253"/>
      <c r="P1636" s="253"/>
      <c r="Q1636" s="253"/>
    </row>
    <row r="1637" spans="1:17">
      <c r="A1637" s="253"/>
      <c r="B1637" s="253"/>
      <c r="C1637" s="253"/>
      <c r="D1637" s="253"/>
      <c r="E1637" s="253"/>
      <c r="F1637" s="253"/>
      <c r="G1637" s="253"/>
      <c r="H1637" s="253"/>
      <c r="I1637" s="253"/>
      <c r="J1637" s="253"/>
      <c r="K1637" s="253"/>
      <c r="L1637" s="253"/>
      <c r="M1637" s="253"/>
      <c r="N1637" s="253"/>
      <c r="O1637" s="253"/>
      <c r="P1637" s="253"/>
      <c r="Q1637" s="253"/>
    </row>
    <row r="1638" spans="1:17">
      <c r="A1638" s="253"/>
      <c r="B1638" s="253"/>
      <c r="C1638" s="253"/>
      <c r="D1638" s="253"/>
      <c r="E1638" s="253"/>
      <c r="F1638" s="253"/>
      <c r="G1638" s="253"/>
      <c r="H1638" s="253"/>
      <c r="I1638" s="253"/>
      <c r="J1638" s="253"/>
      <c r="K1638" s="253"/>
      <c r="L1638" s="253"/>
      <c r="M1638" s="253"/>
      <c r="N1638" s="253"/>
      <c r="O1638" s="253"/>
      <c r="P1638" s="253"/>
      <c r="Q1638" s="253"/>
    </row>
    <row r="1639" spans="1:17">
      <c r="A1639" s="253"/>
      <c r="B1639" s="253"/>
      <c r="C1639" s="253"/>
      <c r="D1639" s="253"/>
      <c r="E1639" s="253"/>
      <c r="F1639" s="253"/>
      <c r="G1639" s="253"/>
      <c r="H1639" s="253"/>
      <c r="I1639" s="253"/>
      <c r="J1639" s="253"/>
      <c r="K1639" s="253"/>
      <c r="L1639" s="253"/>
      <c r="M1639" s="253"/>
      <c r="N1639" s="253"/>
      <c r="O1639" s="253"/>
      <c r="P1639" s="253"/>
      <c r="Q1639" s="253"/>
    </row>
    <row r="1640" spans="1:17">
      <c r="A1640" s="253"/>
      <c r="B1640" s="253"/>
      <c r="C1640" s="253"/>
      <c r="D1640" s="253"/>
      <c r="E1640" s="253"/>
      <c r="F1640" s="253"/>
      <c r="G1640" s="253"/>
      <c r="H1640" s="253"/>
      <c r="I1640" s="253"/>
      <c r="J1640" s="253"/>
      <c r="K1640" s="253"/>
      <c r="L1640" s="253"/>
      <c r="M1640" s="253"/>
      <c r="N1640" s="253"/>
      <c r="O1640" s="253"/>
      <c r="P1640" s="253"/>
      <c r="Q1640" s="253"/>
    </row>
    <row r="1641" spans="1:17">
      <c r="A1641" s="253"/>
      <c r="B1641" s="253"/>
      <c r="C1641" s="253"/>
      <c r="D1641" s="253"/>
      <c r="E1641" s="253"/>
      <c r="F1641" s="253"/>
      <c r="G1641" s="253"/>
      <c r="H1641" s="253"/>
      <c r="I1641" s="253"/>
      <c r="J1641" s="253"/>
      <c r="K1641" s="253"/>
      <c r="L1641" s="253"/>
      <c r="M1641" s="253"/>
      <c r="N1641" s="253"/>
      <c r="O1641" s="253"/>
      <c r="P1641" s="253"/>
      <c r="Q1641" s="253"/>
    </row>
    <row r="1642" spans="1:17">
      <c r="A1642" s="253"/>
      <c r="B1642" s="253"/>
      <c r="C1642" s="253"/>
      <c r="D1642" s="253"/>
      <c r="E1642" s="253"/>
      <c r="F1642" s="253"/>
      <c r="G1642" s="253"/>
      <c r="H1642" s="253"/>
      <c r="I1642" s="253"/>
      <c r="J1642" s="253"/>
      <c r="K1642" s="253"/>
      <c r="L1642" s="253"/>
      <c r="M1642" s="253"/>
      <c r="N1642" s="253"/>
      <c r="O1642" s="253"/>
      <c r="P1642" s="253"/>
      <c r="Q1642" s="253"/>
    </row>
    <row r="1643" spans="1:17">
      <c r="A1643" s="253"/>
      <c r="B1643" s="253"/>
      <c r="C1643" s="253"/>
      <c r="D1643" s="253"/>
      <c r="E1643" s="253"/>
      <c r="F1643" s="253"/>
      <c r="G1643" s="253"/>
      <c r="H1643" s="253"/>
      <c r="I1643" s="253"/>
      <c r="J1643" s="253"/>
      <c r="K1643" s="253"/>
      <c r="L1643" s="253"/>
      <c r="M1643" s="253"/>
      <c r="N1643" s="253"/>
      <c r="O1643" s="253"/>
      <c r="P1643" s="253"/>
      <c r="Q1643" s="253"/>
    </row>
    <row r="1644" spans="1:17">
      <c r="A1644" s="253"/>
      <c r="B1644" s="253"/>
      <c r="C1644" s="253"/>
      <c r="D1644" s="253"/>
      <c r="E1644" s="253"/>
      <c r="F1644" s="253"/>
      <c r="G1644" s="253"/>
      <c r="H1644" s="253"/>
      <c r="I1644" s="253"/>
      <c r="J1644" s="253"/>
      <c r="K1644" s="253"/>
      <c r="L1644" s="253"/>
      <c r="M1644" s="253"/>
      <c r="N1644" s="253"/>
      <c r="O1644" s="253"/>
      <c r="P1644" s="253"/>
      <c r="Q1644" s="253"/>
    </row>
    <row r="1645" spans="1:17">
      <c r="A1645" s="253"/>
      <c r="B1645" s="253"/>
      <c r="C1645" s="253"/>
      <c r="D1645" s="253"/>
      <c r="E1645" s="253"/>
      <c r="F1645" s="253"/>
      <c r="G1645" s="253"/>
      <c r="H1645" s="253"/>
      <c r="I1645" s="253"/>
      <c r="J1645" s="253"/>
      <c r="K1645" s="253"/>
      <c r="L1645" s="253"/>
      <c r="M1645" s="253"/>
      <c r="N1645" s="253"/>
      <c r="O1645" s="253"/>
      <c r="P1645" s="253"/>
      <c r="Q1645" s="253"/>
    </row>
    <row r="1646" spans="1:17">
      <c r="A1646" s="253"/>
      <c r="B1646" s="253"/>
      <c r="C1646" s="253"/>
      <c r="D1646" s="253"/>
      <c r="E1646" s="253"/>
      <c r="F1646" s="253"/>
      <c r="G1646" s="253"/>
      <c r="H1646" s="253"/>
      <c r="I1646" s="253"/>
      <c r="J1646" s="253"/>
      <c r="K1646" s="253"/>
      <c r="L1646" s="253"/>
      <c r="M1646" s="253"/>
      <c r="N1646" s="253"/>
      <c r="O1646" s="253"/>
      <c r="P1646" s="253"/>
      <c r="Q1646" s="253"/>
    </row>
    <row r="1647" spans="1:17">
      <c r="A1647" s="253"/>
      <c r="B1647" s="253"/>
      <c r="C1647" s="253"/>
      <c r="D1647" s="253"/>
      <c r="E1647" s="253"/>
      <c r="F1647" s="253"/>
      <c r="G1647" s="253"/>
      <c r="H1647" s="253"/>
      <c r="I1647" s="253"/>
      <c r="J1647" s="253"/>
      <c r="K1647" s="253"/>
      <c r="L1647" s="253"/>
      <c r="M1647" s="253"/>
      <c r="N1647" s="253"/>
      <c r="O1647" s="253"/>
      <c r="P1647" s="253"/>
      <c r="Q1647" s="253"/>
    </row>
    <row r="1648" spans="1:17">
      <c r="A1648" s="253"/>
      <c r="B1648" s="253"/>
      <c r="C1648" s="253"/>
      <c r="D1648" s="253"/>
      <c r="E1648" s="253"/>
      <c r="F1648" s="253"/>
      <c r="G1648" s="253"/>
      <c r="H1648" s="253"/>
      <c r="I1648" s="253"/>
      <c r="J1648" s="253"/>
      <c r="K1648" s="253"/>
      <c r="L1648" s="253"/>
      <c r="M1648" s="253"/>
      <c r="N1648" s="253"/>
      <c r="O1648" s="253"/>
      <c r="P1648" s="253"/>
      <c r="Q1648" s="253"/>
    </row>
    <row r="1649" spans="1:17">
      <c r="A1649" s="253"/>
      <c r="B1649" s="253"/>
      <c r="C1649" s="253"/>
      <c r="D1649" s="253"/>
      <c r="E1649" s="253"/>
      <c r="F1649" s="253"/>
      <c r="G1649" s="253"/>
      <c r="H1649" s="253"/>
      <c r="I1649" s="253"/>
      <c r="J1649" s="253"/>
      <c r="K1649" s="253"/>
      <c r="L1649" s="253"/>
      <c r="M1649" s="253"/>
      <c r="N1649" s="253"/>
      <c r="O1649" s="253"/>
      <c r="P1649" s="253"/>
      <c r="Q1649" s="253"/>
    </row>
    <row r="1650" spans="1:17">
      <c r="A1650" s="253"/>
      <c r="B1650" s="253"/>
      <c r="C1650" s="253"/>
      <c r="D1650" s="253"/>
      <c r="E1650" s="253"/>
      <c r="F1650" s="253"/>
      <c r="G1650" s="253"/>
      <c r="H1650" s="253"/>
      <c r="I1650" s="253"/>
      <c r="J1650" s="253"/>
      <c r="K1650" s="253"/>
      <c r="L1650" s="253"/>
      <c r="M1650" s="253"/>
      <c r="N1650" s="253"/>
      <c r="O1650" s="253"/>
      <c r="P1650" s="253"/>
      <c r="Q1650" s="253"/>
    </row>
    <row r="1651" spans="1:17">
      <c r="A1651" s="253"/>
      <c r="B1651" s="253"/>
      <c r="C1651" s="253"/>
      <c r="D1651" s="253"/>
      <c r="E1651" s="253"/>
      <c r="F1651" s="253"/>
      <c r="G1651" s="253"/>
      <c r="H1651" s="253"/>
      <c r="I1651" s="253"/>
      <c r="J1651" s="253"/>
      <c r="K1651" s="253"/>
      <c r="L1651" s="253"/>
      <c r="M1651" s="253"/>
      <c r="N1651" s="253"/>
      <c r="O1651" s="253"/>
      <c r="P1651" s="253"/>
      <c r="Q1651" s="253"/>
    </row>
    <row r="1652" spans="1:17">
      <c r="A1652" s="253"/>
      <c r="B1652" s="253"/>
      <c r="C1652" s="253"/>
      <c r="D1652" s="253"/>
      <c r="E1652" s="253"/>
      <c r="F1652" s="253"/>
      <c r="G1652" s="253"/>
      <c r="H1652" s="253"/>
      <c r="I1652" s="253"/>
      <c r="J1652" s="253"/>
      <c r="K1652" s="253"/>
      <c r="L1652" s="253"/>
      <c r="M1652" s="253"/>
      <c r="N1652" s="253"/>
      <c r="O1652" s="253"/>
      <c r="P1652" s="253"/>
      <c r="Q1652" s="253"/>
    </row>
    <row r="1653" spans="1:17">
      <c r="A1653" s="253"/>
      <c r="B1653" s="253"/>
      <c r="C1653" s="253"/>
      <c r="D1653" s="253"/>
      <c r="E1653" s="253"/>
      <c r="F1653" s="253"/>
      <c r="G1653" s="253"/>
      <c r="H1653" s="253"/>
      <c r="I1653" s="253"/>
      <c r="J1653" s="253"/>
      <c r="K1653" s="253"/>
      <c r="L1653" s="253"/>
      <c r="M1653" s="253"/>
      <c r="N1653" s="253"/>
      <c r="O1653" s="253"/>
      <c r="P1653" s="253"/>
      <c r="Q1653" s="253"/>
    </row>
    <row r="1654" spans="1:17">
      <c r="A1654" s="253"/>
      <c r="B1654" s="253"/>
      <c r="C1654" s="253"/>
      <c r="D1654" s="253"/>
      <c r="E1654" s="253"/>
      <c r="F1654" s="253"/>
      <c r="G1654" s="253"/>
      <c r="H1654" s="253"/>
      <c r="I1654" s="253"/>
      <c r="J1654" s="253"/>
      <c r="K1654" s="253"/>
      <c r="L1654" s="253"/>
      <c r="M1654" s="253"/>
      <c r="N1654" s="253"/>
      <c r="O1654" s="253"/>
      <c r="P1654" s="253"/>
      <c r="Q1654" s="253"/>
    </row>
    <row r="1655" spans="1:17">
      <c r="A1655" s="253"/>
      <c r="B1655" s="253"/>
      <c r="C1655" s="253"/>
      <c r="D1655" s="253"/>
      <c r="E1655" s="253"/>
      <c r="F1655" s="253"/>
      <c r="G1655" s="253"/>
      <c r="H1655" s="253"/>
      <c r="I1655" s="253"/>
      <c r="J1655" s="253"/>
      <c r="K1655" s="253"/>
      <c r="L1655" s="253"/>
      <c r="M1655" s="253"/>
      <c r="N1655" s="253"/>
      <c r="O1655" s="253"/>
      <c r="P1655" s="253"/>
      <c r="Q1655" s="253"/>
    </row>
    <row r="1656" spans="1:17">
      <c r="A1656" s="253"/>
      <c r="B1656" s="253"/>
      <c r="C1656" s="253"/>
      <c r="D1656" s="253"/>
      <c r="E1656" s="253"/>
      <c r="F1656" s="253"/>
      <c r="G1656" s="253"/>
      <c r="H1656" s="253"/>
      <c r="I1656" s="253"/>
      <c r="J1656" s="253"/>
      <c r="K1656" s="253"/>
      <c r="L1656" s="253"/>
      <c r="M1656" s="253"/>
      <c r="N1656" s="253"/>
      <c r="O1656" s="253"/>
      <c r="P1656" s="253"/>
      <c r="Q1656" s="253"/>
    </row>
    <row r="1657" spans="1:17">
      <c r="A1657" s="253"/>
      <c r="B1657" s="253"/>
      <c r="C1657" s="253"/>
      <c r="D1657" s="253"/>
      <c r="E1657" s="253"/>
      <c r="F1657" s="253"/>
      <c r="G1657" s="253"/>
      <c r="H1657" s="253"/>
      <c r="I1657" s="253"/>
      <c r="J1657" s="253"/>
      <c r="K1657" s="253"/>
      <c r="L1657" s="253"/>
      <c r="M1657" s="253"/>
      <c r="N1657" s="253"/>
      <c r="O1657" s="253"/>
      <c r="P1657" s="253"/>
      <c r="Q1657" s="253"/>
    </row>
    <row r="1658" spans="1:17">
      <c r="A1658" s="253"/>
      <c r="B1658" s="253"/>
      <c r="C1658" s="253"/>
      <c r="D1658" s="253"/>
      <c r="E1658" s="253"/>
      <c r="F1658" s="253"/>
      <c r="G1658" s="253"/>
      <c r="H1658" s="253"/>
      <c r="I1658" s="253"/>
      <c r="J1658" s="253"/>
      <c r="K1658" s="253"/>
      <c r="L1658" s="253"/>
      <c r="M1658" s="253"/>
      <c r="N1658" s="253"/>
      <c r="O1658" s="253"/>
      <c r="P1658" s="253"/>
      <c r="Q1658" s="253"/>
    </row>
    <row r="1659" spans="1:17">
      <c r="A1659" s="253"/>
      <c r="B1659" s="253"/>
      <c r="C1659" s="253"/>
      <c r="D1659" s="253"/>
      <c r="E1659" s="253"/>
      <c r="F1659" s="253"/>
      <c r="G1659" s="253"/>
      <c r="H1659" s="253"/>
      <c r="I1659" s="253"/>
      <c r="J1659" s="253"/>
      <c r="K1659" s="253"/>
      <c r="L1659" s="253"/>
      <c r="M1659" s="253"/>
      <c r="N1659" s="253"/>
      <c r="O1659" s="253"/>
      <c r="P1659" s="253"/>
      <c r="Q1659" s="253"/>
    </row>
    <row r="1660" spans="1:17">
      <c r="A1660" s="253"/>
      <c r="B1660" s="253"/>
      <c r="C1660" s="253"/>
      <c r="D1660" s="253"/>
      <c r="E1660" s="253"/>
      <c r="F1660" s="253"/>
      <c r="G1660" s="253"/>
      <c r="H1660" s="253"/>
      <c r="I1660" s="253"/>
      <c r="J1660" s="253"/>
      <c r="K1660" s="253"/>
      <c r="L1660" s="253"/>
      <c r="M1660" s="253"/>
      <c r="N1660" s="253"/>
      <c r="O1660" s="253"/>
      <c r="P1660" s="253"/>
      <c r="Q1660" s="253"/>
    </row>
    <row r="1661" spans="1:17">
      <c r="A1661" s="253"/>
      <c r="B1661" s="253"/>
      <c r="C1661" s="253"/>
      <c r="D1661" s="253"/>
      <c r="E1661" s="253"/>
      <c r="F1661" s="253"/>
      <c r="G1661" s="253"/>
      <c r="H1661" s="253"/>
      <c r="I1661" s="253"/>
      <c r="J1661" s="253"/>
      <c r="K1661" s="253"/>
      <c r="L1661" s="253"/>
      <c r="M1661" s="253"/>
      <c r="N1661" s="253"/>
      <c r="O1661" s="253"/>
      <c r="P1661" s="253"/>
      <c r="Q1661" s="253"/>
    </row>
    <row r="1662" spans="1:17">
      <c r="A1662" s="253"/>
      <c r="B1662" s="253"/>
      <c r="C1662" s="253"/>
      <c r="D1662" s="253"/>
      <c r="E1662" s="253"/>
      <c r="F1662" s="253"/>
      <c r="G1662" s="253"/>
      <c r="H1662" s="253"/>
      <c r="I1662" s="253"/>
      <c r="J1662" s="253"/>
      <c r="K1662" s="253"/>
      <c r="L1662" s="253"/>
      <c r="M1662" s="253"/>
      <c r="N1662" s="253"/>
      <c r="O1662" s="253"/>
      <c r="P1662" s="253"/>
      <c r="Q1662" s="253"/>
    </row>
    <row r="1663" spans="1:17">
      <c r="A1663" s="253"/>
      <c r="B1663" s="253"/>
      <c r="C1663" s="253"/>
      <c r="D1663" s="253"/>
      <c r="E1663" s="253"/>
      <c r="F1663" s="253"/>
      <c r="G1663" s="253"/>
      <c r="H1663" s="253"/>
      <c r="I1663" s="253"/>
      <c r="J1663" s="253"/>
      <c r="K1663" s="253"/>
      <c r="L1663" s="253"/>
      <c r="M1663" s="253"/>
      <c r="N1663" s="253"/>
      <c r="O1663" s="253"/>
      <c r="P1663" s="253"/>
      <c r="Q1663" s="253"/>
    </row>
    <row r="1664" spans="1:17">
      <c r="A1664" s="253"/>
      <c r="B1664" s="253"/>
      <c r="C1664" s="253"/>
      <c r="D1664" s="253"/>
      <c r="E1664" s="253"/>
      <c r="F1664" s="253"/>
      <c r="G1664" s="253"/>
      <c r="H1664" s="253"/>
      <c r="I1664" s="253"/>
      <c r="J1664" s="253"/>
      <c r="K1664" s="253"/>
      <c r="L1664" s="253"/>
      <c r="M1664" s="253"/>
      <c r="N1664" s="253"/>
      <c r="O1664" s="253"/>
      <c r="P1664" s="253"/>
      <c r="Q1664" s="253"/>
    </row>
    <row r="1665" spans="1:17">
      <c r="A1665" s="253"/>
      <c r="B1665" s="253"/>
      <c r="C1665" s="253"/>
      <c r="D1665" s="253"/>
      <c r="E1665" s="253"/>
      <c r="F1665" s="253"/>
      <c r="G1665" s="253"/>
      <c r="H1665" s="253"/>
      <c r="I1665" s="253"/>
      <c r="J1665" s="253"/>
      <c r="K1665" s="253"/>
      <c r="L1665" s="253"/>
      <c r="M1665" s="253"/>
      <c r="N1665" s="253"/>
      <c r="O1665" s="253"/>
      <c r="P1665" s="253"/>
      <c r="Q1665" s="253"/>
    </row>
    <row r="1666" spans="1:17">
      <c r="A1666" s="253"/>
      <c r="B1666" s="253"/>
      <c r="C1666" s="253"/>
      <c r="D1666" s="253"/>
      <c r="E1666" s="253"/>
      <c r="F1666" s="253"/>
      <c r="G1666" s="253"/>
      <c r="H1666" s="253"/>
      <c r="I1666" s="253"/>
      <c r="J1666" s="253"/>
      <c r="K1666" s="253"/>
      <c r="L1666" s="253"/>
      <c r="M1666" s="253"/>
      <c r="N1666" s="253"/>
      <c r="O1666" s="253"/>
      <c r="P1666" s="253"/>
      <c r="Q1666" s="253"/>
    </row>
    <row r="1667" spans="1:17">
      <c r="A1667" s="253"/>
      <c r="B1667" s="253"/>
      <c r="C1667" s="253"/>
      <c r="D1667" s="253"/>
      <c r="E1667" s="253"/>
      <c r="F1667" s="253"/>
      <c r="G1667" s="253"/>
      <c r="H1667" s="253"/>
      <c r="I1667" s="253"/>
      <c r="J1667" s="253"/>
      <c r="K1667" s="253"/>
      <c r="L1667" s="253"/>
      <c r="M1667" s="253"/>
      <c r="N1667" s="253"/>
      <c r="O1667" s="253"/>
      <c r="P1667" s="253"/>
      <c r="Q1667" s="253"/>
    </row>
    <row r="1668" spans="1:17">
      <c r="A1668" s="253"/>
      <c r="B1668" s="253"/>
      <c r="C1668" s="253"/>
      <c r="D1668" s="253"/>
      <c r="E1668" s="253"/>
      <c r="F1668" s="253"/>
      <c r="G1668" s="253"/>
      <c r="H1668" s="253"/>
      <c r="I1668" s="253"/>
      <c r="J1668" s="253"/>
      <c r="K1668" s="253"/>
      <c r="L1668" s="253"/>
      <c r="M1668" s="253"/>
      <c r="N1668" s="253"/>
      <c r="O1668" s="253"/>
      <c r="P1668" s="253"/>
      <c r="Q1668" s="253"/>
    </row>
    <row r="1669" spans="1:17">
      <c r="A1669" s="253"/>
      <c r="B1669" s="253"/>
      <c r="C1669" s="253"/>
      <c r="D1669" s="253"/>
      <c r="E1669" s="253"/>
      <c r="F1669" s="253"/>
      <c r="G1669" s="253"/>
      <c r="H1669" s="253"/>
      <c r="I1669" s="253"/>
      <c r="J1669" s="253"/>
      <c r="K1669" s="253"/>
      <c r="L1669" s="253"/>
      <c r="M1669" s="253"/>
      <c r="N1669" s="253"/>
      <c r="O1669" s="253"/>
      <c r="P1669" s="253"/>
      <c r="Q1669" s="253"/>
    </row>
    <row r="1670" spans="1:17">
      <c r="A1670" s="253"/>
      <c r="B1670" s="253"/>
      <c r="C1670" s="253"/>
      <c r="D1670" s="253"/>
      <c r="E1670" s="253"/>
      <c r="F1670" s="253"/>
      <c r="G1670" s="253"/>
      <c r="H1670" s="253"/>
      <c r="I1670" s="253"/>
      <c r="J1670" s="253"/>
      <c r="K1670" s="253"/>
      <c r="L1670" s="253"/>
      <c r="M1670" s="253"/>
      <c r="N1670" s="253"/>
      <c r="O1670" s="253"/>
      <c r="P1670" s="253"/>
      <c r="Q1670" s="253"/>
    </row>
    <row r="1671" spans="1:17">
      <c r="A1671" s="253"/>
      <c r="B1671" s="253"/>
      <c r="C1671" s="253"/>
      <c r="D1671" s="253"/>
      <c r="E1671" s="253"/>
      <c r="F1671" s="253"/>
      <c r="G1671" s="253"/>
      <c r="H1671" s="253"/>
      <c r="I1671" s="253"/>
      <c r="J1671" s="253"/>
      <c r="K1671" s="253"/>
      <c r="L1671" s="253"/>
      <c r="M1671" s="253"/>
      <c r="N1671" s="253"/>
      <c r="O1671" s="253"/>
      <c r="P1671" s="253"/>
      <c r="Q1671" s="253"/>
    </row>
    <row r="1672" spans="1:17">
      <c r="A1672" s="253"/>
      <c r="B1672" s="253"/>
      <c r="C1672" s="253"/>
      <c r="D1672" s="253"/>
      <c r="E1672" s="253"/>
      <c r="F1672" s="253"/>
      <c r="G1672" s="253"/>
      <c r="H1672" s="253"/>
      <c r="I1672" s="253"/>
      <c r="J1672" s="253"/>
      <c r="K1672" s="253"/>
      <c r="L1672" s="253"/>
      <c r="M1672" s="253"/>
      <c r="N1672" s="253"/>
      <c r="O1672" s="253"/>
      <c r="P1672" s="253"/>
      <c r="Q1672" s="253"/>
    </row>
    <row r="1673" spans="1:17">
      <c r="A1673" s="253"/>
      <c r="B1673" s="253"/>
      <c r="C1673" s="253"/>
      <c r="D1673" s="253"/>
      <c r="E1673" s="253"/>
      <c r="F1673" s="253"/>
      <c r="G1673" s="253"/>
      <c r="H1673" s="253"/>
      <c r="I1673" s="253"/>
      <c r="J1673" s="253"/>
      <c r="K1673" s="253"/>
      <c r="L1673" s="253"/>
      <c r="M1673" s="253"/>
      <c r="N1673" s="253"/>
      <c r="O1673" s="253"/>
      <c r="P1673" s="253"/>
      <c r="Q1673" s="253"/>
    </row>
    <row r="1674" spans="1:17">
      <c r="A1674" s="253"/>
      <c r="B1674" s="253"/>
      <c r="C1674" s="253"/>
      <c r="D1674" s="253"/>
      <c r="E1674" s="253"/>
      <c r="F1674" s="253"/>
      <c r="G1674" s="253"/>
      <c r="H1674" s="253"/>
      <c r="I1674" s="253"/>
      <c r="J1674" s="253"/>
      <c r="K1674" s="253"/>
      <c r="L1674" s="253"/>
      <c r="M1674" s="253"/>
      <c r="N1674" s="253"/>
      <c r="O1674" s="253"/>
      <c r="P1674" s="253"/>
      <c r="Q1674" s="253"/>
    </row>
    <row r="1675" spans="1:17">
      <c r="A1675" s="253"/>
      <c r="B1675" s="253"/>
      <c r="C1675" s="253"/>
      <c r="D1675" s="253"/>
      <c r="E1675" s="253"/>
      <c r="F1675" s="253"/>
      <c r="G1675" s="253"/>
      <c r="H1675" s="253"/>
      <c r="I1675" s="253"/>
      <c r="J1675" s="253"/>
      <c r="K1675" s="253"/>
      <c r="L1675" s="253"/>
      <c r="M1675" s="253"/>
      <c r="N1675" s="253"/>
      <c r="O1675" s="253"/>
      <c r="P1675" s="253"/>
      <c r="Q1675" s="253"/>
    </row>
    <row r="1676" spans="1:17">
      <c r="A1676" s="253"/>
      <c r="B1676" s="253"/>
      <c r="C1676" s="253"/>
      <c r="D1676" s="253"/>
      <c r="E1676" s="253"/>
      <c r="F1676" s="253"/>
      <c r="G1676" s="253"/>
      <c r="H1676" s="253"/>
      <c r="I1676" s="253"/>
      <c r="J1676" s="253"/>
      <c r="K1676" s="253"/>
      <c r="L1676" s="253"/>
      <c r="M1676" s="253"/>
      <c r="N1676" s="253"/>
      <c r="O1676" s="253"/>
      <c r="P1676" s="253"/>
      <c r="Q1676" s="253"/>
    </row>
    <row r="1677" spans="1:17">
      <c r="A1677" s="253"/>
      <c r="B1677" s="253"/>
      <c r="C1677" s="253"/>
      <c r="D1677" s="253"/>
      <c r="E1677" s="253"/>
      <c r="F1677" s="253"/>
      <c r="G1677" s="253"/>
      <c r="H1677" s="253"/>
      <c r="I1677" s="253"/>
      <c r="J1677" s="253"/>
      <c r="K1677" s="253"/>
      <c r="L1677" s="253"/>
      <c r="M1677" s="253"/>
      <c r="N1677" s="253"/>
      <c r="O1677" s="253"/>
      <c r="P1677" s="253"/>
      <c r="Q1677" s="253"/>
    </row>
    <row r="1678" spans="1:17">
      <c r="A1678" s="253"/>
      <c r="B1678" s="253"/>
      <c r="C1678" s="253"/>
      <c r="D1678" s="253"/>
      <c r="E1678" s="253"/>
      <c r="F1678" s="253"/>
      <c r="G1678" s="253"/>
      <c r="H1678" s="253"/>
      <c r="I1678" s="253"/>
      <c r="J1678" s="253"/>
      <c r="K1678" s="253"/>
      <c r="L1678" s="253"/>
      <c r="M1678" s="253"/>
      <c r="N1678" s="253"/>
      <c r="O1678" s="253"/>
      <c r="P1678" s="253"/>
      <c r="Q1678" s="253"/>
    </row>
    <row r="1679" spans="1:17">
      <c r="A1679" s="253"/>
      <c r="B1679" s="253"/>
      <c r="C1679" s="253"/>
      <c r="D1679" s="253"/>
      <c r="E1679" s="253"/>
      <c r="F1679" s="253"/>
      <c r="G1679" s="253"/>
      <c r="H1679" s="253"/>
      <c r="I1679" s="253"/>
      <c r="J1679" s="253"/>
      <c r="K1679" s="253"/>
      <c r="L1679" s="253"/>
      <c r="M1679" s="253"/>
      <c r="N1679" s="253"/>
      <c r="O1679" s="253"/>
      <c r="P1679" s="253"/>
      <c r="Q1679" s="253"/>
    </row>
    <row r="1680" spans="1:17">
      <c r="A1680" s="253"/>
      <c r="B1680" s="253"/>
      <c r="C1680" s="253"/>
      <c r="D1680" s="253"/>
      <c r="E1680" s="253"/>
      <c r="F1680" s="253"/>
      <c r="G1680" s="253"/>
      <c r="H1680" s="253"/>
      <c r="I1680" s="253"/>
      <c r="J1680" s="253"/>
      <c r="K1680" s="253"/>
      <c r="L1680" s="253"/>
      <c r="M1680" s="253"/>
      <c r="N1680" s="253"/>
      <c r="O1680" s="253"/>
      <c r="P1680" s="253"/>
      <c r="Q1680" s="253"/>
    </row>
    <row r="1681" spans="1:17">
      <c r="A1681" s="253"/>
      <c r="B1681" s="253"/>
      <c r="C1681" s="253"/>
      <c r="D1681" s="253"/>
      <c r="E1681" s="253"/>
      <c r="F1681" s="253"/>
      <c r="G1681" s="253"/>
      <c r="H1681" s="253"/>
      <c r="I1681" s="253"/>
      <c r="J1681" s="253"/>
      <c r="K1681" s="253"/>
      <c r="L1681" s="253"/>
      <c r="M1681" s="253"/>
      <c r="N1681" s="253"/>
      <c r="O1681" s="253"/>
      <c r="P1681" s="253"/>
      <c r="Q1681" s="253"/>
    </row>
    <row r="1682" spans="1:17">
      <c r="A1682" s="253"/>
      <c r="B1682" s="253"/>
      <c r="C1682" s="253"/>
      <c r="D1682" s="253"/>
      <c r="E1682" s="253"/>
      <c r="F1682" s="253"/>
      <c r="G1682" s="253"/>
      <c r="H1682" s="253"/>
      <c r="I1682" s="253"/>
      <c r="J1682" s="253"/>
      <c r="K1682" s="253"/>
      <c r="L1682" s="253"/>
      <c r="M1682" s="253"/>
      <c r="N1682" s="253"/>
      <c r="O1682" s="253"/>
      <c r="P1682" s="253"/>
      <c r="Q1682" s="253"/>
    </row>
    <row r="1683" spans="1:17">
      <c r="A1683" s="253"/>
      <c r="B1683" s="253"/>
      <c r="C1683" s="253"/>
      <c r="D1683" s="253"/>
      <c r="E1683" s="253"/>
      <c r="F1683" s="253"/>
      <c r="G1683" s="253"/>
      <c r="H1683" s="253"/>
      <c r="I1683" s="253"/>
      <c r="J1683" s="253"/>
      <c r="K1683" s="253"/>
      <c r="L1683" s="253"/>
      <c r="M1683" s="253"/>
      <c r="N1683" s="253"/>
      <c r="O1683" s="253"/>
      <c r="P1683" s="253"/>
      <c r="Q1683" s="253"/>
    </row>
    <row r="1684" spans="1:17">
      <c r="A1684" s="253"/>
      <c r="B1684" s="253"/>
      <c r="C1684" s="253"/>
      <c r="D1684" s="253"/>
      <c r="E1684" s="253"/>
      <c r="F1684" s="253"/>
      <c r="G1684" s="253"/>
      <c r="H1684" s="253"/>
      <c r="I1684" s="253"/>
      <c r="J1684" s="253"/>
      <c r="K1684" s="253"/>
      <c r="L1684" s="253"/>
      <c r="M1684" s="253"/>
      <c r="N1684" s="253"/>
      <c r="O1684" s="253"/>
      <c r="P1684" s="253"/>
      <c r="Q1684" s="253"/>
    </row>
    <row r="1685" spans="1:17">
      <c r="A1685" s="253"/>
      <c r="B1685" s="253"/>
      <c r="C1685" s="253"/>
      <c r="D1685" s="253"/>
      <c r="E1685" s="253"/>
      <c r="F1685" s="253"/>
      <c r="G1685" s="253"/>
      <c r="H1685" s="253"/>
      <c r="I1685" s="253"/>
      <c r="J1685" s="253"/>
      <c r="K1685" s="253"/>
      <c r="L1685" s="253"/>
      <c r="M1685" s="253"/>
      <c r="N1685" s="253"/>
      <c r="O1685" s="253"/>
      <c r="P1685" s="253"/>
      <c r="Q1685" s="253"/>
    </row>
    <row r="1686" spans="1:17">
      <c r="A1686" s="253"/>
      <c r="B1686" s="253"/>
      <c r="C1686" s="253"/>
      <c r="D1686" s="253"/>
      <c r="E1686" s="253"/>
      <c r="F1686" s="253"/>
      <c r="G1686" s="253"/>
      <c r="H1686" s="253"/>
      <c r="I1686" s="253"/>
      <c r="J1686" s="253"/>
      <c r="K1686" s="253"/>
      <c r="L1686" s="253"/>
      <c r="M1686" s="253"/>
      <c r="N1686" s="253"/>
      <c r="O1686" s="253"/>
      <c r="P1686" s="253"/>
      <c r="Q1686" s="253"/>
    </row>
    <row r="1687" spans="1:17">
      <c r="A1687" s="253"/>
      <c r="B1687" s="253"/>
      <c r="C1687" s="253"/>
      <c r="D1687" s="253"/>
      <c r="E1687" s="253"/>
      <c r="F1687" s="253"/>
      <c r="G1687" s="253"/>
      <c r="H1687" s="253"/>
      <c r="I1687" s="253"/>
      <c r="J1687" s="253"/>
      <c r="K1687" s="253"/>
      <c r="L1687" s="253"/>
      <c r="M1687" s="253"/>
      <c r="N1687" s="253"/>
      <c r="O1687" s="253"/>
      <c r="P1687" s="253"/>
      <c r="Q1687" s="253"/>
    </row>
    <row r="1688" spans="1:17">
      <c r="A1688" s="253"/>
      <c r="B1688" s="253"/>
      <c r="C1688" s="253"/>
      <c r="D1688" s="253"/>
      <c r="E1688" s="253"/>
      <c r="F1688" s="253"/>
      <c r="G1688" s="253"/>
      <c r="H1688" s="253"/>
      <c r="I1688" s="253"/>
      <c r="J1688" s="253"/>
      <c r="K1688" s="253"/>
      <c r="L1688" s="253"/>
      <c r="M1688" s="253"/>
      <c r="N1688" s="253"/>
      <c r="O1688" s="253"/>
      <c r="P1688" s="253"/>
      <c r="Q1688" s="253"/>
    </row>
    <row r="1689" spans="1:17">
      <c r="A1689" s="253"/>
      <c r="B1689" s="253"/>
      <c r="C1689" s="253"/>
      <c r="D1689" s="253"/>
      <c r="E1689" s="253"/>
      <c r="F1689" s="253"/>
      <c r="G1689" s="253"/>
      <c r="H1689" s="253"/>
      <c r="I1689" s="253"/>
      <c r="J1689" s="253"/>
      <c r="K1689" s="253"/>
      <c r="L1689" s="253"/>
      <c r="M1689" s="253"/>
      <c r="N1689" s="253"/>
      <c r="O1689" s="253"/>
      <c r="P1689" s="253"/>
      <c r="Q1689" s="253"/>
    </row>
    <row r="1690" spans="1:17">
      <c r="A1690" s="253"/>
      <c r="B1690" s="253"/>
      <c r="C1690" s="253"/>
      <c r="D1690" s="253"/>
      <c r="E1690" s="253"/>
      <c r="F1690" s="253"/>
      <c r="G1690" s="253"/>
      <c r="H1690" s="253"/>
      <c r="I1690" s="253"/>
      <c r="J1690" s="253"/>
      <c r="K1690" s="253"/>
      <c r="L1690" s="253"/>
      <c r="M1690" s="253"/>
      <c r="N1690" s="253"/>
      <c r="O1690" s="253"/>
      <c r="P1690" s="253"/>
      <c r="Q1690" s="253"/>
    </row>
    <row r="1691" spans="1:17">
      <c r="A1691" s="253"/>
      <c r="B1691" s="253"/>
      <c r="C1691" s="253"/>
      <c r="D1691" s="253"/>
      <c r="E1691" s="253"/>
      <c r="F1691" s="253"/>
      <c r="G1691" s="253"/>
      <c r="H1691" s="253"/>
      <c r="I1691" s="253"/>
      <c r="J1691" s="253"/>
      <c r="K1691" s="253"/>
      <c r="L1691" s="253"/>
      <c r="M1691" s="253"/>
      <c r="N1691" s="253"/>
      <c r="O1691" s="253"/>
      <c r="P1691" s="253"/>
      <c r="Q1691" s="253"/>
    </row>
    <row r="1692" spans="1:17">
      <c r="A1692" s="253"/>
      <c r="B1692" s="253"/>
      <c r="C1692" s="253"/>
      <c r="D1692" s="253"/>
      <c r="E1692" s="253"/>
      <c r="F1692" s="253"/>
      <c r="G1692" s="253"/>
      <c r="H1692" s="253"/>
      <c r="I1692" s="253"/>
      <c r="J1692" s="253"/>
      <c r="K1692" s="253"/>
      <c r="L1692" s="253"/>
      <c r="M1692" s="253"/>
      <c r="N1692" s="253"/>
      <c r="O1692" s="253"/>
      <c r="P1692" s="253"/>
      <c r="Q1692" s="253"/>
    </row>
    <row r="1693" spans="1:17">
      <c r="A1693" s="253"/>
      <c r="B1693" s="253"/>
      <c r="C1693" s="253"/>
      <c r="D1693" s="253"/>
      <c r="E1693" s="253"/>
      <c r="F1693" s="253"/>
      <c r="G1693" s="253"/>
      <c r="H1693" s="253"/>
      <c r="I1693" s="253"/>
      <c r="J1693" s="253"/>
      <c r="K1693" s="253"/>
      <c r="L1693" s="253"/>
      <c r="M1693" s="253"/>
      <c r="N1693" s="253"/>
      <c r="O1693" s="253"/>
      <c r="P1693" s="253"/>
      <c r="Q1693" s="253"/>
    </row>
    <row r="1694" spans="1:17">
      <c r="A1694" s="253"/>
      <c r="B1694" s="253"/>
      <c r="C1694" s="253"/>
      <c r="D1694" s="253"/>
      <c r="E1694" s="253"/>
      <c r="F1694" s="253"/>
      <c r="G1694" s="253"/>
      <c r="H1694" s="253"/>
      <c r="I1694" s="253"/>
      <c r="J1694" s="253"/>
      <c r="K1694" s="253"/>
      <c r="L1694" s="253"/>
      <c r="M1694" s="253"/>
      <c r="N1694" s="253"/>
      <c r="O1694" s="253"/>
      <c r="P1694" s="253"/>
      <c r="Q1694" s="253"/>
    </row>
    <row r="1695" spans="1:17">
      <c r="A1695" s="253"/>
      <c r="B1695" s="253"/>
      <c r="C1695" s="253"/>
      <c r="D1695" s="253"/>
      <c r="E1695" s="253"/>
      <c r="F1695" s="253"/>
      <c r="G1695" s="253"/>
      <c r="H1695" s="253"/>
      <c r="I1695" s="253"/>
      <c r="J1695" s="253"/>
      <c r="K1695" s="253"/>
      <c r="L1695" s="253"/>
      <c r="M1695" s="253"/>
      <c r="N1695" s="253"/>
      <c r="O1695" s="253"/>
      <c r="P1695" s="253"/>
      <c r="Q1695" s="253"/>
    </row>
    <row r="1696" spans="1:17">
      <c r="A1696" s="253"/>
      <c r="B1696" s="253"/>
      <c r="C1696" s="253"/>
      <c r="D1696" s="253"/>
      <c r="E1696" s="253"/>
      <c r="F1696" s="253"/>
      <c r="G1696" s="253"/>
      <c r="H1696" s="253"/>
      <c r="I1696" s="253"/>
      <c r="J1696" s="253"/>
      <c r="K1696" s="253"/>
      <c r="L1696" s="253"/>
      <c r="M1696" s="253"/>
      <c r="N1696" s="253"/>
      <c r="O1696" s="253"/>
      <c r="P1696" s="253"/>
      <c r="Q1696" s="253"/>
    </row>
    <row r="1697" spans="1:17">
      <c r="A1697" s="253"/>
      <c r="B1697" s="253"/>
      <c r="C1697" s="253"/>
      <c r="D1697" s="253"/>
      <c r="E1697" s="253"/>
      <c r="F1697" s="253"/>
      <c r="G1697" s="253"/>
      <c r="H1697" s="253"/>
      <c r="I1697" s="253"/>
      <c r="J1697" s="253"/>
      <c r="K1697" s="253"/>
      <c r="L1697" s="253"/>
      <c r="M1697" s="253"/>
      <c r="N1697" s="253"/>
      <c r="O1697" s="253"/>
      <c r="P1697" s="253"/>
      <c r="Q1697" s="253"/>
    </row>
    <row r="1698" spans="1:17">
      <c r="A1698" s="253"/>
      <c r="B1698" s="253"/>
      <c r="C1698" s="253"/>
      <c r="D1698" s="253"/>
      <c r="E1698" s="253"/>
      <c r="F1698" s="253"/>
      <c r="G1698" s="253"/>
      <c r="H1698" s="253"/>
      <c r="I1698" s="253"/>
      <c r="J1698" s="253"/>
      <c r="K1698" s="253"/>
      <c r="L1698" s="253"/>
      <c r="M1698" s="253"/>
      <c r="N1698" s="253"/>
      <c r="O1698" s="253"/>
      <c r="P1698" s="253"/>
      <c r="Q1698" s="253"/>
    </row>
    <row r="1699" spans="1:17">
      <c r="A1699" s="253"/>
      <c r="B1699" s="253"/>
      <c r="C1699" s="253"/>
      <c r="D1699" s="253"/>
      <c r="E1699" s="253"/>
      <c r="F1699" s="253"/>
      <c r="G1699" s="253"/>
      <c r="H1699" s="253"/>
      <c r="I1699" s="253"/>
      <c r="J1699" s="253"/>
      <c r="K1699" s="253"/>
      <c r="L1699" s="253"/>
      <c r="M1699" s="253"/>
      <c r="N1699" s="253"/>
      <c r="O1699" s="253"/>
      <c r="P1699" s="253"/>
      <c r="Q1699" s="253"/>
    </row>
    <row r="1700" spans="1:17">
      <c r="A1700" s="253"/>
      <c r="B1700" s="253"/>
      <c r="C1700" s="253"/>
      <c r="D1700" s="253"/>
      <c r="E1700" s="253"/>
      <c r="F1700" s="253"/>
      <c r="G1700" s="253"/>
      <c r="H1700" s="253"/>
      <c r="I1700" s="253"/>
      <c r="J1700" s="253"/>
      <c r="K1700" s="253"/>
      <c r="L1700" s="253"/>
      <c r="M1700" s="253"/>
      <c r="N1700" s="253"/>
      <c r="O1700" s="253"/>
      <c r="P1700" s="253"/>
      <c r="Q1700" s="253"/>
    </row>
    <row r="1701" spans="1:17">
      <c r="A1701" s="253"/>
      <c r="B1701" s="253"/>
      <c r="C1701" s="253"/>
      <c r="D1701" s="253"/>
      <c r="E1701" s="253"/>
      <c r="F1701" s="253"/>
      <c r="G1701" s="253"/>
      <c r="H1701" s="253"/>
      <c r="I1701" s="253"/>
      <c r="J1701" s="253"/>
      <c r="K1701" s="253"/>
      <c r="L1701" s="253"/>
      <c r="M1701" s="253"/>
      <c r="N1701" s="253"/>
      <c r="O1701" s="253"/>
      <c r="P1701" s="253"/>
      <c r="Q1701" s="253"/>
    </row>
    <row r="1702" spans="1:17">
      <c r="A1702" s="253"/>
      <c r="B1702" s="253"/>
      <c r="C1702" s="253"/>
      <c r="D1702" s="253"/>
      <c r="E1702" s="253"/>
      <c r="F1702" s="253"/>
      <c r="G1702" s="253"/>
      <c r="H1702" s="253"/>
      <c r="I1702" s="253"/>
      <c r="J1702" s="253"/>
      <c r="K1702" s="253"/>
      <c r="L1702" s="253"/>
      <c r="M1702" s="253"/>
      <c r="N1702" s="253"/>
      <c r="O1702" s="253"/>
      <c r="P1702" s="253"/>
      <c r="Q1702" s="253"/>
    </row>
    <row r="1703" spans="1:17">
      <c r="A1703" s="253"/>
      <c r="B1703" s="253"/>
      <c r="C1703" s="253"/>
      <c r="D1703" s="253"/>
      <c r="E1703" s="253"/>
      <c r="F1703" s="253"/>
      <c r="G1703" s="253"/>
      <c r="H1703" s="253"/>
      <c r="I1703" s="253"/>
      <c r="J1703" s="253"/>
      <c r="K1703" s="253"/>
      <c r="L1703" s="253"/>
      <c r="M1703" s="253"/>
      <c r="N1703" s="253"/>
      <c r="O1703" s="253"/>
      <c r="P1703" s="253"/>
      <c r="Q1703" s="253"/>
    </row>
    <row r="1704" spans="1:17">
      <c r="A1704" s="253"/>
      <c r="B1704" s="253"/>
      <c r="C1704" s="253"/>
      <c r="D1704" s="253"/>
      <c r="E1704" s="253"/>
      <c r="F1704" s="253"/>
      <c r="G1704" s="253"/>
      <c r="H1704" s="253"/>
      <c r="I1704" s="253"/>
      <c r="J1704" s="253"/>
      <c r="K1704" s="253"/>
      <c r="L1704" s="253"/>
      <c r="M1704" s="253"/>
      <c r="N1704" s="253"/>
      <c r="O1704" s="253"/>
      <c r="P1704" s="253"/>
      <c r="Q1704" s="253"/>
    </row>
    <row r="1705" spans="1:17">
      <c r="A1705" s="253"/>
      <c r="B1705" s="253"/>
      <c r="C1705" s="253"/>
      <c r="D1705" s="253"/>
      <c r="E1705" s="253"/>
      <c r="F1705" s="253"/>
      <c r="G1705" s="253"/>
      <c r="H1705" s="253"/>
      <c r="I1705" s="253"/>
      <c r="J1705" s="253"/>
      <c r="K1705" s="253"/>
      <c r="L1705" s="253"/>
      <c r="M1705" s="253"/>
      <c r="N1705" s="253"/>
      <c r="O1705" s="253"/>
      <c r="P1705" s="253"/>
      <c r="Q1705" s="253"/>
    </row>
    <row r="1706" spans="1:17">
      <c r="A1706" s="253"/>
      <c r="B1706" s="253"/>
      <c r="C1706" s="253"/>
      <c r="D1706" s="253"/>
      <c r="E1706" s="253"/>
      <c r="F1706" s="253"/>
      <c r="G1706" s="253"/>
      <c r="H1706" s="253"/>
      <c r="I1706" s="253"/>
      <c r="J1706" s="253"/>
      <c r="K1706" s="253"/>
      <c r="L1706" s="253"/>
      <c r="M1706" s="253"/>
      <c r="N1706" s="253"/>
      <c r="O1706" s="253"/>
      <c r="P1706" s="253"/>
      <c r="Q1706" s="253"/>
    </row>
    <row r="1707" spans="1:17">
      <c r="A1707" s="253"/>
      <c r="B1707" s="253"/>
      <c r="C1707" s="253"/>
      <c r="D1707" s="253"/>
      <c r="E1707" s="253"/>
      <c r="F1707" s="253"/>
      <c r="G1707" s="253"/>
      <c r="H1707" s="253"/>
      <c r="I1707" s="253"/>
      <c r="J1707" s="253"/>
      <c r="K1707" s="253"/>
      <c r="L1707" s="253"/>
      <c r="M1707" s="253"/>
      <c r="N1707" s="253"/>
      <c r="O1707" s="253"/>
      <c r="P1707" s="253"/>
      <c r="Q1707" s="253"/>
    </row>
    <row r="1708" spans="1:17">
      <c r="A1708" s="253"/>
      <c r="B1708" s="253"/>
      <c r="C1708" s="253"/>
      <c r="D1708" s="253"/>
      <c r="E1708" s="253"/>
      <c r="F1708" s="253"/>
      <c r="G1708" s="253"/>
      <c r="H1708" s="253"/>
      <c r="I1708" s="253"/>
      <c r="J1708" s="253"/>
      <c r="K1708" s="253"/>
      <c r="L1708" s="253"/>
      <c r="M1708" s="253"/>
      <c r="N1708" s="253"/>
      <c r="O1708" s="253"/>
      <c r="P1708" s="253"/>
      <c r="Q1708" s="253"/>
    </row>
    <row r="1709" spans="1:17">
      <c r="A1709" s="253"/>
      <c r="B1709" s="253"/>
      <c r="C1709" s="253"/>
      <c r="D1709" s="253"/>
      <c r="E1709" s="253"/>
      <c r="F1709" s="253"/>
      <c r="G1709" s="253"/>
      <c r="H1709" s="253"/>
      <c r="I1709" s="253"/>
      <c r="J1709" s="253"/>
      <c r="K1709" s="253"/>
      <c r="L1709" s="253"/>
      <c r="M1709" s="253"/>
      <c r="N1709" s="253"/>
      <c r="O1709" s="253"/>
      <c r="P1709" s="253"/>
      <c r="Q1709" s="253"/>
    </row>
    <row r="1710" spans="1:17">
      <c r="A1710" s="253"/>
      <c r="B1710" s="253"/>
      <c r="C1710" s="253"/>
      <c r="D1710" s="253"/>
      <c r="E1710" s="253"/>
      <c r="F1710" s="253"/>
      <c r="G1710" s="253"/>
      <c r="H1710" s="253"/>
      <c r="I1710" s="253"/>
      <c r="J1710" s="253"/>
      <c r="K1710" s="253"/>
      <c r="L1710" s="253"/>
      <c r="M1710" s="253"/>
      <c r="N1710" s="253"/>
      <c r="O1710" s="253"/>
      <c r="P1710" s="253"/>
      <c r="Q1710" s="253"/>
    </row>
    <row r="1711" spans="1:17">
      <c r="A1711" s="253"/>
      <c r="B1711" s="253"/>
      <c r="C1711" s="253"/>
      <c r="D1711" s="253"/>
      <c r="E1711" s="253"/>
      <c r="F1711" s="253"/>
      <c r="G1711" s="253"/>
      <c r="H1711" s="253"/>
      <c r="I1711" s="253"/>
      <c r="J1711" s="253"/>
      <c r="K1711" s="253"/>
      <c r="L1711" s="253"/>
      <c r="M1711" s="253"/>
      <c r="N1711" s="253"/>
      <c r="O1711" s="253"/>
      <c r="P1711" s="253"/>
      <c r="Q1711" s="253"/>
    </row>
    <row r="1712" spans="1:17">
      <c r="A1712" s="253"/>
      <c r="B1712" s="253"/>
      <c r="C1712" s="253"/>
      <c r="D1712" s="253"/>
      <c r="E1712" s="253"/>
      <c r="F1712" s="253"/>
      <c r="G1712" s="253"/>
      <c r="H1712" s="253"/>
      <c r="I1712" s="253"/>
      <c r="J1712" s="253"/>
      <c r="K1712" s="253"/>
      <c r="L1712" s="253"/>
      <c r="M1712" s="253"/>
      <c r="N1712" s="253"/>
      <c r="O1712" s="253"/>
      <c r="P1712" s="253"/>
      <c r="Q1712" s="253"/>
    </row>
    <row r="1713" spans="1:17">
      <c r="A1713" s="253"/>
      <c r="B1713" s="253"/>
      <c r="C1713" s="253"/>
      <c r="D1713" s="253"/>
      <c r="E1713" s="253"/>
      <c r="F1713" s="253"/>
      <c r="G1713" s="253"/>
      <c r="H1713" s="253"/>
      <c r="I1713" s="253"/>
      <c r="J1713" s="253"/>
      <c r="K1713" s="253"/>
      <c r="L1713" s="253"/>
      <c r="M1713" s="253"/>
      <c r="N1713" s="253"/>
      <c r="O1713" s="253"/>
      <c r="P1713" s="253"/>
      <c r="Q1713" s="253"/>
    </row>
    <row r="1714" spans="1:17">
      <c r="A1714" s="253"/>
      <c r="B1714" s="253"/>
      <c r="C1714" s="253"/>
      <c r="D1714" s="253"/>
      <c r="E1714" s="253"/>
      <c r="F1714" s="253"/>
      <c r="G1714" s="253"/>
      <c r="H1714" s="253"/>
      <c r="I1714" s="253"/>
      <c r="J1714" s="253"/>
      <c r="K1714" s="253"/>
      <c r="L1714" s="253"/>
      <c r="M1714" s="253"/>
      <c r="N1714" s="253"/>
      <c r="O1714" s="253"/>
      <c r="P1714" s="253"/>
      <c r="Q1714" s="253"/>
    </row>
    <row r="1715" spans="1:17">
      <c r="A1715" s="253"/>
      <c r="B1715" s="253"/>
      <c r="C1715" s="253"/>
      <c r="D1715" s="253"/>
      <c r="E1715" s="253"/>
      <c r="F1715" s="253"/>
      <c r="G1715" s="253"/>
      <c r="H1715" s="253"/>
      <c r="I1715" s="253"/>
      <c r="J1715" s="253"/>
      <c r="K1715" s="253"/>
      <c r="L1715" s="253"/>
      <c r="M1715" s="253"/>
      <c r="N1715" s="253"/>
      <c r="O1715" s="253"/>
      <c r="P1715" s="253"/>
      <c r="Q1715" s="253"/>
    </row>
    <row r="1716" spans="1:17">
      <c r="A1716" s="253"/>
      <c r="B1716" s="253"/>
      <c r="C1716" s="253"/>
      <c r="D1716" s="253"/>
      <c r="E1716" s="253"/>
      <c r="F1716" s="253"/>
      <c r="G1716" s="253"/>
      <c r="H1716" s="253"/>
      <c r="I1716" s="253"/>
      <c r="J1716" s="253"/>
      <c r="K1716" s="253"/>
      <c r="L1716" s="253"/>
      <c r="M1716" s="253"/>
      <c r="N1716" s="253"/>
      <c r="O1716" s="253"/>
      <c r="P1716" s="253"/>
      <c r="Q1716" s="253"/>
    </row>
    <row r="1717" spans="1:17">
      <c r="A1717" s="253"/>
      <c r="B1717" s="253"/>
      <c r="C1717" s="253"/>
      <c r="D1717" s="253"/>
      <c r="E1717" s="253"/>
      <c r="F1717" s="253"/>
      <c r="G1717" s="253"/>
      <c r="H1717" s="253"/>
      <c r="I1717" s="253"/>
      <c r="J1717" s="253"/>
      <c r="K1717" s="253"/>
      <c r="L1717" s="253"/>
      <c r="M1717" s="253"/>
      <c r="N1717" s="253"/>
      <c r="O1717" s="253"/>
      <c r="P1717" s="253"/>
      <c r="Q1717" s="253"/>
    </row>
    <row r="1718" spans="1:17">
      <c r="A1718" s="253"/>
      <c r="B1718" s="253"/>
      <c r="C1718" s="253"/>
      <c r="D1718" s="253"/>
      <c r="E1718" s="253"/>
      <c r="F1718" s="253"/>
      <c r="G1718" s="253"/>
      <c r="H1718" s="253"/>
      <c r="I1718" s="253"/>
      <c r="J1718" s="253"/>
      <c r="K1718" s="253"/>
      <c r="L1718" s="253"/>
      <c r="M1718" s="253"/>
      <c r="N1718" s="253"/>
      <c r="O1718" s="253"/>
      <c r="P1718" s="253"/>
      <c r="Q1718" s="253"/>
    </row>
    <row r="1719" spans="1:17">
      <c r="A1719" s="253"/>
      <c r="B1719" s="253"/>
      <c r="C1719" s="253"/>
      <c r="D1719" s="253"/>
      <c r="E1719" s="253"/>
      <c r="F1719" s="253"/>
      <c r="G1719" s="253"/>
      <c r="H1719" s="253"/>
      <c r="I1719" s="253"/>
      <c r="J1719" s="253"/>
      <c r="K1719" s="253"/>
      <c r="L1719" s="253"/>
      <c r="M1719" s="253"/>
      <c r="N1719" s="253"/>
      <c r="O1719" s="253"/>
      <c r="P1719" s="253"/>
      <c r="Q1719" s="253"/>
    </row>
    <row r="1720" spans="1:17">
      <c r="A1720" s="253"/>
      <c r="B1720" s="253"/>
      <c r="C1720" s="253"/>
      <c r="D1720" s="253"/>
      <c r="E1720" s="253"/>
      <c r="F1720" s="253"/>
      <c r="G1720" s="253"/>
      <c r="H1720" s="253"/>
      <c r="I1720" s="253"/>
      <c r="J1720" s="253"/>
      <c r="K1720" s="253"/>
      <c r="L1720" s="253"/>
      <c r="M1720" s="253"/>
      <c r="N1720" s="253"/>
      <c r="O1720" s="253"/>
      <c r="P1720" s="253"/>
      <c r="Q1720" s="253"/>
    </row>
    <row r="1721" spans="1:17">
      <c r="A1721" s="253"/>
      <c r="B1721" s="253"/>
      <c r="C1721" s="253"/>
      <c r="D1721" s="253"/>
      <c r="E1721" s="253"/>
      <c r="F1721" s="253"/>
      <c r="G1721" s="253"/>
      <c r="H1721" s="253"/>
      <c r="I1721" s="253"/>
      <c r="J1721" s="253"/>
      <c r="K1721" s="253"/>
      <c r="L1721" s="253"/>
      <c r="M1721" s="253"/>
      <c r="N1721" s="253"/>
      <c r="O1721" s="253"/>
      <c r="P1721" s="253"/>
      <c r="Q1721" s="253"/>
    </row>
    <row r="1722" spans="1:17">
      <c r="A1722" s="253"/>
      <c r="B1722" s="253"/>
      <c r="C1722" s="253"/>
      <c r="D1722" s="253"/>
      <c r="E1722" s="253"/>
      <c r="F1722" s="253"/>
      <c r="G1722" s="253"/>
      <c r="H1722" s="253"/>
      <c r="I1722" s="253"/>
      <c r="J1722" s="253"/>
      <c r="K1722" s="253"/>
      <c r="L1722" s="253"/>
      <c r="M1722" s="253"/>
      <c r="N1722" s="253"/>
      <c r="O1722" s="253"/>
      <c r="P1722" s="253"/>
      <c r="Q1722" s="253"/>
    </row>
    <row r="1723" spans="1:17">
      <c r="A1723" s="253"/>
      <c r="B1723" s="253"/>
      <c r="C1723" s="253"/>
      <c r="D1723" s="253"/>
      <c r="E1723" s="253"/>
      <c r="F1723" s="253"/>
      <c r="G1723" s="253"/>
      <c r="H1723" s="253"/>
      <c r="I1723" s="253"/>
      <c r="J1723" s="253"/>
      <c r="K1723" s="253"/>
      <c r="L1723" s="253"/>
      <c r="M1723" s="253"/>
      <c r="N1723" s="253"/>
      <c r="O1723" s="253"/>
      <c r="P1723" s="253"/>
      <c r="Q1723" s="253"/>
    </row>
    <row r="1724" spans="1:17">
      <c r="A1724" s="253"/>
      <c r="B1724" s="253"/>
      <c r="C1724" s="253"/>
      <c r="D1724" s="253"/>
      <c r="E1724" s="253"/>
      <c r="F1724" s="253"/>
      <c r="G1724" s="253"/>
      <c r="H1724" s="253"/>
      <c r="I1724" s="253"/>
      <c r="J1724" s="253"/>
      <c r="K1724" s="253"/>
      <c r="L1724" s="253"/>
      <c r="M1724" s="253"/>
      <c r="N1724" s="253"/>
      <c r="O1724" s="253"/>
      <c r="P1724" s="253"/>
      <c r="Q1724" s="253"/>
    </row>
    <row r="1725" spans="1:17">
      <c r="A1725" s="253"/>
      <c r="B1725" s="253"/>
      <c r="C1725" s="253"/>
      <c r="D1725" s="253"/>
      <c r="E1725" s="253"/>
      <c r="F1725" s="253"/>
      <c r="G1725" s="253"/>
      <c r="H1725" s="253"/>
      <c r="I1725" s="253"/>
      <c r="J1725" s="253"/>
      <c r="K1725" s="253"/>
      <c r="L1725" s="253"/>
      <c r="M1725" s="253"/>
      <c r="N1725" s="253"/>
      <c r="O1725" s="253"/>
      <c r="P1725" s="253"/>
      <c r="Q1725" s="253"/>
    </row>
    <row r="1726" spans="1:17">
      <c r="A1726" s="253"/>
      <c r="B1726" s="253"/>
      <c r="C1726" s="253"/>
      <c r="D1726" s="253"/>
      <c r="E1726" s="253"/>
      <c r="F1726" s="253"/>
      <c r="G1726" s="253"/>
      <c r="H1726" s="253"/>
      <c r="I1726" s="253"/>
      <c r="J1726" s="253"/>
      <c r="K1726" s="253"/>
      <c r="L1726" s="253"/>
      <c r="M1726" s="253"/>
      <c r="N1726" s="253"/>
      <c r="O1726" s="253"/>
      <c r="P1726" s="253"/>
      <c r="Q1726" s="253"/>
    </row>
    <row r="1727" spans="1:17">
      <c r="A1727" s="253"/>
      <c r="B1727" s="253"/>
      <c r="C1727" s="253"/>
      <c r="D1727" s="253"/>
      <c r="E1727" s="253"/>
      <c r="F1727" s="253"/>
      <c r="G1727" s="253"/>
      <c r="H1727" s="253"/>
      <c r="I1727" s="253"/>
      <c r="J1727" s="253"/>
      <c r="K1727" s="253"/>
      <c r="L1727" s="253"/>
      <c r="M1727" s="253"/>
      <c r="N1727" s="253"/>
      <c r="O1727" s="253"/>
      <c r="P1727" s="253"/>
      <c r="Q1727" s="253"/>
    </row>
    <row r="1728" spans="1:17">
      <c r="A1728" s="253"/>
      <c r="B1728" s="253"/>
      <c r="C1728" s="253"/>
      <c r="D1728" s="253"/>
      <c r="E1728" s="253"/>
      <c r="F1728" s="253"/>
      <c r="G1728" s="253"/>
      <c r="H1728" s="253"/>
      <c r="I1728" s="253"/>
      <c r="J1728" s="253"/>
      <c r="K1728" s="253"/>
      <c r="L1728" s="253"/>
      <c r="M1728" s="253"/>
      <c r="N1728" s="253"/>
      <c r="O1728" s="253"/>
      <c r="P1728" s="253"/>
      <c r="Q1728" s="253"/>
    </row>
    <row r="1729" spans="1:17">
      <c r="A1729" s="253"/>
      <c r="B1729" s="253"/>
      <c r="C1729" s="253"/>
      <c r="D1729" s="253"/>
      <c r="E1729" s="253"/>
      <c r="F1729" s="253"/>
      <c r="G1729" s="253"/>
      <c r="H1729" s="253"/>
      <c r="I1729" s="253"/>
      <c r="J1729" s="253"/>
      <c r="K1729" s="253"/>
      <c r="L1729" s="253"/>
      <c r="M1729" s="253"/>
      <c r="N1729" s="253"/>
      <c r="O1729" s="253"/>
      <c r="P1729" s="253"/>
      <c r="Q1729" s="253"/>
    </row>
    <row r="1730" spans="1:17">
      <c r="A1730" s="253"/>
      <c r="B1730" s="253"/>
      <c r="C1730" s="253"/>
      <c r="D1730" s="253"/>
      <c r="E1730" s="253"/>
      <c r="F1730" s="253"/>
      <c r="G1730" s="253"/>
      <c r="H1730" s="253"/>
      <c r="I1730" s="253"/>
      <c r="J1730" s="253"/>
      <c r="K1730" s="253"/>
      <c r="L1730" s="253"/>
      <c r="M1730" s="253"/>
      <c r="N1730" s="253"/>
      <c r="O1730" s="253"/>
      <c r="P1730" s="253"/>
      <c r="Q1730" s="253"/>
    </row>
    <row r="1731" spans="1:17">
      <c r="A1731" s="253"/>
      <c r="B1731" s="253"/>
      <c r="C1731" s="253"/>
      <c r="D1731" s="253"/>
      <c r="E1731" s="253"/>
      <c r="F1731" s="253"/>
      <c r="G1731" s="253"/>
      <c r="H1731" s="253"/>
      <c r="I1731" s="253"/>
      <c r="J1731" s="253"/>
      <c r="K1731" s="253"/>
      <c r="L1731" s="253"/>
      <c r="M1731" s="253"/>
      <c r="N1731" s="253"/>
      <c r="O1731" s="253"/>
      <c r="P1731" s="253"/>
      <c r="Q1731" s="253"/>
    </row>
    <row r="1732" spans="1:17">
      <c r="A1732" s="253"/>
      <c r="B1732" s="253"/>
      <c r="C1732" s="253"/>
      <c r="D1732" s="253"/>
      <c r="E1732" s="253"/>
      <c r="F1732" s="253"/>
      <c r="G1732" s="253"/>
      <c r="H1732" s="253"/>
      <c r="I1732" s="253"/>
      <c r="J1732" s="253"/>
      <c r="K1732" s="253"/>
      <c r="L1732" s="253"/>
      <c r="M1732" s="253"/>
      <c r="N1732" s="253"/>
      <c r="O1732" s="253"/>
      <c r="P1732" s="253"/>
      <c r="Q1732" s="253"/>
    </row>
    <row r="1733" spans="1:17">
      <c r="A1733" s="253"/>
      <c r="B1733" s="253"/>
      <c r="C1733" s="253"/>
      <c r="D1733" s="253"/>
      <c r="E1733" s="253"/>
      <c r="F1733" s="253"/>
      <c r="G1733" s="253"/>
      <c r="H1733" s="253"/>
      <c r="I1733" s="253"/>
      <c r="J1733" s="253"/>
      <c r="K1733" s="253"/>
      <c r="L1733" s="253"/>
      <c r="M1733" s="253"/>
      <c r="N1733" s="253"/>
      <c r="O1733" s="253"/>
      <c r="P1733" s="253"/>
      <c r="Q1733" s="253"/>
    </row>
    <row r="1734" spans="1:17">
      <c r="A1734" s="253"/>
      <c r="B1734" s="253"/>
      <c r="C1734" s="253"/>
      <c r="D1734" s="253"/>
      <c r="E1734" s="253"/>
      <c r="F1734" s="253"/>
      <c r="G1734" s="253"/>
      <c r="H1734" s="253"/>
      <c r="I1734" s="253"/>
      <c r="J1734" s="253"/>
      <c r="K1734" s="253"/>
      <c r="L1734" s="253"/>
      <c r="M1734" s="253"/>
      <c r="N1734" s="253"/>
      <c r="O1734" s="253"/>
      <c r="P1734" s="253"/>
      <c r="Q1734" s="253"/>
    </row>
    <row r="1735" spans="1:17">
      <c r="A1735" s="253"/>
      <c r="B1735" s="253"/>
      <c r="C1735" s="253"/>
      <c r="D1735" s="253"/>
      <c r="E1735" s="253"/>
      <c r="F1735" s="253"/>
      <c r="G1735" s="253"/>
      <c r="H1735" s="253"/>
      <c r="I1735" s="253"/>
      <c r="J1735" s="253"/>
      <c r="K1735" s="253"/>
      <c r="L1735" s="253"/>
      <c r="M1735" s="253"/>
      <c r="N1735" s="253"/>
      <c r="O1735" s="253"/>
      <c r="P1735" s="253"/>
      <c r="Q1735" s="253"/>
    </row>
    <row r="1736" spans="1:17">
      <c r="A1736" s="253"/>
      <c r="B1736" s="253"/>
      <c r="C1736" s="253"/>
      <c r="D1736" s="253"/>
      <c r="E1736" s="253"/>
      <c r="F1736" s="253"/>
      <c r="G1736" s="253"/>
      <c r="H1736" s="253"/>
      <c r="I1736" s="253"/>
      <c r="J1736" s="253"/>
      <c r="K1736" s="253"/>
      <c r="L1736" s="253"/>
      <c r="M1736" s="253"/>
      <c r="N1736" s="253"/>
      <c r="O1736" s="253"/>
      <c r="P1736" s="253"/>
      <c r="Q1736" s="253"/>
    </row>
    <row r="1737" spans="1:17">
      <c r="A1737" s="253"/>
      <c r="B1737" s="253"/>
      <c r="C1737" s="253"/>
      <c r="D1737" s="253"/>
      <c r="E1737" s="253"/>
      <c r="F1737" s="253"/>
      <c r="G1737" s="253"/>
      <c r="H1737" s="253"/>
      <c r="I1737" s="253"/>
      <c r="J1737" s="253"/>
      <c r="K1737" s="253"/>
      <c r="L1737" s="253"/>
      <c r="M1737" s="253"/>
      <c r="N1737" s="253"/>
      <c r="O1737" s="253"/>
      <c r="P1737" s="253"/>
      <c r="Q1737" s="253"/>
    </row>
    <row r="1738" spans="1:17">
      <c r="A1738" s="253"/>
      <c r="B1738" s="253"/>
      <c r="C1738" s="253"/>
      <c r="D1738" s="253"/>
      <c r="E1738" s="253"/>
      <c r="F1738" s="253"/>
      <c r="G1738" s="253"/>
      <c r="H1738" s="253"/>
      <c r="I1738" s="253"/>
      <c r="J1738" s="253"/>
      <c r="K1738" s="253"/>
      <c r="L1738" s="253"/>
      <c r="M1738" s="253"/>
      <c r="N1738" s="253"/>
      <c r="O1738" s="253"/>
      <c r="P1738" s="253"/>
      <c r="Q1738" s="253"/>
    </row>
    <row r="1739" spans="1:17">
      <c r="A1739" s="253"/>
      <c r="B1739" s="253"/>
      <c r="C1739" s="253"/>
      <c r="D1739" s="253"/>
      <c r="E1739" s="253"/>
      <c r="F1739" s="253"/>
      <c r="G1739" s="253"/>
      <c r="H1739" s="253"/>
      <c r="I1739" s="253"/>
      <c r="J1739" s="253"/>
      <c r="K1739" s="253"/>
      <c r="L1739" s="253"/>
      <c r="M1739" s="253"/>
      <c r="N1739" s="253"/>
      <c r="O1739" s="253"/>
      <c r="P1739" s="253"/>
      <c r="Q1739" s="253"/>
    </row>
    <row r="1740" spans="1:17">
      <c r="A1740" s="253"/>
      <c r="B1740" s="253"/>
      <c r="C1740" s="253"/>
      <c r="D1740" s="253"/>
      <c r="E1740" s="253"/>
      <c r="F1740" s="253"/>
      <c r="G1740" s="253"/>
      <c r="H1740" s="253"/>
      <c r="I1740" s="253"/>
      <c r="J1740" s="253"/>
      <c r="K1740" s="253"/>
      <c r="L1740" s="253"/>
      <c r="M1740" s="253"/>
      <c r="N1740" s="253"/>
      <c r="O1740" s="253"/>
      <c r="P1740" s="253"/>
      <c r="Q1740" s="253"/>
    </row>
    <row r="1741" spans="1:17">
      <c r="A1741" s="253"/>
      <c r="B1741" s="253"/>
      <c r="C1741" s="253"/>
      <c r="D1741" s="253"/>
      <c r="E1741" s="253"/>
      <c r="F1741" s="253"/>
      <c r="G1741" s="253"/>
      <c r="H1741" s="253"/>
      <c r="I1741" s="253"/>
      <c r="J1741" s="253"/>
      <c r="K1741" s="253"/>
      <c r="L1741" s="253"/>
      <c r="M1741" s="253"/>
      <c r="N1741" s="253"/>
      <c r="O1741" s="253"/>
      <c r="P1741" s="253"/>
      <c r="Q1741" s="253"/>
    </row>
    <row r="1742" spans="1:17">
      <c r="A1742" s="253"/>
      <c r="B1742" s="253"/>
      <c r="C1742" s="253"/>
      <c r="D1742" s="253"/>
      <c r="E1742" s="253"/>
      <c r="F1742" s="253"/>
      <c r="G1742" s="253"/>
      <c r="H1742" s="253"/>
      <c r="I1742" s="253"/>
      <c r="J1742" s="253"/>
      <c r="K1742" s="253"/>
      <c r="L1742" s="253"/>
      <c r="M1742" s="253"/>
      <c r="N1742" s="253"/>
      <c r="O1742" s="253"/>
      <c r="P1742" s="253"/>
      <c r="Q1742" s="253"/>
    </row>
    <row r="1743" spans="1:17">
      <c r="A1743" s="253"/>
      <c r="B1743" s="253"/>
      <c r="C1743" s="253"/>
      <c r="D1743" s="253"/>
      <c r="E1743" s="253"/>
      <c r="F1743" s="253"/>
      <c r="G1743" s="253"/>
      <c r="H1743" s="253"/>
      <c r="I1743" s="253"/>
      <c r="J1743" s="253"/>
      <c r="K1743" s="253"/>
      <c r="L1743" s="253"/>
      <c r="M1743" s="253"/>
      <c r="N1743" s="253"/>
      <c r="O1743" s="253"/>
      <c r="P1743" s="253"/>
      <c r="Q1743" s="253"/>
    </row>
    <row r="1744" spans="1:17">
      <c r="A1744" s="253"/>
      <c r="B1744" s="253"/>
      <c r="C1744" s="253"/>
      <c r="D1744" s="253"/>
      <c r="E1744" s="253"/>
      <c r="F1744" s="253"/>
      <c r="G1744" s="253"/>
      <c r="H1744" s="253"/>
      <c r="I1744" s="253"/>
      <c r="J1744" s="253"/>
      <c r="K1744" s="253"/>
      <c r="L1744" s="253"/>
      <c r="M1744" s="253"/>
      <c r="N1744" s="253"/>
      <c r="O1744" s="253"/>
      <c r="P1744" s="253"/>
      <c r="Q1744" s="253"/>
    </row>
  </sheetData>
  <mergeCells count="5">
    <mergeCell ref="C36:E36"/>
    <mergeCell ref="J36:J37"/>
    <mergeCell ref="K36:K37"/>
    <mergeCell ref="P36:P37"/>
    <mergeCell ref="Q36:Q37"/>
  </mergeCells>
  <phoneticPr fontId="7"/>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Y114"/>
  <sheetViews>
    <sheetView workbookViewId="0">
      <selection activeCell="N7" sqref="N7"/>
    </sheetView>
  </sheetViews>
  <sheetFormatPr defaultColWidth="9" defaultRowHeight="13.2"/>
  <cols>
    <col min="1" max="2" width="9" style="200"/>
    <col min="3" max="3" width="9.44140625" style="200" bestFit="1" customWidth="1"/>
    <col min="4" max="10" width="9" style="200"/>
    <col min="11" max="12" width="9.44140625" style="200" bestFit="1" customWidth="1"/>
    <col min="13" max="16384" width="9" style="200"/>
  </cols>
  <sheetData>
    <row r="2" spans="5:25" ht="13.8" thickBot="1">
      <c r="L2" s="643" t="s">
        <v>567</v>
      </c>
      <c r="M2" s="643" t="s">
        <v>568</v>
      </c>
    </row>
    <row r="3" spans="5:25" ht="13.8" thickBot="1">
      <c r="K3" s="262" t="s">
        <v>273</v>
      </c>
      <c r="L3" s="263">
        <f>【事例1】危険部品判断シート!R5</f>
        <v>18</v>
      </c>
      <c r="M3" s="263">
        <v>0.4</v>
      </c>
      <c r="O3" s="200" t="s">
        <v>274</v>
      </c>
      <c r="Q3" s="263">
        <v>30</v>
      </c>
    </row>
    <row r="4" spans="5:25" ht="13.8" thickBot="1">
      <c r="K4" s="200" t="s">
        <v>275</v>
      </c>
      <c r="L4" s="264">
        <f>【事例1】危険部品判断シート!R7</f>
        <v>5</v>
      </c>
      <c r="Q4" s="265"/>
    </row>
    <row r="5" spans="5:25">
      <c r="E5" s="200" t="s">
        <v>276</v>
      </c>
      <c r="H5" s="200" t="s">
        <v>203</v>
      </c>
      <c r="I5" s="200" t="s">
        <v>277</v>
      </c>
      <c r="J5" s="200" t="s">
        <v>253</v>
      </c>
      <c r="K5" s="200" t="s">
        <v>278</v>
      </c>
      <c r="L5" s="200" t="s">
        <v>279</v>
      </c>
      <c r="M5" s="200" t="s">
        <v>280</v>
      </c>
      <c r="N5" s="200" t="s">
        <v>281</v>
      </c>
      <c r="O5" s="200" t="s">
        <v>282</v>
      </c>
      <c r="P5" s="200" t="s">
        <v>283</v>
      </c>
      <c r="Q5" s="200" t="s">
        <v>284</v>
      </c>
      <c r="R5" s="200" t="s">
        <v>285</v>
      </c>
      <c r="S5" s="200" t="s">
        <v>286</v>
      </c>
      <c r="T5" s="200" t="s">
        <v>287</v>
      </c>
      <c r="U5" s="200" t="s">
        <v>288</v>
      </c>
      <c r="V5" s="200" t="s">
        <v>289</v>
      </c>
      <c r="W5" s="200" t="s">
        <v>290</v>
      </c>
      <c r="X5" s="200" t="s">
        <v>291</v>
      </c>
    </row>
    <row r="6" spans="5:25">
      <c r="E6" s="200" t="s">
        <v>292</v>
      </c>
      <c r="F6" s="200">
        <v>1</v>
      </c>
      <c r="G6" s="200">
        <f>J6*1000</f>
        <v>8</v>
      </c>
      <c r="H6" s="200">
        <f ca="1">X6</f>
        <v>0.16218902692371023</v>
      </c>
      <c r="I6" s="200">
        <v>2E-3</v>
      </c>
      <c r="J6" s="200">
        <f t="shared" ref="J6:J30" si="0">I6*4</f>
        <v>8.0000000000000002E-3</v>
      </c>
      <c r="K6" s="200">
        <f>I6+$L$4/1000*2</f>
        <v>1.2E-2</v>
      </c>
      <c r="L6" s="200">
        <f>K6^2*2</f>
        <v>2.8800000000000001E-4</v>
      </c>
      <c r="M6" s="200">
        <f ca="1">IF(【事例1】危険部品判断シート!$O$36=0,2.51*0.56*(O6/K6)^0.25+0.0000000567*$F$9*(($F$10+273+O6)^2+($F$10+273)^2)*(($F$10+273+O6)+($F$10+273)),3.86*(【事例1】危険部品判断シート!$O$36/K6)^0.5+0.0000000567*$F$9*(($F$10+273+O6)^2+($F$10+273)^2)*(($F$10+273+O6)+($F$10+273)))</f>
        <v>18.771878116170168</v>
      </c>
      <c r="N6" s="200">
        <f ca="1">1/L6/M6+$F$8/$M$3/L6</f>
        <v>198.85824574994993</v>
      </c>
      <c r="O6" s="200">
        <f ca="1">H6*N6</f>
        <v>32.252625373940418</v>
      </c>
      <c r="P6" s="200">
        <f>I6^2</f>
        <v>3.9999999999999998E-6</v>
      </c>
      <c r="Q6" s="200">
        <f>K6^2</f>
        <v>1.44E-4</v>
      </c>
      <c r="R6" s="200">
        <f>(PI()^1.5)/((Q6)^0.5)+1/(P6)^0.5</f>
        <v>964.02733306930907</v>
      </c>
      <c r="S6" s="200">
        <f t="shared" ref="S6:S30" si="1">$F$6*(Q6^0.5-P6^0.5)/($L$3*(PI()*Q6*P6)^0.5)</f>
        <v>13.059944063605471</v>
      </c>
      <c r="T6" s="200">
        <f t="shared" ref="T6:T30" ca="1" si="2">R6*$L$3*Q6*N6/$F$6</f>
        <v>496.89880092935698</v>
      </c>
      <c r="U6" s="200">
        <f t="shared" ref="U6:U30" si="3">TANH(R6*$F$8/$F$6)</f>
        <v>0.91253009128967677</v>
      </c>
      <c r="V6" s="200">
        <f ca="1">S6*(T6+U6)/(1+T6*U6)</f>
        <v>14.306526983545032</v>
      </c>
      <c r="W6" s="262">
        <f ca="1">N6+V6</f>
        <v>213.16477273349497</v>
      </c>
      <c r="X6" s="200">
        <f ca="1">L6*M6*$Q$3</f>
        <v>0.16218902692371023</v>
      </c>
      <c r="Y6" s="200">
        <f>J6*1000</f>
        <v>8</v>
      </c>
    </row>
    <row r="7" spans="5:25">
      <c r="G7" s="200">
        <f t="shared" ref="G7:G30" si="4">J7*1000</f>
        <v>16</v>
      </c>
      <c r="H7" s="200">
        <f>X7</f>
        <v>0.21319230729526187</v>
      </c>
      <c r="I7" s="200">
        <f>I6+0.002</f>
        <v>4.0000000000000001E-3</v>
      </c>
      <c r="J7" s="200">
        <f t="shared" si="0"/>
        <v>1.6E-2</v>
      </c>
      <c r="K7" s="200">
        <f t="shared" ref="K7:K30" si="5">I7+$L$4/1000*2</f>
        <v>1.4E-2</v>
      </c>
      <c r="L7" s="200">
        <f t="shared" ref="L7:L30" si="6">K7^2*2</f>
        <v>3.9200000000000004E-4</v>
      </c>
      <c r="M7" s="200">
        <f>IF(【事例1】危険部品判断シート!$O$36=0,2.51*0.56*(O7/K7)^0.25+0.0000000567*$F$9*(($F$10+273+O7)^2+($F$10+273)^2)*(($F$10+273+O7)+($F$10+273)),3.86*(【事例1】危険部品判断シート!$O$36/K7)^0.5+0.0000000567*$F$9*(($F$10+273+O7)^2+($F$10+273)^2)*(($F$10+273+O7)+($F$10+273)))</f>
        <v>18.128597559120905</v>
      </c>
      <c r="N7" s="200">
        <f t="shared" ref="N7:N30" si="7">1/L7/M7+$F$8/$M$3/L7</f>
        <v>150.92210462609688</v>
      </c>
      <c r="O7" s="200">
        <v>30</v>
      </c>
      <c r="P7" s="200">
        <f t="shared" ref="P7:P30" si="8">I7^2</f>
        <v>1.5999999999999999E-5</v>
      </c>
      <c r="Q7" s="200">
        <f t="shared" ref="Q7:Q30" si="9">K7^2</f>
        <v>1.9600000000000002E-4</v>
      </c>
      <c r="R7" s="200">
        <f t="shared" ref="R7:R30" si="10">(PI()^1.5)/((Q7)^0.5)+1/(P7)^0.5</f>
        <v>647.73771405940784</v>
      </c>
      <c r="S7" s="200">
        <f t="shared" si="1"/>
        <v>5.5971188844023443</v>
      </c>
      <c r="T7" s="200">
        <f t="shared" si="2"/>
        <v>344.89000897384295</v>
      </c>
      <c r="U7" s="200">
        <f t="shared" si="3"/>
        <v>0.77645466972204769</v>
      </c>
      <c r="V7" s="200">
        <f t="shared" ref="V7:V30" si="11">S7*(T7+U7)/(1+T7*U7)</f>
        <v>7.1979083922555764</v>
      </c>
      <c r="W7" s="262">
        <f t="shared" ref="W7:W30" si="12">N7+V7</f>
        <v>158.12001301835247</v>
      </c>
      <c r="X7" s="200">
        <f>L7*M7*$Q$3</f>
        <v>0.21319230729526187</v>
      </c>
      <c r="Y7" s="200">
        <f t="shared" ref="Y7:Y30" si="13">J7*1000</f>
        <v>16</v>
      </c>
    </row>
    <row r="8" spans="5:25">
      <c r="E8" s="262" t="s">
        <v>293</v>
      </c>
      <c r="F8" s="266">
        <v>1.6000000000000001E-3</v>
      </c>
      <c r="G8" s="200">
        <f t="shared" si="4"/>
        <v>24</v>
      </c>
      <c r="H8" s="200">
        <f t="shared" ref="H8:H30" si="14">X8</f>
        <v>0.27363249652908406</v>
      </c>
      <c r="I8" s="200">
        <f t="shared" ref="I8:I30" si="15">I7+0.002</f>
        <v>6.0000000000000001E-3</v>
      </c>
      <c r="J8" s="200">
        <f t="shared" si="0"/>
        <v>2.4E-2</v>
      </c>
      <c r="K8" s="200">
        <f t="shared" si="5"/>
        <v>1.6E-2</v>
      </c>
      <c r="L8" s="200">
        <f t="shared" si="6"/>
        <v>5.1199999999999998E-4</v>
      </c>
      <c r="M8" s="200">
        <f>IF(【事例1】危険部品判断シート!$O$36=0,2.51*0.56*(O8/K8)^0.25+0.0000000567*$F$9*(($F$10+273+O8)^2+($F$10+273)^2)*(($F$10+273+O8)+($F$10+273)),3.86*(【事例1】危険部品判断シート!$O$36/K8)^0.5+0.0000000567*$F$9*(($F$10+273+O8)^2+($F$10+273)^2)*(($F$10+273+O8)+($F$10+273)))</f>
        <v>17.814615659445579</v>
      </c>
      <c r="N8" s="200">
        <f t="shared" si="7"/>
        <v>117.44860090372191</v>
      </c>
      <c r="O8" s="200">
        <v>30</v>
      </c>
      <c r="P8" s="200">
        <f t="shared" si="8"/>
        <v>3.6000000000000001E-5</v>
      </c>
      <c r="Q8" s="200">
        <f t="shared" si="9"/>
        <v>2.5599999999999999E-4</v>
      </c>
      <c r="R8" s="200">
        <f t="shared" si="10"/>
        <v>514.68716646864846</v>
      </c>
      <c r="S8" s="200">
        <f t="shared" si="1"/>
        <v>3.2649860159013677</v>
      </c>
      <c r="T8" s="200">
        <f t="shared" si="2"/>
        <v>278.55031728312014</v>
      </c>
      <c r="U8" s="200">
        <f t="shared" si="3"/>
        <v>0.6769700699595429</v>
      </c>
      <c r="V8" s="200">
        <f t="shared" si="11"/>
        <v>4.8091580579391149</v>
      </c>
      <c r="W8" s="262">
        <f t="shared" si="12"/>
        <v>122.25775896166103</v>
      </c>
      <c r="X8" s="200">
        <f t="shared" ref="X8:X30" si="16">L8*M8*$Q$3</f>
        <v>0.27363249652908406</v>
      </c>
      <c r="Y8" s="200">
        <f t="shared" si="13"/>
        <v>24</v>
      </c>
    </row>
    <row r="9" spans="5:25">
      <c r="E9" s="262" t="s">
        <v>205</v>
      </c>
      <c r="F9" s="266">
        <f>【事例1】危険部品判断シート!P38</f>
        <v>0.9</v>
      </c>
      <c r="G9" s="200">
        <f t="shared" si="4"/>
        <v>32</v>
      </c>
      <c r="H9" s="200">
        <f t="shared" ca="1" si="14"/>
        <v>0.34570737785902178</v>
      </c>
      <c r="I9" s="200">
        <f t="shared" si="15"/>
        <v>8.0000000000000002E-3</v>
      </c>
      <c r="J9" s="200">
        <f t="shared" si="0"/>
        <v>3.2000000000000001E-2</v>
      </c>
      <c r="K9" s="200">
        <f t="shared" si="5"/>
        <v>1.8000000000000002E-2</v>
      </c>
      <c r="L9" s="200">
        <f t="shared" si="6"/>
        <v>6.4800000000000014E-4</v>
      </c>
      <c r="M9" s="200">
        <f ca="1">IF(【事例1】危険部品判断シート!$O$36=0,2.51*0.56*(O9/K9)^0.25+0.0000000567*$F$9*(($F$10+273+O9)^2+($F$10+273)^2)*(($F$10+273+O9)+($F$10+273)),3.86*(【事例1】危険部品判断シート!$O$36/K9)^0.5+0.0000000567*$F$9*(($F$10+273+O9)^2+($F$10+273)^2)*(($F$10+273+O9)+($F$10+273)))</f>
        <v>17.783301330196593</v>
      </c>
      <c r="N9" s="200">
        <f t="shared" ca="1" si="7"/>
        <v>92.951432968051122</v>
      </c>
      <c r="O9" s="200">
        <f t="shared" ref="O9:O30" ca="1" si="17">H9*N9</f>
        <v>32.133996159623585</v>
      </c>
      <c r="P9" s="200">
        <f t="shared" si="8"/>
        <v>6.3999999999999997E-5</v>
      </c>
      <c r="Q9" s="200">
        <f t="shared" si="9"/>
        <v>3.2400000000000007E-4</v>
      </c>
      <c r="R9" s="200">
        <f t="shared" si="10"/>
        <v>434.35155537953932</v>
      </c>
      <c r="S9" s="200">
        <f t="shared" si="1"/>
        <v>2.1766573439342456</v>
      </c>
      <c r="T9" s="200">
        <f t="shared" ca="1" si="2"/>
        <v>235.45883219319575</v>
      </c>
      <c r="U9" s="200">
        <f t="shared" si="3"/>
        <v>0.60116053184182494</v>
      </c>
      <c r="V9" s="200">
        <f t="shared" ca="1" si="11"/>
        <v>3.6045381893115871</v>
      </c>
      <c r="W9" s="262">
        <f t="shared" ca="1" si="12"/>
        <v>96.555971157362706</v>
      </c>
      <c r="X9" s="200">
        <f t="shared" ca="1" si="16"/>
        <v>0.34570737785902184</v>
      </c>
      <c r="Y9" s="200">
        <f t="shared" si="13"/>
        <v>32</v>
      </c>
    </row>
    <row r="10" spans="5:25">
      <c r="E10" s="266" t="s">
        <v>214</v>
      </c>
      <c r="F10" s="266">
        <f>【事例1】危険部品判断シート!M36</f>
        <v>59.281485244798425</v>
      </c>
      <c r="G10" s="200">
        <f t="shared" si="4"/>
        <v>40</v>
      </c>
      <c r="H10" s="200">
        <f t="shared" ca="1" si="14"/>
        <v>0.42102426119541247</v>
      </c>
      <c r="I10" s="200">
        <f t="shared" si="15"/>
        <v>0.01</v>
      </c>
      <c r="J10" s="200">
        <f t="shared" si="0"/>
        <v>0.04</v>
      </c>
      <c r="K10" s="200">
        <f t="shared" si="5"/>
        <v>0.02</v>
      </c>
      <c r="L10" s="200">
        <f t="shared" si="6"/>
        <v>8.0000000000000004E-4</v>
      </c>
      <c r="M10" s="200">
        <f ca="1">IF(【事例1】危険部品判断シート!$O$36=0,2.51*0.56*(O10/K10)^0.25+0.0000000567*$F$9*(($F$10+273+O10)^2+($F$10+273)^2)*(($F$10+273+O10)+($F$10+273)),3.86*(【事例1】危険部品判断シート!$O$36/K10)^0.5+0.0000000567*$F$9*(($F$10+273+O10)^2+($F$10+273)^2)*(($F$10+273+O10)+($F$10+273)))</f>
        <v>17.54267754980885</v>
      </c>
      <c r="N10" s="200">
        <f t="shared" ca="1" si="7"/>
        <v>76.254801124336936</v>
      </c>
      <c r="O10" s="200">
        <f t="shared" ca="1" si="17"/>
        <v>32.105121305977065</v>
      </c>
      <c r="P10" s="200">
        <f t="shared" si="8"/>
        <v>1E-4</v>
      </c>
      <c r="Q10" s="200">
        <f t="shared" si="9"/>
        <v>4.0000000000000002E-4</v>
      </c>
      <c r="R10" s="200">
        <f t="shared" si="10"/>
        <v>378.41639984158542</v>
      </c>
      <c r="S10" s="200">
        <f t="shared" si="1"/>
        <v>1.5671932876326564</v>
      </c>
      <c r="T10" s="200">
        <f t="shared" ca="1" si="2"/>
        <v>207.76368464717515</v>
      </c>
      <c r="U10" s="200">
        <f t="shared" si="3"/>
        <v>0.54092779792344237</v>
      </c>
      <c r="V10" s="200">
        <f t="shared" ca="1" si="11"/>
        <v>2.8791564276795838</v>
      </c>
      <c r="W10" s="262">
        <f t="shared" ca="1" si="12"/>
        <v>79.133957552016525</v>
      </c>
      <c r="X10" s="200">
        <f t="shared" ca="1" si="16"/>
        <v>0.42102426119541247</v>
      </c>
      <c r="Y10" s="200">
        <f t="shared" si="13"/>
        <v>40</v>
      </c>
    </row>
    <row r="11" spans="5:25">
      <c r="E11" s="262"/>
      <c r="F11" s="266"/>
      <c r="G11" s="200">
        <f t="shared" si="4"/>
        <v>48</v>
      </c>
      <c r="H11" s="200">
        <f t="shared" ca="1" si="14"/>
        <v>0.50327739612686495</v>
      </c>
      <c r="I11" s="200">
        <f t="shared" si="15"/>
        <v>1.2E-2</v>
      </c>
      <c r="J11" s="200">
        <f t="shared" si="0"/>
        <v>4.8000000000000001E-2</v>
      </c>
      <c r="K11" s="200">
        <f t="shared" si="5"/>
        <v>2.1999999999999999E-2</v>
      </c>
      <c r="L11" s="200">
        <f>K11^2*2</f>
        <v>9.6799999999999989E-4</v>
      </c>
      <c r="M11" s="200">
        <f ca="1">IF(【事例1】危険部品判断シート!$O$36=0,2.51*0.56*(O11/K11)^0.25+0.0000000567*$F$9*(($F$10+273+O11)^2+($F$10+273)^2)*(($F$10+273+O11)+($F$10+273)),3.86*(【事例1】危険部品判断シート!$O$36/K11)^0.5+0.0000000567*$F$9*(($F$10+273+O11)^2+($F$10+273)^2)*(($F$10+273+O11)+($F$10+273)))</f>
        <v>17.330488847343844</v>
      </c>
      <c r="N11" s="200">
        <f t="shared" ca="1" si="7"/>
        <v>63.741505000146454</v>
      </c>
      <c r="O11" s="200">
        <f t="shared" ca="1" si="17"/>
        <v>32.07965866168125</v>
      </c>
      <c r="P11" s="200">
        <f t="shared" si="8"/>
        <v>1.44E-4</v>
      </c>
      <c r="Q11" s="200">
        <f t="shared" si="9"/>
        <v>4.8399999999999995E-4</v>
      </c>
      <c r="R11" s="200">
        <f t="shared" si="10"/>
        <v>336.43915137113828</v>
      </c>
      <c r="S11" s="200">
        <f t="shared" si="1"/>
        <v>1.1872676421459516</v>
      </c>
      <c r="T11" s="200">
        <f t="shared" ca="1" si="2"/>
        <v>186.83004094369787</v>
      </c>
      <c r="U11" s="200">
        <f t="shared" si="3"/>
        <v>0.49170205506160097</v>
      </c>
      <c r="V11" s="200">
        <f t="shared" ca="1" si="11"/>
        <v>2.3948928712373645</v>
      </c>
      <c r="W11" s="262">
        <f t="shared" ca="1" si="12"/>
        <v>66.136397871383821</v>
      </c>
      <c r="X11" s="200">
        <f t="shared" ca="1" si="16"/>
        <v>0.50327739612686517</v>
      </c>
      <c r="Y11" s="200">
        <f t="shared" si="13"/>
        <v>48</v>
      </c>
    </row>
    <row r="12" spans="5:25">
      <c r="G12" s="200">
        <f t="shared" si="4"/>
        <v>56</v>
      </c>
      <c r="H12" s="200">
        <f t="shared" ca="1" si="14"/>
        <v>0.59240027268206308</v>
      </c>
      <c r="I12" s="200">
        <f t="shared" si="15"/>
        <v>1.4E-2</v>
      </c>
      <c r="J12" s="200">
        <f t="shared" si="0"/>
        <v>5.6000000000000001E-2</v>
      </c>
      <c r="K12" s="200">
        <f t="shared" si="5"/>
        <v>2.4E-2</v>
      </c>
      <c r="L12" s="200">
        <f t="shared" si="6"/>
        <v>1.152E-3</v>
      </c>
      <c r="M12" s="200">
        <f ca="1">IF(【事例1】危険部品判断シート!$O$36=0,2.51*0.56*(O12/K12)^0.25+0.0000000567*$F$9*(($F$10+273+O12)^2+($F$10+273)^2)*(($F$10+273+O12)+($F$10+273)),3.86*(【事例1】危険部品判断シート!$O$36/K12)^0.5+0.0000000567*$F$9*(($F$10+273+O12)^2+($F$10+273)^2)*(($F$10+273+O12)+($F$10+273)))</f>
        <v>17.141211593809693</v>
      </c>
      <c r="N12" s="200">
        <f t="shared" ca="1" si="7"/>
        <v>54.113657385944343</v>
      </c>
      <c r="O12" s="200">
        <f t="shared" ca="1" si="17"/>
        <v>32.056945391257166</v>
      </c>
      <c r="P12" s="200">
        <f t="shared" si="8"/>
        <v>1.9600000000000002E-4</v>
      </c>
      <c r="Q12" s="200">
        <f t="shared" si="9"/>
        <v>5.7600000000000001E-4</v>
      </c>
      <c r="R12" s="200">
        <f t="shared" si="10"/>
        <v>303.44223796322598</v>
      </c>
      <c r="S12" s="200">
        <f t="shared" si="1"/>
        <v>0.93285314740039071</v>
      </c>
      <c r="T12" s="200">
        <f t="shared" ca="1" si="2"/>
        <v>170.24638891863842</v>
      </c>
      <c r="U12" s="200">
        <f t="shared" si="3"/>
        <v>0.45064358951546418</v>
      </c>
      <c r="V12" s="200">
        <f t="shared" ca="1" si="11"/>
        <v>2.0488208279922908</v>
      </c>
      <c r="W12" s="262">
        <f t="shared" ca="1" si="12"/>
        <v>56.162478213936637</v>
      </c>
      <c r="X12" s="200">
        <f t="shared" ca="1" si="16"/>
        <v>0.59240027268206308</v>
      </c>
      <c r="Y12" s="200">
        <f t="shared" si="13"/>
        <v>56</v>
      </c>
    </row>
    <row r="13" spans="5:25">
      <c r="G13" s="200">
        <f t="shared" si="4"/>
        <v>64</v>
      </c>
      <c r="H13" s="200">
        <f t="shared" ca="1" si="14"/>
        <v>0.68833357450238242</v>
      </c>
      <c r="I13" s="200">
        <f t="shared" si="15"/>
        <v>1.6E-2</v>
      </c>
      <c r="J13" s="200">
        <f t="shared" si="0"/>
        <v>6.4000000000000001E-2</v>
      </c>
      <c r="K13" s="200">
        <f t="shared" si="5"/>
        <v>2.6000000000000002E-2</v>
      </c>
      <c r="L13" s="200">
        <f t="shared" si="6"/>
        <v>1.3520000000000003E-3</v>
      </c>
      <c r="M13" s="200">
        <f ca="1">IF(【事例1】危険部品判断シート!$O$36=0,2.51*0.56*(O13/K13)^0.25+0.0000000567*$F$9*(($F$10+273+O13)^2+($F$10+273)^2)*(($F$10+273+O13)+($F$10+273)),3.86*(【事例1】危険部品判断シート!$O$36/K13)^0.5+0.0000000567*$F$9*(($F$10+273+O13)^2+($F$10+273)^2)*(($F$10+273+O13)+($F$10+273)))</f>
        <v>16.970748878263862</v>
      </c>
      <c r="N13" s="200">
        <f t="shared" ca="1" si="7"/>
        <v>46.542099720403485</v>
      </c>
      <c r="O13" s="200">
        <f t="shared" ca="1" si="17"/>
        <v>32.036489865391665</v>
      </c>
      <c r="P13" s="200">
        <f t="shared" si="8"/>
        <v>2.5599999999999999E-4</v>
      </c>
      <c r="Q13" s="200">
        <f t="shared" si="9"/>
        <v>6.7600000000000017E-4</v>
      </c>
      <c r="R13" s="200">
        <f t="shared" si="10"/>
        <v>276.66646141660419</v>
      </c>
      <c r="S13" s="200">
        <f t="shared" si="1"/>
        <v>0.75345831136185404</v>
      </c>
      <c r="T13" s="200">
        <f t="shared" ca="1" si="2"/>
        <v>156.68293162865228</v>
      </c>
      <c r="U13" s="200">
        <f t="shared" si="3"/>
        <v>0.41585212525732529</v>
      </c>
      <c r="V13" s="200">
        <f t="shared" ca="1" si="11"/>
        <v>1.7891910058193699</v>
      </c>
      <c r="W13" s="262">
        <f t="shared" ca="1" si="12"/>
        <v>48.331290726222853</v>
      </c>
      <c r="X13" s="200">
        <f t="shared" ca="1" si="16"/>
        <v>0.68833357450238242</v>
      </c>
      <c r="Y13" s="200">
        <f t="shared" si="13"/>
        <v>64</v>
      </c>
    </row>
    <row r="14" spans="5:25">
      <c r="G14" s="200">
        <f t="shared" si="4"/>
        <v>72.000000000000014</v>
      </c>
      <c r="H14" s="200">
        <f t="shared" ca="1" si="14"/>
        <v>0.79102388867134732</v>
      </c>
      <c r="I14" s="200">
        <f t="shared" si="15"/>
        <v>1.8000000000000002E-2</v>
      </c>
      <c r="J14" s="200">
        <f t="shared" si="0"/>
        <v>7.2000000000000008E-2</v>
      </c>
      <c r="K14" s="200">
        <f t="shared" si="5"/>
        <v>2.8000000000000004E-2</v>
      </c>
      <c r="L14" s="200">
        <f t="shared" si="6"/>
        <v>1.5680000000000004E-3</v>
      </c>
      <c r="M14" s="200">
        <f ca="1">IF(【事例1】危険部品判断シート!$O$36=0,2.51*0.56*(O14/K14)^0.25+0.0000000567*$F$9*(($F$10+273+O14)^2+($F$10+273)^2)*(($F$10+273+O14)+($F$10+273)),3.86*(【事例1】危険部品判断シート!$O$36/K14)^0.5+0.0000000567*$F$9*(($F$10+273+O14)^2+($F$10+273)^2)*(($F$10+273+O14)+($F$10+273)))</f>
        <v>16.815984027877281</v>
      </c>
      <c r="N14" s="200">
        <f t="shared" ca="1" si="7"/>
        <v>40.476550129383</v>
      </c>
      <c r="O14" s="200">
        <f t="shared" ca="1" si="17"/>
        <v>32.017918083345265</v>
      </c>
      <c r="P14" s="200">
        <f t="shared" si="8"/>
        <v>3.2400000000000007E-4</v>
      </c>
      <c r="Q14" s="200">
        <f t="shared" si="9"/>
        <v>7.8400000000000019E-4</v>
      </c>
      <c r="R14" s="200">
        <f t="shared" si="10"/>
        <v>254.4244125852594</v>
      </c>
      <c r="S14" s="200">
        <f t="shared" si="1"/>
        <v>0.62190209826692722</v>
      </c>
      <c r="T14" s="200">
        <f t="shared" ca="1" si="2"/>
        <v>145.32851578094144</v>
      </c>
      <c r="U14" s="200">
        <f t="shared" si="3"/>
        <v>0.38598973202305409</v>
      </c>
      <c r="V14" s="200">
        <f t="shared" ca="1" si="11"/>
        <v>1.587173254865395</v>
      </c>
      <c r="W14" s="262">
        <f t="shared" ca="1" si="12"/>
        <v>42.063723384248398</v>
      </c>
      <c r="X14" s="200">
        <f t="shared" ca="1" si="16"/>
        <v>0.79102388867134754</v>
      </c>
      <c r="Y14" s="200">
        <f t="shared" si="13"/>
        <v>72.000000000000014</v>
      </c>
    </row>
    <row r="15" spans="5:25">
      <c r="G15" s="200">
        <f t="shared" si="4"/>
        <v>80.000000000000014</v>
      </c>
      <c r="H15" s="200">
        <f t="shared" ca="1" si="14"/>
        <v>0.90042272542001867</v>
      </c>
      <c r="I15" s="200">
        <f t="shared" si="15"/>
        <v>2.0000000000000004E-2</v>
      </c>
      <c r="J15" s="200">
        <f t="shared" si="0"/>
        <v>8.0000000000000016E-2</v>
      </c>
      <c r="K15" s="200">
        <f t="shared" si="5"/>
        <v>3.0000000000000006E-2</v>
      </c>
      <c r="L15" s="200">
        <f t="shared" si="6"/>
        <v>1.8000000000000006E-3</v>
      </c>
      <c r="M15" s="200">
        <f ca="1">IF(【事例1】危険部品判断シート!$O$36=0,2.51*0.56*(O15/K15)^0.25+0.0000000567*$F$9*(($F$10+273+O15)^2+($F$10+273)^2)*(($F$10+273+O15)+($F$10+273)),3.86*(【事例1】危険部品判断シート!$O$36/K15)^0.5+0.0000000567*$F$9*(($F$10+273+O15)^2+($F$10+273)^2)*(($F$10+273+O15)+($F$10+273)))</f>
        <v>16.674494915185527</v>
      </c>
      <c r="N15" s="200">
        <f t="shared" ca="1" si="7"/>
        <v>35.539906408842398</v>
      </c>
      <c r="O15" s="200">
        <f t="shared" ca="1" si="17"/>
        <v>32.000939389822264</v>
      </c>
      <c r="P15" s="200">
        <f t="shared" si="8"/>
        <v>4.0000000000000018E-4</v>
      </c>
      <c r="Q15" s="200">
        <f t="shared" si="9"/>
        <v>9.000000000000003E-4</v>
      </c>
      <c r="R15" s="200">
        <f t="shared" si="10"/>
        <v>235.61093322772359</v>
      </c>
      <c r="S15" s="200">
        <f t="shared" si="1"/>
        <v>0.52239776254421877</v>
      </c>
      <c r="T15" s="200">
        <f t="shared" ca="1" si="2"/>
        <v>135.65216635617571</v>
      </c>
      <c r="U15" s="200">
        <f t="shared" si="3"/>
        <v>0.36007971902724906</v>
      </c>
      <c r="V15" s="200">
        <f t="shared" ca="1" si="11"/>
        <v>1.4254518283780973</v>
      </c>
      <c r="W15" s="262">
        <f t="shared" ca="1" si="12"/>
        <v>36.965358237220492</v>
      </c>
      <c r="X15" s="200">
        <f t="shared" ca="1" si="16"/>
        <v>0.90042272542001867</v>
      </c>
      <c r="Y15" s="200">
        <f t="shared" si="13"/>
        <v>80.000000000000014</v>
      </c>
    </row>
    <row r="16" spans="5:25">
      <c r="G16" s="200">
        <f t="shared" si="4"/>
        <v>88.000000000000028</v>
      </c>
      <c r="H16" s="200">
        <f t="shared" ca="1" si="14"/>
        <v>1.016485756991454</v>
      </c>
      <c r="I16" s="200">
        <f t="shared" si="15"/>
        <v>2.2000000000000006E-2</v>
      </c>
      <c r="J16" s="200">
        <f t="shared" si="0"/>
        <v>8.8000000000000023E-2</v>
      </c>
      <c r="K16" s="200">
        <f t="shared" si="5"/>
        <v>3.2000000000000008E-2</v>
      </c>
      <c r="L16" s="200">
        <f t="shared" si="6"/>
        <v>2.0480000000000008E-3</v>
      </c>
      <c r="M16" s="200">
        <f ca="1">IF(【事例1】危険部品判断シート!$O$36=0,2.51*0.56*(O16/K16)^0.25+0.0000000567*$F$9*(($F$10+273+O16)^2+($F$10+273)^2)*(($F$10+273+O16)+($F$10+273)),3.86*(【事例1】危険部品判断シート!$O$36/K16)^0.5+0.0000000567*$F$9*(($F$10+273+O16)^2+($F$10+273)^2)*(($F$10+273+O16)+($F$10+273)))</f>
        <v>16.54436453436611</v>
      </c>
      <c r="N16" s="200">
        <f t="shared" ca="1" si="7"/>
        <v>31.466573460697141</v>
      </c>
      <c r="O16" s="200">
        <f t="shared" ca="1" si="17"/>
        <v>31.985323744123932</v>
      </c>
      <c r="P16" s="200">
        <f t="shared" si="8"/>
        <v>4.8400000000000027E-4</v>
      </c>
      <c r="Q16" s="200">
        <f t="shared" si="9"/>
        <v>1.0240000000000004E-3</v>
      </c>
      <c r="R16" s="200">
        <f t="shared" si="10"/>
        <v>219.4647953555363</v>
      </c>
      <c r="S16" s="200">
        <f t="shared" si="1"/>
        <v>0.44522536580473182</v>
      </c>
      <c r="T16" s="200">
        <f t="shared" ca="1" si="2"/>
        <v>127.28779969705299</v>
      </c>
      <c r="U16" s="200">
        <f t="shared" si="3"/>
        <v>0.3373894215775724</v>
      </c>
      <c r="V16" s="200">
        <f t="shared" ca="1" si="11"/>
        <v>1.2930083322021231</v>
      </c>
      <c r="W16" s="262">
        <f t="shared" ca="1" si="12"/>
        <v>32.759581792899262</v>
      </c>
      <c r="X16" s="200">
        <f t="shared" ca="1" si="16"/>
        <v>1.016485756991454</v>
      </c>
      <c r="Y16" s="200">
        <f t="shared" si="13"/>
        <v>88.000000000000028</v>
      </c>
    </row>
    <row r="17" spans="3:25">
      <c r="G17" s="200">
        <f t="shared" si="4"/>
        <v>96.000000000000028</v>
      </c>
      <c r="H17" s="200">
        <f ca="1">X17</f>
        <v>1.1391722156664343</v>
      </c>
      <c r="I17" s="200">
        <f t="shared" si="15"/>
        <v>2.4000000000000007E-2</v>
      </c>
      <c r="J17" s="200">
        <f t="shared" si="0"/>
        <v>9.600000000000003E-2</v>
      </c>
      <c r="K17" s="200">
        <f t="shared" si="5"/>
        <v>3.4000000000000009E-2</v>
      </c>
      <c r="L17" s="200">
        <f t="shared" si="6"/>
        <v>2.3120000000000011E-3</v>
      </c>
      <c r="M17" s="200">
        <f ca="1">IF(【事例1】危険部品判断シート!$O$36=0,2.51*0.56*(O17/K17)^0.25+0.0000000567*$F$9*(($F$10+273+O17)^2+($F$10+273)^2)*(($F$10+273+O17)+($F$10+273)),3.86*(【事例1】危険部品判断シート!$O$36/K17)^0.5+0.0000000567*$F$9*(($F$10+273+O17)^2+($F$10+273)^2)*(($F$10+273+O17)+($F$10+273)))</f>
        <v>16.424051552284226</v>
      </c>
      <c r="N17" s="200">
        <f t="shared" ca="1" si="7"/>
        <v>28.065015760212003</v>
      </c>
      <c r="O17" s="200">
        <f t="shared" ca="1" si="17"/>
        <v>31.970886186274107</v>
      </c>
      <c r="P17" s="200">
        <f t="shared" si="8"/>
        <v>5.7600000000000034E-4</v>
      </c>
      <c r="Q17" s="200">
        <f t="shared" si="9"/>
        <v>1.1560000000000006E-3</v>
      </c>
      <c r="R17" s="200">
        <f t="shared" si="10"/>
        <v>205.44101951465805</v>
      </c>
      <c r="S17" s="200">
        <f t="shared" si="1"/>
        <v>0.38411600187074896</v>
      </c>
      <c r="T17" s="200">
        <f t="shared" ca="1" si="2"/>
        <v>119.97279901344017</v>
      </c>
      <c r="U17" s="200">
        <f t="shared" si="3"/>
        <v>0.3173572498856026</v>
      </c>
      <c r="V17" s="200">
        <f t="shared" ca="1" si="11"/>
        <v>1.1825022515685866</v>
      </c>
      <c r="W17" s="262">
        <f t="shared" ca="1" si="12"/>
        <v>29.247518011780588</v>
      </c>
      <c r="X17" s="200">
        <f ca="1">L17*M17*$Q$3</f>
        <v>1.1391722156664343</v>
      </c>
      <c r="Y17" s="200">
        <f t="shared" si="13"/>
        <v>96.000000000000028</v>
      </c>
    </row>
    <row r="18" spans="3:25">
      <c r="G18" s="200">
        <f t="shared" si="4"/>
        <v>104.00000000000004</v>
      </c>
      <c r="H18" s="200">
        <f ca="1">X18</f>
        <v>1.2684444100292653</v>
      </c>
      <c r="I18" s="200">
        <f t="shared" si="15"/>
        <v>2.6000000000000009E-2</v>
      </c>
      <c r="J18" s="200">
        <f t="shared" si="0"/>
        <v>0.10400000000000004</v>
      </c>
      <c r="K18" s="200">
        <f t="shared" si="5"/>
        <v>3.6000000000000011E-2</v>
      </c>
      <c r="L18" s="200">
        <f t="shared" si="6"/>
        <v>2.5920000000000014E-3</v>
      </c>
      <c r="M18" s="200">
        <f ca="1">IF(【事例1】危険部品判断シート!$O$36=0,2.51*0.56*(O18/K18)^0.25+0.0000000567*$F$9*(($F$10+273+O18)^2+($F$10+273)^2)*(($F$10+273+O18)+($F$10+273)),3.86*(【事例1】危険部品判断シート!$O$36/K18)^0.5+0.0000000567*$F$9*(($F$10+273+O18)^2+($F$10+273)^2)*(($F$10+273+O18)+($F$10+273)))</f>
        <v>16.312299511693219</v>
      </c>
      <c r="N18" s="200">
        <f t="shared" ca="1" si="7"/>
        <v>25.194226635967333</v>
      </c>
      <c r="O18" s="200">
        <f t="shared" ca="1" si="17"/>
        <v>31.957475941403185</v>
      </c>
      <c r="P18" s="200">
        <f t="shared" si="8"/>
        <v>6.7600000000000049E-4</v>
      </c>
      <c r="Q18" s="200">
        <f t="shared" si="9"/>
        <v>1.2960000000000007E-3</v>
      </c>
      <c r="R18" s="200">
        <f t="shared" si="10"/>
        <v>193.13731615130808</v>
      </c>
      <c r="S18" s="200">
        <f t="shared" si="1"/>
        <v>0.33487036060526831</v>
      </c>
      <c r="T18" s="200">
        <f t="shared" ca="1" si="2"/>
        <v>113.51277230781922</v>
      </c>
      <c r="U18" s="200">
        <f t="shared" si="3"/>
        <v>0.29954502429688962</v>
      </c>
      <c r="V18" s="200">
        <f t="shared" ca="1" si="11"/>
        <v>1.0888568958243638</v>
      </c>
      <c r="W18" s="262">
        <f t="shared" ca="1" si="12"/>
        <v>26.283083531791696</v>
      </c>
      <c r="X18" s="200">
        <f ca="1">L18*M18*$Q$3</f>
        <v>1.2684444100292653</v>
      </c>
      <c r="Y18" s="200">
        <f t="shared" si="13"/>
        <v>104.00000000000004</v>
      </c>
    </row>
    <row r="19" spans="3:25">
      <c r="G19" s="200">
        <f t="shared" si="4"/>
        <v>112.00000000000004</v>
      </c>
      <c r="H19" s="200">
        <f t="shared" ca="1" si="14"/>
        <v>1.4042673308158704</v>
      </c>
      <c r="I19" s="200">
        <f t="shared" si="15"/>
        <v>2.8000000000000011E-2</v>
      </c>
      <c r="J19" s="200">
        <f t="shared" si="0"/>
        <v>0.11200000000000004</v>
      </c>
      <c r="K19" s="200">
        <f t="shared" si="5"/>
        <v>3.8000000000000013E-2</v>
      </c>
      <c r="L19" s="200">
        <f t="shared" si="6"/>
        <v>2.8880000000000021E-3</v>
      </c>
      <c r="M19" s="200">
        <f ca="1">IF(【事例1】危険部品判断シート!$O$36=0,2.51*0.56*(O19/K19)^0.25+0.0000000567*$F$9*(($F$10+273+O19)^2+($F$10+273)^2)*(($F$10+273+O19)+($F$10+273)),3.86*(【事例1】危険部品判断シート!$O$36/K19)^0.5+0.0000000567*$F$9*(($F$10+273+O19)^2+($F$10+273)^2)*(($F$10+273+O19)+($F$10+273)))</f>
        <v>16.208071685317055</v>
      </c>
      <c r="N19" s="200">
        <f t="shared" ca="1" si="7"/>
        <v>22.748495176967634</v>
      </c>
      <c r="O19" s="200">
        <f t="shared" ca="1" si="17"/>
        <v>31.944968602238042</v>
      </c>
      <c r="P19" s="200">
        <f t="shared" si="8"/>
        <v>7.8400000000000063E-4</v>
      </c>
      <c r="Q19" s="200">
        <f t="shared" si="9"/>
        <v>1.4440000000000011E-3</v>
      </c>
      <c r="R19" s="200">
        <f t="shared" si="10"/>
        <v>182.24923299933062</v>
      </c>
      <c r="S19" s="200">
        <f t="shared" si="1"/>
        <v>0.29458520444222852</v>
      </c>
      <c r="T19" s="200">
        <f t="shared" ca="1" si="2"/>
        <v>107.76012357879135</v>
      </c>
      <c r="U19" s="200">
        <f t="shared" si="3"/>
        <v>0.28360565836302504</v>
      </c>
      <c r="V19" s="200">
        <f t="shared" ca="1" si="11"/>
        <v>1.0084503043429682</v>
      </c>
      <c r="W19" s="262">
        <f t="shared" ca="1" si="12"/>
        <v>23.756945481310602</v>
      </c>
      <c r="X19" s="200">
        <f t="shared" ca="1" si="16"/>
        <v>1.4042673308158709</v>
      </c>
      <c r="Y19" s="200">
        <f t="shared" si="13"/>
        <v>112.00000000000004</v>
      </c>
    </row>
    <row r="20" spans="3:25">
      <c r="G20" s="200">
        <f t="shared" si="4"/>
        <v>120.00000000000006</v>
      </c>
      <c r="H20" s="200">
        <f t="shared" ca="1" si="14"/>
        <v>1.5466083258083319</v>
      </c>
      <c r="I20" s="200">
        <f t="shared" si="15"/>
        <v>3.0000000000000013E-2</v>
      </c>
      <c r="J20" s="200">
        <f t="shared" si="0"/>
        <v>0.12000000000000005</v>
      </c>
      <c r="K20" s="200">
        <f t="shared" si="5"/>
        <v>4.0000000000000015E-2</v>
      </c>
      <c r="L20" s="200">
        <f t="shared" si="6"/>
        <v>3.2000000000000023E-3</v>
      </c>
      <c r="M20" s="200">
        <f ca="1">IF(【事例1】危険部品判断シート!$O$36=0,2.51*0.56*(O20/K20)^0.25+0.0000000567*$F$9*(($F$10+273+O20)^2+($F$10+273)^2)*(($F$10+273+O20)+($F$10+273)),3.86*(【事例1】危険部品判断シート!$O$36/K20)^0.5+0.0000000567*$F$9*(($F$10+273+O20)^2+($F$10+273)^2)*(($F$10+273+O20)+($F$10+273)))</f>
        <v>16.11050339383678</v>
      </c>
      <c r="N20" s="200">
        <f t="shared" ca="1" si="7"/>
        <v>20.647283397087982</v>
      </c>
      <c r="O20" s="200">
        <f t="shared" ca="1" si="17"/>
        <v>31.933260407260409</v>
      </c>
      <c r="P20" s="200">
        <f t="shared" si="8"/>
        <v>9.0000000000000073E-4</v>
      </c>
      <c r="Q20" s="200">
        <f t="shared" si="9"/>
        <v>1.6000000000000012E-3</v>
      </c>
      <c r="R20" s="200">
        <f t="shared" si="10"/>
        <v>172.54153325412599</v>
      </c>
      <c r="S20" s="200">
        <f t="shared" si="1"/>
        <v>0.26119888127210922</v>
      </c>
      <c r="T20" s="200">
        <f t="shared" ca="1" si="2"/>
        <v>102.60040132414144</v>
      </c>
      <c r="U20" s="200">
        <f t="shared" si="3"/>
        <v>0.2692605997557056</v>
      </c>
      <c r="V20" s="200">
        <f t="shared" ca="1" si="11"/>
        <v>0.93862957059882846</v>
      </c>
      <c r="W20" s="262">
        <f t="shared" ca="1" si="12"/>
        <v>21.585912967686809</v>
      </c>
      <c r="X20" s="200">
        <f t="shared" ca="1" si="16"/>
        <v>1.5466083258083319</v>
      </c>
      <c r="Y20" s="200">
        <f t="shared" si="13"/>
        <v>120.00000000000006</v>
      </c>
    </row>
    <row r="21" spans="3:25">
      <c r="G21" s="200">
        <f t="shared" si="4"/>
        <v>128.00000000000006</v>
      </c>
      <c r="H21" s="200">
        <f t="shared" ca="1" si="14"/>
        <v>1.6954368287606338</v>
      </c>
      <c r="I21" s="200">
        <f t="shared" si="15"/>
        <v>3.2000000000000015E-2</v>
      </c>
      <c r="J21" s="200">
        <f t="shared" si="0"/>
        <v>0.12800000000000006</v>
      </c>
      <c r="K21" s="200">
        <f t="shared" si="5"/>
        <v>4.2000000000000016E-2</v>
      </c>
      <c r="L21" s="200">
        <f t="shared" si="6"/>
        <v>3.5280000000000029E-3</v>
      </c>
      <c r="M21" s="200">
        <f ca="1">IF(【事例1】危険部品判断シート!$O$36=0,2.51*0.56*(O21/K21)^0.25+0.0000000567*$F$9*(($F$10+273+O21)^2+($F$10+273)^2)*(($F$10+273+O21)+($F$10+273)),3.86*(【事例1】危険部品判断シート!$O$36/K21)^0.5+0.0000000567*$F$9*(($F$10+273+O21)^2+($F$10+273)^2)*(($F$10+273+O21)+($F$10+273)))</f>
        <v>16.018866484888818</v>
      </c>
      <c r="N21" s="200">
        <f t="shared" ca="1" si="7"/>
        <v>18.828341720948618</v>
      </c>
      <c r="O21" s="200">
        <f t="shared" ca="1" si="17"/>
        <v>31.92226397818666</v>
      </c>
      <c r="P21" s="200">
        <f t="shared" si="8"/>
        <v>1.024000000000001E-3</v>
      </c>
      <c r="Q21" s="200">
        <f t="shared" si="9"/>
        <v>1.7640000000000015E-3</v>
      </c>
      <c r="R21" s="200">
        <f t="shared" si="10"/>
        <v>163.82923801980252</v>
      </c>
      <c r="S21" s="200">
        <f t="shared" si="1"/>
        <v>0.23321328685009748</v>
      </c>
      <c r="T21" s="200">
        <f t="shared" ca="1" si="2"/>
        <v>97.94326312064787</v>
      </c>
      <c r="U21" s="200">
        <f t="shared" si="3"/>
        <v>0.25628370432311187</v>
      </c>
      <c r="V21" s="200">
        <f t="shared" ca="1" si="11"/>
        <v>0.87740733881973432</v>
      </c>
      <c r="W21" s="262">
        <f t="shared" ca="1" si="12"/>
        <v>19.705749059768351</v>
      </c>
      <c r="X21" s="200">
        <f t="shared" ca="1" si="16"/>
        <v>1.6954368287606338</v>
      </c>
      <c r="Y21" s="200">
        <f t="shared" si="13"/>
        <v>128.00000000000006</v>
      </c>
    </row>
    <row r="22" spans="3:25">
      <c r="G22" s="200">
        <f t="shared" si="4"/>
        <v>136.00000000000006</v>
      </c>
      <c r="H22" s="200">
        <f t="shared" ca="1" si="14"/>
        <v>1.8507241311793976</v>
      </c>
      <c r="I22" s="200">
        <f t="shared" si="15"/>
        <v>3.4000000000000016E-2</v>
      </c>
      <c r="J22" s="200">
        <f t="shared" si="0"/>
        <v>0.13600000000000007</v>
      </c>
      <c r="K22" s="200">
        <f t="shared" si="5"/>
        <v>4.4000000000000018E-2</v>
      </c>
      <c r="L22" s="200">
        <f t="shared" si="6"/>
        <v>3.872000000000003E-3</v>
      </c>
      <c r="M22" s="200">
        <f ca="1">IF(【事例1】危険部品判断シート!$O$36=0,2.51*0.56*(O22/K22)^0.25+0.0000000567*$F$9*(($F$10+273+O22)^2+($F$10+273)^2)*(($F$10+273+O22)+($F$10+273)),3.86*(【事例1】危険部品判断シート!$O$36/K22)^0.5+0.0000000567*$F$9*(($F$10+273+O22)^2+($F$10+273)^2)*(($F$10+273+O22)+($F$10+273)))</f>
        <v>15.932542451613259</v>
      </c>
      <c r="N22" s="200">
        <f t="shared" ca="1" si="7"/>
        <v>17.242929163006767</v>
      </c>
      <c r="O22" s="200">
        <f t="shared" ca="1" si="17"/>
        <v>31.911905094193596</v>
      </c>
      <c r="P22" s="200">
        <f t="shared" si="8"/>
        <v>1.1560000000000012E-3</v>
      </c>
      <c r="Q22" s="200">
        <f t="shared" si="9"/>
        <v>1.9360000000000015E-3</v>
      </c>
      <c r="R22" s="200">
        <f t="shared" si="10"/>
        <v>155.96467372478477</v>
      </c>
      <c r="S22" s="200">
        <f t="shared" si="1"/>
        <v>0.20951781920222662</v>
      </c>
      <c r="T22" s="200">
        <f t="shared" ca="1" si="2"/>
        <v>93.716301985090382</v>
      </c>
      <c r="U22" s="200">
        <f t="shared" si="3"/>
        <v>0.24448947694923887</v>
      </c>
      <c r="V22" s="200">
        <f t="shared" ca="1" si="11"/>
        <v>0.82326552692952903</v>
      </c>
      <c r="W22" s="262">
        <f t="shared" ca="1" si="12"/>
        <v>18.066194689936296</v>
      </c>
      <c r="X22" s="200">
        <f t="shared" ca="1" si="16"/>
        <v>1.8507241311793976</v>
      </c>
      <c r="Y22" s="200">
        <f t="shared" si="13"/>
        <v>136.00000000000006</v>
      </c>
    </row>
    <row r="23" spans="3:25">
      <c r="F23" s="267"/>
      <c r="G23" s="200">
        <f t="shared" si="4"/>
        <v>144.00000000000009</v>
      </c>
      <c r="H23" s="200">
        <f t="shared" ca="1" si="14"/>
        <v>2.0124431885077274</v>
      </c>
      <c r="I23" s="200">
        <f t="shared" si="15"/>
        <v>3.6000000000000018E-2</v>
      </c>
      <c r="J23" s="200">
        <f t="shared" si="0"/>
        <v>0.14400000000000007</v>
      </c>
      <c r="K23" s="200">
        <f t="shared" si="5"/>
        <v>4.600000000000002E-2</v>
      </c>
      <c r="L23" s="200">
        <f t="shared" si="6"/>
        <v>4.232000000000004E-3</v>
      </c>
      <c r="M23" s="200">
        <f ca="1">IF(【事例1】危険部品判断シート!$O$36=0,2.51*0.56*(O23/K23)^0.25+0.0000000567*$F$9*(($F$10+273+O23)^2+($F$10+273)^2)*(($F$10+273+O23)+($F$10+273)),3.86*(【事例1】危険部品判断シート!$O$36/K23)^0.5+0.0000000567*$F$9*(($F$10+273+O23)^2+($F$10+273)^2)*(($F$10+273+O23)+($F$10+273)))</f>
        <v>15.851001799840308</v>
      </c>
      <c r="N23" s="200">
        <f t="shared" ca="1" si="7"/>
        <v>15.852432703770877</v>
      </c>
      <c r="O23" s="200">
        <f t="shared" ca="1" si="17"/>
        <v>31.902120215980837</v>
      </c>
      <c r="P23" s="200">
        <f t="shared" si="8"/>
        <v>1.2960000000000014E-3</v>
      </c>
      <c r="Q23" s="200">
        <f t="shared" si="9"/>
        <v>2.116000000000002E-3</v>
      </c>
      <c r="R23" s="200">
        <f t="shared" si="10"/>
        <v>148.82838640455398</v>
      </c>
      <c r="S23" s="200">
        <f t="shared" si="1"/>
        <v>0.18927455164645593</v>
      </c>
      <c r="T23" s="200">
        <f t="shared" ca="1" si="2"/>
        <v>89.86071293001234</v>
      </c>
      <c r="U23" s="200">
        <f t="shared" si="3"/>
        <v>0.23372434888504259</v>
      </c>
      <c r="V23" s="200">
        <f t="shared" ca="1" si="11"/>
        <v>0.77502458075274894</v>
      </c>
      <c r="W23" s="262">
        <f t="shared" ca="1" si="12"/>
        <v>16.627457284523626</v>
      </c>
      <c r="X23" s="200">
        <f t="shared" ca="1" si="16"/>
        <v>2.0124431885077274</v>
      </c>
      <c r="Y23" s="200">
        <f t="shared" si="13"/>
        <v>144.00000000000009</v>
      </c>
    </row>
    <row r="24" spans="3:25">
      <c r="C24" s="265"/>
      <c r="F24" s="267"/>
      <c r="G24" s="200">
        <f t="shared" si="4"/>
        <v>152.00000000000009</v>
      </c>
      <c r="H24" s="200">
        <f t="shared" ca="1" si="14"/>
        <v>2.1805684542287787</v>
      </c>
      <c r="I24" s="200">
        <f t="shared" si="15"/>
        <v>3.800000000000002E-2</v>
      </c>
      <c r="J24" s="200">
        <f t="shared" si="0"/>
        <v>0.15200000000000008</v>
      </c>
      <c r="K24" s="200">
        <f t="shared" si="5"/>
        <v>4.8000000000000022E-2</v>
      </c>
      <c r="L24" s="200">
        <f t="shared" si="6"/>
        <v>4.6080000000000045E-3</v>
      </c>
      <c r="M24" s="200">
        <f ca="1">IF(【事例1】危険部品判断シート!$O$36=0,2.51*0.56*(O24/K24)^0.25+0.0000000567*$F$9*(($F$10+273+O24)^2+($F$10+273)^2)*(($F$10+273+O24)+($F$10+273)),3.86*(【事例1】危険部品判断シート!$O$36/K24)^0.5+0.0000000567*$F$9*(($F$10+273+O24)^2+($F$10+273)^2)*(($F$10+273+O24)+($F$10+273)))</f>
        <v>15.773788008020668</v>
      </c>
      <c r="N24" s="200">
        <f t="shared" ca="1" si="7"/>
        <v>14.625935956797241</v>
      </c>
      <c r="O24" s="200">
        <f t="shared" ca="1" si="17"/>
        <v>31.892854560962473</v>
      </c>
      <c r="P24" s="200">
        <f t="shared" si="8"/>
        <v>1.4440000000000015E-3</v>
      </c>
      <c r="Q24" s="200">
        <f t="shared" si="9"/>
        <v>2.3040000000000022E-3</v>
      </c>
      <c r="R24" s="200">
        <f t="shared" si="10"/>
        <v>142.3226227410114</v>
      </c>
      <c r="S24" s="200">
        <f t="shared" si="1"/>
        <v>0.17184136925796659</v>
      </c>
      <c r="T24" s="200">
        <f t="shared" ca="1" si="2"/>
        <v>86.328180120826573</v>
      </c>
      <c r="U24" s="200">
        <f t="shared" si="3"/>
        <v>0.22386011000054215</v>
      </c>
      <c r="V24" s="200">
        <f t="shared" ca="1" si="11"/>
        <v>0.73175410259236873</v>
      </c>
      <c r="W24" s="262">
        <f t="shared" ca="1" si="12"/>
        <v>15.35769005938961</v>
      </c>
      <c r="X24" s="200">
        <f t="shared" ca="1" si="16"/>
        <v>2.1805684542287791</v>
      </c>
      <c r="Y24" s="200">
        <f t="shared" si="13"/>
        <v>152.00000000000009</v>
      </c>
    </row>
    <row r="25" spans="3:25">
      <c r="G25" s="200">
        <f t="shared" si="4"/>
        <v>160.00000000000009</v>
      </c>
      <c r="H25" s="200">
        <f t="shared" ca="1" si="14"/>
        <v>2.3550757368513948</v>
      </c>
      <c r="I25" s="200">
        <f t="shared" si="15"/>
        <v>4.0000000000000022E-2</v>
      </c>
      <c r="J25" s="200">
        <f t="shared" si="0"/>
        <v>0.16000000000000009</v>
      </c>
      <c r="K25" s="200">
        <f t="shared" si="5"/>
        <v>5.0000000000000024E-2</v>
      </c>
      <c r="L25" s="200">
        <f t="shared" si="6"/>
        <v>5.0000000000000044E-3</v>
      </c>
      <c r="M25" s="200">
        <f ca="1">IF(【事例1】危険部品判断シート!$O$36=0,2.51*0.56*(O25/K25)^0.25+0.0000000567*$F$9*(($F$10+273+O25)^2+($F$10+273)^2)*(($F$10+273+O25)+($F$10+273)),3.86*(【事例1】危険部品判断シート!$O$36/K25)^0.5+0.0000000567*$F$9*(($F$10+273+O25)^2+($F$10+273)^2)*(($F$10+273+O25)+($F$10+273)))</f>
        <v>15.70050491234262</v>
      </c>
      <c r="N25" s="200">
        <f t="shared" ca="1" si="7"/>
        <v>13.538443834552993</v>
      </c>
      <c r="O25" s="200">
        <f t="shared" ca="1" si="17"/>
        <v>31.884060589481113</v>
      </c>
      <c r="P25" s="200">
        <f t="shared" si="8"/>
        <v>1.6000000000000018E-3</v>
      </c>
      <c r="Q25" s="200">
        <f t="shared" si="9"/>
        <v>2.5000000000000022E-3</v>
      </c>
      <c r="R25" s="200">
        <f t="shared" si="10"/>
        <v>136.3665599366341</v>
      </c>
      <c r="S25" s="200">
        <f t="shared" si="1"/>
        <v>0.1567193287632655</v>
      </c>
      <c r="T25" s="200">
        <f t="shared" ca="1" si="2"/>
        <v>83.078595567599706</v>
      </c>
      <c r="U25" s="200">
        <f t="shared" si="3"/>
        <v>0.21478889752092473</v>
      </c>
      <c r="V25" s="200">
        <f t="shared" ca="1" si="11"/>
        <v>0.69271035677202575</v>
      </c>
      <c r="W25" s="262">
        <f t="shared" ca="1" si="12"/>
        <v>14.231154191325018</v>
      </c>
      <c r="X25" s="200">
        <f t="shared" ca="1" si="16"/>
        <v>2.3550757368513948</v>
      </c>
      <c r="Y25" s="200">
        <f t="shared" si="13"/>
        <v>160.00000000000009</v>
      </c>
    </row>
    <row r="26" spans="3:25">
      <c r="G26" s="200">
        <f t="shared" si="4"/>
        <v>168.00000000000009</v>
      </c>
      <c r="H26" s="200">
        <f t="shared" ca="1" si="14"/>
        <v>2.5359420758175539</v>
      </c>
      <c r="I26" s="200">
        <f t="shared" si="15"/>
        <v>4.2000000000000023E-2</v>
      </c>
      <c r="J26" s="200">
        <f t="shared" si="0"/>
        <v>0.16800000000000009</v>
      </c>
      <c r="K26" s="200">
        <f t="shared" si="5"/>
        <v>5.2000000000000025E-2</v>
      </c>
      <c r="L26" s="200">
        <f t="shared" si="6"/>
        <v>5.4080000000000057E-3</v>
      </c>
      <c r="M26" s="200">
        <f ca="1">IF(【事例1】危険部品判断シート!$O$36=0,2.51*0.56*(O26/K26)^0.25+0.0000000567*$F$9*(($F$10+273+O26)^2+($F$10+273)^2)*(($F$10+273+O26)+($F$10+273)),3.86*(【事例1】危険部品判断シート!$O$36/K26)^0.5+0.0000000567*$F$9*(($F$10+273+O26)^2+($F$10+273)^2)*(($F$10+273+O26)+($F$10+273)))</f>
        <v>15.630806680335009</v>
      </c>
      <c r="N26" s="200">
        <f t="shared" ca="1" si="7"/>
        <v>12.569568171766658</v>
      </c>
      <c r="O26" s="200">
        <f t="shared" ca="1" si="17"/>
        <v>31.875696801640196</v>
      </c>
      <c r="P26" s="200">
        <f t="shared" si="8"/>
        <v>1.7640000000000019E-3</v>
      </c>
      <c r="Q26" s="200">
        <f t="shared" si="9"/>
        <v>2.7040000000000028E-3</v>
      </c>
      <c r="R26" s="200">
        <f t="shared" si="10"/>
        <v>130.89275451782584</v>
      </c>
      <c r="S26" s="200">
        <f t="shared" si="1"/>
        <v>0.14351586883082923</v>
      </c>
      <c r="T26" s="200">
        <f t="shared" ca="1" si="2"/>
        <v>80.078357602442949</v>
      </c>
      <c r="U26" s="200">
        <f t="shared" si="3"/>
        <v>0.20641932653849454</v>
      </c>
      <c r="V26" s="200">
        <f t="shared" ca="1" si="11"/>
        <v>0.65729167892265217</v>
      </c>
      <c r="W26" s="262">
        <f t="shared" ca="1" si="12"/>
        <v>13.22685985068931</v>
      </c>
      <c r="X26" s="200">
        <f t="shared" ca="1" si="16"/>
        <v>2.5359420758175544</v>
      </c>
      <c r="Y26" s="200">
        <f t="shared" si="13"/>
        <v>168.00000000000009</v>
      </c>
    </row>
    <row r="27" spans="3:25">
      <c r="C27" s="268"/>
      <c r="G27" s="200">
        <f t="shared" si="4"/>
        <v>176.00000000000011</v>
      </c>
      <c r="H27" s="200">
        <f t="shared" ca="1" si="14"/>
        <v>2.7231456331851853</v>
      </c>
      <c r="I27" s="200">
        <f t="shared" si="15"/>
        <v>4.4000000000000025E-2</v>
      </c>
      <c r="J27" s="200">
        <f t="shared" si="0"/>
        <v>0.1760000000000001</v>
      </c>
      <c r="K27" s="200">
        <f t="shared" si="5"/>
        <v>5.4000000000000027E-2</v>
      </c>
      <c r="L27" s="200">
        <f t="shared" si="6"/>
        <v>5.8320000000000056E-3</v>
      </c>
      <c r="M27" s="200">
        <f ca="1">IF(【事例1】危険部品判断シート!$O$36=0,2.51*0.56*(O27/K27)^0.25+0.0000000567*$F$9*(($F$10+273+O27)^2+($F$10+273)^2)*(($F$10+273+O27)+($F$10+273)),3.86*(【事例1】危険部品判断シート!$O$36/K27)^0.5+0.0000000567*$F$9*(($F$10+273+O27)^2+($F$10+273)^2)*(($F$10+273+O27)+($F$10+273)))</f>
        <v>15.564389764432914</v>
      </c>
      <c r="N27" s="200">
        <f t="shared" ca="1" si="7"/>
        <v>11.70254223034601</v>
      </c>
      <c r="O27" s="200">
        <f t="shared" ca="1" si="17"/>
        <v>31.867726771731956</v>
      </c>
      <c r="P27" s="200">
        <f t="shared" si="8"/>
        <v>1.9360000000000022E-3</v>
      </c>
      <c r="Q27" s="200">
        <f t="shared" si="9"/>
        <v>2.9160000000000028E-3</v>
      </c>
      <c r="R27" s="200">
        <f t="shared" si="10"/>
        <v>125.8444578537858</v>
      </c>
      <c r="S27" s="200">
        <f t="shared" si="1"/>
        <v>0.13191862690510567</v>
      </c>
      <c r="T27" s="200">
        <f t="shared" ca="1" si="2"/>
        <v>77.299081929678877</v>
      </c>
      <c r="U27" s="200">
        <f t="shared" si="3"/>
        <v>0.19867346971582525</v>
      </c>
      <c r="V27" s="200">
        <f t="shared" ca="1" si="11"/>
        <v>0.62500608123872381</v>
      </c>
      <c r="W27" s="262">
        <f t="shared" ca="1" si="12"/>
        <v>12.327548311584733</v>
      </c>
      <c r="X27" s="200">
        <f t="shared" ca="1" si="16"/>
        <v>2.7231456331851853</v>
      </c>
      <c r="Y27" s="200">
        <f t="shared" si="13"/>
        <v>176.00000000000011</v>
      </c>
    </row>
    <row r="28" spans="3:25">
      <c r="G28" s="200">
        <f t="shared" si="4"/>
        <v>184.00000000000011</v>
      </c>
      <c r="H28" s="200">
        <f t="shared" ca="1" si="14"/>
        <v>2.9166655985620236</v>
      </c>
      <c r="I28" s="200">
        <f t="shared" si="15"/>
        <v>4.6000000000000027E-2</v>
      </c>
      <c r="J28" s="200">
        <f t="shared" si="0"/>
        <v>0.18400000000000011</v>
      </c>
      <c r="K28" s="200">
        <f t="shared" si="5"/>
        <v>5.6000000000000029E-2</v>
      </c>
      <c r="L28" s="200">
        <f t="shared" si="6"/>
        <v>6.2720000000000067E-3</v>
      </c>
      <c r="M28" s="200">
        <f ca="1">IF(【事例1】危険部品判断シート!$O$36=0,2.51*0.56*(O28/K28)^0.25+0.0000000567*$F$9*(($F$10+273+O28)^2+($F$10+273)^2)*(($F$10+273+O28)+($F$10+273)),3.86*(【事例1】危険部品判断シート!$O$36/K28)^0.5+0.0000000567*$F$9*(($F$10+273+O28)^2+($F$10+273)^2)*(($F$10+273+O28)+($F$10+273)))</f>
        <v>15.5009863869155</v>
      </c>
      <c r="N28" s="200">
        <f t="shared" ca="1" si="7"/>
        <v>10.923473154460201</v>
      </c>
      <c r="O28" s="200">
        <f t="shared" ca="1" si="17"/>
        <v>31.860118366429855</v>
      </c>
      <c r="P28" s="200">
        <f t="shared" si="8"/>
        <v>2.1160000000000024E-3</v>
      </c>
      <c r="Q28" s="200">
        <f t="shared" si="9"/>
        <v>3.1360000000000034E-3</v>
      </c>
      <c r="R28" s="200">
        <f t="shared" si="10"/>
        <v>121.17355894963448</v>
      </c>
      <c r="S28" s="200">
        <f t="shared" si="1"/>
        <v>0.12167649748700737</v>
      </c>
      <c r="T28" s="200">
        <f t="shared" ca="1" si="2"/>
        <v>74.716611601098208</v>
      </c>
      <c r="U28" s="200">
        <f t="shared" si="3"/>
        <v>0.19148447646351829</v>
      </c>
      <c r="V28" s="200">
        <f t="shared" ca="1" si="11"/>
        <v>0.59544733358608248</v>
      </c>
      <c r="W28" s="262">
        <f t="shared" ca="1" si="12"/>
        <v>11.518920488046284</v>
      </c>
      <c r="X28" s="200">
        <f t="shared" ca="1" si="16"/>
        <v>2.9166655985620236</v>
      </c>
      <c r="Y28" s="200">
        <f t="shared" si="13"/>
        <v>184.00000000000011</v>
      </c>
    </row>
    <row r="29" spans="3:25">
      <c r="G29" s="200">
        <f t="shared" si="4"/>
        <v>192.00000000000011</v>
      </c>
      <c r="H29" s="200">
        <f t="shared" ca="1" si="14"/>
        <v>3.1164821052471683</v>
      </c>
      <c r="I29" s="200">
        <f t="shared" si="15"/>
        <v>4.8000000000000029E-2</v>
      </c>
      <c r="J29" s="200">
        <f t="shared" si="0"/>
        <v>0.19200000000000012</v>
      </c>
      <c r="K29" s="200">
        <f t="shared" si="5"/>
        <v>5.8000000000000031E-2</v>
      </c>
      <c r="L29" s="200">
        <f t="shared" si="6"/>
        <v>6.7280000000000074E-3</v>
      </c>
      <c r="M29" s="200">
        <f ca="1">IF(【事例1】危険部品判断シート!$O$36=0,2.51*0.56*(O29/K29)^0.25+0.0000000567*$F$9*(($F$10+273+O29)^2+($F$10+273)^2)*(($F$10+273+O29)+($F$10+273)),3.86*(【事例1】危険部品判断シート!$O$36/K29)^0.5+0.0000000567*$F$9*(($F$10+273+O29)^2+($F$10+273)^2)*(($F$10+273+O29)+($F$10+273)))</f>
        <v>15.440359221398953</v>
      </c>
      <c r="N29" s="200">
        <f t="shared" ca="1" si="7"/>
        <v>10.220768812674322</v>
      </c>
      <c r="O29" s="200">
        <f t="shared" ca="1" si="17"/>
        <v>31.852843106567871</v>
      </c>
      <c r="P29" s="200">
        <f t="shared" si="8"/>
        <v>2.3040000000000027E-3</v>
      </c>
      <c r="Q29" s="200">
        <f t="shared" si="9"/>
        <v>3.3640000000000037E-3</v>
      </c>
      <c r="R29" s="200">
        <f t="shared" si="10"/>
        <v>116.83898845112137</v>
      </c>
      <c r="S29" s="200">
        <f t="shared" si="1"/>
        <v>0.11258572468625394</v>
      </c>
      <c r="T29" s="200">
        <f t="shared" ca="1" si="2"/>
        <v>72.310247083612907</v>
      </c>
      <c r="U29" s="200">
        <f t="shared" si="3"/>
        <v>0.184794679131945</v>
      </c>
      <c r="V29" s="200">
        <f t="shared" ca="1" si="11"/>
        <v>0.56827704228770626</v>
      </c>
      <c r="W29" s="262">
        <f t="shared" ca="1" si="12"/>
        <v>10.789045854962028</v>
      </c>
      <c r="X29" s="200">
        <f t="shared" ca="1" si="16"/>
        <v>3.1164821052471683</v>
      </c>
      <c r="Y29" s="200">
        <f t="shared" si="13"/>
        <v>192.00000000000011</v>
      </c>
    </row>
    <row r="30" spans="3:25">
      <c r="G30" s="200">
        <f t="shared" si="4"/>
        <v>200.00000000000011</v>
      </c>
      <c r="H30" s="200">
        <f t="shared" ca="1" si="14"/>
        <v>3.3225761559126759</v>
      </c>
      <c r="I30" s="200">
        <f t="shared" si="15"/>
        <v>5.0000000000000031E-2</v>
      </c>
      <c r="J30" s="200">
        <f t="shared" si="0"/>
        <v>0.20000000000000012</v>
      </c>
      <c r="K30" s="200">
        <f t="shared" si="5"/>
        <v>6.0000000000000032E-2</v>
      </c>
      <c r="L30" s="200">
        <f t="shared" si="6"/>
        <v>7.2000000000000076E-3</v>
      </c>
      <c r="M30" s="200">
        <f ca="1">IF(【事例1】危険部品判断シート!$O$36=0,2.51*0.56*(O30/K30)^0.25+0.0000000567*$F$9*(($F$10+273+O30)^2+($F$10+273)^2)*(($F$10+273+O30)+($F$10+273)),3.86*(【事例1】危険部品判断シート!$O$36/K30)^0.5+0.0000000567*$F$9*(($F$10+273+O30)^2+($F$10+273)^2)*(($F$10+273+O30)+($F$10+273)))</f>
        <v>15.382297018114222</v>
      </c>
      <c r="N30" s="200">
        <f t="shared" ca="1" si="7"/>
        <v>9.5846939687153672</v>
      </c>
      <c r="O30" s="200">
        <f t="shared" ca="1" si="17"/>
        <v>31.845875642173713</v>
      </c>
      <c r="P30" s="200">
        <f t="shared" si="8"/>
        <v>2.5000000000000031E-3</v>
      </c>
      <c r="Q30" s="200">
        <f t="shared" si="9"/>
        <v>3.6000000000000038E-3</v>
      </c>
      <c r="R30" s="200">
        <f t="shared" si="10"/>
        <v>112.80546661386175</v>
      </c>
      <c r="S30" s="200">
        <f t="shared" si="1"/>
        <v>0.10447955250884366</v>
      </c>
      <c r="T30" s="200">
        <f t="shared" ca="1" si="2"/>
        <v>70.062140731881897</v>
      </c>
      <c r="U30" s="200">
        <f t="shared" si="3"/>
        <v>0.17855407395523462</v>
      </c>
      <c r="V30" s="200">
        <f t="shared" ca="1" si="11"/>
        <v>0.54321104287772093</v>
      </c>
      <c r="W30" s="262">
        <f t="shared" ca="1" si="12"/>
        <v>10.127905011593088</v>
      </c>
      <c r="X30" s="200">
        <f t="shared" ca="1" si="16"/>
        <v>3.3225761559126759</v>
      </c>
      <c r="Y30" s="200">
        <f t="shared" si="13"/>
        <v>200.00000000000011</v>
      </c>
    </row>
    <row r="31" spans="3:25">
      <c r="K31" s="262"/>
      <c r="L31" s="265"/>
    </row>
    <row r="32" spans="3:25">
      <c r="E32" s="642" t="s">
        <v>566</v>
      </c>
      <c r="K32" s="200" t="s">
        <v>275</v>
      </c>
      <c r="L32" s="265">
        <f>L4+E33</f>
        <v>10</v>
      </c>
    </row>
    <row r="33" spans="2:24">
      <c r="E33" s="269">
        <f>(【事例1】危険部品判断シート!R8-【事例1】危険部品判断シート!R7)/3</f>
        <v>5</v>
      </c>
      <c r="H33" s="200" t="s">
        <v>203</v>
      </c>
      <c r="I33" s="200" t="s">
        <v>277</v>
      </c>
      <c r="J33" s="200" t="s">
        <v>253</v>
      </c>
      <c r="K33" s="200" t="s">
        <v>278</v>
      </c>
      <c r="L33" s="200" t="s">
        <v>279</v>
      </c>
      <c r="M33" s="200" t="s">
        <v>280</v>
      </c>
      <c r="N33" s="200" t="s">
        <v>281</v>
      </c>
      <c r="O33" s="200" t="s">
        <v>282</v>
      </c>
      <c r="P33" s="200" t="s">
        <v>283</v>
      </c>
      <c r="Q33" s="200" t="s">
        <v>284</v>
      </c>
      <c r="R33" s="200" t="s">
        <v>285</v>
      </c>
      <c r="S33" s="200" t="s">
        <v>286</v>
      </c>
      <c r="T33" s="200" t="s">
        <v>287</v>
      </c>
      <c r="U33" s="200" t="s">
        <v>288</v>
      </c>
      <c r="V33" s="200" t="s">
        <v>289</v>
      </c>
      <c r="W33" s="200" t="s">
        <v>290</v>
      </c>
      <c r="X33" s="200" t="s">
        <v>291</v>
      </c>
    </row>
    <row r="34" spans="2:24">
      <c r="G34" s="200">
        <f>J34*1000</f>
        <v>8</v>
      </c>
      <c r="H34" s="200">
        <f ca="1">X34</f>
        <v>0.50327739612686517</v>
      </c>
      <c r="I34" s="200">
        <v>2E-3</v>
      </c>
      <c r="J34" s="200">
        <f t="shared" ref="J34:J58" si="18">I34*4</f>
        <v>8.0000000000000002E-3</v>
      </c>
      <c r="K34" s="200">
        <f>I34+$L$32/1000*2</f>
        <v>2.1999999999999999E-2</v>
      </c>
      <c r="L34" s="200">
        <f>K34^2*2</f>
        <v>9.6799999999999989E-4</v>
      </c>
      <c r="M34" s="200">
        <f ca="1">IF(【事例1】危険部品判断シート!$O$36=0,2.51*0.56*(O34/K34)^0.25+0.0000000567*$F$9*(($F$10+273+O34)^2+($F$10+273)^2)*(($F$10+273+O34)+($F$10+273)),3.86*(【事例1】危険部品判断シート!$O$36/K34)^0.5+0.0000000567*$F$9*(($F$10+273+O34)^2+($F$10+273)^2)*(($F$10+273+O34)+($F$10+273)))</f>
        <v>17.330488847343837</v>
      </c>
      <c r="N34" s="200">
        <f ca="1">1/L34/M34+$F$8/$M$3/L34</f>
        <v>63.741505000146482</v>
      </c>
      <c r="O34" s="200">
        <f ca="1">H34*N34</f>
        <v>32.079658661681279</v>
      </c>
      <c r="P34" s="200">
        <f>I34^2</f>
        <v>3.9999999999999998E-6</v>
      </c>
      <c r="Q34" s="200">
        <f>K34^2</f>
        <v>4.8399999999999995E-4</v>
      </c>
      <c r="R34" s="200">
        <f>(PI()^1.5)/((Q34)^0.5)+1/(P34)^0.5</f>
        <v>753.10581803780497</v>
      </c>
      <c r="S34" s="200">
        <f t="shared" ref="S34:S58" si="19">$F$6*(Q34^0.5-P34^0.5)/($L$3*(PI()*Q34*P34)^0.5)</f>
        <v>14.24721170575142</v>
      </c>
      <c r="T34" s="200">
        <f t="shared" ref="T34:T58" ca="1" si="20">R34*$L$3*Q34*N34/$F$6</f>
        <v>418.21170409422962</v>
      </c>
      <c r="U34" s="200">
        <f t="shared" ref="U34:U58" si="21">TANH(R34*$F$8/$F$6)</f>
        <v>0.83516407988298669</v>
      </c>
      <c r="V34" s="200">
        <f ca="1">S34*(T34+U34)/(1+T34*U34)</f>
        <v>17.044444354451223</v>
      </c>
      <c r="W34" s="262">
        <f ca="1">N34+V34</f>
        <v>80.785949354597705</v>
      </c>
      <c r="X34" s="200">
        <f ca="1">L34*M34*$Q$3</f>
        <v>0.50327739612686495</v>
      </c>
    </row>
    <row r="35" spans="2:24">
      <c r="G35" s="200">
        <f t="shared" ref="G35:G58" si="22">J35*1000</f>
        <v>16</v>
      </c>
      <c r="H35" s="200">
        <f ca="1">X35</f>
        <v>0.59240027268206308</v>
      </c>
      <c r="I35" s="200">
        <f>I34+0.002</f>
        <v>4.0000000000000001E-3</v>
      </c>
      <c r="J35" s="200">
        <f t="shared" si="18"/>
        <v>1.6E-2</v>
      </c>
      <c r="K35" s="200">
        <f t="shared" ref="K35:K58" si="23">I35+$L$32/1000*2</f>
        <v>2.4E-2</v>
      </c>
      <c r="L35" s="200">
        <f t="shared" ref="L35:L58" si="24">K35^2*2</f>
        <v>1.152E-3</v>
      </c>
      <c r="M35" s="200">
        <f ca="1">IF(【事例1】危険部品判断シート!$O$36=0,2.51*0.56*(O35/K35)^0.25+0.0000000567*$F$9*(($F$10+273+O35)^2+($F$10+273)^2)*(($F$10+273+O35)+($F$10+273)),3.86*(【事例1】危険部品判断シート!$O$36/K35)^0.5+0.0000000567*$F$9*(($F$10+273+O35)^2+($F$10+273)^2)*(($F$10+273+O35)+($F$10+273)))</f>
        <v>17.141211593809693</v>
      </c>
      <c r="N35" s="200">
        <f t="shared" ref="N35:N58" ca="1" si="25">1/L35/M35+$F$8/$M$3/L35</f>
        <v>54.113657385944343</v>
      </c>
      <c r="O35" s="200">
        <f t="shared" ref="O35:O58" ca="1" si="26">H35*N35</f>
        <v>32.056945391257166</v>
      </c>
      <c r="P35" s="200">
        <f t="shared" ref="P35:P58" si="27">I35^2</f>
        <v>1.5999999999999999E-5</v>
      </c>
      <c r="Q35" s="200">
        <f t="shared" ref="Q35:Q58" si="28">K35^2</f>
        <v>5.7600000000000001E-4</v>
      </c>
      <c r="R35" s="200">
        <f t="shared" ref="R35:R58" si="29">(PI()^1.5)/((Q35)^0.5)+1/(P35)^0.5</f>
        <v>482.01366653465453</v>
      </c>
      <c r="S35" s="200">
        <f t="shared" si="19"/>
        <v>6.5299720318027354</v>
      </c>
      <c r="T35" s="200">
        <f t="shared" ca="1" si="20"/>
        <v>270.43396030747249</v>
      </c>
      <c r="U35" s="200">
        <f t="shared" si="21"/>
        <v>0.64763938261437681</v>
      </c>
      <c r="V35" s="200">
        <f t="shared" ref="V35:V58" ca="1" si="30">S35*(T35+U35)/(1+T35*U35)</f>
        <v>10.049496145673077</v>
      </c>
      <c r="W35" s="262">
        <f t="shared" ref="W35:W58" ca="1" si="31">N35+V35</f>
        <v>64.163153531617425</v>
      </c>
      <c r="X35" s="200">
        <f t="shared" ref="X35:X58" ca="1" si="32">L35*M35*$Q$3</f>
        <v>0.59240027268206308</v>
      </c>
    </row>
    <row r="36" spans="2:24">
      <c r="C36" s="270"/>
      <c r="D36" s="270"/>
      <c r="E36" s="270"/>
      <c r="F36" s="270"/>
      <c r="G36" s="200">
        <f t="shared" si="22"/>
        <v>24</v>
      </c>
      <c r="H36" s="200">
        <f t="shared" ref="H36:H58" ca="1" si="33">X36</f>
        <v>0.68833357450238242</v>
      </c>
      <c r="I36" s="200">
        <f t="shared" ref="I36:I58" si="34">I35+0.002</f>
        <v>6.0000000000000001E-3</v>
      </c>
      <c r="J36" s="200">
        <f t="shared" si="18"/>
        <v>2.4E-2</v>
      </c>
      <c r="K36" s="200">
        <f t="shared" si="23"/>
        <v>2.6000000000000002E-2</v>
      </c>
      <c r="L36" s="200">
        <f t="shared" si="24"/>
        <v>1.3520000000000003E-3</v>
      </c>
      <c r="M36" s="200">
        <f ca="1">IF(【事例1】危険部品判断シート!$O$36=0,2.51*0.56*(O36/K36)^0.25+0.0000000567*$F$9*(($F$10+273+O36)^2+($F$10+273)^2)*(($F$10+273+O36)+($F$10+273)),3.86*(【事例1】危険部品判断シート!$O$36/K36)^0.5+0.0000000567*$F$9*(($F$10+273+O36)^2+($F$10+273)^2)*(($F$10+273+O36)+($F$10+273)))</f>
        <v>16.970748878263862</v>
      </c>
      <c r="N36" s="200">
        <f t="shared" ca="1" si="25"/>
        <v>46.542099720403485</v>
      </c>
      <c r="O36" s="200">
        <f t="shared" ca="1" si="26"/>
        <v>32.036489865391665</v>
      </c>
      <c r="P36" s="200">
        <f t="shared" si="27"/>
        <v>3.6000000000000001E-5</v>
      </c>
      <c r="Q36" s="200">
        <f t="shared" si="28"/>
        <v>6.7600000000000017E-4</v>
      </c>
      <c r="R36" s="200">
        <f t="shared" si="29"/>
        <v>380.83312808327082</v>
      </c>
      <c r="S36" s="200">
        <f t="shared" si="19"/>
        <v>4.0184443272632215</v>
      </c>
      <c r="T36" s="200">
        <f t="shared" ca="1" si="20"/>
        <v>215.67504302426372</v>
      </c>
      <c r="U36" s="200">
        <f t="shared" si="21"/>
        <v>0.5436574134908021</v>
      </c>
      <c r="V36" s="200">
        <f t="shared" ca="1" si="30"/>
        <v>7.3474697567181755</v>
      </c>
      <c r="W36" s="262">
        <f t="shared" ca="1" si="31"/>
        <v>53.889569477121661</v>
      </c>
      <c r="X36" s="200">
        <f t="shared" ca="1" si="32"/>
        <v>0.68833357450238242</v>
      </c>
    </row>
    <row r="37" spans="2:24">
      <c r="G37" s="200">
        <f t="shared" si="22"/>
        <v>32</v>
      </c>
      <c r="H37" s="200">
        <f t="shared" ca="1" si="33"/>
        <v>0.79102388867134743</v>
      </c>
      <c r="I37" s="200">
        <f t="shared" si="34"/>
        <v>8.0000000000000002E-3</v>
      </c>
      <c r="J37" s="200">
        <f t="shared" si="18"/>
        <v>3.2000000000000001E-2</v>
      </c>
      <c r="K37" s="200">
        <f t="shared" si="23"/>
        <v>2.8000000000000001E-2</v>
      </c>
      <c r="L37" s="200">
        <f t="shared" si="24"/>
        <v>1.5680000000000002E-3</v>
      </c>
      <c r="M37" s="200">
        <f ca="1">IF(【事例1】危険部品判断シート!$O$36=0,2.51*0.56*(O37/K37)^0.25+0.0000000567*$F$9*(($F$10+273+O37)^2+($F$10+273)^2)*(($F$10+273+O37)+($F$10+273)),3.86*(【事例1】危険部品判断シート!$O$36/K37)^0.5+0.0000000567*$F$9*(($F$10+273+O37)^2+($F$10+273)^2)*(($F$10+273+O37)+($F$10+273)))</f>
        <v>16.815984027877278</v>
      </c>
      <c r="N37" s="200">
        <f t="shared" ca="1" si="25"/>
        <v>40.476550129383014</v>
      </c>
      <c r="O37" s="200">
        <f t="shared" ca="1" si="26"/>
        <v>32.017918083345286</v>
      </c>
      <c r="P37" s="200">
        <f t="shared" si="27"/>
        <v>6.3999999999999997E-5</v>
      </c>
      <c r="Q37" s="200">
        <f t="shared" si="28"/>
        <v>7.8400000000000008E-4</v>
      </c>
      <c r="R37" s="200">
        <f t="shared" si="29"/>
        <v>323.86885702970392</v>
      </c>
      <c r="S37" s="200">
        <f t="shared" si="19"/>
        <v>2.7985594422011721</v>
      </c>
      <c r="T37" s="200">
        <f t="shared" ca="1" si="20"/>
        <v>184.9955349077369</v>
      </c>
      <c r="U37" s="200">
        <f t="shared" si="21"/>
        <v>0.47630197429922477</v>
      </c>
      <c r="V37" s="200">
        <f t="shared" ca="1" si="30"/>
        <v>5.8246233300192785</v>
      </c>
      <c r="W37" s="262">
        <f t="shared" ca="1" si="31"/>
        <v>46.301173459402293</v>
      </c>
      <c r="X37" s="200">
        <f t="shared" ca="1" si="32"/>
        <v>0.79102388867134721</v>
      </c>
    </row>
    <row r="38" spans="2:24">
      <c r="G38" s="200">
        <f t="shared" si="22"/>
        <v>40</v>
      </c>
      <c r="H38" s="200">
        <f t="shared" ca="1" si="33"/>
        <v>0.90042272542001833</v>
      </c>
      <c r="I38" s="200">
        <f t="shared" si="34"/>
        <v>0.01</v>
      </c>
      <c r="J38" s="200">
        <f t="shared" si="18"/>
        <v>0.04</v>
      </c>
      <c r="K38" s="200">
        <f t="shared" si="23"/>
        <v>0.03</v>
      </c>
      <c r="L38" s="200">
        <f t="shared" si="24"/>
        <v>1.8E-3</v>
      </c>
      <c r="M38" s="200">
        <f ca="1">IF(【事例1】危険部品判断シート!$O$36=0,2.51*0.56*(O38/K38)^0.25+0.0000000567*$F$9*(($F$10+273+O38)^2+($F$10+273)^2)*(($F$10+273+O38)+($F$10+273)),3.86*(【事例1】危険部品判断シート!$O$36/K38)^0.5+0.0000000567*$F$9*(($F$10+273+O38)^2+($F$10+273)^2)*(($F$10+273+O38)+($F$10+273)))</f>
        <v>16.674494915185527</v>
      </c>
      <c r="N38" s="200">
        <f t="shared" ca="1" si="25"/>
        <v>35.539906408842405</v>
      </c>
      <c r="O38" s="200">
        <f t="shared" ca="1" si="26"/>
        <v>32.000939389822257</v>
      </c>
      <c r="P38" s="200">
        <f t="shared" si="27"/>
        <v>1E-4</v>
      </c>
      <c r="Q38" s="200">
        <f t="shared" si="28"/>
        <v>8.9999999999999998E-4</v>
      </c>
      <c r="R38" s="200">
        <f t="shared" si="29"/>
        <v>285.61093322772365</v>
      </c>
      <c r="S38" s="200">
        <f t="shared" si="19"/>
        <v>2.0895910501768751</v>
      </c>
      <c r="T38" s="200">
        <f t="shared" ca="1" si="20"/>
        <v>164.43949054733807</v>
      </c>
      <c r="U38" s="200">
        <f t="shared" si="21"/>
        <v>0.42761758606203659</v>
      </c>
      <c r="V38" s="200">
        <f t="shared" ca="1" si="30"/>
        <v>4.8305983222546258</v>
      </c>
      <c r="W38" s="262">
        <f t="shared" ca="1" si="31"/>
        <v>40.370504731097029</v>
      </c>
      <c r="X38" s="200">
        <f t="shared" ca="1" si="32"/>
        <v>0.90042272542001833</v>
      </c>
    </row>
    <row r="39" spans="2:24">
      <c r="G39" s="200">
        <f t="shared" si="22"/>
        <v>48</v>
      </c>
      <c r="H39" s="200">
        <f t="shared" ca="1" si="33"/>
        <v>1.0164857569914538</v>
      </c>
      <c r="I39" s="200">
        <f t="shared" si="34"/>
        <v>1.2E-2</v>
      </c>
      <c r="J39" s="200">
        <f t="shared" si="18"/>
        <v>4.8000000000000001E-2</v>
      </c>
      <c r="K39" s="200">
        <f t="shared" si="23"/>
        <v>3.2000000000000001E-2</v>
      </c>
      <c r="L39" s="200">
        <f>K39^2*2</f>
        <v>2.0479999999999999E-3</v>
      </c>
      <c r="M39" s="200">
        <f ca="1">IF(【事例1】危険部品判断シート!$O$36=0,2.51*0.56*(O39/K39)^0.25+0.0000000567*$F$9*(($F$10+273+O39)^2+($F$10+273)^2)*(($F$10+273+O39)+($F$10+273)),3.86*(【事例1】危険部品判断シート!$O$36/K39)^0.5+0.0000000567*$F$9*(($F$10+273+O39)^2+($F$10+273)^2)*(($F$10+273+O39)+($F$10+273)))</f>
        <v>16.54436453436611</v>
      </c>
      <c r="N39" s="200">
        <f t="shared" ca="1" si="25"/>
        <v>31.466573460697148</v>
      </c>
      <c r="O39" s="200">
        <f t="shared" ca="1" si="26"/>
        <v>31.985323744123932</v>
      </c>
      <c r="P39" s="200">
        <f t="shared" si="27"/>
        <v>1.44E-4</v>
      </c>
      <c r="Q39" s="200">
        <f t="shared" si="28"/>
        <v>1.024E-3</v>
      </c>
      <c r="R39" s="200">
        <f t="shared" si="29"/>
        <v>257.34358323432423</v>
      </c>
      <c r="S39" s="200">
        <f t="shared" si="19"/>
        <v>1.6324930079506839</v>
      </c>
      <c r="T39" s="200">
        <f t="shared" ca="1" si="20"/>
        <v>149.25718916779428</v>
      </c>
      <c r="U39" s="200">
        <f t="shared" si="21"/>
        <v>0.38995734868785564</v>
      </c>
      <c r="V39" s="200">
        <f t="shared" ca="1" si="30"/>
        <v>4.1263795887412185</v>
      </c>
      <c r="W39" s="262">
        <f t="shared" ca="1" si="31"/>
        <v>35.592953049438364</v>
      </c>
      <c r="X39" s="200">
        <f t="shared" ca="1" si="32"/>
        <v>1.0164857569914538</v>
      </c>
    </row>
    <row r="40" spans="2:24">
      <c r="G40" s="200">
        <f t="shared" si="22"/>
        <v>56</v>
      </c>
      <c r="H40" s="200">
        <f t="shared" ca="1" si="33"/>
        <v>1.1391722156664339</v>
      </c>
      <c r="I40" s="200">
        <f t="shared" si="34"/>
        <v>1.4E-2</v>
      </c>
      <c r="J40" s="200">
        <f t="shared" si="18"/>
        <v>5.6000000000000001E-2</v>
      </c>
      <c r="K40" s="200">
        <f t="shared" si="23"/>
        <v>3.4000000000000002E-2</v>
      </c>
      <c r="L40" s="200">
        <f t="shared" si="24"/>
        <v>2.3120000000000003E-3</v>
      </c>
      <c r="M40" s="200">
        <f ca="1">IF(【事例1】危険部品判断シート!$O$36=0,2.51*0.56*(O40/K40)^0.25+0.0000000567*$F$9*(($F$10+273+O40)^2+($F$10+273)^2)*(($F$10+273+O40)+($F$10+273)),3.86*(【事例1】危険部品判断シート!$O$36/K40)^0.5+0.0000000567*$F$9*(($F$10+273+O40)^2+($F$10+273)^2)*(($F$10+273+O40)+($F$10+273)))</f>
        <v>16.424051552284226</v>
      </c>
      <c r="N40" s="200">
        <f t="shared" ca="1" si="25"/>
        <v>28.065015760212013</v>
      </c>
      <c r="O40" s="200">
        <f t="shared" ca="1" si="26"/>
        <v>31.970886186274107</v>
      </c>
      <c r="P40" s="200">
        <f t="shared" si="27"/>
        <v>1.9600000000000002E-4</v>
      </c>
      <c r="Q40" s="200">
        <f t="shared" si="28"/>
        <v>1.1560000000000001E-3</v>
      </c>
      <c r="R40" s="200">
        <f t="shared" si="29"/>
        <v>235.20292427656284</v>
      </c>
      <c r="S40" s="200">
        <f t="shared" si="19"/>
        <v>1.3169691492711399</v>
      </c>
      <c r="T40" s="200">
        <f t="shared" ca="1" si="20"/>
        <v>137.35306234494288</v>
      </c>
      <c r="U40" s="200">
        <f t="shared" si="21"/>
        <v>0.35951141340755177</v>
      </c>
      <c r="V40" s="200">
        <f t="shared" ca="1" si="30"/>
        <v>3.5999054033290383</v>
      </c>
      <c r="W40" s="262">
        <f t="shared" ca="1" si="31"/>
        <v>31.664921163541052</v>
      </c>
      <c r="X40" s="200">
        <f t="shared" ca="1" si="32"/>
        <v>1.1391722156664339</v>
      </c>
    </row>
    <row r="41" spans="2:24">
      <c r="G41" s="200">
        <f t="shared" si="22"/>
        <v>64</v>
      </c>
      <c r="H41" s="200">
        <f t="shared" ca="1" si="33"/>
        <v>1.2684444100292651</v>
      </c>
      <c r="I41" s="200">
        <f t="shared" si="34"/>
        <v>1.6E-2</v>
      </c>
      <c r="J41" s="200">
        <f t="shared" si="18"/>
        <v>6.4000000000000001E-2</v>
      </c>
      <c r="K41" s="200">
        <f t="shared" si="23"/>
        <v>3.6000000000000004E-2</v>
      </c>
      <c r="L41" s="200">
        <f t="shared" si="24"/>
        <v>2.5920000000000006E-3</v>
      </c>
      <c r="M41" s="200">
        <f ca="1">IF(【事例1】危険部品判断シート!$O$36=0,2.51*0.56*(O41/K41)^0.25+0.0000000567*$F$9*(($F$10+273+O41)^2+($F$10+273)^2)*(($F$10+273+O41)+($F$10+273)),3.86*(【事例1】危険部品判断シート!$O$36/K41)^0.5+0.0000000567*$F$9*(($F$10+273+O41)^2+($F$10+273)^2)*(($F$10+273+O41)+($F$10+273)))</f>
        <v>16.312299511693219</v>
      </c>
      <c r="N41" s="200">
        <f t="shared" ca="1" si="25"/>
        <v>25.19422663596734</v>
      </c>
      <c r="O41" s="200">
        <f t="shared" ca="1" si="26"/>
        <v>31.957475941403189</v>
      </c>
      <c r="P41" s="200">
        <f t="shared" si="27"/>
        <v>2.5599999999999999E-4</v>
      </c>
      <c r="Q41" s="200">
        <f t="shared" si="28"/>
        <v>1.2960000000000003E-3</v>
      </c>
      <c r="R41" s="200">
        <f t="shared" si="29"/>
        <v>217.17577768976966</v>
      </c>
      <c r="S41" s="200">
        <f t="shared" si="19"/>
        <v>1.0883286719671228</v>
      </c>
      <c r="T41" s="200">
        <f t="shared" ca="1" si="20"/>
        <v>127.64091939829628</v>
      </c>
      <c r="U41" s="200">
        <f t="shared" si="21"/>
        <v>0.33413989266282124</v>
      </c>
      <c r="V41" s="200">
        <f t="shared" ca="1" si="30"/>
        <v>3.1908172204842002</v>
      </c>
      <c r="W41" s="262">
        <f t="shared" ca="1" si="31"/>
        <v>28.385043856451539</v>
      </c>
      <c r="X41" s="200">
        <f t="shared" ca="1" si="32"/>
        <v>1.2684444100292651</v>
      </c>
    </row>
    <row r="42" spans="2:24">
      <c r="G42" s="200">
        <f t="shared" si="22"/>
        <v>72.000000000000014</v>
      </c>
      <c r="H42" s="200">
        <f t="shared" ca="1" si="33"/>
        <v>1.4042673308158702</v>
      </c>
      <c r="I42" s="200">
        <f t="shared" si="34"/>
        <v>1.8000000000000002E-2</v>
      </c>
      <c r="J42" s="200">
        <f t="shared" si="18"/>
        <v>7.2000000000000008E-2</v>
      </c>
      <c r="K42" s="200">
        <f t="shared" si="23"/>
        <v>3.8000000000000006E-2</v>
      </c>
      <c r="L42" s="200">
        <f t="shared" si="24"/>
        <v>2.8880000000000008E-3</v>
      </c>
      <c r="M42" s="200">
        <f ca="1">IF(【事例1】危険部品判断シート!$O$36=0,2.51*0.56*(O42/K42)^0.25+0.0000000567*$F$9*(($F$10+273+O42)^2+($F$10+273)^2)*(($F$10+273+O42)+($F$10+273)),3.86*(【事例1】危険部品判断シート!$O$36/K42)^0.5+0.0000000567*$F$9*(($F$10+273+O42)^2+($F$10+273)^2)*(($F$10+273+O42)+($F$10+273)))</f>
        <v>16.208071685317051</v>
      </c>
      <c r="N42" s="200">
        <f t="shared" ca="1" si="25"/>
        <v>22.748495176967648</v>
      </c>
      <c r="O42" s="200">
        <f t="shared" ca="1" si="26"/>
        <v>31.944968602238056</v>
      </c>
      <c r="P42" s="200">
        <f t="shared" si="27"/>
        <v>3.2400000000000007E-4</v>
      </c>
      <c r="Q42" s="200">
        <f t="shared" si="28"/>
        <v>1.4440000000000004E-3</v>
      </c>
      <c r="R42" s="200">
        <f t="shared" si="29"/>
        <v>202.09050284060049</v>
      </c>
      <c r="S42" s="200">
        <f t="shared" si="19"/>
        <v>0.91648730270915579</v>
      </c>
      <c r="T42" s="200">
        <f t="shared" ca="1" si="20"/>
        <v>119.49184752005613</v>
      </c>
      <c r="U42" s="200">
        <f t="shared" si="21"/>
        <v>0.31252817277605865</v>
      </c>
      <c r="V42" s="200">
        <f t="shared" ca="1" si="30"/>
        <v>2.8634873897903437</v>
      </c>
      <c r="W42" s="262">
        <f t="shared" ca="1" si="31"/>
        <v>25.611982566757991</v>
      </c>
      <c r="X42" s="200">
        <f t="shared" ca="1" si="32"/>
        <v>1.4042673308158697</v>
      </c>
    </row>
    <row r="43" spans="2:24">
      <c r="B43" s="200">
        <v>0.1</v>
      </c>
      <c r="C43" s="200">
        <v>0.1</v>
      </c>
      <c r="G43" s="200">
        <f t="shared" si="22"/>
        <v>80.000000000000014</v>
      </c>
      <c r="H43" s="200">
        <f t="shared" ca="1" si="33"/>
        <v>1.5466083258083314</v>
      </c>
      <c r="I43" s="200">
        <f t="shared" si="34"/>
        <v>2.0000000000000004E-2</v>
      </c>
      <c r="J43" s="200">
        <f t="shared" si="18"/>
        <v>8.0000000000000016E-2</v>
      </c>
      <c r="K43" s="200">
        <f t="shared" si="23"/>
        <v>4.0000000000000008E-2</v>
      </c>
      <c r="L43" s="200">
        <f t="shared" si="24"/>
        <v>3.2000000000000015E-3</v>
      </c>
      <c r="M43" s="200">
        <f ca="1">IF(【事例1】危険部品判断シート!$O$36=0,2.51*0.56*(O43/K43)^0.25+0.0000000567*$F$9*(($F$10+273+O43)^2+($F$10+273)^2)*(($F$10+273+O43)+($F$10+273)),3.86*(【事例1】危険部品判断シート!$O$36/K43)^0.5+0.0000000567*$F$9*(($F$10+273+O43)^2+($F$10+273)^2)*(($F$10+273+O43)+($F$10+273)))</f>
        <v>16.11050339383678</v>
      </c>
      <c r="N43" s="200">
        <f t="shared" ca="1" si="25"/>
        <v>20.647283397087989</v>
      </c>
      <c r="O43" s="200">
        <f t="shared" ca="1" si="26"/>
        <v>31.933260407260413</v>
      </c>
      <c r="P43" s="200">
        <f t="shared" si="27"/>
        <v>4.0000000000000018E-4</v>
      </c>
      <c r="Q43" s="200">
        <f t="shared" si="28"/>
        <v>1.6000000000000007E-3</v>
      </c>
      <c r="R43" s="200">
        <f t="shared" si="29"/>
        <v>189.20819992079268</v>
      </c>
      <c r="S43" s="200">
        <f t="shared" si="19"/>
        <v>0.78359664381632799</v>
      </c>
      <c r="T43" s="200">
        <f t="shared" ca="1" si="20"/>
        <v>112.5110973547437</v>
      </c>
      <c r="U43" s="200">
        <f t="shared" si="21"/>
        <v>0.29381179541559732</v>
      </c>
      <c r="V43" s="200">
        <f t="shared" ca="1" si="30"/>
        <v>2.5954523612570797</v>
      </c>
      <c r="W43" s="262">
        <f t="shared" ca="1" si="31"/>
        <v>23.24273575834507</v>
      </c>
      <c r="X43" s="200">
        <f t="shared" ca="1" si="32"/>
        <v>1.5466083258083314</v>
      </c>
    </row>
    <row r="44" spans="2:24">
      <c r="B44" s="200">
        <v>1000</v>
      </c>
      <c r="C44" s="200">
        <v>1000</v>
      </c>
      <c r="G44" s="200">
        <f t="shared" si="22"/>
        <v>88.000000000000028</v>
      </c>
      <c r="H44" s="200">
        <f t="shared" ca="1" si="33"/>
        <v>1.6954368287606332</v>
      </c>
      <c r="I44" s="200">
        <f t="shared" si="34"/>
        <v>2.2000000000000006E-2</v>
      </c>
      <c r="J44" s="200">
        <f t="shared" si="18"/>
        <v>8.8000000000000023E-2</v>
      </c>
      <c r="K44" s="200">
        <f t="shared" si="23"/>
        <v>4.200000000000001E-2</v>
      </c>
      <c r="L44" s="200">
        <f t="shared" si="24"/>
        <v>3.5280000000000016E-3</v>
      </c>
      <c r="M44" s="200">
        <f ca="1">IF(【事例1】危険部品判断シート!$O$36=0,2.51*0.56*(O44/K44)^0.25+0.0000000567*$F$9*(($F$10+273+O44)^2+($F$10+273)^2)*(($F$10+273+O44)+($F$10+273)),3.86*(【事例1】危険部品判断シート!$O$36/K44)^0.5+0.0000000567*$F$9*(($F$10+273+O44)^2+($F$10+273)^2)*(($F$10+273+O44)+($F$10+273)))</f>
        <v>16.018866484888818</v>
      </c>
      <c r="N44" s="200">
        <f t="shared" ca="1" si="25"/>
        <v>18.828341720948622</v>
      </c>
      <c r="O44" s="200">
        <f t="shared" ca="1" si="26"/>
        <v>31.922263978186653</v>
      </c>
      <c r="P44" s="200">
        <f t="shared" si="27"/>
        <v>4.8400000000000027E-4</v>
      </c>
      <c r="Q44" s="200">
        <f t="shared" si="28"/>
        <v>1.7640000000000008E-3</v>
      </c>
      <c r="R44" s="200">
        <f t="shared" si="29"/>
        <v>178.03378347434798</v>
      </c>
      <c r="S44" s="200">
        <f t="shared" si="19"/>
        <v>0.67843865265482939</v>
      </c>
      <c r="T44" s="200">
        <f t="shared" ca="1" si="20"/>
        <v>106.43527315365299</v>
      </c>
      <c r="U44" s="200">
        <f t="shared" si="21"/>
        <v>0.27739163932387439</v>
      </c>
      <c r="V44" s="200">
        <f t="shared" ca="1" si="30"/>
        <v>2.3718186326201387</v>
      </c>
      <c r="W44" s="262">
        <f t="shared" ca="1" si="31"/>
        <v>21.200160353568762</v>
      </c>
      <c r="X44" s="200">
        <f t="shared" ca="1" si="32"/>
        <v>1.6954368287606332</v>
      </c>
    </row>
    <row r="45" spans="2:24">
      <c r="G45" s="200">
        <f t="shared" si="22"/>
        <v>96.000000000000028</v>
      </c>
      <c r="H45" s="200">
        <f t="shared" ca="1" si="33"/>
        <v>1.8507241311793972</v>
      </c>
      <c r="I45" s="200">
        <f t="shared" si="34"/>
        <v>2.4000000000000007E-2</v>
      </c>
      <c r="J45" s="200">
        <f t="shared" si="18"/>
        <v>9.600000000000003E-2</v>
      </c>
      <c r="K45" s="200">
        <f t="shared" si="23"/>
        <v>4.4000000000000011E-2</v>
      </c>
      <c r="L45" s="200">
        <f t="shared" si="24"/>
        <v>3.8720000000000022E-3</v>
      </c>
      <c r="M45" s="200">
        <f ca="1">IF(【事例1】危険部品判断シート!$O$36=0,2.51*0.56*(O45/K45)^0.25+0.0000000567*$F$9*(($F$10+273+O45)^2+($F$10+273)^2)*(($F$10+273+O45)+($F$10+273)),3.86*(【事例1】危険部品判断シート!$O$36/K45)^0.5+0.0000000567*$F$9*(($F$10+273+O45)^2+($F$10+273)^2)*(($F$10+273+O45)+($F$10+273)))</f>
        <v>15.932542451613259</v>
      </c>
      <c r="N45" s="200">
        <f t="shared" ca="1" si="25"/>
        <v>17.242929163006771</v>
      </c>
      <c r="O45" s="200">
        <f t="shared" ca="1" si="26"/>
        <v>31.911905094193596</v>
      </c>
      <c r="P45" s="200">
        <f t="shared" si="27"/>
        <v>5.7600000000000034E-4</v>
      </c>
      <c r="Q45" s="200">
        <f t="shared" si="28"/>
        <v>1.9360000000000011E-3</v>
      </c>
      <c r="R45" s="200">
        <f t="shared" si="29"/>
        <v>168.21957568556911</v>
      </c>
      <c r="S45" s="200">
        <f t="shared" si="19"/>
        <v>0.59363382107297569</v>
      </c>
      <c r="T45" s="200">
        <f t="shared" ca="1" si="20"/>
        <v>101.08004702764505</v>
      </c>
      <c r="U45" s="200">
        <f t="shared" si="21"/>
        <v>0.26283496157015451</v>
      </c>
      <c r="V45" s="200">
        <f t="shared" ca="1" si="30"/>
        <v>2.1823105240522773</v>
      </c>
      <c r="W45" s="262">
        <f t="shared" ca="1" si="31"/>
        <v>19.425239687059047</v>
      </c>
      <c r="X45" s="200">
        <f t="shared" ca="1" si="32"/>
        <v>1.8507241311793972</v>
      </c>
    </row>
    <row r="46" spans="2:24">
      <c r="G46" s="200">
        <f t="shared" si="22"/>
        <v>104.00000000000004</v>
      </c>
      <c r="H46" s="200">
        <f t="shared" ca="1" si="33"/>
        <v>2.0124431885077265</v>
      </c>
      <c r="I46" s="200">
        <f t="shared" si="34"/>
        <v>2.6000000000000009E-2</v>
      </c>
      <c r="J46" s="200">
        <f t="shared" si="18"/>
        <v>0.10400000000000004</v>
      </c>
      <c r="K46" s="200">
        <f t="shared" si="23"/>
        <v>4.6000000000000013E-2</v>
      </c>
      <c r="L46" s="200">
        <f t="shared" si="24"/>
        <v>4.2320000000000023E-3</v>
      </c>
      <c r="M46" s="200">
        <f ca="1">IF(【事例1】危険部品判断シート!$O$36=0,2.51*0.56*(O46/K46)^0.25+0.0000000567*$F$9*(($F$10+273+O46)^2+($F$10+273)^2)*(($F$10+273+O46)+($F$10+273)),3.86*(【事例1】危険部品判断シート!$O$36/K46)^0.5+0.0000000567*$F$9*(($F$10+273+O46)^2+($F$10+273)^2)*(($F$10+273+O46)+($F$10+273)))</f>
        <v>15.851001799840304</v>
      </c>
      <c r="N46" s="200">
        <f t="shared" ca="1" si="25"/>
        <v>15.852432703770885</v>
      </c>
      <c r="O46" s="200">
        <f t="shared" ca="1" si="26"/>
        <v>31.90212021598084</v>
      </c>
      <c r="P46" s="200">
        <f t="shared" si="27"/>
        <v>6.7600000000000049E-4</v>
      </c>
      <c r="Q46" s="200">
        <f t="shared" si="28"/>
        <v>2.1160000000000011E-3</v>
      </c>
      <c r="R46" s="200">
        <f t="shared" si="29"/>
        <v>159.51214708831469</v>
      </c>
      <c r="S46" s="200">
        <f t="shared" si="19"/>
        <v>0.52414491225172433</v>
      </c>
      <c r="T46" s="200">
        <f t="shared" ca="1" si="20"/>
        <v>96.311433622546815</v>
      </c>
      <c r="U46" s="200">
        <f t="shared" si="21"/>
        <v>0.24981870072966736</v>
      </c>
      <c r="V46" s="200">
        <f t="shared" ca="1" si="30"/>
        <v>2.0196044258888715</v>
      </c>
      <c r="W46" s="262">
        <f t="shared" ca="1" si="31"/>
        <v>17.872037129659756</v>
      </c>
      <c r="X46" s="200">
        <f t="shared" ca="1" si="32"/>
        <v>2.0124431885077261</v>
      </c>
    </row>
    <row r="47" spans="2:24">
      <c r="G47" s="200">
        <f t="shared" si="22"/>
        <v>112.00000000000004</v>
      </c>
      <c r="H47" s="200">
        <f t="shared" ca="1" si="33"/>
        <v>2.1805684542287782</v>
      </c>
      <c r="I47" s="200">
        <f t="shared" si="34"/>
        <v>2.8000000000000011E-2</v>
      </c>
      <c r="J47" s="200">
        <f t="shared" si="18"/>
        <v>0.11200000000000004</v>
      </c>
      <c r="K47" s="200">
        <f t="shared" si="23"/>
        <v>4.8000000000000015E-2</v>
      </c>
      <c r="L47" s="200">
        <f t="shared" si="24"/>
        <v>4.6080000000000027E-3</v>
      </c>
      <c r="M47" s="200">
        <f ca="1">IF(【事例1】危険部品判断シート!$O$36=0,2.51*0.56*(O47/K47)^0.25+0.0000000567*$F$9*(($F$10+273+O47)^2+($F$10+273)^2)*(($F$10+273+O47)+($F$10+273)),3.86*(【事例1】危険部品判断シート!$O$36/K47)^0.5+0.0000000567*$F$9*(($F$10+273+O47)^2+($F$10+273)^2)*(($F$10+273+O47)+($F$10+273)))</f>
        <v>15.773788008020668</v>
      </c>
      <c r="N47" s="200">
        <f t="shared" ca="1" si="25"/>
        <v>14.625935956797246</v>
      </c>
      <c r="O47" s="200">
        <f t="shared" ca="1" si="26"/>
        <v>31.892854560962476</v>
      </c>
      <c r="P47" s="200">
        <f t="shared" si="27"/>
        <v>7.8400000000000063E-4</v>
      </c>
      <c r="Q47" s="200">
        <f t="shared" si="28"/>
        <v>2.3040000000000014E-3</v>
      </c>
      <c r="R47" s="200">
        <f t="shared" si="29"/>
        <v>151.72111898161293</v>
      </c>
      <c r="S47" s="200">
        <f t="shared" si="19"/>
        <v>0.46642657370019508</v>
      </c>
      <c r="T47" s="200">
        <f t="shared" ca="1" si="20"/>
        <v>92.028996060678992</v>
      </c>
      <c r="U47" s="200">
        <f t="shared" si="21"/>
        <v>0.23809512723711207</v>
      </c>
      <c r="V47" s="200">
        <f t="shared" ca="1" si="30"/>
        <v>1.8783375630867778</v>
      </c>
      <c r="W47" s="262">
        <f t="shared" ca="1" si="31"/>
        <v>16.504273519884023</v>
      </c>
      <c r="X47" s="200">
        <f t="shared" ca="1" si="32"/>
        <v>2.1805684542287782</v>
      </c>
    </row>
    <row r="48" spans="2:24">
      <c r="G48" s="200">
        <f t="shared" si="22"/>
        <v>120.00000000000006</v>
      </c>
      <c r="H48" s="200">
        <f t="shared" ca="1" si="33"/>
        <v>2.3550757368513944</v>
      </c>
      <c r="I48" s="200">
        <f t="shared" si="34"/>
        <v>3.0000000000000013E-2</v>
      </c>
      <c r="J48" s="200">
        <f t="shared" si="18"/>
        <v>0.12000000000000005</v>
      </c>
      <c r="K48" s="200">
        <f t="shared" si="23"/>
        <v>5.0000000000000017E-2</v>
      </c>
      <c r="L48" s="200">
        <f t="shared" si="24"/>
        <v>5.0000000000000036E-3</v>
      </c>
      <c r="M48" s="200">
        <f ca="1">IF(【事例1】危険部品判断シート!$O$36=0,2.51*0.56*(O48/K48)^0.25+0.0000000567*$F$9*(($F$10+273+O48)^2+($F$10+273)^2)*(($F$10+273+O48)+($F$10+273)),3.86*(【事例1】危険部品判断シート!$O$36/K48)^0.5+0.0000000567*$F$9*(($F$10+273+O48)^2+($F$10+273)^2)*(($F$10+273+O48)+($F$10+273)))</f>
        <v>15.70050491234262</v>
      </c>
      <c r="N48" s="200">
        <f t="shared" ca="1" si="25"/>
        <v>13.538443834552995</v>
      </c>
      <c r="O48" s="200">
        <f t="shared" ca="1" si="26"/>
        <v>31.884060589481113</v>
      </c>
      <c r="P48" s="200">
        <f t="shared" si="27"/>
        <v>9.0000000000000073E-4</v>
      </c>
      <c r="Q48" s="200">
        <f t="shared" si="28"/>
        <v>2.5000000000000018E-3</v>
      </c>
      <c r="R48" s="200">
        <f t="shared" si="29"/>
        <v>144.69989326996745</v>
      </c>
      <c r="S48" s="200">
        <f t="shared" si="19"/>
        <v>0.41791821003537483</v>
      </c>
      <c r="T48" s="200">
        <f t="shared" ca="1" si="20"/>
        <v>88.155512005557085</v>
      </c>
      <c r="U48" s="200">
        <f t="shared" si="21"/>
        <v>0.22747003886988262</v>
      </c>
      <c r="V48" s="200">
        <f t="shared" ca="1" si="30"/>
        <v>1.7544918910490372</v>
      </c>
      <c r="W48" s="262">
        <f t="shared" ca="1" si="31"/>
        <v>15.292935725602032</v>
      </c>
      <c r="X48" s="200">
        <f t="shared" ca="1" si="32"/>
        <v>2.3550757368513944</v>
      </c>
    </row>
    <row r="49" spans="7:24">
      <c r="G49" s="200">
        <f t="shared" si="22"/>
        <v>128.00000000000006</v>
      </c>
      <c r="H49" s="200">
        <f t="shared" ca="1" si="33"/>
        <v>2.5359420758175535</v>
      </c>
      <c r="I49" s="200">
        <f t="shared" si="34"/>
        <v>3.2000000000000015E-2</v>
      </c>
      <c r="J49" s="200">
        <f t="shared" si="18"/>
        <v>0.12800000000000006</v>
      </c>
      <c r="K49" s="200">
        <f t="shared" si="23"/>
        <v>5.2000000000000018E-2</v>
      </c>
      <c r="L49" s="200">
        <f t="shared" si="24"/>
        <v>5.4080000000000039E-3</v>
      </c>
      <c r="M49" s="200">
        <f ca="1">IF(【事例1】危険部品判断シート!$O$36=0,2.51*0.56*(O49/K49)^0.25+0.0000000567*$F$9*(($F$10+273+O49)^2+($F$10+273)^2)*(($F$10+273+O49)+($F$10+273)),3.86*(【事例1】危険部品判断シート!$O$36/K49)^0.5+0.0000000567*$F$9*(($F$10+273+O49)^2+($F$10+273)^2)*(($F$10+273+O49)+($F$10+273)))</f>
        <v>15.630806680335006</v>
      </c>
      <c r="N49" s="200">
        <f t="shared" ca="1" si="25"/>
        <v>12.569568171766663</v>
      </c>
      <c r="O49" s="200">
        <f t="shared" ca="1" si="26"/>
        <v>31.875696801640203</v>
      </c>
      <c r="P49" s="200">
        <f t="shared" si="27"/>
        <v>1.024000000000001E-3</v>
      </c>
      <c r="Q49" s="200">
        <f t="shared" si="28"/>
        <v>2.704000000000002E-3</v>
      </c>
      <c r="R49" s="200">
        <f t="shared" si="29"/>
        <v>138.33323070830204</v>
      </c>
      <c r="S49" s="200">
        <f t="shared" si="19"/>
        <v>0.37672915568092674</v>
      </c>
      <c r="T49" s="200">
        <f t="shared" ca="1" si="20"/>
        <v>84.630336933218459</v>
      </c>
      <c r="U49" s="200">
        <f t="shared" si="21"/>
        <v>0.21778836413070807</v>
      </c>
      <c r="V49" s="200">
        <f t="shared" ca="1" si="30"/>
        <v>1.6449969517185277</v>
      </c>
      <c r="W49" s="262">
        <f t="shared" ca="1" si="31"/>
        <v>14.21456512348519</v>
      </c>
      <c r="X49" s="200">
        <f t="shared" ca="1" si="32"/>
        <v>2.5359420758175535</v>
      </c>
    </row>
    <row r="50" spans="7:24">
      <c r="G50" s="200">
        <f t="shared" si="22"/>
        <v>136.00000000000006</v>
      </c>
      <c r="H50" s="200">
        <f t="shared" ca="1" si="33"/>
        <v>2.7231456331851849</v>
      </c>
      <c r="I50" s="200">
        <f t="shared" si="34"/>
        <v>3.4000000000000016E-2</v>
      </c>
      <c r="J50" s="200">
        <f t="shared" si="18"/>
        <v>0.13600000000000007</v>
      </c>
      <c r="K50" s="200">
        <f t="shared" si="23"/>
        <v>5.400000000000002E-2</v>
      </c>
      <c r="L50" s="200">
        <f t="shared" si="24"/>
        <v>5.8320000000000047E-3</v>
      </c>
      <c r="M50" s="200">
        <f ca="1">IF(【事例1】危険部品判断シート!$O$36=0,2.51*0.56*(O50/K50)^0.25+0.0000000567*$F$9*(($F$10+273+O50)^2+($F$10+273)^2)*(($F$10+273+O50)+($F$10+273)),3.86*(【事例1】危険部品判断シート!$O$36/K50)^0.5+0.0000000567*$F$9*(($F$10+273+O50)^2+($F$10+273)^2)*(($F$10+273+O50)+($F$10+273)))</f>
        <v>15.564389764432914</v>
      </c>
      <c r="N50" s="200">
        <f t="shared" ca="1" si="25"/>
        <v>11.70254223034601</v>
      </c>
      <c r="O50" s="200">
        <f t="shared" ca="1" si="26"/>
        <v>31.867726771731952</v>
      </c>
      <c r="P50" s="200">
        <f t="shared" si="27"/>
        <v>1.1560000000000012E-3</v>
      </c>
      <c r="Q50" s="200">
        <f t="shared" si="28"/>
        <v>2.9160000000000024E-3</v>
      </c>
      <c r="R50" s="200">
        <f t="shared" si="29"/>
        <v>132.52894983239543</v>
      </c>
      <c r="S50" s="200">
        <f t="shared" si="19"/>
        <v>0.34143644610733226</v>
      </c>
      <c r="T50" s="200">
        <f t="shared" ca="1" si="20"/>
        <v>81.404984580657484</v>
      </c>
      <c r="U50" s="200">
        <f t="shared" si="21"/>
        <v>0.20892433317177841</v>
      </c>
      <c r="V50" s="200">
        <f t="shared" ca="1" si="30"/>
        <v>1.5474658159420982</v>
      </c>
      <c r="W50" s="262">
        <f t="shared" ca="1" si="31"/>
        <v>13.250008046288109</v>
      </c>
      <c r="X50" s="200">
        <f t="shared" ca="1" si="32"/>
        <v>2.7231456331851849</v>
      </c>
    </row>
    <row r="51" spans="7:24">
      <c r="G51" s="200">
        <f t="shared" si="22"/>
        <v>144.00000000000009</v>
      </c>
      <c r="H51" s="200">
        <f t="shared" ca="1" si="33"/>
        <v>2.9166655985620227</v>
      </c>
      <c r="I51" s="200">
        <f t="shared" si="34"/>
        <v>3.6000000000000018E-2</v>
      </c>
      <c r="J51" s="200">
        <f t="shared" si="18"/>
        <v>0.14400000000000007</v>
      </c>
      <c r="K51" s="200">
        <f t="shared" si="23"/>
        <v>5.6000000000000022E-2</v>
      </c>
      <c r="L51" s="200">
        <f t="shared" si="24"/>
        <v>6.272000000000005E-3</v>
      </c>
      <c r="M51" s="200">
        <f ca="1">IF(【事例1】危険部品判断シート!$O$36=0,2.51*0.56*(O51/K51)^0.25+0.0000000567*$F$9*(($F$10+273+O51)^2+($F$10+273)^2)*(($F$10+273+O51)+($F$10+273)),3.86*(【事例1】危険部品判断シート!$O$36/K51)^0.5+0.0000000567*$F$9*(($F$10+273+O51)^2+($F$10+273)^2)*(($F$10+273+O51)+($F$10+273)))</f>
        <v>15.5009863869155</v>
      </c>
      <c r="N51" s="200">
        <f t="shared" ca="1" si="25"/>
        <v>10.923473154460204</v>
      </c>
      <c r="O51" s="200">
        <f t="shared" ca="1" si="26"/>
        <v>31.860118366429859</v>
      </c>
      <c r="P51" s="200">
        <f t="shared" si="27"/>
        <v>1.2960000000000014E-3</v>
      </c>
      <c r="Q51" s="200">
        <f t="shared" si="28"/>
        <v>3.1360000000000025E-3</v>
      </c>
      <c r="R51" s="200">
        <f t="shared" si="29"/>
        <v>127.21220629262967</v>
      </c>
      <c r="S51" s="200">
        <f t="shared" si="19"/>
        <v>0.31095104913346333</v>
      </c>
      <c r="T51" s="200">
        <f t="shared" ca="1" si="20"/>
        <v>78.440091145922921</v>
      </c>
      <c r="U51" s="200">
        <f t="shared" si="21"/>
        <v>0.20077457179325225</v>
      </c>
      <c r="V51" s="200">
        <f t="shared" ca="1" si="30"/>
        <v>1.4600147569752104</v>
      </c>
      <c r="W51" s="262">
        <f t="shared" ca="1" si="31"/>
        <v>12.383487911435415</v>
      </c>
      <c r="X51" s="200">
        <f t="shared" ca="1" si="32"/>
        <v>2.9166655985620227</v>
      </c>
    </row>
    <row r="52" spans="7:24">
      <c r="G52" s="200">
        <f t="shared" si="22"/>
        <v>152.00000000000009</v>
      </c>
      <c r="H52" s="200">
        <f t="shared" ca="1" si="33"/>
        <v>3.1164821052471674</v>
      </c>
      <c r="I52" s="200">
        <f t="shared" si="34"/>
        <v>3.800000000000002E-2</v>
      </c>
      <c r="J52" s="200">
        <f t="shared" si="18"/>
        <v>0.15200000000000008</v>
      </c>
      <c r="K52" s="200">
        <f t="shared" si="23"/>
        <v>5.8000000000000024E-2</v>
      </c>
      <c r="L52" s="200">
        <f t="shared" si="24"/>
        <v>6.7280000000000057E-3</v>
      </c>
      <c r="M52" s="200">
        <f ca="1">IF(【事例1】危険部品判断シート!$O$36=0,2.51*0.56*(O52/K52)^0.25+0.0000000567*$F$9*(($F$10+273+O52)^2+($F$10+273)^2)*(($F$10+273+O52)+($F$10+273)),3.86*(【事例1】危険部品判断シート!$O$36/K52)^0.5+0.0000000567*$F$9*(($F$10+273+O52)^2+($F$10+273)^2)*(($F$10+273+O52)+($F$10+273)))</f>
        <v>15.440359221398953</v>
      </c>
      <c r="N52" s="200">
        <f t="shared" ca="1" si="25"/>
        <v>10.220768812674324</v>
      </c>
      <c r="O52" s="200">
        <f t="shared" ca="1" si="26"/>
        <v>31.852843106567867</v>
      </c>
      <c r="P52" s="200">
        <f t="shared" si="27"/>
        <v>1.4440000000000015E-3</v>
      </c>
      <c r="Q52" s="200">
        <f t="shared" si="28"/>
        <v>3.3640000000000028E-3</v>
      </c>
      <c r="R52" s="200">
        <f t="shared" si="29"/>
        <v>122.32144459147224</v>
      </c>
      <c r="S52" s="200">
        <f t="shared" si="19"/>
        <v>0.28442709394422055</v>
      </c>
      <c r="T52" s="200">
        <f t="shared" ca="1" si="20"/>
        <v>75.70327336182045</v>
      </c>
      <c r="U52" s="200">
        <f t="shared" si="21"/>
        <v>0.19325312753656981</v>
      </c>
      <c r="V52" s="200">
        <f t="shared" ca="1" si="30"/>
        <v>1.3811371975765998</v>
      </c>
      <c r="W52" s="262">
        <f t="shared" ca="1" si="31"/>
        <v>11.601906010250923</v>
      </c>
      <c r="X52" s="200">
        <f t="shared" ca="1" si="32"/>
        <v>3.1164821052471674</v>
      </c>
    </row>
    <row r="53" spans="7:24">
      <c r="G53" s="200">
        <f t="shared" si="22"/>
        <v>160.00000000000009</v>
      </c>
      <c r="H53" s="200">
        <f t="shared" ca="1" si="33"/>
        <v>3.322576155912675</v>
      </c>
      <c r="I53" s="200">
        <f t="shared" si="34"/>
        <v>4.0000000000000022E-2</v>
      </c>
      <c r="J53" s="200">
        <f t="shared" si="18"/>
        <v>0.16000000000000009</v>
      </c>
      <c r="K53" s="200">
        <f t="shared" si="23"/>
        <v>6.0000000000000026E-2</v>
      </c>
      <c r="L53" s="200">
        <f t="shared" si="24"/>
        <v>7.2000000000000059E-3</v>
      </c>
      <c r="M53" s="200">
        <f ca="1">IF(【事例1】危険部品判断シート!$O$36=0,2.51*0.56*(O53/K53)^0.25+0.0000000567*$F$9*(($F$10+273+O53)^2+($F$10+273)^2)*(($F$10+273+O53)+($F$10+273)),3.86*(【事例1】危険部品判断シート!$O$36/K53)^0.5+0.0000000567*$F$9*(($F$10+273+O53)^2+($F$10+273)^2)*(($F$10+273+O53)+($F$10+273)))</f>
        <v>15.382297018114222</v>
      </c>
      <c r="N53" s="200">
        <f t="shared" ca="1" si="25"/>
        <v>9.5846939687153689</v>
      </c>
      <c r="O53" s="200">
        <f t="shared" ca="1" si="26"/>
        <v>31.845875642173713</v>
      </c>
      <c r="P53" s="200">
        <f t="shared" si="27"/>
        <v>1.6000000000000018E-3</v>
      </c>
      <c r="Q53" s="200">
        <f t="shared" si="28"/>
        <v>3.6000000000000029E-3</v>
      </c>
      <c r="R53" s="200">
        <f t="shared" si="29"/>
        <v>117.80546661386175</v>
      </c>
      <c r="S53" s="200">
        <f t="shared" si="19"/>
        <v>0.26119888127210916</v>
      </c>
      <c r="T53" s="200">
        <f t="shared" ca="1" si="20"/>
        <v>73.167581577745679</v>
      </c>
      <c r="U53" s="200">
        <f t="shared" si="21"/>
        <v>0.18628780939122261</v>
      </c>
      <c r="V53" s="200">
        <f t="shared" ca="1" si="30"/>
        <v>1.3096137653111739</v>
      </c>
      <c r="W53" s="262">
        <f t="shared" ca="1" si="31"/>
        <v>10.894307734026542</v>
      </c>
      <c r="X53" s="200">
        <f t="shared" ca="1" si="32"/>
        <v>3.322576155912675</v>
      </c>
    </row>
    <row r="54" spans="7:24">
      <c r="G54" s="200">
        <f t="shared" si="22"/>
        <v>168.00000000000009</v>
      </c>
      <c r="H54" s="200">
        <f t="shared" ca="1" si="33"/>
        <v>3.5349295564537462</v>
      </c>
      <c r="I54" s="200">
        <f t="shared" si="34"/>
        <v>4.2000000000000023E-2</v>
      </c>
      <c r="J54" s="200">
        <f t="shared" si="18"/>
        <v>0.16800000000000009</v>
      </c>
      <c r="K54" s="200">
        <f t="shared" si="23"/>
        <v>6.2000000000000027E-2</v>
      </c>
      <c r="L54" s="200">
        <f t="shared" si="24"/>
        <v>7.6880000000000065E-3</v>
      </c>
      <c r="M54" s="200">
        <f ca="1">IF(【事例1】危険部品判断シート!$O$36=0,2.51*0.56*(O54/K54)^0.25+0.0000000567*$F$9*(($F$10+273+O54)^2+($F$10+273)^2)*(($F$10+273+O54)+($F$10+273)),3.86*(【事例1】危険部品判断シート!$O$36/K54)^0.5+0.0000000567*$F$9*(($F$10+273+O54)^2+($F$10+273)^2)*(($F$10+273+O54)+($F$10+273)))</f>
        <v>15.326610980115085</v>
      </c>
      <c r="N54" s="200">
        <f t="shared" ca="1" si="25"/>
        <v>9.0070234241258849</v>
      </c>
      <c r="O54" s="200">
        <f t="shared" ca="1" si="26"/>
        <v>31.839193317613816</v>
      </c>
      <c r="P54" s="200">
        <f t="shared" si="27"/>
        <v>1.7640000000000019E-3</v>
      </c>
      <c r="Q54" s="200">
        <f t="shared" si="28"/>
        <v>3.8440000000000032E-3</v>
      </c>
      <c r="R54" s="200">
        <f t="shared" si="29"/>
        <v>113.62126569390615</v>
      </c>
      <c r="S54" s="200">
        <f t="shared" si="19"/>
        <v>0.24073629610332642</v>
      </c>
      <c r="T54" s="200">
        <f t="shared" ca="1" si="20"/>
        <v>70.810359474389358</v>
      </c>
      <c r="U54" s="200">
        <f t="shared" si="21"/>
        <v>0.17981744300926975</v>
      </c>
      <c r="V54" s="200">
        <f t="shared" ca="1" si="30"/>
        <v>1.2444469293842064</v>
      </c>
      <c r="W54" s="262">
        <f t="shared" ca="1" si="31"/>
        <v>10.251470353510092</v>
      </c>
      <c r="X54" s="200">
        <f t="shared" ca="1" si="32"/>
        <v>3.5349295564537462</v>
      </c>
    </row>
    <row r="55" spans="7:24">
      <c r="G55" s="200">
        <f t="shared" si="22"/>
        <v>176.00000000000011</v>
      </c>
      <c r="H55" s="200">
        <f t="shared" ca="1" si="33"/>
        <v>3.7535248568716697</v>
      </c>
      <c r="I55" s="200">
        <f t="shared" si="34"/>
        <v>4.4000000000000025E-2</v>
      </c>
      <c r="J55" s="200">
        <f t="shared" si="18"/>
        <v>0.1760000000000001</v>
      </c>
      <c r="K55" s="200">
        <f t="shared" si="23"/>
        <v>6.4000000000000029E-2</v>
      </c>
      <c r="L55" s="200">
        <f t="shared" si="24"/>
        <v>8.1920000000000083E-3</v>
      </c>
      <c r="M55" s="200">
        <f ca="1">IF(【事例1】危険部品判断シート!$O$36=0,2.51*0.56*(O55/K55)^0.25+0.0000000567*$F$9*(($F$10+273+O55)^2+($F$10+273)^2)*(($F$10+273+O55)+($F$10+273)),3.86*(【事例1】危険部品判断シート!$O$36/K55)^0.5+0.0000000567*$F$9*(($F$10+273+O55)^2+($F$10+273)^2)*(($F$10+273+O55)+($F$10+273)))</f>
        <v>15.273131741828063</v>
      </c>
      <c r="N55" s="200">
        <f t="shared" ca="1" si="25"/>
        <v>8.4807686169287884</v>
      </c>
      <c r="O55" s="200">
        <f t="shared" ca="1" si="26"/>
        <v>31.832775809019378</v>
      </c>
      <c r="P55" s="200">
        <f t="shared" si="27"/>
        <v>1.9360000000000022E-3</v>
      </c>
      <c r="Q55" s="200">
        <f t="shared" si="28"/>
        <v>4.0960000000000042E-3</v>
      </c>
      <c r="R55" s="200">
        <f t="shared" si="29"/>
        <v>109.73239767776813</v>
      </c>
      <c r="S55" s="200">
        <f t="shared" si="19"/>
        <v>0.22261268290236577</v>
      </c>
      <c r="T55" s="200">
        <f t="shared" ca="1" si="20"/>
        <v>68.61238821170133</v>
      </c>
      <c r="U55" s="200">
        <f t="shared" si="21"/>
        <v>0.17378977806974827</v>
      </c>
      <c r="V55" s="200">
        <f t="shared" ca="1" si="30"/>
        <v>1.1848127178270857</v>
      </c>
      <c r="W55" s="262">
        <f t="shared" ca="1" si="31"/>
        <v>9.6655813347558741</v>
      </c>
      <c r="X55" s="200">
        <f t="shared" ca="1" si="32"/>
        <v>3.7535248568716688</v>
      </c>
    </row>
    <row r="56" spans="7:24">
      <c r="G56" s="200">
        <f t="shared" si="22"/>
        <v>184.00000000000011</v>
      </c>
      <c r="H56" s="200">
        <f t="shared" ca="1" si="33"/>
        <v>3.9783452982426213</v>
      </c>
      <c r="I56" s="200">
        <f t="shared" si="34"/>
        <v>4.6000000000000027E-2</v>
      </c>
      <c r="J56" s="200">
        <f t="shared" si="18"/>
        <v>0.18400000000000011</v>
      </c>
      <c r="K56" s="200">
        <f t="shared" si="23"/>
        <v>6.6000000000000031E-2</v>
      </c>
      <c r="L56" s="200">
        <f t="shared" si="24"/>
        <v>8.7120000000000079E-3</v>
      </c>
      <c r="M56" s="200">
        <f ca="1">IF(【事例1】危険部品判断シート!$O$36=0,2.51*0.56*(O56/K56)^0.25+0.0000000567*$F$9*(($F$10+273+O56)^2+($F$10+273)^2)*(($F$10+273+O56)+($F$10+273)),3.86*(【事例1】危険部品判断シート!$O$36/K56)^0.5+0.0000000567*$F$9*(($F$10+273+O56)^2+($F$10+273)^2)*(($F$10+273+O56)+($F$10+273)))</f>
        <v>15.221706834414668</v>
      </c>
      <c r="N56" s="200">
        <f t="shared" ca="1" si="25"/>
        <v>7.9999603941338933</v>
      </c>
      <c r="O56" s="200">
        <f t="shared" ca="1" si="26"/>
        <v>31.826604820129763</v>
      </c>
      <c r="P56" s="200">
        <f t="shared" si="27"/>
        <v>2.1160000000000024E-3</v>
      </c>
      <c r="Q56" s="200">
        <f t="shared" si="28"/>
        <v>4.356000000000004E-3</v>
      </c>
      <c r="R56" s="200">
        <f t="shared" si="29"/>
        <v>106.1077364473842</v>
      </c>
      <c r="S56" s="200">
        <f t="shared" si="19"/>
        <v>0.20648132906886099</v>
      </c>
      <c r="T56" s="200">
        <f t="shared" ca="1" si="20"/>
        <v>66.557233686190031</v>
      </c>
      <c r="U56" s="200">
        <f t="shared" si="21"/>
        <v>0.16815986928356499</v>
      </c>
      <c r="V56" s="200">
        <f t="shared" ca="1" si="30"/>
        <v>1.1300245224745646</v>
      </c>
      <c r="W56" s="262">
        <f t="shared" ca="1" si="31"/>
        <v>9.129984916608457</v>
      </c>
      <c r="X56" s="200">
        <f t="shared" ca="1" si="32"/>
        <v>3.9783452982426213</v>
      </c>
    </row>
    <row r="57" spans="7:24">
      <c r="G57" s="200">
        <f t="shared" si="22"/>
        <v>192.00000000000011</v>
      </c>
      <c r="H57" s="200">
        <f t="shared" ca="1" si="33"/>
        <v>4.209374764978147</v>
      </c>
      <c r="I57" s="200">
        <f t="shared" si="34"/>
        <v>4.8000000000000029E-2</v>
      </c>
      <c r="J57" s="200">
        <f t="shared" si="18"/>
        <v>0.19200000000000012</v>
      </c>
      <c r="K57" s="200">
        <f t="shared" si="23"/>
        <v>6.8000000000000033E-2</v>
      </c>
      <c r="L57" s="200">
        <f t="shared" si="24"/>
        <v>9.2480000000000097E-3</v>
      </c>
      <c r="M57" s="200">
        <f ca="1">IF(【事例1】危険部品判断シート!$O$36=0,2.51*0.56*(O57/K57)^0.25+0.0000000567*$F$9*(($F$10+273+O57)^2+($F$10+273)^2)*(($F$10+273+O57)+($F$10+273)),3.86*(【事例1】危険部品判断シート!$O$36/K57)^0.5+0.0000000567*$F$9*(($F$10+273+O57)^2+($F$10+273)^2)*(($F$10+273+O57)+($F$10+273)))</f>
        <v>15.172198547354899</v>
      </c>
      <c r="N57" s="200">
        <f t="shared" ca="1" si="25"/>
        <v>7.5594751245314171</v>
      </c>
      <c r="O57" s="200">
        <f t="shared" ca="1" si="26"/>
        <v>31.820663825682583</v>
      </c>
      <c r="P57" s="200">
        <f t="shared" si="27"/>
        <v>2.3040000000000027E-3</v>
      </c>
      <c r="Q57" s="200">
        <f t="shared" si="28"/>
        <v>4.6240000000000048E-3</v>
      </c>
      <c r="R57" s="200">
        <f t="shared" si="29"/>
        <v>102.72050975732901</v>
      </c>
      <c r="S57" s="200">
        <f t="shared" si="19"/>
        <v>0.1920580009353744</v>
      </c>
      <c r="T57" s="200">
        <f t="shared" ca="1" si="20"/>
        <v>64.630741526129654</v>
      </c>
      <c r="U57" s="200">
        <f t="shared" si="21"/>
        <v>0.16288880738207773</v>
      </c>
      <c r="V57" s="200">
        <f t="shared" ca="1" si="30"/>
        <v>1.0795056011020043</v>
      </c>
      <c r="W57" s="262">
        <f t="shared" ca="1" si="31"/>
        <v>8.6389807256334219</v>
      </c>
      <c r="X57" s="200">
        <f t="shared" ca="1" si="32"/>
        <v>4.209374764978147</v>
      </c>
    </row>
    <row r="58" spans="7:24">
      <c r="G58" s="200">
        <f t="shared" si="22"/>
        <v>200.00000000000011</v>
      </c>
      <c r="H58" s="200">
        <f t="shared" ca="1" si="33"/>
        <v>4.4465977417072864</v>
      </c>
      <c r="I58" s="200">
        <f t="shared" si="34"/>
        <v>5.0000000000000031E-2</v>
      </c>
      <c r="J58" s="200">
        <f t="shared" si="18"/>
        <v>0.20000000000000012</v>
      </c>
      <c r="K58" s="200">
        <f t="shared" si="23"/>
        <v>7.0000000000000034E-2</v>
      </c>
      <c r="L58" s="200">
        <f t="shared" si="24"/>
        <v>9.8000000000000101E-3</v>
      </c>
      <c r="M58" s="200">
        <f ca="1">IF(【事例1】危険部品判断シート!$O$36=0,2.51*0.56*(O58/K58)^0.25+0.0000000567*$F$9*(($F$10+273+O58)^2+($F$10+273)^2)*(($F$10+273+O58)+($F$10+273)),3.86*(【事例1】危険部品判断シート!$O$36/K58)^0.5+0.0000000567*$F$9*(($F$10+273+O58)^2+($F$10+273)^2)*(($F$10+273+O58)+($F$10+273)))</f>
        <v>15.124482114650618</v>
      </c>
      <c r="N58" s="200">
        <f t="shared" ca="1" si="25"/>
        <v>7.1548945287645065</v>
      </c>
      <c r="O58" s="200">
        <f t="shared" ca="1" si="26"/>
        <v>31.814937853758074</v>
      </c>
      <c r="P58" s="200">
        <f t="shared" si="27"/>
        <v>2.5000000000000031E-3</v>
      </c>
      <c r="Q58" s="200">
        <f t="shared" si="28"/>
        <v>4.900000000000005E-3</v>
      </c>
      <c r="R58" s="200">
        <f t="shared" si="29"/>
        <v>99.547542811881499</v>
      </c>
      <c r="S58" s="200">
        <f t="shared" si="19"/>
        <v>0.17910780430087486</v>
      </c>
      <c r="T58" s="200">
        <f t="shared" ca="1" si="20"/>
        <v>62.820641342551362</v>
      </c>
      <c r="U58" s="200">
        <f t="shared" si="21"/>
        <v>0.15794271274300262</v>
      </c>
      <c r="V58" s="200">
        <f t="shared" ca="1" si="30"/>
        <v>1.0327679316887033</v>
      </c>
      <c r="W58" s="262">
        <f t="shared" ca="1" si="31"/>
        <v>8.1876624604532093</v>
      </c>
      <c r="X58" s="200">
        <f t="shared" ca="1" si="32"/>
        <v>4.4465977417072864</v>
      </c>
    </row>
    <row r="60" spans="7:24">
      <c r="K60" s="200" t="s">
        <v>275</v>
      </c>
      <c r="L60" s="265">
        <f>L32+E33</f>
        <v>15</v>
      </c>
    </row>
    <row r="61" spans="7:24">
      <c r="H61" s="200" t="s">
        <v>203</v>
      </c>
      <c r="I61" s="200" t="s">
        <v>277</v>
      </c>
      <c r="J61" s="200" t="s">
        <v>253</v>
      </c>
      <c r="K61" s="200" t="s">
        <v>278</v>
      </c>
      <c r="L61" s="200" t="s">
        <v>279</v>
      </c>
      <c r="M61" s="200" t="s">
        <v>280</v>
      </c>
      <c r="N61" s="200" t="s">
        <v>281</v>
      </c>
      <c r="O61" s="200" t="s">
        <v>282</v>
      </c>
      <c r="P61" s="200" t="s">
        <v>283</v>
      </c>
      <c r="Q61" s="200" t="s">
        <v>284</v>
      </c>
      <c r="R61" s="200" t="s">
        <v>285</v>
      </c>
      <c r="S61" s="200" t="s">
        <v>286</v>
      </c>
      <c r="T61" s="200" t="s">
        <v>287</v>
      </c>
      <c r="U61" s="200" t="s">
        <v>288</v>
      </c>
      <c r="V61" s="200" t="s">
        <v>289</v>
      </c>
      <c r="W61" s="200" t="s">
        <v>290</v>
      </c>
      <c r="X61" s="200" t="s">
        <v>291</v>
      </c>
    </row>
    <row r="62" spans="7:24">
      <c r="G62" s="200">
        <f>J62*1000</f>
        <v>8</v>
      </c>
      <c r="H62" s="200">
        <f ca="1">X62</f>
        <v>1.0164857569914538</v>
      </c>
      <c r="I62" s="200">
        <v>2E-3</v>
      </c>
      <c r="J62" s="200">
        <f t="shared" ref="J62:J86" si="35">I62*4</f>
        <v>8.0000000000000002E-3</v>
      </c>
      <c r="K62" s="200">
        <f>I62+$L$60/1000*2</f>
        <v>3.2000000000000001E-2</v>
      </c>
      <c r="L62" s="200">
        <f>K62^2*2</f>
        <v>2.0479999999999999E-3</v>
      </c>
      <c r="M62" s="200">
        <f ca="1">IF(【事例1】危険部品判断シート!$O$36=0,2.51*0.56*(O62/K62)^0.25+0.0000000567*$F$9*(($F$10+273+O62)^2+($F$10+273)^2)*(($F$10+273+O62)+($F$10+273)),3.86*(【事例1】危険部品判断シート!$O$36/K62)^0.5+0.0000000567*$F$9*(($F$10+273+O62)^2+($F$10+273)^2)*(($F$10+273+O62)+($F$10+273)))</f>
        <v>16.54436453436611</v>
      </c>
      <c r="N62" s="200">
        <f t="shared" ref="N62:N86" ca="1" si="36">1/L62/M62+$F$8/$M$3/L62</f>
        <v>31.466573460697148</v>
      </c>
      <c r="O62" s="200">
        <f t="shared" ref="O62:O86" ca="1" si="37">H62*N62</f>
        <v>31.985323744123932</v>
      </c>
      <c r="P62" s="200">
        <f>I62^2</f>
        <v>3.9999999999999998E-6</v>
      </c>
      <c r="Q62" s="200">
        <f>K62^2</f>
        <v>1.024E-3</v>
      </c>
      <c r="R62" s="200">
        <f>(PI()^1.5)/((Q62)^0.5)+1/(P62)^0.5</f>
        <v>674.01024990099086</v>
      </c>
      <c r="S62" s="200">
        <f t="shared" ref="S62:S86" si="38">$F$6*(Q62^0.5-P62^0.5)/($L$3*(PI()*Q62*P62)^0.5)</f>
        <v>14.692437071556157</v>
      </c>
      <c r="T62" s="200">
        <f t="shared" ref="T62:T86" ca="1" si="39">R62*$L$3*Q62*N62/$F$6</f>
        <v>390.92047334594832</v>
      </c>
      <c r="U62" s="200">
        <f t="shared" ref="U62:U86" si="40">TANH(R62*$F$8/$F$6)</f>
        <v>0.79261110432189874</v>
      </c>
      <c r="V62" s="200">
        <f ca="1">S62*(T62+U62)/(1+T62*U62)</f>
        <v>18.514584443963209</v>
      </c>
      <c r="W62" s="262">
        <f ca="1">N62+V62</f>
        <v>49.981157904660357</v>
      </c>
      <c r="X62" s="200">
        <f ca="1">L62*M62*$Q$3</f>
        <v>1.0164857569914538</v>
      </c>
    </row>
    <row r="63" spans="7:24">
      <c r="G63" s="200">
        <f t="shared" ref="G63:G86" si="41">J63*1000</f>
        <v>16</v>
      </c>
      <c r="H63" s="200">
        <f ca="1">X63</f>
        <v>1.1391722156664339</v>
      </c>
      <c r="I63" s="200">
        <f>I62+0.002</f>
        <v>4.0000000000000001E-3</v>
      </c>
      <c r="J63" s="200">
        <f t="shared" si="35"/>
        <v>1.6E-2</v>
      </c>
      <c r="K63" s="200">
        <f t="shared" ref="K63:K86" si="42">I63+$L$60/1000*2</f>
        <v>3.4000000000000002E-2</v>
      </c>
      <c r="L63" s="200">
        <f t="shared" ref="L63:L86" si="43">K63^2*2</f>
        <v>2.3120000000000003E-3</v>
      </c>
      <c r="M63" s="200">
        <f ca="1">IF(【事例1】危険部品判断シート!$O$36=0,2.51*0.56*(O63/K63)^0.25+0.0000000567*$F$9*(($F$10+273+O63)^2+($F$10+273)^2)*(($F$10+273+O63)+($F$10+273)),3.86*(【事例1】危険部品判断シート!$O$36/K63)^0.5+0.0000000567*$F$9*(($F$10+273+O63)^2+($F$10+273)^2)*(($F$10+273+O63)+($F$10+273)))</f>
        <v>16.424051552284226</v>
      </c>
      <c r="N63" s="200">
        <f t="shared" ca="1" si="36"/>
        <v>28.065015760212013</v>
      </c>
      <c r="O63" s="200">
        <f t="shared" ca="1" si="37"/>
        <v>31.970886186274107</v>
      </c>
      <c r="P63" s="200">
        <f t="shared" ref="P63:P86" si="44">I63^2</f>
        <v>1.5999999999999999E-5</v>
      </c>
      <c r="Q63" s="200">
        <f t="shared" ref="Q63:Q86" si="45">K63^2</f>
        <v>1.1560000000000001E-3</v>
      </c>
      <c r="R63" s="200">
        <f t="shared" ref="R63:R86" si="46">(PI()^1.5)/((Q63)^0.5)+1/(P63)^0.5</f>
        <v>413.77435284799139</v>
      </c>
      <c r="S63" s="200">
        <f t="shared" si="38"/>
        <v>6.9140880336734849</v>
      </c>
      <c r="T63" s="200">
        <f t="shared" ca="1" si="39"/>
        <v>241.63464233395925</v>
      </c>
      <c r="U63" s="200">
        <f t="shared" si="40"/>
        <v>0.57971873515809735</v>
      </c>
      <c r="V63" s="200">
        <f t="shared" ref="V63:V86" ca="1" si="47">S63*(T63+U63)/(1+T63*U63)</f>
        <v>11.87049816767764</v>
      </c>
      <c r="W63" s="262">
        <f t="shared" ref="W63:W86" ca="1" si="48">N63+V63</f>
        <v>39.935513927889652</v>
      </c>
      <c r="X63" s="200">
        <f t="shared" ref="X63:X86" ca="1" si="49">L63*M63*$Q$3</f>
        <v>1.1391722156664339</v>
      </c>
    </row>
    <row r="64" spans="7:24">
      <c r="G64" s="200">
        <f t="shared" si="41"/>
        <v>24</v>
      </c>
      <c r="H64" s="200">
        <f t="shared" ref="H64:H86" ca="1" si="50">X64</f>
        <v>1.2684444100292647</v>
      </c>
      <c r="I64" s="200">
        <f t="shared" ref="I64:I86" si="51">I63+0.002</f>
        <v>6.0000000000000001E-3</v>
      </c>
      <c r="J64" s="200">
        <f t="shared" si="35"/>
        <v>2.4E-2</v>
      </c>
      <c r="K64" s="200">
        <f t="shared" si="42"/>
        <v>3.5999999999999997E-2</v>
      </c>
      <c r="L64" s="200">
        <f t="shared" si="43"/>
        <v>2.5919999999999997E-3</v>
      </c>
      <c r="M64" s="200">
        <f ca="1">IF(【事例1】危険部品判断シート!$O$36=0,2.51*0.56*(O64/K64)^0.25+0.0000000567*$F$9*(($F$10+273+O64)^2+($F$10+273)^2)*(($F$10+273+O64)+($F$10+273)),3.86*(【事例1】危険部品判断シート!$O$36/K64)^0.5+0.0000000567*$F$9*(($F$10+273+O64)^2+($F$10+273)^2)*(($F$10+273+O64)+($F$10+273)))</f>
        <v>16.312299511693219</v>
      </c>
      <c r="N64" s="200">
        <f t="shared" ca="1" si="36"/>
        <v>25.19422663596735</v>
      </c>
      <c r="O64" s="200">
        <f t="shared" ca="1" si="37"/>
        <v>31.957475941403192</v>
      </c>
      <c r="P64" s="200">
        <f t="shared" si="44"/>
        <v>3.6000000000000001E-5</v>
      </c>
      <c r="Q64" s="200">
        <f t="shared" si="45"/>
        <v>1.2959999999999998E-3</v>
      </c>
      <c r="R64" s="200">
        <f t="shared" si="46"/>
        <v>321.34244435643632</v>
      </c>
      <c r="S64" s="200">
        <f t="shared" si="38"/>
        <v>4.3533146878684894</v>
      </c>
      <c r="T64" s="200">
        <f t="shared" ca="1" si="39"/>
        <v>188.86289012369696</v>
      </c>
      <c r="U64" s="200">
        <f t="shared" si="40"/>
        <v>0.4731707440047504</v>
      </c>
      <c r="V64" s="200">
        <f t="shared" ca="1" si="47"/>
        <v>9.1212856756125245</v>
      </c>
      <c r="W64" s="262">
        <f t="shared" ca="1" si="48"/>
        <v>34.315512311579873</v>
      </c>
      <c r="X64" s="200">
        <f t="shared" ca="1" si="49"/>
        <v>1.2684444100292647</v>
      </c>
    </row>
    <row r="65" spans="7:24">
      <c r="G65" s="200">
        <f t="shared" si="41"/>
        <v>32</v>
      </c>
      <c r="H65" s="200">
        <f t="shared" ca="1" si="50"/>
        <v>1.4042673308158697</v>
      </c>
      <c r="I65" s="200">
        <f t="shared" si="51"/>
        <v>8.0000000000000002E-3</v>
      </c>
      <c r="J65" s="200">
        <f t="shared" si="35"/>
        <v>3.2000000000000001E-2</v>
      </c>
      <c r="K65" s="200">
        <f t="shared" si="42"/>
        <v>3.7999999999999999E-2</v>
      </c>
      <c r="L65" s="200">
        <f t="shared" si="43"/>
        <v>2.8879999999999999E-3</v>
      </c>
      <c r="M65" s="200">
        <f ca="1">IF(【事例1】危険部品判断シート!$O$36=0,2.51*0.56*(O65/K65)^0.25+0.0000000567*$F$9*(($F$10+273+O65)^2+($F$10+273)^2)*(($F$10+273+O65)+($F$10+273)),3.86*(【事例1】危険部品判断シート!$O$36/K65)^0.5+0.0000000567*$F$9*(($F$10+273+O65)^2+($F$10+273)^2)*(($F$10+273+O65)+($F$10+273)))</f>
        <v>16.208071685317055</v>
      </c>
      <c r="N65" s="200">
        <f t="shared" ca="1" si="36"/>
        <v>22.748495176967651</v>
      </c>
      <c r="O65" s="200">
        <f t="shared" ca="1" si="37"/>
        <v>31.944968602238049</v>
      </c>
      <c r="P65" s="200">
        <f t="shared" si="44"/>
        <v>6.3999999999999997E-5</v>
      </c>
      <c r="Q65" s="200">
        <f t="shared" si="45"/>
        <v>1.444E-3</v>
      </c>
      <c r="R65" s="200">
        <f t="shared" si="46"/>
        <v>271.53494728504495</v>
      </c>
      <c r="S65" s="200">
        <f t="shared" si="38"/>
        <v>3.0931446466434007</v>
      </c>
      <c r="T65" s="200">
        <f t="shared" ca="1" si="39"/>
        <v>160.55288131448273</v>
      </c>
      <c r="U65" s="200">
        <f t="shared" si="40"/>
        <v>0.4090384445860526</v>
      </c>
      <c r="V65" s="200">
        <f t="shared" ca="1" si="47"/>
        <v>7.4675464037321024</v>
      </c>
      <c r="W65" s="262">
        <f t="shared" ca="1" si="48"/>
        <v>30.216041580699752</v>
      </c>
      <c r="X65" s="200">
        <f t="shared" ca="1" si="49"/>
        <v>1.4042673308158697</v>
      </c>
    </row>
    <row r="66" spans="7:24">
      <c r="G66" s="200">
        <f t="shared" si="41"/>
        <v>40</v>
      </c>
      <c r="H66" s="200">
        <f t="shared" ca="1" si="50"/>
        <v>1.546608325808331</v>
      </c>
      <c r="I66" s="200">
        <f t="shared" si="51"/>
        <v>0.01</v>
      </c>
      <c r="J66" s="200">
        <f t="shared" si="35"/>
        <v>0.04</v>
      </c>
      <c r="K66" s="200">
        <f t="shared" si="42"/>
        <v>0.04</v>
      </c>
      <c r="L66" s="200">
        <f t="shared" si="43"/>
        <v>3.2000000000000002E-3</v>
      </c>
      <c r="M66" s="200">
        <f ca="1">IF(【事例1】危険部品判断シート!$O$36=0,2.51*0.56*(O66/K66)^0.25+0.0000000567*$F$9*(($F$10+273+O66)^2+($F$10+273)^2)*(($F$10+273+O66)+($F$10+273)),3.86*(【事例1】危険部品判断シート!$O$36/K66)^0.5+0.0000000567*$F$9*(($F$10+273+O66)^2+($F$10+273)^2)*(($F$10+273+O66)+($F$10+273)))</f>
        <v>16.11050339383678</v>
      </c>
      <c r="N66" s="200">
        <f t="shared" ca="1" si="36"/>
        <v>20.647283397087996</v>
      </c>
      <c r="O66" s="200">
        <f t="shared" ca="1" si="37"/>
        <v>31.933260407260413</v>
      </c>
      <c r="P66" s="200">
        <f t="shared" si="44"/>
        <v>1E-4</v>
      </c>
      <c r="Q66" s="200">
        <f t="shared" si="45"/>
        <v>1.6000000000000001E-3</v>
      </c>
      <c r="R66" s="200">
        <f t="shared" si="46"/>
        <v>239.20819992079271</v>
      </c>
      <c r="S66" s="200">
        <f t="shared" si="38"/>
        <v>2.3507899314489844</v>
      </c>
      <c r="T66" s="200">
        <f t="shared" ca="1" si="39"/>
        <v>142.24318544655043</v>
      </c>
      <c r="U66" s="200">
        <f t="shared" si="40"/>
        <v>0.36507867066847427</v>
      </c>
      <c r="V66" s="200">
        <f t="shared" ca="1" si="47"/>
        <v>6.333692967442123</v>
      </c>
      <c r="W66" s="262">
        <f t="shared" ca="1" si="48"/>
        <v>26.980976364530118</v>
      </c>
      <c r="X66" s="200">
        <f t="shared" ca="1" si="49"/>
        <v>1.546608325808331</v>
      </c>
    </row>
    <row r="67" spans="7:24">
      <c r="G67" s="200">
        <f t="shared" si="41"/>
        <v>48</v>
      </c>
      <c r="H67" s="200">
        <f t="shared" ca="1" si="50"/>
        <v>1.6954368287606321</v>
      </c>
      <c r="I67" s="200">
        <f t="shared" si="51"/>
        <v>1.2E-2</v>
      </c>
      <c r="J67" s="200">
        <f t="shared" si="35"/>
        <v>4.8000000000000001E-2</v>
      </c>
      <c r="K67" s="200">
        <f t="shared" si="42"/>
        <v>4.1999999999999996E-2</v>
      </c>
      <c r="L67" s="200">
        <f>K67^2*2</f>
        <v>3.5279999999999995E-3</v>
      </c>
      <c r="M67" s="200">
        <f ca="1">IF(【事例1】危険部品判断シート!$O$36=0,2.51*0.56*(O67/K67)^0.25+0.0000000567*$F$9*(($F$10+273+O67)^2+($F$10+273)^2)*(($F$10+273+O67)+($F$10+273)),3.86*(【事例1】危険部品判断シート!$O$36/K67)^0.5+0.0000000567*$F$9*(($F$10+273+O67)^2+($F$10+273)^2)*(($F$10+273+O67)+($F$10+273)))</f>
        <v>16.018866484888818</v>
      </c>
      <c r="N67" s="200">
        <f t="shared" ca="1" si="36"/>
        <v>18.828341720948639</v>
      </c>
      <c r="O67" s="200">
        <f t="shared" ca="1" si="37"/>
        <v>31.922263978186663</v>
      </c>
      <c r="P67" s="200">
        <f t="shared" si="44"/>
        <v>1.44E-4</v>
      </c>
      <c r="Q67" s="200">
        <f t="shared" si="45"/>
        <v>1.7639999999999997E-3</v>
      </c>
      <c r="R67" s="200">
        <f t="shared" si="46"/>
        <v>215.91257135313595</v>
      </c>
      <c r="S67" s="200">
        <f t="shared" si="38"/>
        <v>1.8657062948007812</v>
      </c>
      <c r="T67" s="200">
        <f t="shared" ca="1" si="39"/>
        <v>129.08063324166676</v>
      </c>
      <c r="U67" s="200">
        <f t="shared" si="40"/>
        <v>0.33234320970289677</v>
      </c>
      <c r="V67" s="200">
        <f t="shared" ca="1" si="47"/>
        <v>5.5000389302791701</v>
      </c>
      <c r="W67" s="262">
        <f t="shared" ca="1" si="48"/>
        <v>24.32838065122781</v>
      </c>
      <c r="X67" s="200">
        <f t="shared" ca="1" si="49"/>
        <v>1.6954368287606321</v>
      </c>
    </row>
    <row r="68" spans="7:24">
      <c r="G68" s="200">
        <f t="shared" si="41"/>
        <v>56</v>
      </c>
      <c r="H68" s="200">
        <f t="shared" ca="1" si="50"/>
        <v>1.8507241311793965</v>
      </c>
      <c r="I68" s="200">
        <f t="shared" si="51"/>
        <v>1.4E-2</v>
      </c>
      <c r="J68" s="200">
        <f t="shared" si="35"/>
        <v>5.6000000000000001E-2</v>
      </c>
      <c r="K68" s="200">
        <f t="shared" si="42"/>
        <v>4.3999999999999997E-2</v>
      </c>
      <c r="L68" s="200">
        <f t="shared" si="43"/>
        <v>3.8719999999999996E-3</v>
      </c>
      <c r="M68" s="200">
        <f ca="1">IF(【事例1】危険部品判断シート!$O$36=0,2.51*0.56*(O68/K68)^0.25+0.0000000567*$F$9*(($F$10+273+O68)^2+($F$10+273)^2)*(($F$10+273+O68)+($F$10+273)),3.86*(【事例1】危険部品判断シート!$O$36/K68)^0.5+0.0000000567*$F$9*(($F$10+273+O68)^2+($F$10+273)^2)*(($F$10+273+O68)+($F$10+273)))</f>
        <v>15.932542451613259</v>
      </c>
      <c r="N68" s="200">
        <f t="shared" ca="1" si="36"/>
        <v>17.242929163006782</v>
      </c>
      <c r="O68" s="200">
        <f t="shared" ca="1" si="37"/>
        <v>31.911905094193603</v>
      </c>
      <c r="P68" s="200">
        <f t="shared" si="44"/>
        <v>1.9600000000000002E-4</v>
      </c>
      <c r="Q68" s="200">
        <f t="shared" si="45"/>
        <v>1.9359999999999998E-3</v>
      </c>
      <c r="R68" s="200">
        <f t="shared" si="46"/>
        <v>197.98148044747393</v>
      </c>
      <c r="S68" s="200">
        <f t="shared" si="38"/>
        <v>1.5264869684733664</v>
      </c>
      <c r="T68" s="200">
        <f t="shared" ca="1" si="39"/>
        <v>118.96342784527783</v>
      </c>
      <c r="U68" s="200">
        <f t="shared" si="40"/>
        <v>0.30658375914367086</v>
      </c>
      <c r="V68" s="200">
        <f t="shared" ca="1" si="47"/>
        <v>4.8586379144757021</v>
      </c>
      <c r="W68" s="262">
        <f t="shared" ca="1" si="48"/>
        <v>22.101567077482486</v>
      </c>
      <c r="X68" s="200">
        <f t="shared" ca="1" si="49"/>
        <v>1.850724131179396</v>
      </c>
    </row>
    <row r="69" spans="7:24">
      <c r="G69" s="200">
        <f t="shared" si="41"/>
        <v>64</v>
      </c>
      <c r="H69" s="200">
        <f t="shared" ca="1" si="50"/>
        <v>2.0124431885077252</v>
      </c>
      <c r="I69" s="200">
        <f t="shared" si="51"/>
        <v>1.6E-2</v>
      </c>
      <c r="J69" s="200">
        <f t="shared" si="35"/>
        <v>6.4000000000000001E-2</v>
      </c>
      <c r="K69" s="200">
        <f t="shared" si="42"/>
        <v>4.5999999999999999E-2</v>
      </c>
      <c r="L69" s="200">
        <f t="shared" si="43"/>
        <v>4.2319999999999997E-3</v>
      </c>
      <c r="M69" s="200">
        <f ca="1">IF(【事例1】危険部品判断シート!$O$36=0,2.51*0.56*(O69/K69)^0.25+0.0000000567*$F$9*(($F$10+273+O69)^2+($F$10+273)^2)*(($F$10+273+O69)+($F$10+273)),3.86*(【事例1】危険部品判断シート!$O$36/K69)^0.5+0.0000000567*$F$9*(($F$10+273+O69)^2+($F$10+273)^2)*(($F$10+273+O69)+($F$10+273)))</f>
        <v>15.851001799840304</v>
      </c>
      <c r="N69" s="200">
        <f t="shared" ca="1" si="36"/>
        <v>15.852432703770894</v>
      </c>
      <c r="O69" s="200">
        <f t="shared" ca="1" si="37"/>
        <v>31.902120215980837</v>
      </c>
      <c r="P69" s="200">
        <f t="shared" si="44"/>
        <v>2.5599999999999999E-4</v>
      </c>
      <c r="Q69" s="200">
        <f t="shared" si="45"/>
        <v>2.1159999999999998E-3</v>
      </c>
      <c r="R69" s="200">
        <f t="shared" si="46"/>
        <v>183.5506086267763</v>
      </c>
      <c r="S69" s="200">
        <f t="shared" si="38"/>
        <v>1.2776032236135786</v>
      </c>
      <c r="T69" s="200">
        <f t="shared" ca="1" si="39"/>
        <v>110.8255551807494</v>
      </c>
      <c r="U69" s="200">
        <f t="shared" si="40"/>
        <v>0.28551925063531575</v>
      </c>
      <c r="V69" s="200">
        <f t="shared" ca="1" si="47"/>
        <v>4.3487610967855765</v>
      </c>
      <c r="W69" s="262">
        <f t="shared" ca="1" si="48"/>
        <v>20.201193800556471</v>
      </c>
      <c r="X69" s="200">
        <f t="shared" ca="1" si="49"/>
        <v>2.0124431885077247</v>
      </c>
    </row>
    <row r="70" spans="7:24">
      <c r="G70" s="200">
        <f t="shared" si="41"/>
        <v>72.000000000000014</v>
      </c>
      <c r="H70" s="200">
        <f t="shared" ca="1" si="50"/>
        <v>2.1805684542287773</v>
      </c>
      <c r="I70" s="200">
        <f t="shared" si="51"/>
        <v>1.8000000000000002E-2</v>
      </c>
      <c r="J70" s="200">
        <f t="shared" si="35"/>
        <v>7.2000000000000008E-2</v>
      </c>
      <c r="K70" s="200">
        <f t="shared" si="42"/>
        <v>4.8000000000000001E-2</v>
      </c>
      <c r="L70" s="200">
        <f t="shared" si="43"/>
        <v>4.6080000000000001E-3</v>
      </c>
      <c r="M70" s="200">
        <f ca="1">IF(【事例1】危険部品判断シート!$O$36=0,2.51*0.56*(O70/K70)^0.25+0.0000000567*$F$9*(($F$10+273+O70)^2+($F$10+273)^2)*(($F$10+273+O70)+($F$10+273)),3.86*(【事例1】危険部品判断シート!$O$36/K70)^0.5+0.0000000567*$F$9*(($F$10+273+O70)^2+($F$10+273)^2)*(($F$10+273+O70)+($F$10+273)))</f>
        <v>15.773788008020668</v>
      </c>
      <c r="N70" s="200">
        <f t="shared" ca="1" si="36"/>
        <v>14.625935956797253</v>
      </c>
      <c r="O70" s="200">
        <f t="shared" ca="1" si="37"/>
        <v>31.89285456096248</v>
      </c>
      <c r="P70" s="200">
        <f t="shared" si="44"/>
        <v>3.2400000000000007E-4</v>
      </c>
      <c r="Q70" s="200">
        <f t="shared" si="45"/>
        <v>2.3040000000000001E-3</v>
      </c>
      <c r="R70" s="200">
        <f t="shared" si="46"/>
        <v>171.56238882288281</v>
      </c>
      <c r="S70" s="200">
        <f t="shared" si="38"/>
        <v>1.0883286719671224</v>
      </c>
      <c r="T70" s="200">
        <f t="shared" ca="1" si="39"/>
        <v>104.06405193370074</v>
      </c>
      <c r="U70" s="200">
        <f t="shared" si="40"/>
        <v>0.26780693939903272</v>
      </c>
      <c r="V70" s="200">
        <f t="shared" ca="1" si="47"/>
        <v>3.9331829103845215</v>
      </c>
      <c r="W70" s="262">
        <f t="shared" ca="1" si="48"/>
        <v>18.559118867181773</v>
      </c>
      <c r="X70" s="200">
        <f t="shared" ca="1" si="49"/>
        <v>2.1805684542287773</v>
      </c>
    </row>
    <row r="71" spans="7:24">
      <c r="G71" s="200">
        <f t="shared" si="41"/>
        <v>80.000000000000014</v>
      </c>
      <c r="H71" s="200">
        <f t="shared" ca="1" si="50"/>
        <v>2.3550757368513939</v>
      </c>
      <c r="I71" s="200">
        <f t="shared" si="51"/>
        <v>2.0000000000000004E-2</v>
      </c>
      <c r="J71" s="200">
        <f t="shared" si="35"/>
        <v>8.0000000000000016E-2</v>
      </c>
      <c r="K71" s="200">
        <f t="shared" si="42"/>
        <v>0.05</v>
      </c>
      <c r="L71" s="200">
        <f t="shared" si="43"/>
        <v>5.000000000000001E-3</v>
      </c>
      <c r="M71" s="200">
        <f ca="1">IF(【事例1】危険部品判断シート!$O$36=0,2.51*0.56*(O71/K71)^0.25+0.0000000567*$F$9*(($F$10+273+O71)^2+($F$10+273)^2)*(($F$10+273+O71)+($F$10+273)),3.86*(【事例1】危険部品判断シート!$O$36/K71)^0.5+0.0000000567*$F$9*(($F$10+273+O71)^2+($F$10+273)^2)*(($F$10+273+O71)+($F$10+273)))</f>
        <v>15.70050491234262</v>
      </c>
      <c r="N71" s="200">
        <f t="shared" ca="1" si="36"/>
        <v>13.538443834553004</v>
      </c>
      <c r="O71" s="200">
        <f t="shared" ca="1" si="37"/>
        <v>31.884060589481127</v>
      </c>
      <c r="P71" s="200">
        <f t="shared" si="44"/>
        <v>4.0000000000000018E-4</v>
      </c>
      <c r="Q71" s="200">
        <f t="shared" si="45"/>
        <v>2.5000000000000005E-3</v>
      </c>
      <c r="R71" s="200">
        <f t="shared" si="46"/>
        <v>161.36655993663416</v>
      </c>
      <c r="S71" s="200">
        <f t="shared" si="38"/>
        <v>0.94031597257959332</v>
      </c>
      <c r="T71" s="200">
        <f t="shared" ca="1" si="39"/>
        <v>98.309344881471873</v>
      </c>
      <c r="U71" s="200">
        <f t="shared" si="40"/>
        <v>0.25259852023238644</v>
      </c>
      <c r="V71" s="200">
        <f t="shared" ca="1" si="47"/>
        <v>3.5876632597501343</v>
      </c>
      <c r="W71" s="262">
        <f t="shared" ca="1" si="48"/>
        <v>17.126107094303137</v>
      </c>
      <c r="X71" s="200">
        <f t="shared" ca="1" si="49"/>
        <v>2.3550757368513935</v>
      </c>
    </row>
    <row r="72" spans="7:24">
      <c r="G72" s="200">
        <f t="shared" si="41"/>
        <v>88.000000000000028</v>
      </c>
      <c r="H72" s="200">
        <f t="shared" ca="1" si="50"/>
        <v>2.535942075817553</v>
      </c>
      <c r="I72" s="200">
        <f t="shared" si="51"/>
        <v>2.2000000000000006E-2</v>
      </c>
      <c r="J72" s="200">
        <f t="shared" si="35"/>
        <v>8.8000000000000023E-2</v>
      </c>
      <c r="K72" s="200">
        <f t="shared" si="42"/>
        <v>5.2000000000000005E-2</v>
      </c>
      <c r="L72" s="200">
        <f t="shared" si="43"/>
        <v>5.4080000000000013E-3</v>
      </c>
      <c r="M72" s="200">
        <f ca="1">IF(【事例1】危険部品判断シート!$O$36=0,2.51*0.56*(O72/K72)^0.25+0.0000000567*$F$9*(($F$10+273+O72)^2+($F$10+273)^2)*(($F$10+273+O72)+($F$10+273)),3.86*(【事例1】危険部品判断シート!$O$36/K72)^0.5+0.0000000567*$F$9*(($F$10+273+O72)^2+($F$10+273)^2)*(($F$10+273+O72)+($F$10+273)))</f>
        <v>15.630806680335006</v>
      </c>
      <c r="N72" s="200">
        <f t="shared" ca="1" si="36"/>
        <v>12.569568171766671</v>
      </c>
      <c r="O72" s="200">
        <f t="shared" ca="1" si="37"/>
        <v>31.875696801640217</v>
      </c>
      <c r="P72" s="200">
        <f t="shared" si="44"/>
        <v>4.8400000000000027E-4</v>
      </c>
      <c r="Q72" s="200">
        <f t="shared" si="45"/>
        <v>2.7040000000000007E-3</v>
      </c>
      <c r="R72" s="200">
        <f t="shared" si="46"/>
        <v>152.53777616284754</v>
      </c>
      <c r="S72" s="200">
        <f t="shared" si="38"/>
        <v>0.82195452148565851</v>
      </c>
      <c r="T72" s="200">
        <f t="shared" ca="1" si="39"/>
        <v>93.320479291971736</v>
      </c>
      <c r="U72" s="200">
        <f t="shared" si="40"/>
        <v>0.23932732153638372</v>
      </c>
      <c r="V72" s="200">
        <f t="shared" ca="1" si="47"/>
        <v>3.295681988300136</v>
      </c>
      <c r="W72" s="262">
        <f t="shared" ca="1" si="48"/>
        <v>15.865250160066807</v>
      </c>
      <c r="X72" s="200">
        <f t="shared" ca="1" si="49"/>
        <v>2.5359420758175522</v>
      </c>
    </row>
    <row r="73" spans="7:24">
      <c r="G73" s="200">
        <f t="shared" si="41"/>
        <v>96.000000000000028</v>
      </c>
      <c r="H73" s="200">
        <f t="shared" ca="1" si="50"/>
        <v>2.7231456331851831</v>
      </c>
      <c r="I73" s="200">
        <f t="shared" si="51"/>
        <v>2.4000000000000007E-2</v>
      </c>
      <c r="J73" s="200">
        <f t="shared" si="35"/>
        <v>9.600000000000003E-2</v>
      </c>
      <c r="K73" s="200">
        <f t="shared" si="42"/>
        <v>5.4000000000000006E-2</v>
      </c>
      <c r="L73" s="200">
        <f t="shared" si="43"/>
        <v>5.8320000000000012E-3</v>
      </c>
      <c r="M73" s="200">
        <f ca="1">IF(【事例1】危険部品判断シート!$O$36=0,2.51*0.56*(O73/K73)^0.25+0.0000000567*$F$9*(($F$10+273+O73)^2+($F$10+273)^2)*(($F$10+273+O73)+($F$10+273)),3.86*(【事例1】危険部品判断シート!$O$36/K73)^0.5+0.0000000567*$F$9*(($F$10+273+O73)^2+($F$10+273)^2)*(($F$10+273+O73)+($F$10+273)))</f>
        <v>15.564389764432914</v>
      </c>
      <c r="N73" s="200">
        <f t="shared" ca="1" si="36"/>
        <v>11.702542230346017</v>
      </c>
      <c r="O73" s="200">
        <f t="shared" ca="1" si="37"/>
        <v>31.867726771731949</v>
      </c>
      <c r="P73" s="200">
        <f t="shared" si="44"/>
        <v>5.7600000000000034E-4</v>
      </c>
      <c r="Q73" s="200">
        <f t="shared" si="45"/>
        <v>2.9160000000000006E-3</v>
      </c>
      <c r="R73" s="200">
        <f t="shared" si="46"/>
        <v>144.78385179317976</v>
      </c>
      <c r="S73" s="200">
        <f t="shared" si="38"/>
        <v>0.72555244797808138</v>
      </c>
      <c r="T73" s="200">
        <f t="shared" ca="1" si="39"/>
        <v>88.93247277411831</v>
      </c>
      <c r="U73" s="200">
        <f t="shared" si="40"/>
        <v>0.22759741783980311</v>
      </c>
      <c r="V73" s="200">
        <f t="shared" ca="1" si="47"/>
        <v>3.0455681349134425</v>
      </c>
      <c r="W73" s="262">
        <f t="shared" ca="1" si="48"/>
        <v>14.748110365259461</v>
      </c>
      <c r="X73" s="200">
        <f t="shared" ca="1" si="49"/>
        <v>2.7231456331851831</v>
      </c>
    </row>
    <row r="74" spans="7:24">
      <c r="G74" s="200">
        <f t="shared" si="41"/>
        <v>104.00000000000004</v>
      </c>
      <c r="H74" s="200">
        <f t="shared" ca="1" si="50"/>
        <v>2.9166655985620213</v>
      </c>
      <c r="I74" s="200">
        <f t="shared" si="51"/>
        <v>2.6000000000000009E-2</v>
      </c>
      <c r="J74" s="200">
        <f t="shared" si="35"/>
        <v>0.10400000000000004</v>
      </c>
      <c r="K74" s="200">
        <f t="shared" si="42"/>
        <v>5.6000000000000008E-2</v>
      </c>
      <c r="L74" s="200">
        <f t="shared" si="43"/>
        <v>6.2720000000000015E-3</v>
      </c>
      <c r="M74" s="200">
        <f ca="1">IF(【事例1】危険部品判断シート!$O$36=0,2.51*0.56*(O74/K74)^0.25+0.0000000567*$F$9*(($F$10+273+O74)^2+($F$10+273)^2)*(($F$10+273+O74)+($F$10+273)),3.86*(【事例1】危険部品判断シート!$O$36/K74)^0.5+0.0000000567*$F$9*(($F$10+273+O74)^2+($F$10+273)^2)*(($F$10+273+O74)+($F$10+273)))</f>
        <v>15.5009863869155</v>
      </c>
      <c r="N74" s="200">
        <f t="shared" ca="1" si="36"/>
        <v>10.923473154460211</v>
      </c>
      <c r="O74" s="200">
        <f t="shared" ca="1" si="37"/>
        <v>31.860118366429862</v>
      </c>
      <c r="P74" s="200">
        <f t="shared" si="44"/>
        <v>6.7600000000000049E-4</v>
      </c>
      <c r="Q74" s="200">
        <f t="shared" si="45"/>
        <v>3.1360000000000008E-3</v>
      </c>
      <c r="R74" s="200">
        <f t="shared" si="46"/>
        <v>137.89596697639038</v>
      </c>
      <c r="S74" s="200">
        <f t="shared" si="38"/>
        <v>0.6458214097387317</v>
      </c>
      <c r="T74" s="200">
        <f t="shared" ca="1" si="39"/>
        <v>85.027785725228185</v>
      </c>
      <c r="U74" s="200">
        <f t="shared" si="40"/>
        <v>0.21712182501765526</v>
      </c>
      <c r="V74" s="200">
        <f t="shared" ca="1" si="47"/>
        <v>2.8288314444944511</v>
      </c>
      <c r="W74" s="262">
        <f t="shared" ca="1" si="48"/>
        <v>13.752304598954662</v>
      </c>
      <c r="X74" s="200">
        <f t="shared" ca="1" si="49"/>
        <v>2.9166655985620213</v>
      </c>
    </row>
    <row r="75" spans="7:24">
      <c r="G75" s="200">
        <f t="shared" si="41"/>
        <v>112.00000000000004</v>
      </c>
      <c r="H75" s="200">
        <f t="shared" ca="1" si="50"/>
        <v>3.1164821052471661</v>
      </c>
      <c r="I75" s="200">
        <f t="shared" si="51"/>
        <v>2.8000000000000011E-2</v>
      </c>
      <c r="J75" s="200">
        <f t="shared" si="35"/>
        <v>0.11200000000000004</v>
      </c>
      <c r="K75" s="200">
        <f t="shared" si="42"/>
        <v>5.800000000000001E-2</v>
      </c>
      <c r="L75" s="200">
        <f t="shared" si="43"/>
        <v>6.7280000000000022E-3</v>
      </c>
      <c r="M75" s="200">
        <f ca="1">IF(【事例1】危険部品判断シート!$O$36=0,2.51*0.56*(O75/K75)^0.25+0.0000000567*$F$9*(($F$10+273+O75)^2+($F$10+273)^2)*(($F$10+273+O75)+($F$10+273)),3.86*(【事例1】危険部品判断シート!$O$36/K75)^0.5+0.0000000567*$F$9*(($F$10+273+O75)^2+($F$10+273)^2)*(($F$10+273+O75)+($F$10+273)))</f>
        <v>15.44035922139895</v>
      </c>
      <c r="N75" s="200">
        <f t="shared" ca="1" si="36"/>
        <v>10.220768812674333</v>
      </c>
      <c r="O75" s="200">
        <f t="shared" ca="1" si="37"/>
        <v>31.852843106567882</v>
      </c>
      <c r="P75" s="200">
        <f t="shared" si="44"/>
        <v>7.8400000000000063E-4</v>
      </c>
      <c r="Q75" s="200">
        <f t="shared" si="45"/>
        <v>3.3640000000000011E-3</v>
      </c>
      <c r="R75" s="200">
        <f t="shared" si="46"/>
        <v>131.71994083207377</v>
      </c>
      <c r="S75" s="200">
        <f t="shared" si="38"/>
        <v>0.57901229838644919</v>
      </c>
      <c r="T75" s="200">
        <f t="shared" ca="1" si="39"/>
        <v>81.519889838747702</v>
      </c>
      <c r="U75" s="200">
        <f t="shared" si="40"/>
        <v>0.20768608497974433</v>
      </c>
      <c r="V75" s="200">
        <f t="shared" ca="1" si="47"/>
        <v>2.6391426980936861</v>
      </c>
      <c r="W75" s="262">
        <f t="shared" ca="1" si="48"/>
        <v>12.859911510768018</v>
      </c>
      <c r="X75" s="200">
        <f t="shared" ca="1" si="49"/>
        <v>3.1164821052471647</v>
      </c>
    </row>
    <row r="76" spans="7:24">
      <c r="G76" s="200">
        <f t="shared" si="41"/>
        <v>120.00000000000006</v>
      </c>
      <c r="H76" s="200">
        <f t="shared" ca="1" si="50"/>
        <v>3.3225761559126732</v>
      </c>
      <c r="I76" s="200">
        <f t="shared" si="51"/>
        <v>3.0000000000000013E-2</v>
      </c>
      <c r="J76" s="200">
        <f t="shared" si="35"/>
        <v>0.12000000000000005</v>
      </c>
      <c r="K76" s="200">
        <f t="shared" si="42"/>
        <v>6.0000000000000012E-2</v>
      </c>
      <c r="L76" s="200">
        <f t="shared" si="43"/>
        <v>7.2000000000000024E-3</v>
      </c>
      <c r="M76" s="200">
        <f ca="1">IF(【事例1】危険部品判断シート!$O$36=0,2.51*0.56*(O76/K76)^0.25+0.0000000567*$F$9*(($F$10+273+O76)^2+($F$10+273)^2)*(($F$10+273+O76)+($F$10+273)),3.86*(【事例1】危険部品判断シート!$O$36/K76)^0.5+0.0000000567*$F$9*(($F$10+273+O76)^2+($F$10+273)^2)*(($F$10+273+O76)+($F$10+273)))</f>
        <v>15.382297018114222</v>
      </c>
      <c r="N76" s="200">
        <f t="shared" ca="1" si="36"/>
        <v>9.5846939687153725</v>
      </c>
      <c r="O76" s="200">
        <f t="shared" ca="1" si="37"/>
        <v>31.845875642173706</v>
      </c>
      <c r="P76" s="200">
        <f t="shared" si="44"/>
        <v>9.0000000000000073E-4</v>
      </c>
      <c r="Q76" s="200">
        <f t="shared" si="45"/>
        <v>3.6000000000000012E-3</v>
      </c>
      <c r="R76" s="200">
        <f t="shared" si="46"/>
        <v>126.13879994719511</v>
      </c>
      <c r="S76" s="200">
        <f t="shared" si="38"/>
        <v>0.52239776254421844</v>
      </c>
      <c r="T76" s="200">
        <f t="shared" ca="1" si="39"/>
        <v>78.343316320851983</v>
      </c>
      <c r="U76" s="200">
        <f t="shared" si="40"/>
        <v>0.19912578587866675</v>
      </c>
      <c r="V76" s="200">
        <f t="shared" ca="1" si="47"/>
        <v>2.4716846315396825</v>
      </c>
      <c r="W76" s="262">
        <f t="shared" ca="1" si="48"/>
        <v>12.056378600255055</v>
      </c>
      <c r="X76" s="200">
        <f t="shared" ca="1" si="49"/>
        <v>3.3225761559126732</v>
      </c>
    </row>
    <row r="77" spans="7:24">
      <c r="G77" s="200">
        <f t="shared" si="41"/>
        <v>128.00000000000006</v>
      </c>
      <c r="H77" s="200">
        <f t="shared" ca="1" si="50"/>
        <v>3.5349295564537448</v>
      </c>
      <c r="I77" s="200">
        <f t="shared" si="51"/>
        <v>3.2000000000000015E-2</v>
      </c>
      <c r="J77" s="200">
        <f t="shared" si="35"/>
        <v>0.12800000000000006</v>
      </c>
      <c r="K77" s="200">
        <f t="shared" si="42"/>
        <v>6.2000000000000013E-2</v>
      </c>
      <c r="L77" s="200">
        <f t="shared" si="43"/>
        <v>7.688000000000003E-3</v>
      </c>
      <c r="M77" s="200">
        <f ca="1">IF(【事例1】危険部品判断シート!$O$36=0,2.51*0.56*(O77/K77)^0.25+0.0000000567*$F$9*(($F$10+273+O77)^2+($F$10+273)^2)*(($F$10+273+O77)+($F$10+273)),3.86*(【事例1】危険部品判断シート!$O$36/K77)^0.5+0.0000000567*$F$9*(($F$10+273+O77)^2+($F$10+273)^2)*(($F$10+273+O77)+($F$10+273)))</f>
        <v>15.326610980115085</v>
      </c>
      <c r="N77" s="200">
        <f t="shared" ca="1" si="36"/>
        <v>9.0070234241258884</v>
      </c>
      <c r="O77" s="200">
        <f t="shared" ca="1" si="37"/>
        <v>31.839193317613816</v>
      </c>
      <c r="P77" s="200">
        <f t="shared" si="44"/>
        <v>1.024000000000001E-3</v>
      </c>
      <c r="Q77" s="200">
        <f t="shared" si="45"/>
        <v>3.8440000000000015E-3</v>
      </c>
      <c r="R77" s="200">
        <f t="shared" si="46"/>
        <v>121.06174188438237</v>
      </c>
      <c r="S77" s="200">
        <f t="shared" si="38"/>
        <v>0.47394958295342404</v>
      </c>
      <c r="T77" s="200">
        <f t="shared" ca="1" si="39"/>
        <v>75.447368140774202</v>
      </c>
      <c r="U77" s="200">
        <f t="shared" si="40"/>
        <v>0.19131212312621915</v>
      </c>
      <c r="V77" s="200">
        <f t="shared" ca="1" si="47"/>
        <v>2.3227244934153548</v>
      </c>
      <c r="W77" s="262">
        <f t="shared" ca="1" si="48"/>
        <v>11.329747917541244</v>
      </c>
      <c r="X77" s="200">
        <f t="shared" ca="1" si="49"/>
        <v>3.5349295564537444</v>
      </c>
    </row>
    <row r="78" spans="7:24">
      <c r="G78" s="200">
        <f t="shared" si="41"/>
        <v>136.00000000000006</v>
      </c>
      <c r="H78" s="200">
        <f t="shared" ca="1" si="50"/>
        <v>3.7535248568716675</v>
      </c>
      <c r="I78" s="200">
        <f t="shared" si="51"/>
        <v>3.4000000000000016E-2</v>
      </c>
      <c r="J78" s="200">
        <f t="shared" si="35"/>
        <v>0.13600000000000007</v>
      </c>
      <c r="K78" s="200">
        <f t="shared" si="42"/>
        <v>6.4000000000000015E-2</v>
      </c>
      <c r="L78" s="200">
        <f t="shared" si="43"/>
        <v>8.1920000000000031E-3</v>
      </c>
      <c r="M78" s="200">
        <f ca="1">IF(【事例1】危険部品判断シート!$O$36=0,2.51*0.56*(O78/K78)^0.25+0.0000000567*$F$9*(($F$10+273+O78)^2+($F$10+273)^2)*(($F$10+273+O78)+($F$10+273)),3.86*(【事例1】危険部品判断シート!$O$36/K78)^0.5+0.0000000567*$F$9*(($F$10+273+O78)^2+($F$10+273)^2)*(($F$10+273+O78)+($F$10+273)))</f>
        <v>15.273131741828063</v>
      </c>
      <c r="N78" s="200">
        <f t="shared" ca="1" si="36"/>
        <v>8.4807686169287937</v>
      </c>
      <c r="O78" s="200">
        <f t="shared" ca="1" si="37"/>
        <v>31.832775809019381</v>
      </c>
      <c r="P78" s="200">
        <f t="shared" si="44"/>
        <v>1.1560000000000012E-3</v>
      </c>
      <c r="Q78" s="200">
        <f t="shared" si="45"/>
        <v>4.0960000000000015E-3</v>
      </c>
      <c r="R78" s="200">
        <f t="shared" si="46"/>
        <v>116.41688965637776</v>
      </c>
      <c r="S78" s="200">
        <f t="shared" si="38"/>
        <v>0.43213050210459247</v>
      </c>
      <c r="T78" s="200">
        <f t="shared" ca="1" si="39"/>
        <v>72.792001237028387</v>
      </c>
      <c r="U78" s="200">
        <f t="shared" si="40"/>
        <v>0.18414230259364817</v>
      </c>
      <c r="V78" s="200">
        <f t="shared" ca="1" si="47"/>
        <v>2.1893243331851386</v>
      </c>
      <c r="W78" s="262">
        <f t="shared" ca="1" si="48"/>
        <v>10.670092950113933</v>
      </c>
      <c r="X78" s="200">
        <f t="shared" ca="1" si="49"/>
        <v>3.7535248568716666</v>
      </c>
    </row>
    <row r="79" spans="7:24">
      <c r="G79" s="200">
        <f t="shared" si="41"/>
        <v>144.00000000000009</v>
      </c>
      <c r="H79" s="200">
        <f t="shared" ca="1" si="50"/>
        <v>3.9783452982426204</v>
      </c>
      <c r="I79" s="200">
        <f t="shared" si="51"/>
        <v>3.6000000000000018E-2</v>
      </c>
      <c r="J79" s="200">
        <f t="shared" si="35"/>
        <v>0.14400000000000007</v>
      </c>
      <c r="K79" s="200">
        <f t="shared" si="42"/>
        <v>6.6000000000000017E-2</v>
      </c>
      <c r="L79" s="200">
        <f t="shared" si="43"/>
        <v>8.7120000000000045E-3</v>
      </c>
      <c r="M79" s="200">
        <f ca="1">IF(【事例1】危険部品判断シート!$O$36=0,2.51*0.56*(O79/K79)^0.25+0.0000000567*$F$9*(($F$10+273+O79)^2+($F$10+273)^2)*(($F$10+273+O79)+($F$10+273)),3.86*(【事例1】危険部品判断シート!$O$36/K79)^0.5+0.0000000567*$F$9*(($F$10+273+O79)^2+($F$10+273)^2)*(($F$10+273+O79)+($F$10+273)))</f>
        <v>15.221706834414668</v>
      </c>
      <c r="N79" s="200">
        <f t="shared" ca="1" si="36"/>
        <v>7.9999603941338959</v>
      </c>
      <c r="O79" s="200">
        <f t="shared" ca="1" si="37"/>
        <v>31.826604820129766</v>
      </c>
      <c r="P79" s="200">
        <f t="shared" si="44"/>
        <v>1.2960000000000014E-3</v>
      </c>
      <c r="Q79" s="200">
        <f t="shared" si="45"/>
        <v>4.3560000000000022E-3</v>
      </c>
      <c r="R79" s="200">
        <f t="shared" si="46"/>
        <v>112.14638379037939</v>
      </c>
      <c r="S79" s="200">
        <f t="shared" si="38"/>
        <v>0.39575588071531692</v>
      </c>
      <c r="T79" s="200">
        <f t="shared" ca="1" si="39"/>
        <v>70.345041020629949</v>
      </c>
      <c r="U79" s="200">
        <f t="shared" si="40"/>
        <v>0.17753296969025451</v>
      </c>
      <c r="V79" s="200">
        <f t="shared" ca="1" si="47"/>
        <v>2.0691397028367158</v>
      </c>
      <c r="W79" s="262">
        <f t="shared" ca="1" si="48"/>
        <v>10.069100096970612</v>
      </c>
      <c r="X79" s="200">
        <f t="shared" ca="1" si="49"/>
        <v>3.9783452982426195</v>
      </c>
    </row>
    <row r="80" spans="7:24">
      <c r="G80" s="200">
        <f t="shared" si="41"/>
        <v>152.00000000000009</v>
      </c>
      <c r="H80" s="200">
        <f t="shared" ca="1" si="50"/>
        <v>4.2093747649781452</v>
      </c>
      <c r="I80" s="200">
        <f t="shared" si="51"/>
        <v>3.800000000000002E-2</v>
      </c>
      <c r="J80" s="200">
        <f t="shared" si="35"/>
        <v>0.15200000000000008</v>
      </c>
      <c r="K80" s="200">
        <f t="shared" si="42"/>
        <v>6.8000000000000019E-2</v>
      </c>
      <c r="L80" s="200">
        <f t="shared" si="43"/>
        <v>9.2480000000000045E-3</v>
      </c>
      <c r="M80" s="200">
        <f ca="1">IF(【事例1】危険部品判断シート!$O$36=0,2.51*0.56*(O80/K80)^0.25+0.0000000567*$F$9*(($F$10+273+O80)^2+($F$10+273)^2)*(($F$10+273+O80)+($F$10+273)),3.86*(【事例1】危険部品判断シート!$O$36/K80)^0.5+0.0000000567*$F$9*(($F$10+273+O80)^2+($F$10+273)^2)*(($F$10+273+O80)+($F$10+273)))</f>
        <v>15.172198547354899</v>
      </c>
      <c r="N80" s="200">
        <f t="shared" ca="1" si="36"/>
        <v>7.5594751245314216</v>
      </c>
      <c r="O80" s="200">
        <f t="shared" ca="1" si="37"/>
        <v>31.820663825682587</v>
      </c>
      <c r="P80" s="200">
        <f t="shared" si="44"/>
        <v>1.4440000000000015E-3</v>
      </c>
      <c r="Q80" s="200">
        <f t="shared" si="45"/>
        <v>4.6240000000000022E-3</v>
      </c>
      <c r="R80" s="200">
        <f t="shared" si="46"/>
        <v>108.20296589767989</v>
      </c>
      <c r="S80" s="200">
        <f t="shared" si="38"/>
        <v>0.36389937019334101</v>
      </c>
      <c r="T80" s="200">
        <f t="shared" ca="1" si="39"/>
        <v>68.080249385586896</v>
      </c>
      <c r="U80" s="200">
        <f t="shared" si="40"/>
        <v>0.17141559147636184</v>
      </c>
      <c r="V80" s="200">
        <f t="shared" ca="1" si="47"/>
        <v>1.9602767254449185</v>
      </c>
      <c r="W80" s="262">
        <f t="shared" ca="1" si="48"/>
        <v>9.5197518499763394</v>
      </c>
      <c r="X80" s="200">
        <f t="shared" ca="1" si="49"/>
        <v>4.2093747649781452</v>
      </c>
    </row>
    <row r="81" spans="7:24">
      <c r="G81" s="200">
        <f t="shared" si="41"/>
        <v>160.00000000000009</v>
      </c>
      <c r="H81" s="200">
        <f t="shared" ca="1" si="50"/>
        <v>4.4465977417072846</v>
      </c>
      <c r="I81" s="200">
        <f t="shared" si="51"/>
        <v>4.0000000000000022E-2</v>
      </c>
      <c r="J81" s="200">
        <f t="shared" si="35"/>
        <v>0.16000000000000009</v>
      </c>
      <c r="K81" s="200">
        <f t="shared" si="42"/>
        <v>7.0000000000000021E-2</v>
      </c>
      <c r="L81" s="200">
        <f t="shared" si="43"/>
        <v>9.8000000000000049E-3</v>
      </c>
      <c r="M81" s="200">
        <f ca="1">IF(【事例1】危険部品判断シート!$O$36=0,2.51*0.56*(O81/K81)^0.25+0.0000000567*$F$9*(($F$10+273+O81)^2+($F$10+273)^2)*(($F$10+273+O81)+($F$10+273)),3.86*(【事例1】危険部品判断シート!$O$36/K81)^0.5+0.0000000567*$F$9*(($F$10+273+O81)^2+($F$10+273)^2)*(($F$10+273+O81)+($F$10+273)))</f>
        <v>15.124482114650618</v>
      </c>
      <c r="N81" s="200">
        <f t="shared" ca="1" si="36"/>
        <v>7.15489452876451</v>
      </c>
      <c r="O81" s="200">
        <f t="shared" ca="1" si="37"/>
        <v>31.814937853758078</v>
      </c>
      <c r="P81" s="200">
        <f t="shared" si="44"/>
        <v>1.6000000000000018E-3</v>
      </c>
      <c r="Q81" s="200">
        <f t="shared" si="45"/>
        <v>4.9000000000000024E-3</v>
      </c>
      <c r="R81" s="200">
        <f t="shared" si="46"/>
        <v>104.54754281188151</v>
      </c>
      <c r="S81" s="200">
        <f t="shared" si="38"/>
        <v>0.33582713306414036</v>
      </c>
      <c r="T81" s="200">
        <f t="shared" ca="1" si="39"/>
        <v>65.975949829736521</v>
      </c>
      <c r="U81" s="200">
        <f t="shared" si="40"/>
        <v>0.16573313581951751</v>
      </c>
      <c r="V81" s="200">
        <f t="shared" ca="1" si="47"/>
        <v>1.8611886483404176</v>
      </c>
      <c r="W81" s="262">
        <f t="shared" ca="1" si="48"/>
        <v>9.0160831771049281</v>
      </c>
      <c r="X81" s="200">
        <f t="shared" ca="1" si="49"/>
        <v>4.4465977417072846</v>
      </c>
    </row>
    <row r="82" spans="7:24">
      <c r="G82" s="200">
        <f t="shared" si="41"/>
        <v>168.00000000000009</v>
      </c>
      <c r="H82" s="200">
        <f t="shared" ca="1" si="50"/>
        <v>4.6899992742121803</v>
      </c>
      <c r="I82" s="200">
        <f t="shared" si="51"/>
        <v>4.2000000000000023E-2</v>
      </c>
      <c r="J82" s="200">
        <f t="shared" si="35"/>
        <v>0.16800000000000009</v>
      </c>
      <c r="K82" s="200">
        <f t="shared" si="42"/>
        <v>7.2000000000000022E-2</v>
      </c>
      <c r="L82" s="200">
        <f t="shared" si="43"/>
        <v>1.0368000000000006E-2</v>
      </c>
      <c r="M82" s="200">
        <f ca="1">IF(【事例1】危険部品判断シート!$O$36=0,2.51*0.56*(O82/K82)^0.25+0.0000000567*$F$9*(($F$10+273+O82)^2+($F$10+273)^2)*(($F$10+273+O82)+($F$10+273)),3.86*(【事例1】危険部品判断シート!$O$36/K82)^0.5+0.0000000567*$F$9*(($F$10+273+O82)^2+($F$10+273)^2)*(($F$10+273+O82)+($F$10+273)))</f>
        <v>15.07844416863483</v>
      </c>
      <c r="N82" s="200">
        <f t="shared" ca="1" si="36"/>
        <v>6.7823919451628241</v>
      </c>
      <c r="O82" s="200">
        <f t="shared" ca="1" si="37"/>
        <v>31.809413300236184</v>
      </c>
      <c r="P82" s="200">
        <f t="shared" si="44"/>
        <v>1.7640000000000019E-3</v>
      </c>
      <c r="Q82" s="200">
        <f t="shared" si="45"/>
        <v>5.1840000000000028E-3</v>
      </c>
      <c r="R82" s="200">
        <f t="shared" si="46"/>
        <v>101.14741265440861</v>
      </c>
      <c r="S82" s="200">
        <f t="shared" si="38"/>
        <v>0.31095104913346328</v>
      </c>
      <c r="T82" s="200">
        <f t="shared" ca="1" si="39"/>
        <v>64.014028583923647</v>
      </c>
      <c r="U82" s="200">
        <f t="shared" si="40"/>
        <v>0.16043763403361952</v>
      </c>
      <c r="V82" s="200">
        <f t="shared" ca="1" si="47"/>
        <v>1.770599689223727</v>
      </c>
      <c r="W82" s="262">
        <f t="shared" ca="1" si="48"/>
        <v>8.5529916343865509</v>
      </c>
      <c r="X82" s="200">
        <f t="shared" ca="1" si="49"/>
        <v>4.6899992742121803</v>
      </c>
    </row>
    <row r="83" spans="7:24">
      <c r="G83" s="200">
        <f t="shared" si="41"/>
        <v>176.00000000000011</v>
      </c>
      <c r="H83" s="200">
        <f t="shared" ca="1" si="50"/>
        <v>4.9395649339327994</v>
      </c>
      <c r="I83" s="200">
        <f t="shared" si="51"/>
        <v>4.4000000000000025E-2</v>
      </c>
      <c r="J83" s="200">
        <f t="shared" si="35"/>
        <v>0.1760000000000001</v>
      </c>
      <c r="K83" s="200">
        <f t="shared" si="42"/>
        <v>7.4000000000000024E-2</v>
      </c>
      <c r="L83" s="200">
        <f t="shared" si="43"/>
        <v>1.0952000000000007E-2</v>
      </c>
      <c r="M83" s="200">
        <f ca="1">IF(【事例1】危険部品判断シート!$O$36=0,2.51*0.56*(O83/K83)^0.25+0.0000000567*$F$9*(($F$10+273+O83)^2+($F$10+273)^2)*(($F$10+273+O83)+($F$10+273)),3.86*(【事例1】危険部品判断シート!$O$36/K83)^0.5+0.0000000567*$F$9*(($F$10+273+O83)^2+($F$10+273)^2)*(($F$10+273+O83)+($F$10+273)))</f>
        <v>15.033981415670794</v>
      </c>
      <c r="N83" s="200">
        <f t="shared" ca="1" si="36"/>
        <v>6.4386394743795012</v>
      </c>
      <c r="O83" s="200">
        <f t="shared" ca="1" si="37"/>
        <v>31.804077769880497</v>
      </c>
      <c r="P83" s="200">
        <f t="shared" si="44"/>
        <v>1.9360000000000022E-3</v>
      </c>
      <c r="Q83" s="200">
        <f t="shared" si="45"/>
        <v>5.4760000000000034E-3</v>
      </c>
      <c r="R83" s="200">
        <f t="shared" si="46"/>
        <v>97.974948360133624</v>
      </c>
      <c r="S83" s="200">
        <f t="shared" si="38"/>
        <v>0.28879483187333932</v>
      </c>
      <c r="T83" s="200">
        <f t="shared" ca="1" si="39"/>
        <v>62.179195071328017</v>
      </c>
      <c r="U83" s="200">
        <f t="shared" si="40"/>
        <v>0.1554883590761664</v>
      </c>
      <c r="V83" s="200">
        <f t="shared" ca="1" si="47"/>
        <v>1.6874481133827262</v>
      </c>
      <c r="W83" s="262">
        <f t="shared" ca="1" si="48"/>
        <v>8.1260875877622283</v>
      </c>
      <c r="X83" s="200">
        <f t="shared" ca="1" si="49"/>
        <v>4.9395649339327994</v>
      </c>
    </row>
    <row r="84" spans="7:24">
      <c r="G84" s="200">
        <f t="shared" si="41"/>
        <v>184.00000000000011</v>
      </c>
      <c r="H84" s="200">
        <f t="shared" ca="1" si="50"/>
        <v>5.1952807856260002</v>
      </c>
      <c r="I84" s="200">
        <f t="shared" si="51"/>
        <v>4.6000000000000027E-2</v>
      </c>
      <c r="J84" s="200">
        <f t="shared" si="35"/>
        <v>0.18400000000000011</v>
      </c>
      <c r="K84" s="200">
        <f t="shared" si="42"/>
        <v>7.6000000000000026E-2</v>
      </c>
      <c r="L84" s="200">
        <f t="shared" si="43"/>
        <v>1.1552000000000008E-2</v>
      </c>
      <c r="M84" s="200">
        <f ca="1">IF(【事例1】危険部品判断シート!$O$36=0,2.51*0.56*(O84/K84)^0.25+0.0000000567*$F$9*(($F$10+273+O84)^2+($F$10+273)^2)*(($F$10+273+O84)+($F$10+273)),3.86*(【事例1】危険部品判断シート!$O$36/K84)^0.5+0.0000000567*$F$9*(($F$10+273+O84)^2+($F$10+273)^2)*(($F$10+273+O84)+($F$10+273)))</f>
        <v>14.990999496843244</v>
      </c>
      <c r="N84" s="200">
        <f t="shared" ca="1" si="36"/>
        <v>6.1207317278405036</v>
      </c>
      <c r="O84" s="200">
        <f t="shared" ca="1" si="37"/>
        <v>31.798919939621197</v>
      </c>
      <c r="P84" s="200">
        <f t="shared" si="44"/>
        <v>2.1160000000000024E-3</v>
      </c>
      <c r="Q84" s="200">
        <f t="shared" si="45"/>
        <v>5.7760000000000042E-3</v>
      </c>
      <c r="R84" s="200">
        <f t="shared" si="46"/>
        <v>95.006604077305056</v>
      </c>
      <c r="S84" s="200">
        <f t="shared" si="38"/>
        <v>0.26896909970812155</v>
      </c>
      <c r="T84" s="200">
        <f t="shared" ca="1" si="39"/>
        <v>60.458425018805848</v>
      </c>
      <c r="U84" s="200">
        <f t="shared" si="40"/>
        <v>0.15085044143511225</v>
      </c>
      <c r="V84" s="200">
        <f t="shared" ca="1" si="47"/>
        <v>1.6108430965948146</v>
      </c>
      <c r="W84" s="262">
        <f t="shared" ca="1" si="48"/>
        <v>7.7315748244353184</v>
      </c>
      <c r="X84" s="200">
        <f t="shared" ca="1" si="49"/>
        <v>5.1952807856259984</v>
      </c>
    </row>
    <row r="85" spans="7:24">
      <c r="G85" s="200">
        <f t="shared" si="41"/>
        <v>192.00000000000011</v>
      </c>
      <c r="H85" s="200">
        <f t="shared" ca="1" si="50"/>
        <v>5.4571333578220891</v>
      </c>
      <c r="I85" s="200">
        <f t="shared" si="51"/>
        <v>4.8000000000000029E-2</v>
      </c>
      <c r="J85" s="200">
        <f t="shared" si="35"/>
        <v>0.19200000000000012</v>
      </c>
      <c r="K85" s="200">
        <f t="shared" si="42"/>
        <v>7.8000000000000028E-2</v>
      </c>
      <c r="L85" s="200">
        <f t="shared" si="43"/>
        <v>1.2168000000000009E-2</v>
      </c>
      <c r="M85" s="200">
        <f ca="1">IF(【事例1】危険部品判断シート!$O$36=0,2.51*0.56*(O85/K85)^0.25+0.0000000567*$F$9*(($F$10+273+O85)^2+($F$10+273)^2)*(($F$10+273+O85)+($F$10+273)),3.86*(【事例1】危険部品判断シート!$O$36/K85)^0.5+0.0000000567*$F$9*(($F$10+273+O85)^2+($F$10+273)^2)*(($F$10+273+O85)+($F$10+273)))</f>
        <v>14.949412003676539</v>
      </c>
      <c r="N85" s="200">
        <f t="shared" ca="1" si="36"/>
        <v>5.8261228662973288</v>
      </c>
      <c r="O85" s="200">
        <f t="shared" ca="1" si="37"/>
        <v>31.793929440441197</v>
      </c>
      <c r="P85" s="200">
        <f t="shared" si="44"/>
        <v>2.3040000000000027E-3</v>
      </c>
      <c r="Q85" s="200">
        <f t="shared" si="45"/>
        <v>6.0840000000000043E-3</v>
      </c>
      <c r="R85" s="200">
        <f t="shared" si="46"/>
        <v>92.222153805534703</v>
      </c>
      <c r="S85" s="200">
        <f t="shared" si="38"/>
        <v>0.25115277045395107</v>
      </c>
      <c r="T85" s="200">
        <f t="shared" ca="1" si="39"/>
        <v>58.840534668873666</v>
      </c>
      <c r="U85" s="200">
        <f t="shared" si="40"/>
        <v>0.14649380199203793</v>
      </c>
      <c r="V85" s="200">
        <f t="shared" ca="1" si="47"/>
        <v>1.5400316248166142</v>
      </c>
      <c r="W85" s="262">
        <f t="shared" ca="1" si="48"/>
        <v>7.3661544911139432</v>
      </c>
      <c r="X85" s="200">
        <f t="shared" ca="1" si="49"/>
        <v>5.4571333578220882</v>
      </c>
    </row>
    <row r="86" spans="7:24">
      <c r="G86" s="200">
        <f t="shared" si="41"/>
        <v>200.00000000000011</v>
      </c>
      <c r="H86" s="200">
        <f t="shared" ca="1" si="50"/>
        <v>5.7251096157706538</v>
      </c>
      <c r="I86" s="200">
        <f t="shared" si="51"/>
        <v>5.0000000000000031E-2</v>
      </c>
      <c r="J86" s="200">
        <f t="shared" si="35"/>
        <v>0.20000000000000012</v>
      </c>
      <c r="K86" s="200">
        <f t="shared" si="42"/>
        <v>8.0000000000000029E-2</v>
      </c>
      <c r="L86" s="200">
        <f t="shared" si="43"/>
        <v>1.2800000000000009E-2</v>
      </c>
      <c r="M86" s="200">
        <f ca="1">IF(【事例1】危険部品判断シート!$O$36=0,2.51*0.56*(O86/K86)^0.25+0.0000000567*$F$9*(($F$10+273+O86)^2+($F$10+273)^2)*(($F$10+273+O86)+($F$10+273)),3.86*(【事例1】危険部品判断シート!$O$36/K86)^0.5+0.0000000567*$F$9*(($F$10+273+O86)^2+($F$10+273)^2)*(($F$10+273+O86)+($F$10+273)))</f>
        <v>14.909139624402732</v>
      </c>
      <c r="N86" s="200">
        <f t="shared" ca="1" si="36"/>
        <v>5.5525743415218818</v>
      </c>
      <c r="O86" s="200">
        <f t="shared" ca="1" si="37"/>
        <v>31.78909675492833</v>
      </c>
      <c r="P86" s="200">
        <f t="shared" si="44"/>
        <v>2.5000000000000031E-3</v>
      </c>
      <c r="Q86" s="200">
        <f t="shared" si="45"/>
        <v>6.4000000000000046E-3</v>
      </c>
      <c r="R86" s="200">
        <f t="shared" si="46"/>
        <v>89.604099960396326</v>
      </c>
      <c r="S86" s="200">
        <f t="shared" si="38"/>
        <v>0.23507899314489825</v>
      </c>
      <c r="T86" s="200">
        <f t="shared" ca="1" si="39"/>
        <v>57.315850713821824</v>
      </c>
      <c r="U86" s="200">
        <f t="shared" si="40"/>
        <v>0.14239231828545371</v>
      </c>
      <c r="V86" s="200">
        <f t="shared" ca="1" si="47"/>
        <v>1.4743728049463043</v>
      </c>
      <c r="W86" s="262">
        <f t="shared" ca="1" si="48"/>
        <v>7.0269471464681859</v>
      </c>
      <c r="X86" s="200">
        <f t="shared" ca="1" si="49"/>
        <v>5.7251096157706538</v>
      </c>
    </row>
    <row r="88" spans="7:24">
      <c r="K88" s="200" t="s">
        <v>275</v>
      </c>
      <c r="L88" s="265">
        <f>L60+E33</f>
        <v>20</v>
      </c>
    </row>
    <row r="89" spans="7:24">
      <c r="H89" s="200" t="s">
        <v>203</v>
      </c>
      <c r="I89" s="200" t="s">
        <v>277</v>
      </c>
      <c r="J89" s="200" t="s">
        <v>253</v>
      </c>
      <c r="K89" s="200" t="s">
        <v>278</v>
      </c>
      <c r="L89" s="200" t="s">
        <v>279</v>
      </c>
      <c r="M89" s="200" t="s">
        <v>280</v>
      </c>
      <c r="N89" s="200" t="s">
        <v>281</v>
      </c>
      <c r="O89" s="200" t="s">
        <v>282</v>
      </c>
      <c r="P89" s="200" t="s">
        <v>283</v>
      </c>
      <c r="Q89" s="200" t="s">
        <v>284</v>
      </c>
      <c r="R89" s="200" t="s">
        <v>285</v>
      </c>
      <c r="S89" s="200" t="s">
        <v>286</v>
      </c>
      <c r="T89" s="200" t="s">
        <v>287</v>
      </c>
      <c r="U89" s="200" t="s">
        <v>288</v>
      </c>
      <c r="V89" s="200" t="s">
        <v>289</v>
      </c>
      <c r="W89" s="200" t="s">
        <v>290</v>
      </c>
      <c r="X89" s="200" t="s">
        <v>291</v>
      </c>
    </row>
    <row r="90" spans="7:24">
      <c r="G90" s="200">
        <f>J90*1000</f>
        <v>8</v>
      </c>
      <c r="H90" s="200">
        <f ca="1">X90</f>
        <v>1.6954368287606325</v>
      </c>
      <c r="I90" s="200">
        <v>2E-3</v>
      </c>
      <c r="J90" s="200">
        <f t="shared" ref="J90:J114" si="52">I90*4</f>
        <v>8.0000000000000002E-3</v>
      </c>
      <c r="K90" s="200">
        <f>I90+$L$88/1000*2</f>
        <v>4.2000000000000003E-2</v>
      </c>
      <c r="L90" s="200">
        <f>K90^2*2</f>
        <v>3.5280000000000003E-3</v>
      </c>
      <c r="M90" s="200">
        <f ca="1">IF(【事例1】危険部品判断シート!$O$36=0,2.51*0.56*(O90/K90)^0.25+0.0000000567*$F$9*(($F$10+273+O90)^2+($F$10+273)^2)*(($F$10+273+O90)+($F$10+273)),3.86*(【事例1】危険部品判断シート!$O$36/K90)^0.5+0.0000000567*$F$9*(($F$10+273+O90)^2+($F$10+273)^2)*(($F$10+273+O90)+($F$10+273)))</f>
        <v>16.018866484888818</v>
      </c>
      <c r="N90" s="200">
        <f ca="1">1/L90/M90+$F$8/$M$3/L90</f>
        <v>18.828341720948632</v>
      </c>
      <c r="O90" s="200">
        <f t="shared" ref="O90:O114" ca="1" si="53">H90*N90</f>
        <v>31.92226397818666</v>
      </c>
      <c r="P90" s="200">
        <f>I90^2</f>
        <v>3.9999999999999998E-6</v>
      </c>
      <c r="Q90" s="200">
        <f>K90^2</f>
        <v>1.7640000000000002E-3</v>
      </c>
      <c r="R90" s="200">
        <f>(PI()^1.5)/((Q90)^0.5)+1/(P90)^0.5</f>
        <v>632.57923801980257</v>
      </c>
      <c r="S90" s="200">
        <f t="shared" ref="S90:S114" si="54">$F$6*(Q90^0.5-P90^0.5)/($L$3*(PI()*Q90*P90)^0.5)</f>
        <v>14.925650358406251</v>
      </c>
      <c r="T90" s="200">
        <f t="shared" ref="T90:T114" ca="1" si="55">R90*$L$3*Q90*N90/$F$6</f>
        <v>378.17959420981714</v>
      </c>
      <c r="U90" s="200">
        <f t="shared" ref="U90:U114" si="56">TANH(R90*$F$8/$F$6)</f>
        <v>0.76664024133959741</v>
      </c>
      <c r="V90" s="200">
        <f ca="1">S90*(T90+U90)/(1+T90*U90)</f>
        <v>19.441321984720133</v>
      </c>
      <c r="W90" s="262">
        <f ca="1">N90+V90</f>
        <v>38.269663705668762</v>
      </c>
      <c r="X90" s="200">
        <f ca="1">L90*M90*$Q$3</f>
        <v>1.6954368287606325</v>
      </c>
    </row>
    <row r="91" spans="7:24">
      <c r="G91" s="200">
        <f t="shared" ref="G91:G114" si="57">J91*1000</f>
        <v>16</v>
      </c>
      <c r="H91" s="200">
        <f ca="1">X91</f>
        <v>1.850724131179396</v>
      </c>
      <c r="I91" s="200">
        <f>I90+0.002</f>
        <v>4.0000000000000001E-3</v>
      </c>
      <c r="J91" s="200">
        <f t="shared" si="52"/>
        <v>1.6E-2</v>
      </c>
      <c r="K91" s="200">
        <f t="shared" ref="K91:K114" si="58">I91+$L$88/1000*2</f>
        <v>4.3999999999999997E-2</v>
      </c>
      <c r="L91" s="200">
        <f t="shared" ref="L91:L114" si="59">K91^2*2</f>
        <v>3.8719999999999996E-3</v>
      </c>
      <c r="M91" s="200">
        <f ca="1">IF(【事例1】危険部品判断シート!$O$36=0,2.51*0.56*(O91/K91)^0.25+0.0000000567*$F$9*(($F$10+273+O91)^2+($F$10+273)^2)*(($F$10+273+O91)+($F$10+273)),3.86*(【事例1】危険部品判断シート!$O$36/K91)^0.5+0.0000000567*$F$9*(($F$10+273+O91)^2+($F$10+273)^2)*(($F$10+273+O91)+($F$10+273)))</f>
        <v>15.932542451613262</v>
      </c>
      <c r="N91" s="200">
        <f t="shared" ref="N91:N114" ca="1" si="60">1/L91/M91+$F$8/$M$3/L91</f>
        <v>17.242929163006778</v>
      </c>
      <c r="O91" s="200">
        <f t="shared" ca="1" si="53"/>
        <v>31.911905094193589</v>
      </c>
      <c r="P91" s="200">
        <f t="shared" ref="P91:P114" si="61">I91^2</f>
        <v>1.5999999999999999E-5</v>
      </c>
      <c r="Q91" s="200">
        <f t="shared" ref="Q91:Q114" si="62">K91^2</f>
        <v>1.9359999999999998E-3</v>
      </c>
      <c r="R91" s="200">
        <f t="shared" ref="R91:R114" si="63">(PI()^1.5)/((Q91)^0.5)+1/(P91)^0.5</f>
        <v>376.55290901890248</v>
      </c>
      <c r="S91" s="200">
        <f t="shared" si="54"/>
        <v>7.12360585287571</v>
      </c>
      <c r="T91" s="200">
        <f t="shared" ca="1" si="55"/>
        <v>226.26371275107425</v>
      </c>
      <c r="U91" s="200">
        <f t="shared" si="56"/>
        <v>0.53881523213205573</v>
      </c>
      <c r="V91" s="200">
        <f t="shared" ref="V91:V114" ca="1" si="64">S91*(T91+U91)/(1+T91*U91)</f>
        <v>13.144535313834002</v>
      </c>
      <c r="W91" s="262">
        <f t="shared" ref="W91:W114" ca="1" si="65">N91+V91</f>
        <v>30.38746447684078</v>
      </c>
      <c r="X91" s="200">
        <f t="shared" ref="X91:X114" ca="1" si="66">L91*M91*$Q$3</f>
        <v>1.8507241311793965</v>
      </c>
    </row>
    <row r="92" spans="7:24">
      <c r="G92" s="200">
        <f t="shared" si="57"/>
        <v>24</v>
      </c>
      <c r="H92" s="200">
        <f t="shared" ref="H92:H114" ca="1" si="67">X92</f>
        <v>2.0124431885077247</v>
      </c>
      <c r="I92" s="200">
        <f t="shared" ref="I92:I114" si="68">I91+0.002</f>
        <v>6.0000000000000001E-3</v>
      </c>
      <c r="J92" s="200">
        <f t="shared" si="52"/>
        <v>2.4E-2</v>
      </c>
      <c r="K92" s="200">
        <f t="shared" si="58"/>
        <v>4.5999999999999999E-2</v>
      </c>
      <c r="L92" s="200">
        <f t="shared" si="59"/>
        <v>4.2319999999999997E-3</v>
      </c>
      <c r="M92" s="200">
        <f ca="1">IF(【事例1】危険部品判断シート!$O$36=0,2.51*0.56*(O92/K92)^0.25+0.0000000567*$F$9*(($F$10+273+O92)^2+($F$10+273)^2)*(($F$10+273+O92)+($F$10+273)),3.86*(【事例1】危険部品判断シート!$O$36/K92)^0.5+0.0000000567*$F$9*(($F$10+273+O92)^2+($F$10+273)^2)*(($F$10+273+O92)+($F$10+273)))</f>
        <v>15.851001799840308</v>
      </c>
      <c r="N92" s="200">
        <f t="shared" ca="1" si="60"/>
        <v>15.852432703770891</v>
      </c>
      <c r="O92" s="200">
        <f t="shared" ca="1" si="53"/>
        <v>31.902120215980823</v>
      </c>
      <c r="P92" s="200">
        <f t="shared" si="61"/>
        <v>3.6000000000000001E-5</v>
      </c>
      <c r="Q92" s="200">
        <f t="shared" si="62"/>
        <v>2.1159999999999998E-3</v>
      </c>
      <c r="R92" s="200">
        <f t="shared" si="63"/>
        <v>287.71727529344292</v>
      </c>
      <c r="S92" s="200">
        <f t="shared" si="54"/>
        <v>4.5425892395149461</v>
      </c>
      <c r="T92" s="200">
        <f t="shared" ca="1" si="55"/>
        <v>173.72008193296037</v>
      </c>
      <c r="U92" s="200">
        <f t="shared" si="56"/>
        <v>0.43036750560140707</v>
      </c>
      <c r="V92" s="200">
        <f t="shared" ca="1" si="64"/>
        <v>10.441626692283554</v>
      </c>
      <c r="W92" s="262">
        <f t="shared" ca="1" si="65"/>
        <v>26.294059396054443</v>
      </c>
      <c r="X92" s="200">
        <f t="shared" ca="1" si="66"/>
        <v>2.0124431885077252</v>
      </c>
    </row>
    <row r="93" spans="7:24">
      <c r="G93" s="200">
        <f t="shared" si="57"/>
        <v>32</v>
      </c>
      <c r="H93" s="200">
        <f t="shared" ca="1" si="67"/>
        <v>2.1805684542287773</v>
      </c>
      <c r="I93" s="200">
        <f t="shared" si="68"/>
        <v>8.0000000000000002E-3</v>
      </c>
      <c r="J93" s="200">
        <f t="shared" si="52"/>
        <v>3.2000000000000001E-2</v>
      </c>
      <c r="K93" s="200">
        <f t="shared" si="58"/>
        <v>4.8000000000000001E-2</v>
      </c>
      <c r="L93" s="200">
        <f t="shared" si="59"/>
        <v>4.6080000000000001E-3</v>
      </c>
      <c r="M93" s="200">
        <f ca="1">IF(【事例1】危険部品判断シート!$O$36=0,2.51*0.56*(O93/K93)^0.25+0.0000000567*$F$9*(($F$10+273+O93)^2+($F$10+273)^2)*(($F$10+273+O93)+($F$10+273)),3.86*(【事例1】危険部品判断シート!$O$36/K93)^0.5+0.0000000567*$F$9*(($F$10+273+O93)^2+($F$10+273)^2)*(($F$10+273+O93)+($F$10+273)))</f>
        <v>15.773788008020668</v>
      </c>
      <c r="N93" s="200">
        <f t="shared" ca="1" si="60"/>
        <v>14.625935956797253</v>
      </c>
      <c r="O93" s="200">
        <f t="shared" ca="1" si="53"/>
        <v>31.89285456096248</v>
      </c>
      <c r="P93" s="200">
        <f t="shared" si="61"/>
        <v>6.3999999999999997E-5</v>
      </c>
      <c r="Q93" s="200">
        <f t="shared" si="62"/>
        <v>2.3040000000000001E-3</v>
      </c>
      <c r="R93" s="200">
        <f t="shared" si="63"/>
        <v>241.00683326732727</v>
      </c>
      <c r="S93" s="200">
        <f t="shared" si="54"/>
        <v>3.2649860159013677</v>
      </c>
      <c r="T93" s="200">
        <f t="shared" ca="1" si="55"/>
        <v>146.18674748927685</v>
      </c>
      <c r="U93" s="200">
        <f t="shared" si="56"/>
        <v>0.3675702973974575</v>
      </c>
      <c r="V93" s="200">
        <f t="shared" ca="1" si="64"/>
        <v>8.7422555948435292</v>
      </c>
      <c r="W93" s="262">
        <f t="shared" ca="1" si="65"/>
        <v>23.368191551640784</v>
      </c>
      <c r="X93" s="200">
        <f t="shared" ca="1" si="66"/>
        <v>2.1805684542287773</v>
      </c>
    </row>
    <row r="94" spans="7:24">
      <c r="G94" s="200">
        <f t="shared" si="57"/>
        <v>40</v>
      </c>
      <c r="H94" s="200">
        <f t="shared" ca="1" si="67"/>
        <v>2.3550757368513935</v>
      </c>
      <c r="I94" s="200">
        <f t="shared" si="68"/>
        <v>0.01</v>
      </c>
      <c r="J94" s="200">
        <f t="shared" si="52"/>
        <v>0.04</v>
      </c>
      <c r="K94" s="200">
        <f t="shared" si="58"/>
        <v>0.05</v>
      </c>
      <c r="L94" s="200">
        <f t="shared" si="59"/>
        <v>5.000000000000001E-3</v>
      </c>
      <c r="M94" s="200">
        <f ca="1">IF(【事例1】危険部品判断シート!$O$36=0,2.51*0.56*(O94/K94)^0.25+0.0000000567*$F$9*(($F$10+273+O94)^2+($F$10+273)^2)*(($F$10+273+O94)+($F$10+273)),3.86*(【事例1】危険部品判断シート!$O$36/K94)^0.5+0.0000000567*$F$9*(($F$10+273+O94)^2+($F$10+273)^2)*(($F$10+273+O94)+($F$10+273)))</f>
        <v>15.700504912342621</v>
      </c>
      <c r="N94" s="200">
        <f t="shared" ca="1" si="60"/>
        <v>13.538443834553</v>
      </c>
      <c r="O94" s="200">
        <f t="shared" ca="1" si="53"/>
        <v>31.884060589481113</v>
      </c>
      <c r="P94" s="200">
        <f t="shared" si="61"/>
        <v>1E-4</v>
      </c>
      <c r="Q94" s="200">
        <f t="shared" si="62"/>
        <v>2.5000000000000005E-3</v>
      </c>
      <c r="R94" s="200">
        <f t="shared" si="63"/>
        <v>211.36655993663419</v>
      </c>
      <c r="S94" s="200">
        <f t="shared" si="54"/>
        <v>2.5075092602122502</v>
      </c>
      <c r="T94" s="200">
        <f t="shared" ca="1" si="55"/>
        <v>128.77084350921612</v>
      </c>
      <c r="U94" s="200">
        <f t="shared" si="56"/>
        <v>0.32585741320471845</v>
      </c>
      <c r="V94" s="200">
        <f t="shared" ca="1" si="64"/>
        <v>7.5350124676381034</v>
      </c>
      <c r="W94" s="262">
        <f t="shared" ca="1" si="65"/>
        <v>21.073456302191104</v>
      </c>
      <c r="X94" s="200">
        <f t="shared" ca="1" si="66"/>
        <v>2.3550757368513939</v>
      </c>
    </row>
    <row r="95" spans="7:24">
      <c r="G95" s="200">
        <f t="shared" si="57"/>
        <v>48</v>
      </c>
      <c r="H95" s="200">
        <f t="shared" ca="1" si="67"/>
        <v>2.5359420758175522</v>
      </c>
      <c r="I95" s="200">
        <f t="shared" si="68"/>
        <v>1.2E-2</v>
      </c>
      <c r="J95" s="200">
        <f t="shared" si="52"/>
        <v>4.8000000000000001E-2</v>
      </c>
      <c r="K95" s="200">
        <f t="shared" si="58"/>
        <v>5.2000000000000005E-2</v>
      </c>
      <c r="L95" s="200">
        <f>K95^2*2</f>
        <v>5.4080000000000013E-3</v>
      </c>
      <c r="M95" s="200">
        <f ca="1">IF(【事例1】危険部品判断シート!$O$36=0,2.51*0.56*(O95/K95)^0.25+0.0000000567*$F$9*(($F$10+273+O95)^2+($F$10+273)^2)*(($F$10+273+O95)+($F$10+273)),3.86*(【事例1】危険部品判断シート!$O$36/K95)^0.5+0.0000000567*$F$9*(($F$10+273+O95)^2+($F$10+273)^2)*(($F$10+273+O95)+($F$10+273)))</f>
        <v>15.630806680335011</v>
      </c>
      <c r="N95" s="200">
        <f t="shared" ca="1" si="60"/>
        <v>12.569568171766665</v>
      </c>
      <c r="O95" s="200">
        <f t="shared" ca="1" si="53"/>
        <v>31.875696801640192</v>
      </c>
      <c r="P95" s="200">
        <f t="shared" si="61"/>
        <v>1.44E-4</v>
      </c>
      <c r="Q95" s="200">
        <f t="shared" si="62"/>
        <v>2.7040000000000007E-3</v>
      </c>
      <c r="R95" s="200">
        <f t="shared" si="63"/>
        <v>190.41656404163541</v>
      </c>
      <c r="S95" s="200">
        <f t="shared" si="54"/>
        <v>2.0092221636316108</v>
      </c>
      <c r="T95" s="200">
        <f t="shared" ca="1" si="55"/>
        <v>116.49419224864698</v>
      </c>
      <c r="U95" s="200">
        <f t="shared" si="56"/>
        <v>0.2955772729586848</v>
      </c>
      <c r="V95" s="200">
        <f t="shared" ca="1" si="64"/>
        <v>6.6225371051293731</v>
      </c>
      <c r="W95" s="262">
        <f t="shared" ca="1" si="65"/>
        <v>19.192105276896037</v>
      </c>
      <c r="X95" s="200">
        <f t="shared" ca="1" si="66"/>
        <v>2.535942075817553</v>
      </c>
    </row>
    <row r="96" spans="7:24">
      <c r="G96" s="200">
        <f t="shared" si="57"/>
        <v>56</v>
      </c>
      <c r="H96" s="200">
        <f t="shared" ca="1" si="67"/>
        <v>2.7231456331851822</v>
      </c>
      <c r="I96" s="200">
        <f t="shared" si="68"/>
        <v>1.4E-2</v>
      </c>
      <c r="J96" s="200">
        <f t="shared" si="52"/>
        <v>5.6000000000000001E-2</v>
      </c>
      <c r="K96" s="200">
        <f t="shared" si="58"/>
        <v>5.3999999999999999E-2</v>
      </c>
      <c r="L96" s="200">
        <f t="shared" si="59"/>
        <v>5.8319999999999995E-3</v>
      </c>
      <c r="M96" s="200">
        <f ca="1">IF(【事例1】危険部品判断シート!$O$36=0,2.51*0.56*(O96/K96)^0.25+0.0000000567*$F$9*(($F$10+273+O96)^2+($F$10+273)^2)*(($F$10+273+O96)+($F$10+273)),3.86*(【事例1】危険部品判断シート!$O$36/K96)^0.5+0.0000000567*$F$9*(($F$10+273+O96)^2+($F$10+273)^2)*(($F$10+273+O96)+($F$10+273)))</f>
        <v>15.564389764432917</v>
      </c>
      <c r="N96" s="200">
        <f t="shared" ca="1" si="60"/>
        <v>11.702542230346017</v>
      </c>
      <c r="O96" s="200">
        <f t="shared" ca="1" si="53"/>
        <v>31.867726771731938</v>
      </c>
      <c r="P96" s="200">
        <f t="shared" si="61"/>
        <v>1.9600000000000002E-4</v>
      </c>
      <c r="Q96" s="200">
        <f t="shared" si="62"/>
        <v>2.9159999999999998E-3</v>
      </c>
      <c r="R96" s="200">
        <f t="shared" si="63"/>
        <v>174.54575655508455</v>
      </c>
      <c r="S96" s="200">
        <f t="shared" si="54"/>
        <v>1.6584055953784724</v>
      </c>
      <c r="T96" s="200">
        <f t="shared" ca="1" si="55"/>
        <v>107.21351552966597</v>
      </c>
      <c r="U96" s="200">
        <f t="shared" si="56"/>
        <v>0.27223228696026064</v>
      </c>
      <c r="V96" s="200">
        <f t="shared" ca="1" si="64"/>
        <v>5.9050280120209413</v>
      </c>
      <c r="W96" s="262">
        <f t="shared" ca="1" si="65"/>
        <v>17.607570242366958</v>
      </c>
      <c r="X96" s="200">
        <f t="shared" ca="1" si="66"/>
        <v>2.7231456331851827</v>
      </c>
    </row>
    <row r="97" spans="7:24">
      <c r="G97" s="200">
        <f t="shared" si="57"/>
        <v>64</v>
      </c>
      <c r="H97" s="200">
        <f t="shared" ca="1" si="67"/>
        <v>2.9166655985620209</v>
      </c>
      <c r="I97" s="200">
        <f t="shared" si="68"/>
        <v>1.6E-2</v>
      </c>
      <c r="J97" s="200">
        <f t="shared" si="52"/>
        <v>6.4000000000000001E-2</v>
      </c>
      <c r="K97" s="200">
        <f t="shared" si="58"/>
        <v>5.6000000000000001E-2</v>
      </c>
      <c r="L97" s="200">
        <f t="shared" si="59"/>
        <v>6.2720000000000007E-3</v>
      </c>
      <c r="M97" s="200">
        <f ca="1">IF(【事例1】危険部品判断シート!$O$36=0,2.51*0.56*(O97/K97)^0.25+0.0000000567*$F$9*(($F$10+273+O97)^2+($F$10+273)^2)*(($F$10+273+O97)+($F$10+273)),3.86*(【事例1】危険部品判断シート!$O$36/K97)^0.5+0.0000000567*$F$9*(($F$10+273+O97)^2+($F$10+273)^2)*(($F$10+273+O97)+($F$10+273)))</f>
        <v>15.500986386915507</v>
      </c>
      <c r="N97" s="200">
        <f t="shared" ca="1" si="60"/>
        <v>10.923473154460208</v>
      </c>
      <c r="O97" s="200">
        <f t="shared" ca="1" si="53"/>
        <v>31.860118366429848</v>
      </c>
      <c r="P97" s="200">
        <f t="shared" si="61"/>
        <v>2.5599999999999999E-4</v>
      </c>
      <c r="Q97" s="200">
        <f t="shared" si="62"/>
        <v>3.1360000000000003E-3</v>
      </c>
      <c r="R97" s="200">
        <f t="shared" si="63"/>
        <v>161.93442851485196</v>
      </c>
      <c r="S97" s="200">
        <f t="shared" si="54"/>
        <v>1.3992797211005861</v>
      </c>
      <c r="T97" s="200">
        <f t="shared" ca="1" si="55"/>
        <v>99.850098528664958</v>
      </c>
      <c r="U97" s="200">
        <f t="shared" si="56"/>
        <v>0.25344894105748683</v>
      </c>
      <c r="V97" s="200">
        <f t="shared" ca="1" si="64"/>
        <v>5.324567118820454</v>
      </c>
      <c r="W97" s="262">
        <f t="shared" ca="1" si="65"/>
        <v>16.248040273280662</v>
      </c>
      <c r="X97" s="200">
        <f t="shared" ca="1" si="66"/>
        <v>2.9166655985620218</v>
      </c>
    </row>
    <row r="98" spans="7:24">
      <c r="G98" s="200">
        <f t="shared" si="57"/>
        <v>72.000000000000014</v>
      </c>
      <c r="H98" s="200">
        <f t="shared" ca="1" si="67"/>
        <v>3.1164821052471652</v>
      </c>
      <c r="I98" s="200">
        <f t="shared" si="68"/>
        <v>1.8000000000000002E-2</v>
      </c>
      <c r="J98" s="200">
        <f t="shared" si="52"/>
        <v>7.2000000000000008E-2</v>
      </c>
      <c r="K98" s="200">
        <f t="shared" si="58"/>
        <v>5.8000000000000003E-2</v>
      </c>
      <c r="L98" s="200">
        <f t="shared" si="59"/>
        <v>6.7280000000000005E-3</v>
      </c>
      <c r="M98" s="200">
        <f ca="1">IF(【事例1】危険部品判断シート!$O$36=0,2.51*0.56*(O98/K98)^0.25+0.0000000567*$F$9*(($F$10+273+O98)^2+($F$10+273)^2)*(($F$10+273+O98)+($F$10+273)),3.86*(【事例1】危険部品判断シート!$O$36/K98)^0.5+0.0000000567*$F$9*(($F$10+273+O98)^2+($F$10+273)^2)*(($F$10+273+O98)+($F$10+273)))</f>
        <v>15.440359221398955</v>
      </c>
      <c r="N98" s="200">
        <f t="shared" ca="1" si="60"/>
        <v>10.220768812674333</v>
      </c>
      <c r="O98" s="200">
        <f t="shared" ca="1" si="53"/>
        <v>31.852843106567875</v>
      </c>
      <c r="P98" s="200">
        <f t="shared" si="61"/>
        <v>3.2400000000000007E-4</v>
      </c>
      <c r="Q98" s="200">
        <f t="shared" si="62"/>
        <v>3.3640000000000002E-3</v>
      </c>
      <c r="R98" s="200">
        <f t="shared" si="63"/>
        <v>151.56121067334362</v>
      </c>
      <c r="S98" s="200">
        <f t="shared" si="54"/>
        <v>1.2009143966533762</v>
      </c>
      <c r="T98" s="200">
        <f t="shared" ca="1" si="55"/>
        <v>93.799413512260713</v>
      </c>
      <c r="U98" s="200">
        <f t="shared" si="56"/>
        <v>0.23785376338732289</v>
      </c>
      <c r="V98" s="200">
        <f t="shared" ca="1" si="64"/>
        <v>4.8446192624099345</v>
      </c>
      <c r="W98" s="262">
        <f t="shared" ca="1" si="65"/>
        <v>15.065388075084268</v>
      </c>
      <c r="X98" s="200">
        <f t="shared" ca="1" si="66"/>
        <v>3.1164821052471652</v>
      </c>
    </row>
    <row r="99" spans="7:24">
      <c r="G99" s="200">
        <f t="shared" si="57"/>
        <v>80.000000000000014</v>
      </c>
      <c r="H99" s="200">
        <f t="shared" ca="1" si="67"/>
        <v>3.3225761559126727</v>
      </c>
      <c r="I99" s="200">
        <f t="shared" si="68"/>
        <v>2.0000000000000004E-2</v>
      </c>
      <c r="J99" s="200">
        <f t="shared" si="52"/>
        <v>8.0000000000000016E-2</v>
      </c>
      <c r="K99" s="200">
        <f t="shared" si="58"/>
        <v>6.0000000000000005E-2</v>
      </c>
      <c r="L99" s="200">
        <f t="shared" si="59"/>
        <v>7.2000000000000015E-3</v>
      </c>
      <c r="M99" s="200">
        <f ca="1">IF(【事例1】危険部品判断シート!$O$36=0,2.51*0.56*(O99/K99)^0.25+0.0000000567*$F$9*(($F$10+273+O99)^2+($F$10+273)^2)*(($F$10+273+O99)+($F$10+273)),3.86*(【事例1】危険部品判断シート!$O$36/K99)^0.5+0.0000000567*$F$9*(($F$10+273+O99)^2+($F$10+273)^2)*(($F$10+273+O99)+($F$10+273)))</f>
        <v>15.382297018114222</v>
      </c>
      <c r="N99" s="200">
        <f t="shared" ca="1" si="60"/>
        <v>9.5846939687153743</v>
      </c>
      <c r="O99" s="200">
        <f t="shared" ca="1" si="53"/>
        <v>31.845875642173709</v>
      </c>
      <c r="P99" s="200">
        <f t="shared" si="61"/>
        <v>4.0000000000000018E-4</v>
      </c>
      <c r="Q99" s="200">
        <f t="shared" si="62"/>
        <v>3.6000000000000008E-3</v>
      </c>
      <c r="R99" s="200">
        <f t="shared" si="63"/>
        <v>142.8054666138618</v>
      </c>
      <c r="S99" s="200">
        <f t="shared" si="54"/>
        <v>1.0447955250884373</v>
      </c>
      <c r="T99" s="200">
        <f t="shared" ca="1" si="55"/>
        <v>88.694785807064619</v>
      </c>
      <c r="U99" s="200">
        <f t="shared" si="56"/>
        <v>0.22459381808382831</v>
      </c>
      <c r="V99" s="200">
        <f t="shared" ca="1" si="64"/>
        <v>4.4407856155233398</v>
      </c>
      <c r="W99" s="262">
        <f t="shared" ca="1" si="65"/>
        <v>14.025479584238713</v>
      </c>
      <c r="X99" s="200">
        <f t="shared" ca="1" si="66"/>
        <v>3.3225761559126727</v>
      </c>
    </row>
    <row r="100" spans="7:24">
      <c r="G100" s="200">
        <f t="shared" si="57"/>
        <v>88.000000000000028</v>
      </c>
      <c r="H100" s="200">
        <f t="shared" ca="1" si="67"/>
        <v>3.5349295564537444</v>
      </c>
      <c r="I100" s="200">
        <f t="shared" si="68"/>
        <v>2.2000000000000006E-2</v>
      </c>
      <c r="J100" s="200">
        <f t="shared" si="52"/>
        <v>8.8000000000000023E-2</v>
      </c>
      <c r="K100" s="200">
        <f t="shared" si="58"/>
        <v>6.2000000000000006E-2</v>
      </c>
      <c r="L100" s="200">
        <f t="shared" si="59"/>
        <v>7.6880000000000013E-3</v>
      </c>
      <c r="M100" s="200">
        <f ca="1">IF(【事例1】危険部品判断シート!$O$36=0,2.51*0.56*(O100/K100)^0.25+0.0000000567*$F$9*(($F$10+273+O100)^2+($F$10+273)^2)*(($F$10+273+O100)+($F$10+273)),3.86*(【事例1】危険部品判断シート!$O$36/K100)^0.5+0.0000000567*$F$9*(($F$10+273+O100)^2+($F$10+273)^2)*(($F$10+273+O100)+($F$10+273)))</f>
        <v>15.326610980115086</v>
      </c>
      <c r="N100" s="200">
        <f t="shared" ca="1" si="60"/>
        <v>9.0070234241258902</v>
      </c>
      <c r="O100" s="200">
        <f t="shared" ca="1" si="53"/>
        <v>31.83919331761382</v>
      </c>
      <c r="P100" s="200">
        <f t="shared" si="61"/>
        <v>4.8400000000000027E-4</v>
      </c>
      <c r="Q100" s="200">
        <f t="shared" si="62"/>
        <v>3.8440000000000006E-3</v>
      </c>
      <c r="R100" s="200">
        <f t="shared" si="63"/>
        <v>135.26628733892784</v>
      </c>
      <c r="S100" s="200">
        <f t="shared" si="54"/>
        <v>0.91917494875815586</v>
      </c>
      <c r="T100" s="200">
        <f t="shared" ca="1" si="55"/>
        <v>84.299839231145199</v>
      </c>
      <c r="U100" s="200">
        <f t="shared" si="56"/>
        <v>0.21310904434811101</v>
      </c>
      <c r="V100" s="200">
        <f t="shared" ca="1" si="64"/>
        <v>4.0960688954657645</v>
      </c>
      <c r="W100" s="262">
        <f t="shared" ca="1" si="65"/>
        <v>13.103092319591655</v>
      </c>
      <c r="X100" s="200">
        <f t="shared" ca="1" si="66"/>
        <v>3.5349295564537444</v>
      </c>
    </row>
    <row r="101" spans="7:24">
      <c r="G101" s="200">
        <f t="shared" si="57"/>
        <v>96.000000000000028</v>
      </c>
      <c r="H101" s="200">
        <f t="shared" ca="1" si="67"/>
        <v>3.7535248568716657</v>
      </c>
      <c r="I101" s="200">
        <f t="shared" si="68"/>
        <v>2.4000000000000007E-2</v>
      </c>
      <c r="J101" s="200">
        <f t="shared" si="52"/>
        <v>9.600000000000003E-2</v>
      </c>
      <c r="K101" s="200">
        <f t="shared" si="58"/>
        <v>6.4000000000000001E-2</v>
      </c>
      <c r="L101" s="200">
        <f t="shared" si="59"/>
        <v>8.1919999999999996E-3</v>
      </c>
      <c r="M101" s="200">
        <f ca="1">IF(【事例1】危険部品判断シート!$O$36=0,2.51*0.56*(O101/K101)^0.25+0.0000000567*$F$9*(($F$10+273+O101)^2+($F$10+273)^2)*(($F$10+273+O101)+($F$10+273)),3.86*(【事例1】危険部品判断シート!$O$36/K101)^0.5+0.0000000567*$F$9*(($F$10+273+O101)^2+($F$10+273)^2)*(($F$10+273+O101)+($F$10+273)))</f>
        <v>15.273131741828067</v>
      </c>
      <c r="N101" s="200">
        <f t="shared" ca="1" si="60"/>
        <v>8.4807686169287955</v>
      </c>
      <c r="O101" s="200">
        <f t="shared" ca="1" si="53"/>
        <v>31.83277580901937</v>
      </c>
      <c r="P101" s="200">
        <f t="shared" si="61"/>
        <v>5.7600000000000034E-4</v>
      </c>
      <c r="Q101" s="200">
        <f t="shared" si="62"/>
        <v>4.0959999999999998E-3</v>
      </c>
      <c r="R101" s="200">
        <f t="shared" si="63"/>
        <v>128.67179161716211</v>
      </c>
      <c r="S101" s="200">
        <f t="shared" si="54"/>
        <v>0.81624650397534149</v>
      </c>
      <c r="T101" s="200">
        <f t="shared" ca="1" si="55"/>
        <v>80.454625116794645</v>
      </c>
      <c r="U101" s="200">
        <f t="shared" si="56"/>
        <v>0.20301471547384281</v>
      </c>
      <c r="V101" s="200">
        <f t="shared" ca="1" si="64"/>
        <v>3.7982300021726578</v>
      </c>
      <c r="W101" s="262">
        <f t="shared" ca="1" si="65"/>
        <v>12.278998619101454</v>
      </c>
      <c r="X101" s="200">
        <f t="shared" ca="1" si="66"/>
        <v>3.7535248568716657</v>
      </c>
    </row>
    <row r="102" spans="7:24">
      <c r="G102" s="200">
        <f t="shared" si="57"/>
        <v>104.00000000000004</v>
      </c>
      <c r="H102" s="200">
        <f t="shared" ca="1" si="67"/>
        <v>3.9783452982426177</v>
      </c>
      <c r="I102" s="200">
        <f t="shared" si="68"/>
        <v>2.6000000000000009E-2</v>
      </c>
      <c r="J102" s="200">
        <f t="shared" si="52"/>
        <v>0.10400000000000004</v>
      </c>
      <c r="K102" s="200">
        <f t="shared" si="58"/>
        <v>6.6000000000000003E-2</v>
      </c>
      <c r="L102" s="200">
        <f t="shared" si="59"/>
        <v>8.712000000000001E-3</v>
      </c>
      <c r="M102" s="200">
        <f ca="1">IF(【事例1】危険部品判断シート!$O$36=0,2.51*0.56*(O102/K102)^0.25+0.0000000567*$F$9*(($F$10+273+O102)^2+($F$10+273)^2)*(($F$10+273+O102)+($F$10+273)),3.86*(【事例1】危険部品判断シート!$O$36/K102)^0.5+0.0000000567*$F$9*(($F$10+273+O102)^2+($F$10+273)^2)*(($F$10+273+O102)+($F$10+273)))</f>
        <v>15.22170683441467</v>
      </c>
      <c r="N102" s="200">
        <f t="shared" ca="1" si="60"/>
        <v>7.9999603941338977</v>
      </c>
      <c r="O102" s="200">
        <f t="shared" ca="1" si="53"/>
        <v>31.826604820129752</v>
      </c>
      <c r="P102" s="200">
        <f t="shared" si="61"/>
        <v>6.7600000000000049E-4</v>
      </c>
      <c r="Q102" s="200">
        <f t="shared" si="62"/>
        <v>4.3560000000000005E-3</v>
      </c>
      <c r="R102" s="200">
        <f t="shared" si="63"/>
        <v>122.8301444741401</v>
      </c>
      <c r="S102" s="200">
        <f t="shared" si="54"/>
        <v>0.73062624132058529</v>
      </c>
      <c r="T102" s="200">
        <f t="shared" ca="1" si="55"/>
        <v>77.046546304639051</v>
      </c>
      <c r="U102" s="200">
        <f t="shared" si="56"/>
        <v>0.19403652667591154</v>
      </c>
      <c r="V102" s="200">
        <f t="shared" ca="1" si="64"/>
        <v>3.5382161651073796</v>
      </c>
      <c r="W102" s="262">
        <f t="shared" ca="1" si="65"/>
        <v>11.538176559241277</v>
      </c>
      <c r="X102" s="200">
        <f t="shared" ca="1" si="66"/>
        <v>3.9783452982426186</v>
      </c>
    </row>
    <row r="103" spans="7:24">
      <c r="G103" s="200">
        <f t="shared" si="57"/>
        <v>112.00000000000004</v>
      </c>
      <c r="H103" s="200">
        <f t="shared" ca="1" si="67"/>
        <v>4.2093747649781443</v>
      </c>
      <c r="I103" s="200">
        <f t="shared" si="68"/>
        <v>2.8000000000000011E-2</v>
      </c>
      <c r="J103" s="200">
        <f t="shared" si="52"/>
        <v>0.11200000000000004</v>
      </c>
      <c r="K103" s="200">
        <f t="shared" si="58"/>
        <v>6.8000000000000005E-2</v>
      </c>
      <c r="L103" s="200">
        <f t="shared" si="59"/>
        <v>9.248000000000001E-3</v>
      </c>
      <c r="M103" s="200">
        <f ca="1">IF(【事例1】危険部品判断シート!$O$36=0,2.51*0.56*(O103/K103)^0.25+0.0000000567*$F$9*(($F$10+273+O103)^2+($F$10+273)^2)*(($F$10+273+O103)+($F$10+273)),3.86*(【事例1】危険部品判断シート!$O$36/K103)^0.5+0.0000000567*$F$9*(($F$10+273+O103)^2+($F$10+273)^2)*(($F$10+273+O103)+($F$10+273)))</f>
        <v>15.172198547354899</v>
      </c>
      <c r="N103" s="200">
        <f t="shared" ca="1" si="60"/>
        <v>7.5594751245314242</v>
      </c>
      <c r="O103" s="200">
        <f t="shared" ca="1" si="53"/>
        <v>31.820663825682594</v>
      </c>
      <c r="P103" s="200">
        <f t="shared" si="61"/>
        <v>7.8400000000000063E-4</v>
      </c>
      <c r="Q103" s="200">
        <f t="shared" si="62"/>
        <v>4.6240000000000005E-3</v>
      </c>
      <c r="R103" s="200">
        <f t="shared" si="63"/>
        <v>117.60146213828142</v>
      </c>
      <c r="S103" s="200">
        <f t="shared" si="54"/>
        <v>0.65848457463556942</v>
      </c>
      <c r="T103" s="200">
        <f t="shared" ca="1" si="55"/>
        <v>73.993691430370731</v>
      </c>
      <c r="U103" s="200">
        <f t="shared" si="56"/>
        <v>0.18597271043767025</v>
      </c>
      <c r="V103" s="200">
        <f t="shared" ca="1" si="64"/>
        <v>3.3091797371369247</v>
      </c>
      <c r="W103" s="262">
        <f t="shared" ca="1" si="65"/>
        <v>10.868654861668348</v>
      </c>
      <c r="X103" s="200">
        <f t="shared" ca="1" si="66"/>
        <v>4.2093747649781443</v>
      </c>
    </row>
    <row r="104" spans="7:24">
      <c r="G104" s="200">
        <f t="shared" si="57"/>
        <v>120.00000000000006</v>
      </c>
      <c r="H104" s="200">
        <f t="shared" ca="1" si="67"/>
        <v>4.4465977417072828</v>
      </c>
      <c r="I104" s="200">
        <f t="shared" si="68"/>
        <v>3.0000000000000013E-2</v>
      </c>
      <c r="J104" s="200">
        <f t="shared" si="52"/>
        <v>0.12000000000000005</v>
      </c>
      <c r="K104" s="200">
        <f t="shared" si="58"/>
        <v>7.0000000000000007E-2</v>
      </c>
      <c r="L104" s="200">
        <f t="shared" si="59"/>
        <v>9.8000000000000014E-3</v>
      </c>
      <c r="M104" s="200">
        <f ca="1">IF(【事例1】危険部品判断シート!$O$36=0,2.51*0.56*(O104/K104)^0.25+0.0000000567*$F$9*(($F$10+273+O104)^2+($F$10+273)^2)*(($F$10+273+O104)+($F$10+273)),3.86*(【事例1】危険部品判断シート!$O$36/K104)^0.5+0.0000000567*$F$9*(($F$10+273+O104)^2+($F$10+273)^2)*(($F$10+273+O104)+($F$10+273)))</f>
        <v>15.124482114650618</v>
      </c>
      <c r="N104" s="200">
        <f t="shared" ca="1" si="60"/>
        <v>7.1548945287645127</v>
      </c>
      <c r="O104" s="200">
        <f t="shared" ca="1" si="53"/>
        <v>31.814937853758074</v>
      </c>
      <c r="P104" s="200">
        <f t="shared" si="61"/>
        <v>9.0000000000000073E-4</v>
      </c>
      <c r="Q104" s="200">
        <f t="shared" si="62"/>
        <v>4.9000000000000007E-3</v>
      </c>
      <c r="R104" s="200">
        <f t="shared" si="63"/>
        <v>112.88087614521487</v>
      </c>
      <c r="S104" s="200">
        <f t="shared" si="54"/>
        <v>0.59702601433624958</v>
      </c>
      <c r="T104" s="200">
        <f t="shared" ca="1" si="55"/>
        <v>71.234797308378461</v>
      </c>
      <c r="U104" s="200">
        <f t="shared" si="56"/>
        <v>0.17867088001114831</v>
      </c>
      <c r="V104" s="200">
        <f t="shared" ca="1" si="64"/>
        <v>3.1058413864474503</v>
      </c>
      <c r="W104" s="262">
        <f t="shared" ca="1" si="65"/>
        <v>10.260735915211963</v>
      </c>
      <c r="X104" s="200">
        <f t="shared" ca="1" si="66"/>
        <v>4.4465977417072828</v>
      </c>
    </row>
    <row r="105" spans="7:24">
      <c r="G105" s="200">
        <f t="shared" si="57"/>
        <v>128.00000000000006</v>
      </c>
      <c r="H105" s="200">
        <f t="shared" ca="1" si="67"/>
        <v>4.6899992742121785</v>
      </c>
      <c r="I105" s="200">
        <f t="shared" si="68"/>
        <v>3.2000000000000015E-2</v>
      </c>
      <c r="J105" s="200">
        <f t="shared" si="52"/>
        <v>0.12800000000000006</v>
      </c>
      <c r="K105" s="200">
        <f t="shared" si="58"/>
        <v>7.2000000000000008E-2</v>
      </c>
      <c r="L105" s="200">
        <f t="shared" si="59"/>
        <v>1.0368000000000002E-2</v>
      </c>
      <c r="M105" s="200">
        <f ca="1">IF(【事例1】危険部品判断シート!$O$36=0,2.51*0.56*(O105/K105)^0.25+0.0000000567*$F$9*(($F$10+273+O105)^2+($F$10+273)^2)*(($F$10+273+O105)+($F$10+273)),3.86*(【事例1】危険部品判断シート!$O$36/K105)^0.5+0.0000000567*$F$9*(($F$10+273+O105)^2+($F$10+273)^2)*(($F$10+273+O105)+($F$10+273)))</f>
        <v>15.07844416863483</v>
      </c>
      <c r="N105" s="200">
        <f t="shared" ca="1" si="60"/>
        <v>6.7823919451628258</v>
      </c>
      <c r="O105" s="200">
        <f t="shared" ca="1" si="53"/>
        <v>31.80941330023618</v>
      </c>
      <c r="P105" s="200">
        <f t="shared" si="61"/>
        <v>1.024000000000001E-3</v>
      </c>
      <c r="Q105" s="200">
        <f t="shared" si="62"/>
        <v>5.1840000000000011E-3</v>
      </c>
      <c r="R105" s="200">
        <f t="shared" si="63"/>
        <v>108.58788884488482</v>
      </c>
      <c r="S105" s="200">
        <f t="shared" si="54"/>
        <v>0.54416433598356084</v>
      </c>
      <c r="T105" s="200">
        <f t="shared" ca="1" si="55"/>
        <v>68.722946420136694</v>
      </c>
      <c r="U105" s="200">
        <f t="shared" si="56"/>
        <v>0.17201330852143265</v>
      </c>
      <c r="V105" s="200">
        <f t="shared" ca="1" si="64"/>
        <v>2.9240633107300202</v>
      </c>
      <c r="W105" s="262">
        <f t="shared" ca="1" si="65"/>
        <v>9.7064552558928465</v>
      </c>
      <c r="X105" s="200">
        <f t="shared" ca="1" si="66"/>
        <v>4.6899992742121785</v>
      </c>
    </row>
    <row r="106" spans="7:24">
      <c r="G106" s="200">
        <f t="shared" si="57"/>
        <v>136.00000000000006</v>
      </c>
      <c r="H106" s="200">
        <f t="shared" ca="1" si="67"/>
        <v>4.9395649339327976</v>
      </c>
      <c r="I106" s="200">
        <f t="shared" si="68"/>
        <v>3.4000000000000016E-2</v>
      </c>
      <c r="J106" s="200">
        <f t="shared" si="52"/>
        <v>0.13600000000000007</v>
      </c>
      <c r="K106" s="200">
        <f t="shared" si="58"/>
        <v>7.400000000000001E-2</v>
      </c>
      <c r="L106" s="200">
        <f t="shared" si="59"/>
        <v>1.0952000000000003E-2</v>
      </c>
      <c r="M106" s="200">
        <f ca="1">IF(【事例1】危険部品判断シート!$O$36=0,2.51*0.56*(O106/K106)^0.25+0.0000000567*$F$9*(($F$10+273+O106)^2+($F$10+273)^2)*(($F$10+273+O106)+($F$10+273)),3.86*(【事例1】危険部品判断シート!$O$36/K106)^0.5+0.0000000567*$F$9*(($F$10+273+O106)^2+($F$10+273)^2)*(($F$10+273+O106)+($F$10+273)))</f>
        <v>15.033981415670794</v>
      </c>
      <c r="N106" s="200">
        <f t="shared" ca="1" si="60"/>
        <v>6.438639474379503</v>
      </c>
      <c r="O106" s="200">
        <f t="shared" ca="1" si="53"/>
        <v>31.804077769880493</v>
      </c>
      <c r="P106" s="200">
        <f t="shared" si="61"/>
        <v>1.1560000000000012E-3</v>
      </c>
      <c r="Q106" s="200">
        <f t="shared" si="62"/>
        <v>5.4760000000000017E-3</v>
      </c>
      <c r="R106" s="200">
        <f t="shared" si="63"/>
        <v>104.65944033874325</v>
      </c>
      <c r="S106" s="200">
        <f t="shared" si="54"/>
        <v>0.49831265107556605</v>
      </c>
      <c r="T106" s="200">
        <f t="shared" ca="1" si="55"/>
        <v>66.421466566719985</v>
      </c>
      <c r="U106" s="200">
        <f t="shared" si="56"/>
        <v>0.16590724902676049</v>
      </c>
      <c r="V106" s="200">
        <f t="shared" ca="1" si="64"/>
        <v>2.7605553387051414</v>
      </c>
      <c r="W106" s="262">
        <f t="shared" ca="1" si="65"/>
        <v>9.1991948130846453</v>
      </c>
      <c r="X106" s="200">
        <f t="shared" ca="1" si="66"/>
        <v>4.9395649339327976</v>
      </c>
    </row>
    <row r="107" spans="7:24">
      <c r="G107" s="200">
        <f t="shared" si="57"/>
        <v>144.00000000000009</v>
      </c>
      <c r="H107" s="200">
        <f t="shared" ca="1" si="67"/>
        <v>5.1952807856259957</v>
      </c>
      <c r="I107" s="200">
        <f t="shared" si="68"/>
        <v>3.6000000000000018E-2</v>
      </c>
      <c r="J107" s="200">
        <f t="shared" si="52"/>
        <v>0.14400000000000007</v>
      </c>
      <c r="K107" s="200">
        <f t="shared" si="58"/>
        <v>7.6000000000000012E-2</v>
      </c>
      <c r="L107" s="200">
        <f t="shared" si="59"/>
        <v>1.1552000000000003E-2</v>
      </c>
      <c r="M107" s="200">
        <f ca="1">IF(【事例1】危険部品判断シート!$O$36=0,2.51*0.56*(O107/K107)^0.25+0.0000000567*$F$9*(($F$10+273+O107)^2+($F$10+273)^2)*(($F$10+273+O107)+($F$10+273)),3.86*(【事例1】危険部品判断シート!$O$36/K107)^0.5+0.0000000567*$F$9*(($F$10+273+O107)^2+($F$10+273)^2)*(($F$10+273+O107)+($F$10+273)))</f>
        <v>14.990999496843248</v>
      </c>
      <c r="N107" s="200">
        <f t="shared" ca="1" si="60"/>
        <v>6.1207317278405053</v>
      </c>
      <c r="O107" s="200">
        <f t="shared" ca="1" si="53"/>
        <v>31.798919939621179</v>
      </c>
      <c r="P107" s="200">
        <f t="shared" si="61"/>
        <v>1.2960000000000014E-3</v>
      </c>
      <c r="Q107" s="200">
        <f t="shared" si="62"/>
        <v>5.7760000000000016E-3</v>
      </c>
      <c r="R107" s="200">
        <f t="shared" si="63"/>
        <v>101.04525142030025</v>
      </c>
      <c r="S107" s="200">
        <f t="shared" si="54"/>
        <v>0.45824365135457745</v>
      </c>
      <c r="T107" s="200">
        <f t="shared" ca="1" si="55"/>
        <v>64.301180068806588</v>
      </c>
      <c r="U107" s="200">
        <f t="shared" si="56"/>
        <v>0.16027837933062242</v>
      </c>
      <c r="V107" s="200">
        <f t="shared" ca="1" si="64"/>
        <v>2.6126677644729237</v>
      </c>
      <c r="W107" s="262">
        <f t="shared" ca="1" si="65"/>
        <v>8.7333994923134295</v>
      </c>
      <c r="X107" s="200">
        <f t="shared" ca="1" si="66"/>
        <v>5.1952807856259975</v>
      </c>
    </row>
    <row r="108" spans="7:24">
      <c r="G108" s="200">
        <f t="shared" si="57"/>
        <v>152.00000000000009</v>
      </c>
      <c r="H108" s="200">
        <f t="shared" ca="1" si="67"/>
        <v>5.4571333578220855</v>
      </c>
      <c r="I108" s="200">
        <f t="shared" si="68"/>
        <v>3.800000000000002E-2</v>
      </c>
      <c r="J108" s="200">
        <f t="shared" si="52"/>
        <v>0.15200000000000008</v>
      </c>
      <c r="K108" s="200">
        <f t="shared" si="58"/>
        <v>7.8000000000000014E-2</v>
      </c>
      <c r="L108" s="200">
        <f t="shared" si="59"/>
        <v>1.2168000000000003E-2</v>
      </c>
      <c r="M108" s="200">
        <f ca="1">IF(【事例1】危険部品判断シート!$O$36=0,2.51*0.56*(O108/K108)^0.25+0.0000000567*$F$9*(($F$10+273+O108)^2+($F$10+273)^2)*(($F$10+273+O108)+($F$10+273)),3.86*(【事例1】危険部品判断シート!$O$36/K108)^0.5+0.0000000567*$F$9*(($F$10+273+O108)^2+($F$10+273)^2)*(($F$10+273+O108)+($F$10+273)))</f>
        <v>14.949412003676539</v>
      </c>
      <c r="N108" s="200">
        <f t="shared" ca="1" si="60"/>
        <v>5.8261228662973306</v>
      </c>
      <c r="O108" s="200">
        <f t="shared" ca="1" si="53"/>
        <v>31.793929440441186</v>
      </c>
      <c r="P108" s="200">
        <f t="shared" si="61"/>
        <v>1.4440000000000015E-3</v>
      </c>
      <c r="Q108" s="200">
        <f t="shared" si="62"/>
        <v>6.0840000000000017E-3</v>
      </c>
      <c r="R108" s="200">
        <f t="shared" si="63"/>
        <v>97.704609945885579</v>
      </c>
      <c r="S108" s="200">
        <f t="shared" si="54"/>
        <v>0.42299413971191768</v>
      </c>
      <c r="T108" s="200">
        <f t="shared" ca="1" si="55"/>
        <v>62.338508173994008</v>
      </c>
      <c r="U108" s="200">
        <f t="shared" si="56"/>
        <v>0.15506624664527685</v>
      </c>
      <c r="V108" s="200">
        <f t="shared" ca="1" si="64"/>
        <v>2.4782423177562318</v>
      </c>
      <c r="W108" s="262">
        <f t="shared" ca="1" si="65"/>
        <v>8.3043651840535624</v>
      </c>
      <c r="X108" s="200">
        <f t="shared" ca="1" si="66"/>
        <v>5.4571333578220855</v>
      </c>
    </row>
    <row r="109" spans="7:24">
      <c r="G109" s="200">
        <f t="shared" si="57"/>
        <v>160.00000000000009</v>
      </c>
      <c r="H109" s="200">
        <f t="shared" ca="1" si="67"/>
        <v>5.725109615770652</v>
      </c>
      <c r="I109" s="200">
        <f t="shared" si="68"/>
        <v>4.0000000000000022E-2</v>
      </c>
      <c r="J109" s="200">
        <f t="shared" si="52"/>
        <v>0.16000000000000009</v>
      </c>
      <c r="K109" s="200">
        <f t="shared" si="58"/>
        <v>8.0000000000000016E-2</v>
      </c>
      <c r="L109" s="200">
        <f t="shared" si="59"/>
        <v>1.2800000000000006E-2</v>
      </c>
      <c r="M109" s="200">
        <f ca="1">IF(【事例1】危険部品判断シート!$O$36=0,2.51*0.56*(O109/K109)^0.25+0.0000000567*$F$9*(($F$10+273+O109)^2+($F$10+273)^2)*(($F$10+273+O109)+($F$10+273)),3.86*(【事例1】危険部品判断シート!$O$36/K109)^0.5+0.0000000567*$F$9*(($F$10+273+O109)^2+($F$10+273)^2)*(($F$10+273+O109)+($F$10+273)))</f>
        <v>14.909139624402732</v>
      </c>
      <c r="N109" s="200">
        <f t="shared" ca="1" si="60"/>
        <v>5.5525743415218836</v>
      </c>
      <c r="O109" s="200">
        <f t="shared" ca="1" si="53"/>
        <v>31.78909675492833</v>
      </c>
      <c r="P109" s="200">
        <f t="shared" si="61"/>
        <v>1.6000000000000018E-3</v>
      </c>
      <c r="Q109" s="200">
        <f t="shared" si="62"/>
        <v>6.4000000000000029E-3</v>
      </c>
      <c r="R109" s="200">
        <f t="shared" si="63"/>
        <v>94.604099960396326</v>
      </c>
      <c r="S109" s="200">
        <f t="shared" si="54"/>
        <v>0.39179832190816366</v>
      </c>
      <c r="T109" s="200">
        <f t="shared" ca="1" si="55"/>
        <v>60.514133534538431</v>
      </c>
      <c r="U109" s="200">
        <f t="shared" si="56"/>
        <v>0.15022102870941192</v>
      </c>
      <c r="V109" s="200">
        <f t="shared" ca="1" si="64"/>
        <v>2.3555030151127805</v>
      </c>
      <c r="W109" s="262">
        <f t="shared" ca="1" si="65"/>
        <v>7.9080773566346636</v>
      </c>
      <c r="X109" s="200">
        <f t="shared" ca="1" si="66"/>
        <v>5.725109615770652</v>
      </c>
    </row>
    <row r="110" spans="7:24">
      <c r="G110" s="200">
        <f t="shared" si="57"/>
        <v>168.00000000000009</v>
      </c>
      <c r="H110" s="200">
        <f t="shared" ca="1" si="67"/>
        <v>5.9991969366082829</v>
      </c>
      <c r="I110" s="200">
        <f t="shared" si="68"/>
        <v>4.2000000000000023E-2</v>
      </c>
      <c r="J110" s="200">
        <f t="shared" si="52"/>
        <v>0.16800000000000009</v>
      </c>
      <c r="K110" s="200">
        <f t="shared" si="58"/>
        <v>8.2000000000000017E-2</v>
      </c>
      <c r="L110" s="200">
        <f t="shared" si="59"/>
        <v>1.3448000000000005E-2</v>
      </c>
      <c r="M110" s="200">
        <f ca="1">IF(【事例1】危険部品判断シート!$O$36=0,2.51*0.56*(O110/K110)^0.25+0.0000000567*$F$9*(($F$10+273+O110)^2+($F$10+273)^2)*(($F$10+273+O110)+($F$10+273)),3.86*(【事例1】危険部品判断シート!$O$36/K110)^0.5+0.0000000567*$F$9*(($F$10+273+O110)^2+($F$10+273)^2)*(($F$10+273+O110)+($F$10+273)))</f>
        <v>14.870109400674901</v>
      </c>
      <c r="N110" s="200">
        <f t="shared" ca="1" si="60"/>
        <v>5.2981113078862645</v>
      </c>
      <c r="O110" s="200">
        <f t="shared" ca="1" si="53"/>
        <v>31.784413128080981</v>
      </c>
      <c r="P110" s="200">
        <f t="shared" si="61"/>
        <v>1.7640000000000019E-3</v>
      </c>
      <c r="Q110" s="200">
        <f t="shared" si="62"/>
        <v>6.7240000000000025E-3</v>
      </c>
      <c r="R110" s="200">
        <f t="shared" si="63"/>
        <v>91.715962795276326</v>
      </c>
      <c r="S110" s="200">
        <f t="shared" si="54"/>
        <v>0.3640402526440546</v>
      </c>
      <c r="T110" s="200">
        <f t="shared" ca="1" si="55"/>
        <v>58.812036415666064</v>
      </c>
      <c r="U110" s="200">
        <f t="shared" si="56"/>
        <v>0.14570118343383223</v>
      </c>
      <c r="V110" s="200">
        <f t="shared" ca="1" si="64"/>
        <v>2.2429749331497266</v>
      </c>
      <c r="W110" s="262">
        <f t="shared" ca="1" si="65"/>
        <v>7.5410862410359911</v>
      </c>
      <c r="X110" s="200">
        <f t="shared" ca="1" si="66"/>
        <v>5.9991969366082838</v>
      </c>
    </row>
    <row r="111" spans="7:24">
      <c r="G111" s="200">
        <f t="shared" si="57"/>
        <v>176.00000000000011</v>
      </c>
      <c r="H111" s="200">
        <f t="shared" ca="1" si="67"/>
        <v>6.2793830865154572</v>
      </c>
      <c r="I111" s="200">
        <f t="shared" si="68"/>
        <v>4.4000000000000025E-2</v>
      </c>
      <c r="J111" s="200">
        <f t="shared" si="52"/>
        <v>0.1760000000000001</v>
      </c>
      <c r="K111" s="200">
        <f t="shared" si="58"/>
        <v>8.4000000000000019E-2</v>
      </c>
      <c r="L111" s="200">
        <f t="shared" si="59"/>
        <v>1.4112000000000006E-2</v>
      </c>
      <c r="M111" s="200">
        <f ca="1">IF(【事例1】危険部品判断シート!$O$36=0,2.51*0.56*(O111/K111)^0.25+0.0000000567*$F$9*(($F$10+273+O111)^2+($F$10+273)^2)*(($F$10+273+O111)+($F$10+273)),3.86*(【事例1】危険部品判断シート!$O$36/K111)^0.5+0.0000000567*$F$9*(($F$10+273+O111)^2+($F$10+273)^2)*(($F$10+273+O111)+($F$10+273)))</f>
        <v>14.832254078126072</v>
      </c>
      <c r="N111" s="200">
        <f t="shared" ca="1" si="60"/>
        <v>5.0609860955322521</v>
      </c>
      <c r="O111" s="200">
        <f t="shared" ca="1" si="53"/>
        <v>31.779870489375124</v>
      </c>
      <c r="P111" s="200">
        <f t="shared" si="61"/>
        <v>1.9360000000000022E-3</v>
      </c>
      <c r="Q111" s="200">
        <f t="shared" si="62"/>
        <v>7.0560000000000032E-3</v>
      </c>
      <c r="R111" s="200">
        <f t="shared" si="63"/>
        <v>89.016891737173992</v>
      </c>
      <c r="S111" s="200">
        <f t="shared" si="54"/>
        <v>0.33921932632741447</v>
      </c>
      <c r="T111" s="200">
        <f t="shared" ca="1" si="55"/>
        <v>57.218787027376671</v>
      </c>
      <c r="U111" s="200">
        <f t="shared" si="56"/>
        <v>0.14147171181078483</v>
      </c>
      <c r="V111" s="200">
        <f t="shared" ca="1" si="64"/>
        <v>2.1394228887521765</v>
      </c>
      <c r="W111" s="262">
        <f t="shared" ca="1" si="65"/>
        <v>7.2004089842844285</v>
      </c>
      <c r="X111" s="200">
        <f t="shared" ca="1" si="66"/>
        <v>6.2793830865154572</v>
      </c>
    </row>
    <row r="112" spans="7:24">
      <c r="G112" s="200">
        <f t="shared" si="57"/>
        <v>184.00000000000011</v>
      </c>
      <c r="H112" s="200">
        <f t="shared" ca="1" si="67"/>
        <v>6.5656561996592027</v>
      </c>
      <c r="I112" s="200">
        <f t="shared" si="68"/>
        <v>4.6000000000000027E-2</v>
      </c>
      <c r="J112" s="200">
        <f t="shared" si="52"/>
        <v>0.18400000000000011</v>
      </c>
      <c r="K112" s="200">
        <f t="shared" si="58"/>
        <v>8.6000000000000021E-2</v>
      </c>
      <c r="L112" s="200">
        <f t="shared" si="59"/>
        <v>1.4792000000000007E-2</v>
      </c>
      <c r="M112" s="200">
        <f ca="1">IF(【事例1】危険部品判断シート!$O$36=0,2.51*0.56*(O112/K112)^0.25+0.0000000567*$F$9*(($F$10+273+O112)^2+($F$10+273)^2)*(($F$10+273+O112)+($F$10+273)),3.86*(【事例1】危険部品判断シート!$O$36/K112)^0.5+0.0000000567*$F$9*(($F$10+273+O112)^2+($F$10+273)^2)*(($F$10+273+O112)+($F$10+273)))</f>
        <v>14.795511537000179</v>
      </c>
      <c r="N112" s="200">
        <f t="shared" ca="1" si="60"/>
        <v>4.8396474652585928</v>
      </c>
      <c r="O112" s="200">
        <f t="shared" ca="1" si="53"/>
        <v>31.775461384440025</v>
      </c>
      <c r="P112" s="200">
        <f t="shared" si="61"/>
        <v>2.1160000000000024E-3</v>
      </c>
      <c r="Q112" s="200">
        <f t="shared" si="62"/>
        <v>7.3960000000000033E-3</v>
      </c>
      <c r="R112" s="200">
        <f t="shared" si="63"/>
        <v>86.487130397941982</v>
      </c>
      <c r="S112" s="200">
        <f t="shared" si="54"/>
        <v>0.31692483066383315</v>
      </c>
      <c r="T112" s="200">
        <f t="shared" ca="1" si="55"/>
        <v>55.723017051589508</v>
      </c>
      <c r="U112" s="200">
        <f t="shared" si="56"/>
        <v>0.1375028527025047</v>
      </c>
      <c r="V112" s="200">
        <f t="shared" ca="1" si="64"/>
        <v>2.043804544777756</v>
      </c>
      <c r="W112" s="262">
        <f t="shared" ca="1" si="65"/>
        <v>6.8834520100363488</v>
      </c>
      <c r="X112" s="200">
        <f t="shared" ca="1" si="66"/>
        <v>6.5656561996592027</v>
      </c>
    </row>
    <row r="113" spans="7:24">
      <c r="G113" s="200">
        <f t="shared" si="57"/>
        <v>192.00000000000011</v>
      </c>
      <c r="H113" s="200">
        <f t="shared" ca="1" si="67"/>
        <v>6.8580047587433004</v>
      </c>
      <c r="I113" s="200">
        <f t="shared" si="68"/>
        <v>4.8000000000000029E-2</v>
      </c>
      <c r="J113" s="200">
        <f t="shared" si="52"/>
        <v>0.19200000000000012</v>
      </c>
      <c r="K113" s="200">
        <f t="shared" si="58"/>
        <v>8.8000000000000023E-2</v>
      </c>
      <c r="L113" s="200">
        <f t="shared" si="59"/>
        <v>1.5488000000000009E-2</v>
      </c>
      <c r="M113" s="200">
        <f ca="1">IF(【事例1】危険部品判断シート!$O$36=0,2.51*0.56*(O113/K113)^0.25+0.0000000567*$F$9*(($F$10+273+O113)^2+($F$10+273)^2)*(($F$10+273+O113)+($F$10+273)),3.86*(【事例1】危険部品判断シート!$O$36/K113)^0.5+0.0000000567*$F$9*(($F$10+273+O113)^2+($F$10+273)^2)*(($F$10+273+O113)+($F$10+273)))</f>
        <v>14.759824291372453</v>
      </c>
      <c r="N113" s="200">
        <f t="shared" ca="1" si="60"/>
        <v>4.632714620744391</v>
      </c>
      <c r="O113" s="200">
        <f t="shared" ca="1" si="53"/>
        <v>31.771178914964697</v>
      </c>
      <c r="P113" s="200">
        <f t="shared" si="61"/>
        <v>2.3040000000000027E-3</v>
      </c>
      <c r="Q113" s="200">
        <f t="shared" si="62"/>
        <v>7.7440000000000044E-3</v>
      </c>
      <c r="R113" s="200">
        <f t="shared" si="63"/>
        <v>84.109787842784542</v>
      </c>
      <c r="S113" s="200">
        <f t="shared" si="54"/>
        <v>0.29681691053648762</v>
      </c>
      <c r="T113" s="200">
        <f t="shared" ca="1" si="55"/>
        <v>54.315018904693495</v>
      </c>
      <c r="U113" s="200">
        <f t="shared" si="56"/>
        <v>0.13376908736075438</v>
      </c>
      <c r="V113" s="200">
        <f t="shared" ca="1" si="64"/>
        <v>1.9552341237082418</v>
      </c>
      <c r="W113" s="262">
        <f t="shared" ca="1" si="65"/>
        <v>6.5879487444526328</v>
      </c>
      <c r="X113" s="200">
        <f t="shared" ca="1" si="66"/>
        <v>6.8580047587433004</v>
      </c>
    </row>
    <row r="114" spans="7:24">
      <c r="G114" s="200">
        <f t="shared" si="57"/>
        <v>200.00000000000011</v>
      </c>
      <c r="H114" s="200">
        <f t="shared" ca="1" si="67"/>
        <v>7.1564175770091847</v>
      </c>
      <c r="I114" s="200">
        <f t="shared" si="68"/>
        <v>5.0000000000000031E-2</v>
      </c>
      <c r="J114" s="200">
        <f t="shared" si="52"/>
        <v>0.20000000000000012</v>
      </c>
      <c r="K114" s="200">
        <f t="shared" si="58"/>
        <v>9.0000000000000024E-2</v>
      </c>
      <c r="L114" s="200">
        <f t="shared" si="59"/>
        <v>1.620000000000001E-2</v>
      </c>
      <c r="M114" s="200">
        <f ca="1">IF(【事例1】危険部品判断シート!$O$36=0,2.51*0.56*(O114/K114)^0.25+0.0000000567*$F$9*(($F$10+273+O114)^2+($F$10+273)^2)*(($F$10+273+O114)+($F$10+273)),3.86*(【事例1】危険部品判断シート!$O$36/K114)^0.5+0.0000000567*$F$9*(($F$10+273+O114)^2+($F$10+273)^2)*(($F$10+273+O114)+($F$10+273)))</f>
        <v>14.725139047343994</v>
      </c>
      <c r="N114" s="200">
        <f t="shared" ca="1" si="60"/>
        <v>4.4389551537261429</v>
      </c>
      <c r="O114" s="200">
        <f t="shared" ca="1" si="53"/>
        <v>31.767016685681277</v>
      </c>
      <c r="P114" s="200">
        <f t="shared" si="61"/>
        <v>2.5000000000000031E-3</v>
      </c>
      <c r="Q114" s="200">
        <f t="shared" si="62"/>
        <v>8.1000000000000048E-3</v>
      </c>
      <c r="R114" s="200">
        <f t="shared" si="63"/>
        <v>81.87031107590785</v>
      </c>
      <c r="S114" s="200">
        <f t="shared" si="54"/>
        <v>0.27861214002358309</v>
      </c>
      <c r="T114" s="200">
        <f t="shared" ca="1" si="55"/>
        <v>52.986437608126813</v>
      </c>
      <c r="U114" s="200">
        <f t="shared" si="56"/>
        <v>0.13024836978377824</v>
      </c>
      <c r="V114" s="200">
        <f t="shared" ca="1" si="64"/>
        <v>1.872954026760302</v>
      </c>
      <c r="W114" s="262">
        <f t="shared" ca="1" si="65"/>
        <v>6.3119091804864453</v>
      </c>
      <c r="X114" s="200">
        <f t="shared" ca="1" si="66"/>
        <v>7.1564175770091856</v>
      </c>
    </row>
  </sheetData>
  <phoneticPr fontId="7"/>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00FF"/>
  </sheetPr>
  <dimension ref="A1:H24"/>
  <sheetViews>
    <sheetView showGridLines="0" zoomScale="160" workbookViewId="0">
      <selection activeCell="C25" sqref="C25"/>
    </sheetView>
  </sheetViews>
  <sheetFormatPr defaultRowHeight="13.2"/>
  <cols>
    <col min="1" max="1" width="18.33203125" customWidth="1"/>
    <col min="2" max="2" width="10.33203125" customWidth="1"/>
    <col min="6" max="6" width="10.33203125" customWidth="1"/>
  </cols>
  <sheetData>
    <row r="1" spans="1:8" ht="24" customHeight="1" thickBot="1">
      <c r="A1" s="127" t="s">
        <v>463</v>
      </c>
      <c r="B1" s="89"/>
    </row>
    <row r="2" spans="1:8" ht="13.8" thickBot="1">
      <c r="A2" s="128" t="s">
        <v>28</v>
      </c>
      <c r="B2" s="129">
        <v>0.08</v>
      </c>
    </row>
    <row r="3" spans="1:8">
      <c r="A3" s="130" t="s">
        <v>29</v>
      </c>
      <c r="B3" s="131">
        <v>0.1</v>
      </c>
      <c r="C3" s="132" t="s">
        <v>149</v>
      </c>
      <c r="D3" s="133">
        <f>MIN(B2,B3)</f>
        <v>0.08</v>
      </c>
    </row>
    <row r="4" spans="1:8">
      <c r="A4" s="130" t="s">
        <v>30</v>
      </c>
      <c r="B4" s="131">
        <v>0.15</v>
      </c>
      <c r="C4" s="134" t="s">
        <v>150</v>
      </c>
      <c r="D4" s="56">
        <f>B2*B3+F4</f>
        <v>8.0000000000000002E-3</v>
      </c>
    </row>
    <row r="5" spans="1:8">
      <c r="A5" s="130" t="s">
        <v>152</v>
      </c>
      <c r="B5" s="131">
        <v>0.85</v>
      </c>
      <c r="C5" s="134" t="s">
        <v>153</v>
      </c>
      <c r="D5" s="56">
        <f>(B2+B3)*2*B4</f>
        <v>5.3999999999999999E-2</v>
      </c>
      <c r="H5" s="57"/>
    </row>
    <row r="6" spans="1:8">
      <c r="A6" s="130" t="s">
        <v>155</v>
      </c>
      <c r="B6" s="131">
        <v>20</v>
      </c>
      <c r="C6" s="134" t="s">
        <v>156</v>
      </c>
      <c r="D6" s="56">
        <f>B2*B3</f>
        <v>8.0000000000000002E-3</v>
      </c>
    </row>
    <row r="7" spans="1:8" ht="16.2" thickBot="1">
      <c r="A7" s="130" t="s">
        <v>158</v>
      </c>
      <c r="B7" s="131">
        <v>3.2000000000000002E-3</v>
      </c>
      <c r="C7" s="135" t="s">
        <v>159</v>
      </c>
      <c r="D7" s="136">
        <v>5.6699999999999998E-8</v>
      </c>
    </row>
    <row r="8" spans="1:8" ht="13.8" thickBot="1">
      <c r="A8" s="137" t="s">
        <v>161</v>
      </c>
      <c r="B8" s="138">
        <v>35</v>
      </c>
      <c r="C8" s="139" t="s">
        <v>162</v>
      </c>
      <c r="D8" s="140">
        <f>B4/2</f>
        <v>7.4999999999999997E-2</v>
      </c>
    </row>
    <row r="9" spans="1:8" ht="13.8" thickBot="1">
      <c r="B9" s="64">
        <f>B8+B10</f>
        <v>44.369320581736304</v>
      </c>
    </row>
    <row r="10" spans="1:8" ht="13.8" thickBot="1">
      <c r="A10" s="141" t="s">
        <v>163</v>
      </c>
      <c r="B10" s="160">
        <v>9.3693205817363037</v>
      </c>
      <c r="C10" s="644" t="s">
        <v>164</v>
      </c>
      <c r="D10" s="645"/>
      <c r="E10" s="150">
        <f>B10*2</f>
        <v>18.738641163472607</v>
      </c>
    </row>
    <row r="11" spans="1:8" ht="13.8" thickBot="1">
      <c r="A11" s="141" t="s">
        <v>165</v>
      </c>
      <c r="B11" s="161">
        <f>B8+273.15</f>
        <v>308.14999999999998</v>
      </c>
      <c r="C11" s="644" t="s">
        <v>166</v>
      </c>
      <c r="D11" s="645"/>
      <c r="E11" s="150">
        <f>E10+B8</f>
        <v>53.738641163472607</v>
      </c>
    </row>
    <row r="12" spans="1:8" ht="13.8" thickBot="1">
      <c r="A12" s="141" t="s">
        <v>167</v>
      </c>
      <c r="B12" s="162">
        <f>B8+B10+273.15</f>
        <v>317.51932058173628</v>
      </c>
      <c r="C12" s="644" t="s">
        <v>168</v>
      </c>
      <c r="D12" s="645"/>
      <c r="E12" s="150">
        <f>B10+B8</f>
        <v>44.369320581736304</v>
      </c>
    </row>
    <row r="13" spans="1:8">
      <c r="E13" s="142"/>
      <c r="F13" s="142"/>
      <c r="G13" s="142"/>
      <c r="H13" s="142"/>
    </row>
    <row r="14" spans="1:8" ht="13.8" thickBot="1">
      <c r="B14" t="s">
        <v>100</v>
      </c>
      <c r="C14" t="s">
        <v>169</v>
      </c>
      <c r="D14" t="s">
        <v>170</v>
      </c>
      <c r="E14" s="142"/>
      <c r="F14" s="42"/>
      <c r="H14" s="142"/>
    </row>
    <row r="15" spans="1:8">
      <c r="A15" s="141" t="s">
        <v>171</v>
      </c>
      <c r="B15" s="151">
        <f>2.51*0.54*(B10/D3)^0.25</f>
        <v>4.4588412404371258</v>
      </c>
      <c r="C15" s="152">
        <f>B15*D4</f>
        <v>3.5670729923497006E-2</v>
      </c>
      <c r="D15" s="153">
        <f>C15*$B$10</f>
        <v>0.33421050403777752</v>
      </c>
      <c r="E15" s="142"/>
      <c r="H15" s="142"/>
    </row>
    <row r="16" spans="1:8">
      <c r="A16" s="141" t="s">
        <v>172</v>
      </c>
      <c r="B16" s="154">
        <f>2.51*0.56*(B10/B4)^0.25</f>
        <v>3.9515361420317499</v>
      </c>
      <c r="C16" s="155">
        <f>B16*D5</f>
        <v>0.21338295166971449</v>
      </c>
      <c r="D16" s="156">
        <f>C16*$B$10</f>
        <v>1.9992532808706989</v>
      </c>
      <c r="E16" s="142"/>
      <c r="H16" s="142"/>
    </row>
    <row r="17" spans="1:8">
      <c r="A17" s="141" t="s">
        <v>173</v>
      </c>
      <c r="B17" s="154">
        <f>2.51*0.27*(B10/D3)^0.25</f>
        <v>2.2294206202185629</v>
      </c>
      <c r="C17" s="155">
        <f>B17*D6</f>
        <v>1.7835364961748503E-2</v>
      </c>
      <c r="D17" s="156">
        <f>C17*$B$10</f>
        <v>0.16710525201888876</v>
      </c>
      <c r="E17" s="142"/>
    </row>
    <row r="18" spans="1:8">
      <c r="A18" s="141" t="s">
        <v>174</v>
      </c>
      <c r="B18" s="154">
        <f>D7*B5*(B12^2+B11^2)*(B12+B11)</f>
        <v>5.9034236038168979</v>
      </c>
      <c r="C18" s="155">
        <f>B18*(D4+D5+D6)</f>
        <v>0.4132396522671829</v>
      </c>
      <c r="D18" s="156">
        <f>C18*$B$10</f>
        <v>3.8717747791764698</v>
      </c>
      <c r="E18" s="142"/>
      <c r="F18" s="42"/>
      <c r="G18" s="42"/>
      <c r="H18" s="142"/>
    </row>
    <row r="19" spans="1:8">
      <c r="A19" s="141" t="s">
        <v>175</v>
      </c>
      <c r="B19" s="154"/>
      <c r="C19" s="155"/>
      <c r="D19" s="156">
        <f>1150*B7*0.1667*(D8*E10)^0.5*E10</f>
        <v>13.62765694361604</v>
      </c>
    </row>
    <row r="20" spans="1:8" ht="13.8" thickBot="1">
      <c r="A20" s="141" t="s">
        <v>176</v>
      </c>
      <c r="B20" s="157"/>
      <c r="C20" s="158"/>
      <c r="D20" s="159">
        <f>SUM(D15:D19)</f>
        <v>20.000000759719875</v>
      </c>
      <c r="F20" s="42"/>
    </row>
    <row r="22" spans="1:8">
      <c r="A22" s="143" t="s">
        <v>177</v>
      </c>
      <c r="B22" s="144">
        <f>B6-D20</f>
        <v>-7.5971987456568968E-7</v>
      </c>
    </row>
    <row r="24" spans="1:8">
      <c r="B24" s="145"/>
    </row>
  </sheetData>
  <mergeCells count="3">
    <mergeCell ref="C10:D10"/>
    <mergeCell ref="C11:D11"/>
    <mergeCell ref="C12:D12"/>
  </mergeCells>
  <phoneticPr fontId="7"/>
  <pageMargins left="0.75" right="0.75" top="1" bottom="1" header="0.51200000000000001" footer="0.51200000000000001"/>
  <pageSetup paperSize="9" orientation="portrait" horizontalDpi="0" verticalDpi="0"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00FF"/>
  </sheetPr>
  <dimension ref="A2:X1744"/>
  <sheetViews>
    <sheetView showGridLines="0" zoomScale="85" zoomScaleNormal="85" workbookViewId="0">
      <selection activeCell="H42" sqref="H42"/>
    </sheetView>
  </sheetViews>
  <sheetFormatPr defaultColWidth="9" defaultRowHeight="13.2"/>
  <cols>
    <col min="1" max="12" width="10.109375" style="200" customWidth="1"/>
    <col min="13" max="13" width="9" style="200"/>
    <col min="14" max="14" width="11" style="200" customWidth="1"/>
    <col min="15" max="15" width="13.33203125" style="200" customWidth="1"/>
    <col min="16" max="16" width="9" style="200"/>
    <col min="17" max="17" width="12.77734375" style="200" customWidth="1"/>
    <col min="18" max="18" width="14.21875" style="200" customWidth="1"/>
    <col min="19" max="19" width="10.33203125" style="200" customWidth="1"/>
    <col min="20" max="20" width="12.77734375" style="200" bestFit="1" customWidth="1"/>
    <col min="21" max="16384" width="9" style="200"/>
  </cols>
  <sheetData>
    <row r="2" spans="3:18" ht="16.2">
      <c r="C2" s="201" t="s">
        <v>241</v>
      </c>
      <c r="K2" s="201" t="s">
        <v>242</v>
      </c>
    </row>
    <row r="4" spans="3:18">
      <c r="Q4" s="200" t="s">
        <v>243</v>
      </c>
    </row>
    <row r="5" spans="3:18">
      <c r="Q5" s="202" t="s">
        <v>244</v>
      </c>
      <c r="R5" s="202">
        <v>18</v>
      </c>
    </row>
    <row r="6" spans="3:18">
      <c r="Q6" s="203" t="s">
        <v>245</v>
      </c>
      <c r="R6" s="204"/>
    </row>
    <row r="7" spans="3:18">
      <c r="Q7" s="205" t="s">
        <v>246</v>
      </c>
      <c r="R7" s="202">
        <v>5</v>
      </c>
    </row>
    <row r="8" spans="3:18">
      <c r="Q8" s="205" t="s">
        <v>247</v>
      </c>
      <c r="R8" s="202">
        <v>20</v>
      </c>
    </row>
    <row r="35" spans="1:24" ht="27" customHeight="1" thickBot="1">
      <c r="A35" s="296" t="s">
        <v>294</v>
      </c>
      <c r="D35" s="206"/>
      <c r="G35" s="206" t="s">
        <v>248</v>
      </c>
    </row>
    <row r="36" spans="1:24" ht="24" customHeight="1" thickBot="1">
      <c r="A36" s="207" t="s">
        <v>249</v>
      </c>
      <c r="B36" s="208" t="s">
        <v>250</v>
      </c>
      <c r="C36" s="647" t="s">
        <v>251</v>
      </c>
      <c r="D36" s="648"/>
      <c r="E36" s="649"/>
      <c r="F36" s="209" t="s">
        <v>252</v>
      </c>
      <c r="G36" s="210" t="s">
        <v>253</v>
      </c>
      <c r="H36" s="211" t="s">
        <v>254</v>
      </c>
      <c r="I36" s="212" t="s">
        <v>255</v>
      </c>
      <c r="J36" s="650" t="s">
        <v>256</v>
      </c>
      <c r="K36" s="652" t="s">
        <v>257</v>
      </c>
      <c r="L36" s="213" t="s">
        <v>258</v>
      </c>
      <c r="M36" s="214">
        <f>'【事例2】　自然空冷通風機器'!B8+'【事例2】　自然空冷通風機器'!E10</f>
        <v>53.738641163472607</v>
      </c>
      <c r="N36" s="215" t="s">
        <v>259</v>
      </c>
      <c r="O36" s="216">
        <v>0</v>
      </c>
      <c r="P36" s="654" t="s">
        <v>260</v>
      </c>
      <c r="Q36" s="656" t="s">
        <v>261</v>
      </c>
      <c r="R36" s="217"/>
    </row>
    <row r="37" spans="1:24" ht="23.25" customHeight="1" thickBot="1">
      <c r="A37" s="218"/>
      <c r="B37" s="219" t="s">
        <v>262</v>
      </c>
      <c r="C37" s="220" t="s">
        <v>263</v>
      </c>
      <c r="D37" s="220" t="s">
        <v>264</v>
      </c>
      <c r="E37" s="220" t="s">
        <v>265</v>
      </c>
      <c r="F37" s="221" t="s">
        <v>266</v>
      </c>
      <c r="G37" s="222" t="s">
        <v>197</v>
      </c>
      <c r="H37" s="223" t="s">
        <v>267</v>
      </c>
      <c r="I37" s="224" t="s">
        <v>268</v>
      </c>
      <c r="J37" s="651"/>
      <c r="K37" s="653"/>
      <c r="L37" s="225" t="s">
        <v>269</v>
      </c>
      <c r="M37" s="226" t="s">
        <v>270</v>
      </c>
      <c r="N37" s="227" t="s">
        <v>271</v>
      </c>
      <c r="O37" s="228" t="s">
        <v>272</v>
      </c>
      <c r="P37" s="655"/>
      <c r="Q37" s="657"/>
      <c r="R37" s="229"/>
    </row>
    <row r="38" spans="1:24">
      <c r="A38" s="490" t="s">
        <v>476</v>
      </c>
      <c r="B38" s="488">
        <v>90</v>
      </c>
      <c r="C38" s="484">
        <v>35</v>
      </c>
      <c r="D38" s="484">
        <v>35</v>
      </c>
      <c r="E38" s="484">
        <v>2.2999999999999998</v>
      </c>
      <c r="F38" s="484">
        <v>6.7</v>
      </c>
      <c r="G38" s="273">
        <f>(C38+D38)*2</f>
        <v>140</v>
      </c>
      <c r="H38" s="274">
        <f t="shared" ref="H38:H46" si="0">(C38*D38+D38*E38+E38*C38)*2</f>
        <v>2772</v>
      </c>
      <c r="I38" s="275">
        <f t="shared" ref="I38:I46" si="1">F38/H38*1000000</f>
        <v>2417.027417027417</v>
      </c>
      <c r="J38" s="297">
        <f>1/H38/Q38*1000000</f>
        <v>22.037193242350156</v>
      </c>
      <c r="K38" s="298">
        <f>(B38-$M$36)/F38</f>
        <v>5.4121431099294615</v>
      </c>
      <c r="L38" s="282" t="str">
        <f t="shared" ref="L38:L46" si="2">IF(J38&lt;K38,"○","×")</f>
        <v>×</v>
      </c>
      <c r="M38" s="283" t="str">
        <f t="shared" ref="M38:M46" si="3">IF(OR(K38&gt;=30,L38="○"),"○","×")</f>
        <v>×</v>
      </c>
      <c r="N38" s="284">
        <f t="shared" ref="N38:N46" si="4">J38/K38</f>
        <v>4.0718053448955036</v>
      </c>
      <c r="O38" s="285"/>
      <c r="P38" s="233">
        <v>0.9</v>
      </c>
      <c r="Q38" s="294">
        <f>IF($O$36&lt;&gt;0,3.86*($O$36/MIN(C38,D38)*1000)^0.5+0.0000000567*P38*(($M$36+273+(B38-$M$36))^2+($M$36+273)^2)*(($M$36+273+(B38-$M$36))+($M$36+273)),2.51*0.56*((B38-$M$36)/(MIN(C38,D38)/1000))^0.25+0.0000000567*P38*(($M$36+273+(B38-$M$36))^2+($M$36+273)^2)*(($M$36+273+(B38-$M$36))+($M$36+273)))</f>
        <v>16.370068401319173</v>
      </c>
      <c r="R38" s="229"/>
    </row>
    <row r="39" spans="1:24">
      <c r="A39" s="491" t="s">
        <v>477</v>
      </c>
      <c r="B39" s="489">
        <v>90</v>
      </c>
      <c r="C39" s="485">
        <v>15</v>
      </c>
      <c r="D39" s="485">
        <v>15</v>
      </c>
      <c r="E39" s="485">
        <v>2</v>
      </c>
      <c r="F39" s="485">
        <v>2.2000000000000002</v>
      </c>
      <c r="G39" s="276">
        <f t="shared" ref="G39:G46" si="5">(C39+D39)*2</f>
        <v>60</v>
      </c>
      <c r="H39" s="277">
        <f t="shared" si="0"/>
        <v>570</v>
      </c>
      <c r="I39" s="278">
        <f t="shared" si="1"/>
        <v>3859.6491228070176</v>
      </c>
      <c r="J39" s="299">
        <f t="shared" ref="J39" si="6">1/H39/Q39*1000000</f>
        <v>96.122787602888266</v>
      </c>
      <c r="K39" s="300">
        <f>(B39-$M$36)/F39</f>
        <v>16.482435834785178</v>
      </c>
      <c r="L39" s="286" t="str">
        <f t="shared" si="2"/>
        <v>×</v>
      </c>
      <c r="M39" s="287" t="str">
        <f t="shared" si="3"/>
        <v>×</v>
      </c>
      <c r="N39" s="288">
        <f t="shared" si="4"/>
        <v>5.8318314456912352</v>
      </c>
      <c r="O39" s="289"/>
      <c r="P39" s="236">
        <v>0.9</v>
      </c>
      <c r="Q39" s="294">
        <f>IF($O$36&lt;&gt;0,3.86*($O$36/MIN(C39,D39)*1000)^0.5+0.0000000567*P39*(($M$36+273+(B39-$M$36))^2+($M$36+273)^2)*(($M$36+273+(B39-$M$36))+($M$36+273)),2.51*0.56*((B39-$M$36)/(MIN(C39,D39)/1000))^0.25+0.0000000567*P39*(($M$36+273+(B39-$M$36))^2+($M$36+273)^2)*(($M$36+273+(B39-$M$36))+($M$36+273)))</f>
        <v>18.251509435620711</v>
      </c>
      <c r="R39" s="229"/>
    </row>
    <row r="40" spans="1:24">
      <c r="A40" s="492" t="s">
        <v>478</v>
      </c>
      <c r="B40" s="489">
        <v>90</v>
      </c>
      <c r="C40" s="485">
        <v>12</v>
      </c>
      <c r="D40" s="485">
        <v>12</v>
      </c>
      <c r="E40" s="485">
        <v>2.2999999999999998</v>
      </c>
      <c r="F40" s="485">
        <v>0.6</v>
      </c>
      <c r="G40" s="276">
        <f t="shared" si="5"/>
        <v>48</v>
      </c>
      <c r="H40" s="277">
        <f t="shared" si="0"/>
        <v>398.4</v>
      </c>
      <c r="I40" s="278">
        <f t="shared" si="1"/>
        <v>1506.0240963855422</v>
      </c>
      <c r="J40" s="299">
        <f>1/H40/Q40*1000000</f>
        <v>133.39244003683345</v>
      </c>
      <c r="K40" s="300">
        <f t="shared" ref="K40:K46" si="7">(B40-$M$36)/F40</f>
        <v>60.435598060878988</v>
      </c>
      <c r="L40" s="286" t="str">
        <f t="shared" si="2"/>
        <v>×</v>
      </c>
      <c r="M40" s="287" t="str">
        <f t="shared" si="3"/>
        <v>○</v>
      </c>
      <c r="N40" s="288">
        <f t="shared" si="4"/>
        <v>2.2071832548502681</v>
      </c>
      <c r="O40" s="289"/>
      <c r="P40" s="236">
        <v>0.9</v>
      </c>
      <c r="Q40" s="294">
        <f t="shared" ref="Q40:Q46" si="8">IF($O$36&lt;&gt;0,3.86*($O$36/MIN(C40,D40)*1000)^0.5+0.0000000567*P40*(($M$36+273+(B40-$M$36))^2+($M$36+273)^2)*(($M$36+273+(B40-$M$36))+($M$36+273)),2.51*0.56*((B40-$M$36)/(MIN(C40,D40)/1000))^0.25+0.0000000567*P40*(($M$36+273+(B40-$M$36))^2+($M$36+273)^2)*(($M$36+273+(B40-$M$36))+($M$36+273)))</f>
        <v>18.816959641412041</v>
      </c>
      <c r="R40" s="237"/>
      <c r="S40" s="238"/>
      <c r="V40" s="239"/>
      <c r="W40" s="240"/>
    </row>
    <row r="41" spans="1:24">
      <c r="A41" s="493" t="s">
        <v>479</v>
      </c>
      <c r="B41" s="489">
        <v>90</v>
      </c>
      <c r="C41" s="486">
        <v>9</v>
      </c>
      <c r="D41" s="486">
        <v>9</v>
      </c>
      <c r="E41" s="486">
        <v>1.4</v>
      </c>
      <c r="F41" s="486">
        <v>0.4</v>
      </c>
      <c r="G41" s="276">
        <f t="shared" si="5"/>
        <v>36</v>
      </c>
      <c r="H41" s="277">
        <f t="shared" si="0"/>
        <v>212.39999999999998</v>
      </c>
      <c r="I41" s="278">
        <f t="shared" si="1"/>
        <v>1883.239171374765</v>
      </c>
      <c r="J41" s="299">
        <f t="shared" ref="J41:J46" si="9">1/H41/Q41*1000000</f>
        <v>240.28158888082476</v>
      </c>
      <c r="K41" s="300">
        <f>(B41-$M$36)/F41</f>
        <v>90.653397091318482</v>
      </c>
      <c r="L41" s="286" t="str">
        <f>IF(J41&lt;K41,"○","×")</f>
        <v>×</v>
      </c>
      <c r="M41" s="287" t="str">
        <f t="shared" si="3"/>
        <v>○</v>
      </c>
      <c r="N41" s="288">
        <f t="shared" si="4"/>
        <v>2.6505525064745266</v>
      </c>
      <c r="O41" s="289"/>
      <c r="P41" s="236">
        <v>0.9</v>
      </c>
      <c r="Q41" s="294">
        <f t="shared" si="8"/>
        <v>19.594085216291965</v>
      </c>
      <c r="R41" s="237"/>
      <c r="S41" s="238"/>
      <c r="V41" s="239"/>
      <c r="W41" s="240"/>
      <c r="X41" s="240"/>
    </row>
    <row r="42" spans="1:24">
      <c r="A42" s="492" t="s">
        <v>480</v>
      </c>
      <c r="B42" s="489">
        <v>90</v>
      </c>
      <c r="C42" s="485">
        <v>24</v>
      </c>
      <c r="D42" s="487">
        <v>18</v>
      </c>
      <c r="E42" s="485">
        <v>2.8</v>
      </c>
      <c r="F42" s="485">
        <v>0.6</v>
      </c>
      <c r="G42" s="276">
        <f t="shared" si="5"/>
        <v>84</v>
      </c>
      <c r="H42" s="277">
        <f t="shared" si="0"/>
        <v>1099.1999999999998</v>
      </c>
      <c r="I42" s="278">
        <f t="shared" si="1"/>
        <v>545.8515283842795</v>
      </c>
      <c r="J42" s="299">
        <f t="shared" si="9"/>
        <v>51.074244853729731</v>
      </c>
      <c r="K42" s="300">
        <f t="shared" si="7"/>
        <v>60.435598060878988</v>
      </c>
      <c r="L42" s="286" t="str">
        <f t="shared" si="2"/>
        <v>○</v>
      </c>
      <c r="M42" s="287" t="str">
        <f t="shared" si="3"/>
        <v>○</v>
      </c>
      <c r="N42" s="288">
        <f t="shared" si="4"/>
        <v>0.84510200101405097</v>
      </c>
      <c r="O42" s="289"/>
      <c r="P42" s="236">
        <v>0.9</v>
      </c>
      <c r="Q42" s="294">
        <f t="shared" si="8"/>
        <v>17.812354346355004</v>
      </c>
      <c r="R42" s="237"/>
      <c r="W42" s="240"/>
      <c r="X42" s="240"/>
    </row>
    <row r="43" spans="1:24">
      <c r="A43" s="493" t="s">
        <v>481</v>
      </c>
      <c r="B43" s="489">
        <v>90</v>
      </c>
      <c r="C43" s="486">
        <v>22</v>
      </c>
      <c r="D43" s="486">
        <v>22</v>
      </c>
      <c r="E43" s="486">
        <v>2</v>
      </c>
      <c r="F43" s="486">
        <v>0.8</v>
      </c>
      <c r="G43" s="276">
        <f t="shared" si="5"/>
        <v>88</v>
      </c>
      <c r="H43" s="277">
        <f t="shared" si="0"/>
        <v>1144</v>
      </c>
      <c r="I43" s="278">
        <f t="shared" si="1"/>
        <v>699.30069930069931</v>
      </c>
      <c r="J43" s="299">
        <f t="shared" si="9"/>
        <v>50.377282703272058</v>
      </c>
      <c r="K43" s="300">
        <f t="shared" si="7"/>
        <v>45.326698545659241</v>
      </c>
      <c r="L43" s="286" t="str">
        <f t="shared" si="2"/>
        <v>×</v>
      </c>
      <c r="M43" s="287" t="str">
        <f t="shared" si="3"/>
        <v>○</v>
      </c>
      <c r="N43" s="288">
        <f t="shared" si="4"/>
        <v>1.111426252510431</v>
      </c>
      <c r="O43" s="289"/>
      <c r="P43" s="236">
        <v>0.9</v>
      </c>
      <c r="Q43" s="294">
        <f t="shared" si="8"/>
        <v>17.351588398972911</v>
      </c>
      <c r="R43" s="237"/>
      <c r="W43" s="240"/>
      <c r="X43" s="240"/>
    </row>
    <row r="44" spans="1:24">
      <c r="A44" s="491" t="s">
        <v>482</v>
      </c>
      <c r="B44" s="489">
        <v>90</v>
      </c>
      <c r="C44" s="485">
        <v>4.8</v>
      </c>
      <c r="D44" s="485">
        <v>31</v>
      </c>
      <c r="E44" s="485">
        <v>16</v>
      </c>
      <c r="F44" s="485">
        <v>4.5</v>
      </c>
      <c r="G44" s="276">
        <f t="shared" si="5"/>
        <v>71.599999999999994</v>
      </c>
      <c r="H44" s="277">
        <f t="shared" si="0"/>
        <v>1443.1999999999998</v>
      </c>
      <c r="I44" s="278">
        <f t="shared" si="1"/>
        <v>3118.0709534368075</v>
      </c>
      <c r="J44" s="299">
        <f t="shared" si="9"/>
        <v>32.228445875376188</v>
      </c>
      <c r="K44" s="300">
        <f t="shared" si="7"/>
        <v>8.0580797414505323</v>
      </c>
      <c r="L44" s="286" t="str">
        <f>IF(J44&lt;K44,"○","×")</f>
        <v>×</v>
      </c>
      <c r="M44" s="287" t="str">
        <f>IF(OR(K44&gt;=30,L44="○"),"○","×")</f>
        <v>×</v>
      </c>
      <c r="N44" s="288">
        <f>J44/K44</f>
        <v>3.9995193531771571</v>
      </c>
      <c r="O44" s="289"/>
      <c r="P44" s="236">
        <v>0.9</v>
      </c>
      <c r="Q44" s="294">
        <f t="shared" si="8"/>
        <v>21.49978497252631</v>
      </c>
      <c r="R44" s="237"/>
      <c r="S44" s="238"/>
      <c r="V44" s="239"/>
      <c r="W44" s="240"/>
    </row>
    <row r="45" spans="1:24">
      <c r="A45" s="492" t="s">
        <v>483</v>
      </c>
      <c r="B45" s="489">
        <v>90</v>
      </c>
      <c r="C45" s="485">
        <v>4.5</v>
      </c>
      <c r="D45" s="485">
        <v>17</v>
      </c>
      <c r="E45" s="485">
        <v>10</v>
      </c>
      <c r="F45" s="485">
        <v>0.4</v>
      </c>
      <c r="G45" s="276">
        <f t="shared" si="5"/>
        <v>43</v>
      </c>
      <c r="H45" s="277">
        <f t="shared" si="0"/>
        <v>583</v>
      </c>
      <c r="I45" s="278">
        <f t="shared" si="1"/>
        <v>686.10634648370501</v>
      </c>
      <c r="J45" s="299">
        <f>1/H45/Q45*1000000</f>
        <v>78.997430975533405</v>
      </c>
      <c r="K45" s="300">
        <f t="shared" si="7"/>
        <v>90.653397091318482</v>
      </c>
      <c r="L45" s="286" t="str">
        <f t="shared" si="2"/>
        <v>○</v>
      </c>
      <c r="M45" s="287" t="str">
        <f t="shared" si="3"/>
        <v>○</v>
      </c>
      <c r="N45" s="288">
        <f t="shared" si="4"/>
        <v>0.87142273218902544</v>
      </c>
      <c r="O45" s="289"/>
      <c r="P45" s="236">
        <v>0.9</v>
      </c>
      <c r="Q45" s="294">
        <f t="shared" si="8"/>
        <v>21.712932243840992</v>
      </c>
      <c r="R45" s="237"/>
      <c r="W45" s="240"/>
      <c r="X45" s="240"/>
    </row>
    <row r="46" spans="1:24">
      <c r="A46" s="492" t="s">
        <v>484</v>
      </c>
      <c r="B46" s="489">
        <v>90</v>
      </c>
      <c r="C46" s="485">
        <v>4.5</v>
      </c>
      <c r="D46" s="485">
        <v>17</v>
      </c>
      <c r="E46" s="485">
        <v>10</v>
      </c>
      <c r="F46" s="496">
        <v>0.2</v>
      </c>
      <c r="G46" s="276">
        <f t="shared" si="5"/>
        <v>43</v>
      </c>
      <c r="H46" s="277">
        <f t="shared" si="0"/>
        <v>583</v>
      </c>
      <c r="I46" s="278">
        <f t="shared" si="1"/>
        <v>343.05317324185251</v>
      </c>
      <c r="J46" s="299">
        <f t="shared" si="9"/>
        <v>78.997430975533405</v>
      </c>
      <c r="K46" s="300">
        <f t="shared" si="7"/>
        <v>181.30679418263696</v>
      </c>
      <c r="L46" s="286" t="str">
        <f t="shared" si="2"/>
        <v>○</v>
      </c>
      <c r="M46" s="287" t="str">
        <f t="shared" si="3"/>
        <v>○</v>
      </c>
      <c r="N46" s="288">
        <f t="shared" si="4"/>
        <v>0.43571136609451272</v>
      </c>
      <c r="O46" s="289"/>
      <c r="P46" s="236">
        <v>0.9</v>
      </c>
      <c r="Q46" s="294">
        <f t="shared" si="8"/>
        <v>21.712932243840992</v>
      </c>
      <c r="R46" s="237"/>
      <c r="W46" s="240"/>
      <c r="X46" s="240"/>
    </row>
    <row r="47" spans="1:24">
      <c r="A47" s="494"/>
      <c r="B47" s="231"/>
      <c r="C47" s="232"/>
      <c r="D47" s="495"/>
      <c r="E47" s="495"/>
      <c r="F47" s="495"/>
      <c r="G47" s="276"/>
      <c r="H47" s="277"/>
      <c r="I47" s="278"/>
      <c r="J47" s="299"/>
      <c r="K47" s="300"/>
      <c r="L47" s="286"/>
      <c r="M47" s="287"/>
      <c r="N47" s="288"/>
      <c r="O47" s="289"/>
      <c r="P47" s="236"/>
      <c r="Q47" s="294"/>
      <c r="R47" s="237"/>
      <c r="S47" s="238"/>
      <c r="V47" s="239"/>
      <c r="W47" s="240"/>
    </row>
    <row r="48" spans="1:24">
      <c r="A48" s="234"/>
      <c r="B48" s="231"/>
      <c r="C48" s="235"/>
      <c r="D48" s="235"/>
      <c r="E48" s="235"/>
      <c r="F48" s="235"/>
      <c r="G48" s="276"/>
      <c r="H48" s="277"/>
      <c r="I48" s="278"/>
      <c r="J48" s="299"/>
      <c r="K48" s="300"/>
      <c r="L48" s="286"/>
      <c r="M48" s="287"/>
      <c r="N48" s="288"/>
      <c r="O48" s="289"/>
      <c r="P48" s="236"/>
      <c r="Q48" s="294"/>
      <c r="R48" s="237"/>
      <c r="W48" s="240"/>
      <c r="X48" s="240"/>
    </row>
    <row r="49" spans="1:24">
      <c r="A49" s="234"/>
      <c r="B49" s="231"/>
      <c r="C49" s="235"/>
      <c r="D49" s="235"/>
      <c r="E49" s="235"/>
      <c r="F49" s="235"/>
      <c r="G49" s="276"/>
      <c r="H49" s="277"/>
      <c r="I49" s="278"/>
      <c r="J49" s="299"/>
      <c r="K49" s="300"/>
      <c r="L49" s="286"/>
      <c r="M49" s="287"/>
      <c r="N49" s="288"/>
      <c r="O49" s="289"/>
      <c r="P49" s="236"/>
      <c r="Q49" s="294"/>
      <c r="R49" s="237"/>
      <c r="W49" s="240"/>
      <c r="X49" s="240"/>
    </row>
    <row r="50" spans="1:24">
      <c r="A50" s="234"/>
      <c r="B50" s="231"/>
      <c r="C50" s="235"/>
      <c r="D50" s="235"/>
      <c r="E50" s="235"/>
      <c r="F50" s="235"/>
      <c r="G50" s="276"/>
      <c r="H50" s="277"/>
      <c r="I50" s="278"/>
      <c r="J50" s="299"/>
      <c r="K50" s="300"/>
      <c r="L50" s="286"/>
      <c r="M50" s="287"/>
      <c r="N50" s="288"/>
      <c r="O50" s="289"/>
      <c r="P50" s="236"/>
      <c r="Q50" s="294"/>
      <c r="R50" s="237"/>
      <c r="S50" s="238"/>
      <c r="V50" s="239"/>
      <c r="W50" s="240"/>
    </row>
    <row r="51" spans="1:24">
      <c r="A51" s="234"/>
      <c r="B51" s="231"/>
      <c r="C51" s="235"/>
      <c r="D51" s="235"/>
      <c r="E51" s="235"/>
      <c r="F51" s="235"/>
      <c r="G51" s="276"/>
      <c r="H51" s="277"/>
      <c r="I51" s="278"/>
      <c r="J51" s="299"/>
      <c r="K51" s="300"/>
      <c r="L51" s="286"/>
      <c r="M51" s="287"/>
      <c r="N51" s="288"/>
      <c r="O51" s="289"/>
      <c r="P51" s="236"/>
      <c r="Q51" s="294"/>
      <c r="R51" s="237"/>
      <c r="V51" s="239"/>
      <c r="W51" s="240"/>
    </row>
    <row r="52" spans="1:24">
      <c r="A52" s="242"/>
      <c r="B52" s="272"/>
      <c r="C52" s="241"/>
      <c r="D52" s="241"/>
      <c r="E52" s="241"/>
      <c r="F52" s="271"/>
      <c r="G52" s="276"/>
      <c r="H52" s="277"/>
      <c r="I52" s="278"/>
      <c r="J52" s="299"/>
      <c r="K52" s="300"/>
      <c r="L52" s="286"/>
      <c r="M52" s="287"/>
      <c r="N52" s="288"/>
      <c r="O52" s="289"/>
      <c r="P52" s="244"/>
      <c r="Q52" s="294"/>
      <c r="R52" s="237"/>
      <c r="V52" s="239"/>
      <c r="W52" s="240"/>
    </row>
    <row r="53" spans="1:24">
      <c r="A53" s="242"/>
      <c r="B53" s="272"/>
      <c r="C53" s="241"/>
      <c r="D53" s="241"/>
      <c r="E53" s="241"/>
      <c r="F53" s="271"/>
      <c r="G53" s="276"/>
      <c r="H53" s="277"/>
      <c r="I53" s="278"/>
      <c r="J53" s="299"/>
      <c r="K53" s="300"/>
      <c r="L53" s="286"/>
      <c r="M53" s="287"/>
      <c r="N53" s="288"/>
      <c r="O53" s="289"/>
      <c r="P53" s="244"/>
      <c r="Q53" s="294"/>
      <c r="R53" s="237"/>
      <c r="V53" s="239"/>
      <c r="W53" s="240"/>
    </row>
    <row r="54" spans="1:24">
      <c r="A54" s="242"/>
      <c r="B54" s="272"/>
      <c r="C54" s="241"/>
      <c r="D54" s="241"/>
      <c r="E54" s="241"/>
      <c r="F54" s="271"/>
      <c r="G54" s="276"/>
      <c r="H54" s="277"/>
      <c r="I54" s="278"/>
      <c r="J54" s="299"/>
      <c r="K54" s="300"/>
      <c r="L54" s="286"/>
      <c r="M54" s="287"/>
      <c r="N54" s="288"/>
      <c r="O54" s="289"/>
      <c r="P54" s="244"/>
      <c r="Q54" s="294"/>
      <c r="R54" s="237"/>
      <c r="V54" s="239"/>
      <c r="W54" s="240"/>
    </row>
    <row r="55" spans="1:24">
      <c r="A55" s="242"/>
      <c r="B55" s="272"/>
      <c r="C55" s="241"/>
      <c r="D55" s="241"/>
      <c r="E55" s="241"/>
      <c r="F55" s="243"/>
      <c r="G55" s="276"/>
      <c r="H55" s="277"/>
      <c r="I55" s="278"/>
      <c r="J55" s="299"/>
      <c r="K55" s="300"/>
      <c r="L55" s="286"/>
      <c r="M55" s="287"/>
      <c r="N55" s="288"/>
      <c r="O55" s="289"/>
      <c r="P55" s="244"/>
      <c r="Q55" s="294"/>
      <c r="R55" s="237"/>
      <c r="S55" s="245"/>
    </row>
    <row r="56" spans="1:24">
      <c r="A56" s="234"/>
      <c r="B56" s="246"/>
      <c r="C56" s="235"/>
      <c r="D56" s="235"/>
      <c r="E56" s="235"/>
      <c r="F56" s="247"/>
      <c r="G56" s="276"/>
      <c r="H56" s="277"/>
      <c r="I56" s="278"/>
      <c r="J56" s="299"/>
      <c r="K56" s="300"/>
      <c r="L56" s="286"/>
      <c r="M56" s="287"/>
      <c r="N56" s="288"/>
      <c r="O56" s="289"/>
      <c r="P56" s="236"/>
      <c r="Q56" s="294"/>
      <c r="R56" s="237"/>
      <c r="S56" s="245"/>
    </row>
    <row r="57" spans="1:24" ht="13.8" thickBot="1">
      <c r="A57" s="248"/>
      <c r="B57" s="249"/>
      <c r="C57" s="250"/>
      <c r="D57" s="250"/>
      <c r="E57" s="250"/>
      <c r="F57" s="251"/>
      <c r="G57" s="279"/>
      <c r="H57" s="280"/>
      <c r="I57" s="281"/>
      <c r="J57" s="301"/>
      <c r="K57" s="302"/>
      <c r="L57" s="290"/>
      <c r="M57" s="291"/>
      <c r="N57" s="292"/>
      <c r="O57" s="293"/>
      <c r="P57" s="252"/>
      <c r="Q57" s="295"/>
      <c r="R57" s="237"/>
      <c r="S57" s="245"/>
    </row>
    <row r="58" spans="1:24">
      <c r="A58" s="253"/>
      <c r="B58" s="253"/>
      <c r="C58" s="253"/>
      <c r="D58" s="253"/>
      <c r="E58" s="253"/>
      <c r="F58" s="253"/>
      <c r="G58" s="253"/>
      <c r="H58" s="254"/>
      <c r="I58" s="255"/>
      <c r="J58" s="253"/>
      <c r="K58" s="253"/>
      <c r="L58" s="253"/>
      <c r="M58" s="253"/>
      <c r="N58" s="253"/>
      <c r="O58" s="253"/>
      <c r="P58" s="253"/>
      <c r="Q58" s="253"/>
    </row>
    <row r="59" spans="1:24">
      <c r="A59" s="253"/>
      <c r="B59" s="253"/>
      <c r="C59" s="253"/>
      <c r="D59" s="253"/>
      <c r="E59" s="253"/>
      <c r="F59" s="253"/>
      <c r="G59" s="253"/>
      <c r="H59" s="256"/>
      <c r="I59" s="255"/>
      <c r="J59" s="253"/>
      <c r="K59" s="253"/>
      <c r="L59" s="253"/>
      <c r="M59" s="253"/>
      <c r="N59" s="253"/>
      <c r="O59" s="253"/>
      <c r="P59" s="253"/>
      <c r="Q59" s="253"/>
    </row>
    <row r="60" spans="1:24">
      <c r="A60" s="253"/>
      <c r="B60" s="253"/>
      <c r="C60" s="253"/>
      <c r="D60" s="253"/>
      <c r="E60" s="253"/>
      <c r="F60" s="253"/>
      <c r="G60" s="253"/>
      <c r="H60" s="253"/>
      <c r="I60" s="253"/>
      <c r="J60" s="253"/>
      <c r="K60" s="253"/>
      <c r="L60" s="253"/>
      <c r="M60" s="253"/>
      <c r="N60" s="253"/>
      <c r="O60" s="253"/>
      <c r="P60" s="253"/>
      <c r="Q60" s="253"/>
    </row>
    <row r="61" spans="1:24">
      <c r="A61" s="253"/>
      <c r="B61" s="253"/>
      <c r="C61" s="253"/>
      <c r="D61" s="253"/>
      <c r="E61" s="253"/>
      <c r="F61" s="253"/>
      <c r="G61" s="253"/>
      <c r="H61" s="253"/>
      <c r="I61" s="253"/>
      <c r="J61" s="253"/>
      <c r="K61" s="253"/>
      <c r="L61" s="253"/>
      <c r="M61" s="253"/>
      <c r="N61" s="253"/>
      <c r="O61" s="253"/>
      <c r="P61" s="253"/>
      <c r="Q61" s="253"/>
    </row>
    <row r="62" spans="1:24">
      <c r="A62" s="253"/>
      <c r="B62" s="253"/>
      <c r="C62" s="253"/>
      <c r="D62" s="253"/>
      <c r="E62" s="253"/>
      <c r="F62" s="253"/>
      <c r="G62" s="253"/>
      <c r="H62" s="253"/>
      <c r="I62" s="253"/>
      <c r="J62" s="253"/>
      <c r="K62" s="253"/>
      <c r="L62" s="253"/>
      <c r="M62" s="253"/>
      <c r="N62" s="253"/>
      <c r="O62" s="253"/>
      <c r="P62" s="253"/>
      <c r="Q62" s="253"/>
    </row>
    <row r="63" spans="1:24">
      <c r="A63" s="253"/>
      <c r="B63" s="253"/>
      <c r="C63" s="253"/>
      <c r="D63" s="253"/>
      <c r="E63" s="253"/>
      <c r="F63" s="253"/>
      <c r="G63" s="253"/>
      <c r="H63" s="253"/>
      <c r="I63" s="253"/>
      <c r="J63" s="253"/>
      <c r="K63" s="253"/>
      <c r="L63" s="253"/>
      <c r="M63" s="253"/>
      <c r="N63" s="253"/>
      <c r="O63" s="253"/>
      <c r="P63" s="253"/>
      <c r="Q63" s="253"/>
    </row>
    <row r="64" spans="1:24">
      <c r="A64" s="253"/>
      <c r="B64" s="253"/>
      <c r="C64" s="253"/>
      <c r="D64" s="253"/>
      <c r="E64" s="253"/>
      <c r="F64" s="253"/>
      <c r="G64" s="253"/>
      <c r="H64" s="253"/>
      <c r="I64" s="253"/>
      <c r="J64" s="253"/>
      <c r="K64" s="253"/>
      <c r="L64" s="253"/>
      <c r="M64" s="253"/>
      <c r="N64" s="253"/>
      <c r="O64" s="253"/>
      <c r="P64" s="253"/>
      <c r="Q64" s="253"/>
    </row>
    <row r="65" spans="1:17">
      <c r="A65" s="253"/>
      <c r="B65" s="253"/>
      <c r="C65" s="253"/>
      <c r="D65" s="253"/>
      <c r="E65" s="253"/>
      <c r="F65" s="253"/>
      <c r="G65" s="253"/>
      <c r="H65" s="253"/>
      <c r="I65" s="253"/>
      <c r="J65" s="253"/>
      <c r="K65" s="253"/>
      <c r="L65" s="253"/>
      <c r="M65" s="253"/>
      <c r="N65" s="253"/>
      <c r="O65" s="253"/>
      <c r="P65" s="253"/>
      <c r="Q65" s="253"/>
    </row>
    <row r="66" spans="1:17">
      <c r="A66" s="253"/>
      <c r="B66" s="253"/>
      <c r="C66" s="253"/>
      <c r="D66" s="253"/>
      <c r="E66" s="253"/>
      <c r="F66" s="253"/>
      <c r="G66" s="253"/>
      <c r="H66" s="253"/>
      <c r="I66" s="253"/>
      <c r="J66" s="253"/>
      <c r="K66" s="253"/>
      <c r="L66" s="253"/>
      <c r="M66" s="253"/>
      <c r="N66" s="253"/>
      <c r="O66" s="253"/>
      <c r="P66" s="253"/>
      <c r="Q66" s="253"/>
    </row>
    <row r="67" spans="1:17">
      <c r="A67" s="253"/>
      <c r="B67" s="253"/>
      <c r="C67" s="253"/>
      <c r="D67" s="253"/>
      <c r="E67" s="253"/>
      <c r="F67" s="253"/>
      <c r="G67" s="253"/>
      <c r="H67" s="253"/>
      <c r="I67" s="253"/>
      <c r="J67" s="253"/>
      <c r="K67" s="253"/>
      <c r="L67" s="253"/>
      <c r="M67" s="253"/>
      <c r="N67" s="253"/>
      <c r="O67" s="253"/>
      <c r="P67" s="253"/>
      <c r="Q67" s="253"/>
    </row>
    <row r="68" spans="1:17">
      <c r="A68" s="253"/>
      <c r="B68" s="253"/>
      <c r="C68" s="253"/>
      <c r="D68" s="253"/>
      <c r="E68" s="253"/>
      <c r="F68" s="253"/>
      <c r="G68" s="253"/>
      <c r="H68" s="253"/>
      <c r="I68" s="253"/>
      <c r="J68" s="253"/>
      <c r="K68" s="253"/>
      <c r="L68" s="253"/>
      <c r="M68" s="253"/>
      <c r="N68" s="253"/>
      <c r="O68" s="253"/>
      <c r="P68" s="253"/>
      <c r="Q68" s="253"/>
    </row>
    <row r="69" spans="1:17">
      <c r="A69" s="253"/>
      <c r="B69" s="253"/>
      <c r="C69" s="253"/>
      <c r="D69" s="253"/>
      <c r="E69" s="253"/>
      <c r="F69" s="253"/>
      <c r="G69" s="253"/>
      <c r="H69" s="253"/>
      <c r="I69" s="253"/>
      <c r="J69" s="253"/>
      <c r="K69" s="253"/>
      <c r="L69" s="253"/>
      <c r="M69" s="253"/>
      <c r="N69" s="253"/>
      <c r="O69" s="253"/>
      <c r="P69" s="253"/>
      <c r="Q69" s="253"/>
    </row>
    <row r="70" spans="1:17">
      <c r="A70" s="253"/>
      <c r="B70" s="253"/>
      <c r="C70" s="253"/>
      <c r="D70" s="253"/>
      <c r="E70" s="253"/>
      <c r="F70" s="253"/>
      <c r="G70" s="253"/>
      <c r="H70" s="253"/>
      <c r="I70" s="253"/>
      <c r="J70" s="253"/>
      <c r="K70" s="253"/>
      <c r="L70" s="253"/>
      <c r="M70" s="253"/>
      <c r="N70" s="253"/>
      <c r="O70" s="253"/>
      <c r="P70" s="253"/>
      <c r="Q70" s="253"/>
    </row>
    <row r="71" spans="1:17">
      <c r="A71" s="253"/>
      <c r="B71" s="253"/>
      <c r="C71" s="253"/>
      <c r="D71" s="253"/>
      <c r="E71" s="253"/>
      <c r="F71" s="253"/>
      <c r="G71" s="253"/>
      <c r="H71" s="253"/>
      <c r="I71" s="253"/>
      <c r="J71" s="253"/>
      <c r="K71" s="253"/>
      <c r="L71" s="253"/>
      <c r="M71" s="253"/>
      <c r="N71" s="253"/>
      <c r="O71" s="253"/>
      <c r="P71" s="253"/>
      <c r="Q71" s="253"/>
    </row>
    <row r="72" spans="1:17">
      <c r="A72" s="253"/>
      <c r="B72" s="253"/>
      <c r="C72" s="253"/>
      <c r="D72" s="253"/>
      <c r="E72" s="253"/>
      <c r="F72" s="253"/>
      <c r="G72" s="253"/>
      <c r="H72" s="253"/>
      <c r="I72" s="253"/>
      <c r="J72" s="253"/>
      <c r="K72" s="253"/>
      <c r="L72" s="253"/>
      <c r="M72" s="253"/>
      <c r="N72" s="253"/>
      <c r="O72" s="253"/>
      <c r="P72" s="253"/>
      <c r="Q72" s="253"/>
    </row>
    <row r="73" spans="1:17">
      <c r="A73" s="253"/>
      <c r="B73" s="253"/>
      <c r="C73" s="253"/>
      <c r="D73" s="253"/>
      <c r="E73" s="253"/>
      <c r="F73" s="253"/>
      <c r="G73" s="253"/>
      <c r="H73" s="253"/>
      <c r="I73" s="253"/>
      <c r="J73" s="253"/>
      <c r="K73" s="253"/>
      <c r="L73" s="253"/>
      <c r="M73" s="253"/>
      <c r="N73" s="253"/>
      <c r="O73" s="253"/>
      <c r="P73" s="253"/>
      <c r="Q73" s="253"/>
    </row>
    <row r="74" spans="1:17">
      <c r="A74" s="253"/>
      <c r="B74" s="253"/>
      <c r="C74" s="253"/>
      <c r="D74" s="253"/>
      <c r="E74" s="253"/>
      <c r="F74" s="253"/>
      <c r="G74" s="253"/>
      <c r="H74" s="253"/>
      <c r="I74" s="253"/>
      <c r="J74" s="253"/>
      <c r="K74" s="253"/>
      <c r="L74" s="253"/>
      <c r="M74" s="253"/>
      <c r="N74" s="253"/>
      <c r="O74" s="253"/>
      <c r="P74" s="253"/>
      <c r="Q74" s="253"/>
    </row>
    <row r="75" spans="1:17">
      <c r="A75" s="253"/>
      <c r="B75" s="253"/>
      <c r="C75" s="253"/>
      <c r="D75" s="253"/>
      <c r="E75" s="253"/>
      <c r="F75" s="253"/>
      <c r="G75" s="253"/>
      <c r="H75" s="253"/>
      <c r="I75" s="253"/>
      <c r="J75" s="253"/>
      <c r="K75" s="253"/>
      <c r="L75" s="253"/>
      <c r="M75" s="253"/>
      <c r="N75" s="253"/>
      <c r="O75" s="253"/>
      <c r="P75" s="253"/>
      <c r="Q75" s="253"/>
    </row>
    <row r="76" spans="1:17">
      <c r="A76" s="253"/>
      <c r="B76" s="253"/>
      <c r="C76" s="253"/>
      <c r="D76" s="253"/>
      <c r="E76" s="253"/>
      <c r="F76" s="253"/>
      <c r="G76" s="253"/>
      <c r="H76" s="253"/>
      <c r="I76" s="253"/>
      <c r="J76" s="253"/>
      <c r="K76" s="253"/>
      <c r="L76" s="253"/>
      <c r="M76" s="253"/>
      <c r="N76" s="253"/>
      <c r="O76" s="253"/>
      <c r="P76" s="253"/>
      <c r="Q76" s="253"/>
    </row>
    <row r="77" spans="1:17">
      <c r="A77" s="253"/>
      <c r="B77" s="253"/>
      <c r="C77" s="253"/>
      <c r="D77" s="253"/>
      <c r="E77" s="253"/>
      <c r="F77" s="253"/>
      <c r="G77" s="253"/>
      <c r="H77" s="253"/>
      <c r="I77" s="253"/>
      <c r="J77" s="253"/>
      <c r="K77" s="253"/>
      <c r="L77" s="253"/>
      <c r="M77" s="253"/>
      <c r="N77" s="253"/>
      <c r="O77" s="253"/>
      <c r="P77" s="253"/>
      <c r="Q77" s="253"/>
    </row>
    <row r="78" spans="1:17">
      <c r="A78" s="253"/>
      <c r="B78" s="253"/>
      <c r="C78" s="253"/>
      <c r="D78" s="253"/>
      <c r="E78" s="253"/>
      <c r="F78" s="253"/>
      <c r="G78" s="253"/>
      <c r="H78" s="253"/>
      <c r="I78" s="253"/>
      <c r="J78" s="253"/>
      <c r="K78" s="253"/>
      <c r="L78" s="253"/>
      <c r="M78" s="253"/>
      <c r="N78" s="253"/>
      <c r="O78" s="253"/>
      <c r="P78" s="253"/>
      <c r="Q78" s="253"/>
    </row>
    <row r="79" spans="1:17">
      <c r="A79" s="253"/>
      <c r="B79" s="253"/>
      <c r="C79" s="253"/>
      <c r="D79" s="253"/>
      <c r="E79" s="253"/>
      <c r="F79" s="253"/>
      <c r="G79" s="253"/>
      <c r="H79" s="253"/>
      <c r="I79" s="253"/>
      <c r="J79" s="253"/>
      <c r="K79" s="253"/>
      <c r="L79" s="253"/>
      <c r="M79" s="253"/>
      <c r="N79" s="253"/>
      <c r="O79" s="253"/>
      <c r="P79" s="253"/>
      <c r="Q79" s="253"/>
    </row>
    <row r="80" spans="1:17">
      <c r="A80" s="253"/>
      <c r="B80" s="253"/>
      <c r="C80" s="253"/>
      <c r="D80" s="253"/>
      <c r="E80" s="253"/>
      <c r="F80" s="253"/>
      <c r="G80" s="253"/>
      <c r="H80" s="253"/>
      <c r="I80" s="253"/>
      <c r="J80" s="253"/>
      <c r="K80" s="253"/>
      <c r="L80" s="253"/>
      <c r="M80" s="253"/>
      <c r="N80" s="253"/>
      <c r="O80" s="253"/>
      <c r="P80" s="253"/>
      <c r="Q80" s="253"/>
    </row>
    <row r="81" spans="1:19">
      <c r="A81" s="253"/>
      <c r="B81" s="253"/>
      <c r="C81" s="253"/>
      <c r="D81" s="253"/>
      <c r="E81" s="253"/>
      <c r="F81" s="253"/>
      <c r="G81" s="253"/>
      <c r="H81" s="253"/>
      <c r="I81" s="253"/>
      <c r="J81" s="253"/>
      <c r="K81" s="253"/>
      <c r="L81" s="253"/>
      <c r="M81" s="253"/>
      <c r="N81" s="253"/>
      <c r="O81" s="253"/>
      <c r="P81" s="253"/>
      <c r="Q81" s="253"/>
    </row>
    <row r="82" spans="1:19">
      <c r="A82" s="253"/>
      <c r="B82" s="253"/>
      <c r="C82" s="253"/>
      <c r="D82" s="253"/>
      <c r="E82" s="253"/>
      <c r="F82" s="253"/>
      <c r="G82" s="253"/>
      <c r="H82" s="253"/>
      <c r="I82" s="253"/>
      <c r="J82" s="253"/>
      <c r="K82" s="253"/>
      <c r="L82" s="253"/>
      <c r="M82" s="253"/>
      <c r="N82" s="253"/>
      <c r="O82" s="253"/>
      <c r="P82" s="253"/>
      <c r="Q82" s="253"/>
    </row>
    <row r="83" spans="1:19">
      <c r="A83" s="253"/>
      <c r="B83" s="253"/>
      <c r="C83" s="253"/>
      <c r="D83" s="253"/>
      <c r="E83" s="253"/>
      <c r="F83" s="253"/>
      <c r="G83" s="253"/>
      <c r="H83" s="253"/>
      <c r="I83" s="253"/>
      <c r="J83" s="253"/>
      <c r="K83" s="253"/>
      <c r="L83" s="253"/>
      <c r="M83" s="253"/>
      <c r="N83" s="253"/>
      <c r="O83" s="253"/>
      <c r="P83" s="253"/>
      <c r="Q83" s="253"/>
    </row>
    <row r="84" spans="1:19">
      <c r="A84" s="253"/>
      <c r="B84" s="253"/>
      <c r="C84" s="253"/>
      <c r="D84" s="253"/>
      <c r="E84" s="253"/>
      <c r="F84" s="253"/>
      <c r="G84" s="253"/>
      <c r="H84" s="253"/>
      <c r="I84" s="253"/>
      <c r="J84" s="253"/>
      <c r="K84" s="253"/>
      <c r="L84" s="253"/>
      <c r="M84" s="253"/>
      <c r="N84" s="253"/>
      <c r="O84" s="253"/>
      <c r="P84" s="253"/>
      <c r="Q84" s="253"/>
    </row>
    <row r="85" spans="1:19">
      <c r="A85" s="253"/>
      <c r="B85" s="253"/>
      <c r="C85" s="253"/>
      <c r="D85" s="253"/>
      <c r="E85" s="253"/>
      <c r="F85" s="253"/>
      <c r="G85" s="253"/>
      <c r="H85" s="253"/>
      <c r="I85" s="253"/>
      <c r="J85" s="253"/>
      <c r="K85" s="253"/>
      <c r="L85" s="253"/>
      <c r="M85" s="253"/>
      <c r="N85" s="253"/>
      <c r="O85" s="253"/>
      <c r="P85" s="253"/>
      <c r="Q85" s="253"/>
    </row>
    <row r="86" spans="1:19">
      <c r="A86" s="253"/>
      <c r="B86" s="253"/>
      <c r="C86" s="253"/>
      <c r="D86" s="253"/>
      <c r="E86" s="257"/>
      <c r="F86" s="257"/>
      <c r="G86" s="257"/>
      <c r="H86" s="257"/>
      <c r="I86" s="257"/>
      <c r="J86" s="257"/>
      <c r="K86" s="257"/>
      <c r="L86" s="257"/>
      <c r="M86" s="257"/>
      <c r="N86" s="257"/>
      <c r="O86" s="257"/>
      <c r="P86" s="257"/>
      <c r="Q86" s="257"/>
      <c r="R86" s="258"/>
      <c r="S86" s="258"/>
    </row>
    <row r="87" spans="1:19">
      <c r="A87" s="253"/>
      <c r="B87" s="253"/>
      <c r="C87" s="253"/>
      <c r="D87" s="253"/>
      <c r="E87" s="257"/>
      <c r="F87" s="257"/>
      <c r="G87" s="257"/>
      <c r="H87" s="257"/>
      <c r="I87" s="257"/>
      <c r="J87" s="257"/>
      <c r="K87" s="257"/>
      <c r="L87" s="257"/>
      <c r="M87" s="257"/>
      <c r="N87" s="257"/>
      <c r="O87" s="257"/>
      <c r="P87" s="257"/>
      <c r="Q87" s="257"/>
      <c r="R87" s="258"/>
      <c r="S87" s="258"/>
    </row>
    <row r="88" spans="1:19">
      <c r="A88" s="253"/>
      <c r="B88" s="253"/>
      <c r="C88" s="253"/>
      <c r="D88" s="253"/>
      <c r="E88" s="257"/>
      <c r="F88" s="257"/>
      <c r="G88" s="257"/>
      <c r="H88" s="257"/>
      <c r="I88" s="257"/>
      <c r="J88" s="257"/>
      <c r="K88" s="257"/>
      <c r="L88" s="257"/>
      <c r="M88" s="257"/>
      <c r="N88" s="257"/>
      <c r="O88" s="257"/>
      <c r="P88" s="257"/>
      <c r="Q88" s="257"/>
      <c r="R88" s="258"/>
      <c r="S88" s="258"/>
    </row>
    <row r="89" spans="1:19">
      <c r="A89" s="253"/>
      <c r="B89" s="253"/>
      <c r="C89" s="253"/>
      <c r="D89" s="253"/>
      <c r="E89" s="257"/>
      <c r="F89" s="257"/>
      <c r="G89" s="257"/>
      <c r="H89" s="257"/>
      <c r="I89" s="257"/>
      <c r="J89" s="257"/>
      <c r="K89" s="257"/>
      <c r="L89" s="257"/>
      <c r="M89" s="257"/>
      <c r="N89" s="257"/>
      <c r="O89" s="257"/>
      <c r="P89" s="257"/>
      <c r="Q89" s="257"/>
      <c r="R89" s="258"/>
      <c r="S89" s="258"/>
    </row>
    <row r="90" spans="1:19">
      <c r="A90" s="253"/>
      <c r="B90" s="253"/>
      <c r="C90" s="253"/>
      <c r="D90" s="253"/>
      <c r="E90" s="257"/>
      <c r="F90" s="257"/>
      <c r="G90" s="257"/>
      <c r="H90" s="257"/>
      <c r="I90" s="257"/>
      <c r="J90" s="257"/>
      <c r="K90" s="257"/>
      <c r="L90" s="257"/>
      <c r="M90" s="257"/>
      <c r="N90" s="257"/>
      <c r="O90" s="257"/>
      <c r="P90" s="257"/>
      <c r="Q90" s="257"/>
      <c r="R90" s="258"/>
      <c r="S90" s="258"/>
    </row>
    <row r="91" spans="1:19">
      <c r="A91" s="253"/>
      <c r="B91" s="253"/>
      <c r="C91" s="253"/>
      <c r="D91" s="253"/>
      <c r="E91" s="257"/>
      <c r="F91" s="257"/>
      <c r="G91" s="257"/>
      <c r="H91" s="257"/>
      <c r="I91" s="257"/>
      <c r="J91" s="257"/>
      <c r="K91" s="257"/>
      <c r="L91" s="257"/>
      <c r="M91" s="257"/>
      <c r="N91" s="257"/>
      <c r="O91" s="257"/>
      <c r="P91" s="257"/>
      <c r="Q91" s="257"/>
      <c r="R91" s="258"/>
      <c r="S91" s="258"/>
    </row>
    <row r="92" spans="1:19">
      <c r="A92" s="253"/>
      <c r="B92" s="253"/>
      <c r="C92" s="253"/>
      <c r="D92" s="253"/>
      <c r="E92" s="257"/>
      <c r="F92" s="257"/>
      <c r="G92" s="257"/>
      <c r="H92" s="257"/>
      <c r="I92" s="257"/>
      <c r="J92" s="257"/>
      <c r="K92" s="257"/>
      <c r="L92" s="257"/>
      <c r="M92" s="257"/>
      <c r="N92" s="257"/>
      <c r="O92" s="257"/>
      <c r="P92" s="257"/>
      <c r="Q92" s="257"/>
      <c r="R92" s="258"/>
      <c r="S92" s="258"/>
    </row>
    <row r="93" spans="1:19">
      <c r="A93" s="253"/>
      <c r="B93" s="253"/>
      <c r="C93" s="253"/>
      <c r="D93" s="253"/>
      <c r="E93" s="257"/>
      <c r="F93" s="257"/>
      <c r="G93" s="257"/>
      <c r="H93" s="257"/>
      <c r="I93" s="257"/>
      <c r="J93" s="257"/>
      <c r="K93" s="257"/>
      <c r="L93" s="257"/>
      <c r="M93" s="257"/>
      <c r="N93" s="257"/>
      <c r="O93" s="257"/>
      <c r="P93" s="257"/>
      <c r="Q93" s="257"/>
      <c r="R93" s="258"/>
      <c r="S93" s="258"/>
    </row>
    <row r="94" spans="1:19">
      <c r="A94" s="253"/>
      <c r="B94" s="253"/>
      <c r="C94" s="253"/>
      <c r="D94" s="253"/>
      <c r="E94" s="257"/>
      <c r="F94" s="257"/>
      <c r="G94" s="257"/>
      <c r="H94" s="257"/>
      <c r="I94" s="257"/>
      <c r="J94" s="257"/>
      <c r="K94" s="257"/>
      <c r="L94" s="257"/>
      <c r="M94" s="257"/>
      <c r="N94" s="257"/>
      <c r="O94" s="257"/>
      <c r="P94" s="257"/>
      <c r="Q94" s="257"/>
      <c r="R94" s="258"/>
      <c r="S94" s="258"/>
    </row>
    <row r="95" spans="1:19">
      <c r="A95" s="253"/>
      <c r="B95" s="253"/>
      <c r="C95" s="253"/>
      <c r="D95" s="253"/>
      <c r="E95" s="257"/>
      <c r="F95" s="257"/>
      <c r="G95" s="257"/>
      <c r="H95" s="257"/>
      <c r="I95" s="257"/>
      <c r="J95" s="257"/>
      <c r="K95" s="257"/>
      <c r="L95" s="257"/>
      <c r="M95" s="257"/>
      <c r="N95" s="257"/>
      <c r="O95" s="257"/>
      <c r="P95" s="257"/>
      <c r="Q95" s="257"/>
      <c r="R95" s="258"/>
      <c r="S95" s="258"/>
    </row>
    <row r="96" spans="1:19">
      <c r="A96" s="253"/>
      <c r="B96" s="253"/>
      <c r="C96" s="253"/>
      <c r="D96" s="253"/>
      <c r="E96" s="257"/>
      <c r="F96" s="257"/>
      <c r="G96" s="257"/>
      <c r="H96" s="237"/>
      <c r="I96" s="259"/>
      <c r="J96" s="260"/>
      <c r="K96" s="260"/>
      <c r="L96" s="260"/>
      <c r="M96" s="260"/>
      <c r="N96" s="260"/>
      <c r="O96" s="260"/>
      <c r="P96" s="260"/>
      <c r="Q96" s="260"/>
      <c r="R96" s="258"/>
      <c r="S96" s="258"/>
    </row>
    <row r="97" spans="1:19">
      <c r="A97" s="253"/>
      <c r="B97" s="253"/>
      <c r="C97" s="253"/>
      <c r="D97" s="253"/>
      <c r="E97" s="257"/>
      <c r="F97" s="257"/>
      <c r="G97" s="257"/>
      <c r="H97" s="237"/>
      <c r="I97" s="259"/>
      <c r="J97" s="260"/>
      <c r="K97" s="261"/>
      <c r="L97" s="260"/>
      <c r="M97" s="260"/>
      <c r="N97" s="260"/>
      <c r="O97" s="260"/>
      <c r="P97" s="260"/>
      <c r="Q97" s="260"/>
      <c r="R97" s="258"/>
      <c r="S97" s="258"/>
    </row>
    <row r="98" spans="1:19">
      <c r="A98" s="253"/>
      <c r="B98" s="253"/>
      <c r="C98" s="253"/>
      <c r="D98" s="253"/>
      <c r="E98" s="257"/>
      <c r="F98" s="257"/>
      <c r="G98" s="257"/>
      <c r="H98" s="237"/>
      <c r="I98" s="259"/>
      <c r="J98" s="260"/>
      <c r="K98" s="261"/>
      <c r="L98" s="260"/>
      <c r="M98" s="260"/>
      <c r="N98" s="260"/>
      <c r="O98" s="260"/>
      <c r="P98" s="260"/>
      <c r="Q98" s="260"/>
      <c r="R98" s="258"/>
      <c r="S98" s="258"/>
    </row>
    <row r="99" spans="1:19">
      <c r="A99" s="253"/>
      <c r="B99" s="253"/>
      <c r="C99" s="253"/>
      <c r="D99" s="253"/>
      <c r="E99" s="257"/>
      <c r="F99" s="257"/>
      <c r="G99" s="257"/>
      <c r="H99" s="237"/>
      <c r="I99" s="259"/>
      <c r="J99" s="260"/>
      <c r="K99" s="261"/>
      <c r="L99" s="260"/>
      <c r="M99" s="260"/>
      <c r="N99" s="260"/>
      <c r="O99" s="260"/>
      <c r="P99" s="260"/>
      <c r="Q99" s="260"/>
      <c r="R99" s="258"/>
      <c r="S99" s="258"/>
    </row>
    <row r="100" spans="1:19">
      <c r="A100" s="253"/>
      <c r="B100" s="253"/>
      <c r="C100" s="253"/>
      <c r="D100" s="253"/>
      <c r="E100" s="257"/>
      <c r="F100" s="257"/>
      <c r="G100" s="257"/>
      <c r="H100" s="237"/>
      <c r="I100" s="259"/>
      <c r="J100" s="260"/>
      <c r="K100" s="261"/>
      <c r="L100" s="260"/>
      <c r="M100" s="260"/>
      <c r="N100" s="260"/>
      <c r="O100" s="260"/>
      <c r="P100" s="260"/>
      <c r="Q100" s="260"/>
      <c r="R100" s="258"/>
      <c r="S100" s="258"/>
    </row>
    <row r="101" spans="1:19">
      <c r="A101" s="253"/>
      <c r="B101" s="253"/>
      <c r="C101" s="253"/>
      <c r="D101" s="253"/>
      <c r="E101" s="257"/>
      <c r="F101" s="257"/>
      <c r="G101" s="257"/>
      <c r="H101" s="237"/>
      <c r="I101" s="259"/>
      <c r="J101" s="260"/>
      <c r="K101" s="261"/>
      <c r="L101" s="260"/>
      <c r="M101" s="260"/>
      <c r="N101" s="260"/>
      <c r="O101" s="260"/>
      <c r="P101" s="260"/>
      <c r="Q101" s="260"/>
      <c r="R101" s="258"/>
      <c r="S101" s="258"/>
    </row>
    <row r="102" spans="1:19">
      <c r="A102" s="253"/>
      <c r="B102" s="253"/>
      <c r="C102" s="253"/>
      <c r="D102" s="253"/>
      <c r="E102" s="257"/>
      <c r="F102" s="257"/>
      <c r="G102" s="257"/>
      <c r="H102" s="237"/>
      <c r="I102" s="259"/>
      <c r="J102" s="260"/>
      <c r="K102" s="261"/>
      <c r="L102" s="260"/>
      <c r="M102" s="260"/>
      <c r="N102" s="260"/>
      <c r="O102" s="260"/>
      <c r="P102" s="260"/>
      <c r="Q102" s="260"/>
      <c r="R102" s="258"/>
      <c r="S102" s="258"/>
    </row>
    <row r="103" spans="1:19">
      <c r="A103" s="253"/>
      <c r="B103" s="253"/>
      <c r="C103" s="253"/>
      <c r="D103" s="253"/>
      <c r="E103" s="257"/>
      <c r="F103" s="257"/>
      <c r="G103" s="257"/>
      <c r="H103" s="237"/>
      <c r="I103" s="259"/>
      <c r="J103" s="260"/>
      <c r="K103" s="261"/>
      <c r="L103" s="260"/>
      <c r="M103" s="260"/>
      <c r="N103" s="260"/>
      <c r="O103" s="260"/>
      <c r="P103" s="260"/>
      <c r="Q103" s="260"/>
      <c r="R103" s="258"/>
      <c r="S103" s="258"/>
    </row>
    <row r="104" spans="1:19">
      <c r="A104" s="253"/>
      <c r="B104" s="253"/>
      <c r="C104" s="253"/>
      <c r="D104" s="253"/>
      <c r="E104" s="257"/>
      <c r="F104" s="257"/>
      <c r="G104" s="257"/>
      <c r="H104" s="237"/>
      <c r="I104" s="259"/>
      <c r="J104" s="260"/>
      <c r="K104" s="261"/>
      <c r="L104" s="260"/>
      <c r="M104" s="260"/>
      <c r="N104" s="260"/>
      <c r="O104" s="260"/>
      <c r="P104" s="260"/>
      <c r="Q104" s="260"/>
      <c r="R104" s="258"/>
      <c r="S104" s="258"/>
    </row>
    <row r="105" spans="1:19">
      <c r="A105" s="253"/>
      <c r="B105" s="253"/>
      <c r="C105" s="253"/>
      <c r="D105" s="253"/>
      <c r="E105" s="257"/>
      <c r="F105" s="257"/>
      <c r="G105" s="257"/>
      <c r="H105" s="237"/>
      <c r="I105" s="259"/>
      <c r="J105" s="260"/>
      <c r="K105" s="261"/>
      <c r="L105" s="260"/>
      <c r="M105" s="260"/>
      <c r="N105" s="260"/>
      <c r="O105" s="260"/>
      <c r="P105" s="260"/>
      <c r="Q105" s="260"/>
      <c r="R105" s="258"/>
      <c r="S105" s="258"/>
    </row>
    <row r="106" spans="1:19">
      <c r="A106" s="253"/>
      <c r="B106" s="253"/>
      <c r="C106" s="253"/>
      <c r="D106" s="253"/>
      <c r="E106" s="257"/>
      <c r="F106" s="257"/>
      <c r="G106" s="257"/>
      <c r="H106" s="237"/>
      <c r="I106" s="259"/>
      <c r="J106" s="260"/>
      <c r="K106" s="261"/>
      <c r="L106" s="260"/>
      <c r="M106" s="260"/>
      <c r="N106" s="260"/>
      <c r="O106" s="260"/>
      <c r="P106" s="260"/>
      <c r="Q106" s="260"/>
      <c r="R106" s="258"/>
      <c r="S106" s="258"/>
    </row>
    <row r="107" spans="1:19">
      <c r="A107" s="253"/>
      <c r="B107" s="253"/>
      <c r="C107" s="253"/>
      <c r="D107" s="253"/>
      <c r="E107" s="257"/>
      <c r="F107" s="257"/>
      <c r="G107" s="257"/>
      <c r="H107" s="237"/>
      <c r="I107" s="259"/>
      <c r="J107" s="260"/>
      <c r="K107" s="261"/>
      <c r="L107" s="260"/>
      <c r="M107" s="260"/>
      <c r="N107" s="260"/>
      <c r="O107" s="260"/>
      <c r="P107" s="260"/>
      <c r="Q107" s="260"/>
      <c r="R107" s="258"/>
      <c r="S107" s="258"/>
    </row>
    <row r="108" spans="1:19">
      <c r="A108" s="253"/>
      <c r="B108" s="253"/>
      <c r="C108" s="253"/>
      <c r="D108" s="253"/>
      <c r="E108" s="257"/>
      <c r="F108" s="257"/>
      <c r="G108" s="257"/>
      <c r="H108" s="237"/>
      <c r="I108" s="259"/>
      <c r="J108" s="260"/>
      <c r="K108" s="261"/>
      <c r="L108" s="260"/>
      <c r="M108" s="260"/>
      <c r="N108" s="260"/>
      <c r="O108" s="260"/>
      <c r="P108" s="260"/>
      <c r="Q108" s="260"/>
      <c r="R108" s="258"/>
      <c r="S108" s="258"/>
    </row>
    <row r="109" spans="1:19">
      <c r="A109" s="253"/>
      <c r="B109" s="253"/>
      <c r="C109" s="253"/>
      <c r="D109" s="253"/>
      <c r="E109" s="257"/>
      <c r="F109" s="257"/>
      <c r="G109" s="257"/>
      <c r="H109" s="237"/>
      <c r="I109" s="259"/>
      <c r="J109" s="260"/>
      <c r="K109" s="261"/>
      <c r="L109" s="260"/>
      <c r="M109" s="260"/>
      <c r="N109" s="260"/>
      <c r="O109" s="260"/>
      <c r="P109" s="260"/>
      <c r="Q109" s="260"/>
      <c r="R109" s="258"/>
      <c r="S109" s="258"/>
    </row>
    <row r="110" spans="1:19">
      <c r="A110" s="253"/>
      <c r="B110" s="253"/>
      <c r="C110" s="253"/>
      <c r="D110" s="253"/>
      <c r="E110" s="257"/>
      <c r="F110" s="257"/>
      <c r="G110" s="257"/>
      <c r="H110" s="257"/>
      <c r="I110" s="257"/>
      <c r="J110" s="257"/>
      <c r="K110" s="257"/>
      <c r="L110" s="257"/>
      <c r="M110" s="257"/>
      <c r="N110" s="257"/>
      <c r="O110" s="257"/>
      <c r="P110" s="257"/>
      <c r="Q110" s="257"/>
      <c r="R110" s="258"/>
      <c r="S110" s="258"/>
    </row>
    <row r="111" spans="1:19">
      <c r="A111" s="253"/>
      <c r="B111" s="253"/>
      <c r="C111" s="253"/>
      <c r="D111" s="253"/>
      <c r="E111" s="257"/>
      <c r="F111" s="257"/>
      <c r="G111" s="257"/>
      <c r="H111" s="257"/>
      <c r="I111" s="257"/>
      <c r="J111" s="257"/>
      <c r="K111" s="257"/>
      <c r="L111" s="257"/>
      <c r="M111" s="257"/>
      <c r="N111" s="257"/>
      <c r="O111" s="257"/>
      <c r="P111" s="257"/>
      <c r="Q111" s="257"/>
      <c r="R111" s="258"/>
      <c r="S111" s="258"/>
    </row>
    <row r="112" spans="1:19">
      <c r="A112" s="253"/>
      <c r="B112" s="253"/>
      <c r="C112" s="253"/>
      <c r="D112" s="253"/>
      <c r="E112" s="257"/>
      <c r="F112" s="257"/>
      <c r="G112" s="257"/>
      <c r="H112" s="257"/>
      <c r="I112" s="257"/>
      <c r="J112" s="257"/>
      <c r="K112" s="257"/>
      <c r="L112" s="257"/>
      <c r="M112" s="257"/>
      <c r="N112" s="257"/>
      <c r="O112" s="257"/>
      <c r="P112" s="257"/>
      <c r="Q112" s="257"/>
      <c r="R112" s="258"/>
      <c r="S112" s="258"/>
    </row>
    <row r="113" spans="1:19">
      <c r="A113" s="253"/>
      <c r="B113" s="253"/>
      <c r="C113" s="253"/>
      <c r="D113" s="253"/>
      <c r="E113" s="257"/>
      <c r="F113" s="257"/>
      <c r="G113" s="257"/>
      <c r="H113" s="257"/>
      <c r="I113" s="257"/>
      <c r="J113" s="257"/>
      <c r="K113" s="257"/>
      <c r="L113" s="257"/>
      <c r="M113" s="257"/>
      <c r="N113" s="257"/>
      <c r="O113" s="257"/>
      <c r="P113" s="257"/>
      <c r="Q113" s="257"/>
      <c r="R113" s="258"/>
      <c r="S113" s="258"/>
    </row>
    <row r="114" spans="1:19">
      <c r="A114" s="253"/>
      <c r="B114" s="253"/>
      <c r="C114" s="253"/>
      <c r="D114" s="253"/>
      <c r="E114" s="257"/>
      <c r="F114" s="257"/>
      <c r="G114" s="257"/>
      <c r="H114" s="257"/>
      <c r="I114" s="257"/>
      <c r="J114" s="257"/>
      <c r="K114" s="257"/>
      <c r="L114" s="257"/>
      <c r="M114" s="257"/>
      <c r="N114" s="257"/>
      <c r="O114" s="257"/>
      <c r="P114" s="257"/>
      <c r="Q114" s="257"/>
      <c r="R114" s="258"/>
      <c r="S114" s="258"/>
    </row>
    <row r="115" spans="1:19">
      <c r="A115" s="253"/>
      <c r="B115" s="253"/>
      <c r="C115" s="253"/>
      <c r="D115" s="253"/>
      <c r="E115" s="257"/>
      <c r="F115" s="257"/>
      <c r="G115" s="257"/>
      <c r="H115" s="257"/>
      <c r="I115" s="257"/>
      <c r="J115" s="257"/>
      <c r="K115" s="257"/>
      <c r="L115" s="257"/>
      <c r="M115" s="257"/>
      <c r="N115" s="257"/>
      <c r="O115" s="257"/>
      <c r="P115" s="257"/>
      <c r="Q115" s="257"/>
      <c r="R115" s="258"/>
      <c r="S115" s="258"/>
    </row>
    <row r="116" spans="1:19">
      <c r="A116" s="253"/>
      <c r="B116" s="253"/>
      <c r="C116" s="253"/>
      <c r="D116" s="253"/>
      <c r="E116" s="257"/>
      <c r="F116" s="257"/>
      <c r="G116" s="257"/>
      <c r="H116" s="257"/>
      <c r="I116" s="257"/>
      <c r="J116" s="257"/>
      <c r="K116" s="257"/>
      <c r="L116" s="257"/>
      <c r="M116" s="257"/>
      <c r="N116" s="257"/>
      <c r="O116" s="257"/>
      <c r="P116" s="257"/>
      <c r="Q116" s="257"/>
      <c r="R116" s="258"/>
      <c r="S116" s="258"/>
    </row>
    <row r="117" spans="1:19">
      <c r="A117" s="253"/>
      <c r="B117" s="253"/>
      <c r="C117" s="253"/>
      <c r="D117" s="253"/>
      <c r="E117" s="257"/>
      <c r="F117" s="257"/>
      <c r="G117" s="257"/>
      <c r="H117" s="257"/>
      <c r="I117" s="257"/>
      <c r="J117" s="257"/>
      <c r="K117" s="257"/>
      <c r="L117" s="257"/>
      <c r="M117" s="257"/>
      <c r="N117" s="257"/>
      <c r="O117" s="257"/>
      <c r="P117" s="257"/>
      <c r="Q117" s="257"/>
      <c r="R117" s="258"/>
      <c r="S117" s="258"/>
    </row>
    <row r="118" spans="1:19">
      <c r="A118" s="253"/>
      <c r="B118" s="253"/>
      <c r="C118" s="253"/>
      <c r="D118" s="253"/>
      <c r="E118" s="257"/>
      <c r="F118" s="257"/>
      <c r="G118" s="257"/>
      <c r="H118" s="257"/>
      <c r="I118" s="257"/>
      <c r="J118" s="257"/>
      <c r="K118" s="257"/>
      <c r="L118" s="257"/>
      <c r="M118" s="257"/>
      <c r="N118" s="257"/>
      <c r="O118" s="257"/>
      <c r="P118" s="257"/>
      <c r="Q118" s="257"/>
      <c r="R118" s="258"/>
      <c r="S118" s="258"/>
    </row>
    <row r="119" spans="1:19">
      <c r="A119" s="253"/>
      <c r="B119" s="253"/>
      <c r="C119" s="253"/>
      <c r="D119" s="253"/>
      <c r="E119" s="257"/>
      <c r="F119" s="257"/>
      <c r="G119" s="257"/>
      <c r="H119" s="257"/>
      <c r="I119" s="257"/>
      <c r="J119" s="257"/>
      <c r="K119" s="257"/>
      <c r="L119" s="257"/>
      <c r="M119" s="257"/>
      <c r="N119" s="257"/>
      <c r="O119" s="257"/>
      <c r="P119" s="257"/>
      <c r="Q119" s="257"/>
      <c r="R119" s="258"/>
      <c r="S119" s="258"/>
    </row>
    <row r="120" spans="1:19">
      <c r="A120" s="253"/>
      <c r="B120" s="253"/>
      <c r="C120" s="253"/>
      <c r="D120" s="253"/>
      <c r="E120" s="257"/>
      <c r="F120" s="257"/>
      <c r="G120" s="257"/>
      <c r="H120" s="257"/>
      <c r="I120" s="257"/>
      <c r="J120" s="257"/>
      <c r="K120" s="257"/>
      <c r="L120" s="257"/>
      <c r="M120" s="257"/>
      <c r="N120" s="257"/>
      <c r="O120" s="257"/>
      <c r="P120" s="257"/>
      <c r="Q120" s="257"/>
      <c r="R120" s="258"/>
      <c r="S120" s="258"/>
    </row>
    <row r="121" spans="1:19">
      <c r="A121" s="253"/>
      <c r="B121" s="253"/>
      <c r="C121" s="253"/>
      <c r="D121" s="253"/>
      <c r="E121" s="257"/>
      <c r="F121" s="257"/>
      <c r="G121" s="257"/>
      <c r="H121" s="257"/>
      <c r="I121" s="257"/>
      <c r="J121" s="257"/>
      <c r="K121" s="257"/>
      <c r="L121" s="257"/>
      <c r="M121" s="257"/>
      <c r="N121" s="257"/>
      <c r="O121" s="257"/>
      <c r="P121" s="257"/>
      <c r="Q121" s="257"/>
      <c r="R121" s="258"/>
      <c r="S121" s="258"/>
    </row>
    <row r="122" spans="1:19">
      <c r="A122" s="253"/>
      <c r="B122" s="253"/>
      <c r="C122" s="253"/>
      <c r="D122" s="253"/>
      <c r="E122" s="257"/>
      <c r="F122" s="257"/>
      <c r="G122" s="257"/>
      <c r="H122" s="257"/>
      <c r="I122" s="257"/>
      <c r="J122" s="257"/>
      <c r="K122" s="257"/>
      <c r="L122" s="257"/>
      <c r="M122" s="257"/>
      <c r="N122" s="257"/>
      <c r="O122" s="257"/>
      <c r="P122" s="257"/>
      <c r="Q122" s="257"/>
      <c r="R122" s="258"/>
      <c r="S122" s="258"/>
    </row>
    <row r="123" spans="1:19">
      <c r="A123" s="253"/>
      <c r="B123" s="253"/>
      <c r="C123" s="253"/>
      <c r="D123" s="253"/>
      <c r="E123" s="257"/>
      <c r="F123" s="257"/>
      <c r="G123" s="257"/>
      <c r="H123" s="257"/>
      <c r="I123" s="257"/>
      <c r="J123" s="257"/>
      <c r="K123" s="257"/>
      <c r="L123" s="257"/>
      <c r="M123" s="257"/>
      <c r="N123" s="257"/>
      <c r="O123" s="257"/>
      <c r="P123" s="257"/>
      <c r="Q123" s="257"/>
      <c r="R123" s="258"/>
      <c r="S123" s="258"/>
    </row>
    <row r="124" spans="1:19">
      <c r="A124" s="253"/>
      <c r="B124" s="253"/>
      <c r="C124" s="253"/>
      <c r="D124" s="253"/>
      <c r="E124" s="257"/>
      <c r="F124" s="257"/>
      <c r="G124" s="257"/>
      <c r="H124" s="257"/>
      <c r="I124" s="257"/>
      <c r="J124" s="257"/>
      <c r="K124" s="257"/>
      <c r="L124" s="257"/>
      <c r="M124" s="257"/>
      <c r="N124" s="257"/>
      <c r="O124" s="257"/>
      <c r="P124" s="257"/>
      <c r="Q124" s="257"/>
      <c r="R124" s="258"/>
      <c r="S124" s="258"/>
    </row>
    <row r="125" spans="1:19">
      <c r="A125" s="253"/>
      <c r="B125" s="253"/>
      <c r="C125" s="253"/>
      <c r="D125" s="253"/>
      <c r="E125" s="257"/>
      <c r="F125" s="257"/>
      <c r="G125" s="257"/>
      <c r="H125" s="257"/>
      <c r="I125" s="257"/>
      <c r="J125" s="257"/>
      <c r="K125" s="257"/>
      <c r="L125" s="257"/>
      <c r="M125" s="257"/>
      <c r="N125" s="257"/>
      <c r="O125" s="257"/>
      <c r="P125" s="257"/>
      <c r="Q125" s="257"/>
      <c r="R125" s="258"/>
      <c r="S125" s="258"/>
    </row>
    <row r="126" spans="1:19">
      <c r="A126" s="253"/>
      <c r="B126" s="253"/>
      <c r="C126" s="253"/>
      <c r="D126" s="253"/>
      <c r="E126" s="257"/>
      <c r="F126" s="257"/>
      <c r="G126" s="257"/>
      <c r="H126" s="257"/>
      <c r="I126" s="257"/>
      <c r="J126" s="257"/>
      <c r="K126" s="257"/>
      <c r="L126" s="257"/>
      <c r="M126" s="257"/>
      <c r="N126" s="257"/>
      <c r="O126" s="257"/>
      <c r="P126" s="257"/>
      <c r="Q126" s="257"/>
      <c r="R126" s="258"/>
      <c r="S126" s="258"/>
    </row>
    <row r="127" spans="1:19">
      <c r="A127" s="253"/>
      <c r="B127" s="253"/>
      <c r="C127" s="253"/>
      <c r="D127" s="253"/>
      <c r="E127" s="257"/>
      <c r="F127" s="257"/>
      <c r="G127" s="257"/>
      <c r="H127" s="257"/>
      <c r="I127" s="257"/>
      <c r="J127" s="257"/>
      <c r="K127" s="257"/>
      <c r="L127" s="257"/>
      <c r="M127" s="257"/>
      <c r="N127" s="257"/>
      <c r="O127" s="257"/>
      <c r="P127" s="257"/>
      <c r="Q127" s="257"/>
      <c r="R127" s="258"/>
      <c r="S127" s="258"/>
    </row>
    <row r="128" spans="1:19">
      <c r="A128" s="253"/>
      <c r="B128" s="253"/>
      <c r="C128" s="253"/>
      <c r="D128" s="253"/>
      <c r="E128" s="257"/>
      <c r="F128" s="257"/>
      <c r="G128" s="257"/>
      <c r="H128" s="257"/>
      <c r="I128" s="257"/>
      <c r="J128" s="257"/>
      <c r="K128" s="257"/>
      <c r="L128" s="257"/>
      <c r="M128" s="257"/>
      <c r="N128" s="257"/>
      <c r="O128" s="257"/>
      <c r="P128" s="257"/>
      <c r="Q128" s="257"/>
      <c r="R128" s="258"/>
      <c r="S128" s="258"/>
    </row>
    <row r="129" spans="1:19">
      <c r="A129" s="253"/>
      <c r="B129" s="253"/>
      <c r="C129" s="253"/>
      <c r="D129" s="253"/>
      <c r="E129" s="257"/>
      <c r="F129" s="257"/>
      <c r="G129" s="257"/>
      <c r="H129" s="257"/>
      <c r="I129" s="257"/>
      <c r="J129" s="257"/>
      <c r="K129" s="257"/>
      <c r="L129" s="257"/>
      <c r="M129" s="257"/>
      <c r="N129" s="257"/>
      <c r="O129" s="257"/>
      <c r="P129" s="257"/>
      <c r="Q129" s="257"/>
      <c r="R129" s="258"/>
      <c r="S129" s="258"/>
    </row>
    <row r="130" spans="1:19">
      <c r="A130" s="253"/>
      <c r="B130" s="253"/>
      <c r="C130" s="253"/>
      <c r="D130" s="253"/>
      <c r="E130" s="257"/>
      <c r="F130" s="257"/>
      <c r="G130" s="257"/>
      <c r="H130" s="257"/>
      <c r="I130" s="257"/>
      <c r="J130" s="257"/>
      <c r="K130" s="257"/>
      <c r="L130" s="257"/>
      <c r="M130" s="257"/>
      <c r="N130" s="257"/>
      <c r="O130" s="257"/>
      <c r="P130" s="257"/>
      <c r="Q130" s="257"/>
      <c r="R130" s="258"/>
      <c r="S130" s="258"/>
    </row>
    <row r="131" spans="1:19">
      <c r="A131" s="253"/>
      <c r="B131" s="253"/>
      <c r="C131" s="253"/>
      <c r="D131" s="253"/>
      <c r="E131" s="257"/>
      <c r="F131" s="257"/>
      <c r="G131" s="257"/>
      <c r="H131" s="257"/>
      <c r="I131" s="257"/>
      <c r="J131" s="257"/>
      <c r="K131" s="257"/>
      <c r="L131" s="257"/>
      <c r="M131" s="257"/>
      <c r="N131" s="257"/>
      <c r="O131" s="257"/>
      <c r="P131" s="257"/>
      <c r="Q131" s="257"/>
      <c r="R131" s="258"/>
      <c r="S131" s="258"/>
    </row>
    <row r="132" spans="1:19">
      <c r="A132" s="253"/>
      <c r="B132" s="253"/>
      <c r="C132" s="253"/>
      <c r="D132" s="253"/>
      <c r="E132" s="257"/>
      <c r="F132" s="257"/>
      <c r="G132" s="257"/>
      <c r="H132" s="257"/>
      <c r="I132" s="257"/>
      <c r="J132" s="257"/>
      <c r="K132" s="257"/>
      <c r="L132" s="257"/>
      <c r="M132" s="257"/>
      <c r="N132" s="257"/>
      <c r="O132" s="257"/>
      <c r="P132" s="257"/>
      <c r="Q132" s="257"/>
      <c r="R132" s="258"/>
      <c r="S132" s="258"/>
    </row>
    <row r="133" spans="1:19">
      <c r="A133" s="253"/>
      <c r="B133" s="253"/>
      <c r="C133" s="253"/>
      <c r="D133" s="253"/>
      <c r="E133" s="257"/>
      <c r="F133" s="257"/>
      <c r="G133" s="257"/>
      <c r="H133" s="257"/>
      <c r="I133" s="257"/>
      <c r="J133" s="257"/>
      <c r="K133" s="257"/>
      <c r="L133" s="257"/>
      <c r="M133" s="257"/>
      <c r="N133" s="257"/>
      <c r="O133" s="257"/>
      <c r="P133" s="257"/>
      <c r="Q133" s="257"/>
      <c r="R133" s="258"/>
      <c r="S133" s="258"/>
    </row>
    <row r="134" spans="1:19">
      <c r="A134" s="253"/>
      <c r="B134" s="253"/>
      <c r="C134" s="253"/>
      <c r="D134" s="253"/>
      <c r="E134" s="257"/>
      <c r="F134" s="257"/>
      <c r="G134" s="257"/>
      <c r="H134" s="257"/>
      <c r="I134" s="257"/>
      <c r="J134" s="257"/>
      <c r="K134" s="257"/>
      <c r="L134" s="257"/>
      <c r="M134" s="257"/>
      <c r="N134" s="257"/>
      <c r="O134" s="257"/>
      <c r="P134" s="257"/>
      <c r="Q134" s="257"/>
      <c r="R134" s="258"/>
      <c r="S134" s="258"/>
    </row>
    <row r="135" spans="1:19">
      <c r="A135" s="253"/>
      <c r="B135" s="253"/>
      <c r="C135" s="253"/>
      <c r="D135" s="253"/>
      <c r="E135" s="257"/>
      <c r="F135" s="257"/>
      <c r="G135" s="257"/>
      <c r="H135" s="257"/>
      <c r="I135" s="257"/>
      <c r="J135" s="257"/>
      <c r="K135" s="257"/>
      <c r="L135" s="257"/>
      <c r="M135" s="257"/>
      <c r="N135" s="257"/>
      <c r="O135" s="257"/>
      <c r="P135" s="257"/>
      <c r="Q135" s="257"/>
      <c r="R135" s="258"/>
      <c r="S135" s="258"/>
    </row>
    <row r="136" spans="1:19">
      <c r="A136" s="253"/>
      <c r="B136" s="253"/>
      <c r="C136" s="253"/>
      <c r="D136" s="253"/>
      <c r="E136" s="257"/>
      <c r="F136" s="257"/>
      <c r="G136" s="257"/>
      <c r="H136" s="257"/>
      <c r="I136" s="257"/>
      <c r="J136" s="257"/>
      <c r="K136" s="257"/>
      <c r="L136" s="257"/>
      <c r="M136" s="257"/>
      <c r="N136" s="257"/>
      <c r="O136" s="257"/>
      <c r="P136" s="257"/>
      <c r="Q136" s="257"/>
      <c r="R136" s="258"/>
      <c r="S136" s="258"/>
    </row>
    <row r="137" spans="1:19">
      <c r="A137" s="253"/>
      <c r="B137" s="253"/>
      <c r="C137" s="253"/>
      <c r="D137" s="253"/>
      <c r="E137" s="257"/>
      <c r="F137" s="257"/>
      <c r="G137" s="257"/>
      <c r="H137" s="257"/>
      <c r="I137" s="257"/>
      <c r="J137" s="257"/>
      <c r="K137" s="257"/>
      <c r="L137" s="257"/>
      <c r="M137" s="257"/>
      <c r="N137" s="257"/>
      <c r="O137" s="257"/>
      <c r="P137" s="257"/>
      <c r="Q137" s="257"/>
      <c r="R137" s="258"/>
      <c r="S137" s="258"/>
    </row>
    <row r="138" spans="1:19">
      <c r="A138" s="253"/>
      <c r="B138" s="253"/>
      <c r="C138" s="253"/>
      <c r="D138" s="253"/>
      <c r="E138" s="257"/>
      <c r="F138" s="257"/>
      <c r="G138" s="257"/>
      <c r="H138" s="257"/>
      <c r="I138" s="257"/>
      <c r="J138" s="257"/>
      <c r="K138" s="257"/>
      <c r="L138" s="257"/>
      <c r="M138" s="257"/>
      <c r="N138" s="257"/>
      <c r="O138" s="257"/>
      <c r="P138" s="257"/>
      <c r="Q138" s="257"/>
      <c r="R138" s="258"/>
      <c r="S138" s="258"/>
    </row>
    <row r="139" spans="1:19">
      <c r="A139" s="253"/>
      <c r="B139" s="253"/>
      <c r="C139" s="253"/>
      <c r="D139" s="253"/>
      <c r="E139" s="257"/>
      <c r="F139" s="257"/>
      <c r="G139" s="257"/>
      <c r="H139" s="257"/>
      <c r="I139" s="257"/>
      <c r="J139" s="257"/>
      <c r="K139" s="257"/>
      <c r="L139" s="257"/>
      <c r="M139" s="257"/>
      <c r="N139" s="257"/>
      <c r="O139" s="257"/>
      <c r="P139" s="257"/>
      <c r="Q139" s="257"/>
      <c r="R139" s="258"/>
      <c r="S139" s="258"/>
    </row>
    <row r="140" spans="1:19">
      <c r="A140" s="253"/>
      <c r="B140" s="253"/>
      <c r="C140" s="253"/>
      <c r="D140" s="253"/>
      <c r="E140" s="257"/>
      <c r="F140" s="257"/>
      <c r="G140" s="257"/>
      <c r="H140" s="257"/>
      <c r="I140" s="257"/>
      <c r="J140" s="257"/>
      <c r="K140" s="257"/>
      <c r="L140" s="257"/>
      <c r="M140" s="257"/>
      <c r="N140" s="257"/>
      <c r="O140" s="257"/>
      <c r="P140" s="257"/>
      <c r="Q140" s="257"/>
      <c r="R140" s="258"/>
      <c r="S140" s="258"/>
    </row>
    <row r="141" spans="1:19">
      <c r="A141" s="253"/>
      <c r="B141" s="253"/>
      <c r="C141" s="253"/>
      <c r="D141" s="253"/>
      <c r="E141" s="257"/>
      <c r="F141" s="257"/>
      <c r="G141" s="257"/>
      <c r="H141" s="257"/>
      <c r="I141" s="257"/>
      <c r="J141" s="257"/>
      <c r="K141" s="257"/>
      <c r="L141" s="257"/>
      <c r="M141" s="257"/>
      <c r="N141" s="257"/>
      <c r="O141" s="257"/>
      <c r="P141" s="257"/>
      <c r="Q141" s="257"/>
      <c r="R141" s="258"/>
      <c r="S141" s="258"/>
    </row>
    <row r="142" spans="1:19">
      <c r="A142" s="253"/>
      <c r="B142" s="253"/>
      <c r="C142" s="253"/>
      <c r="D142" s="253"/>
      <c r="E142" s="257"/>
      <c r="F142" s="257"/>
      <c r="G142" s="257"/>
      <c r="H142" s="257"/>
      <c r="I142" s="257"/>
      <c r="J142" s="257"/>
      <c r="K142" s="257"/>
      <c r="L142" s="257"/>
      <c r="M142" s="257"/>
      <c r="N142" s="257"/>
      <c r="O142" s="257"/>
      <c r="P142" s="257"/>
      <c r="Q142" s="257"/>
      <c r="R142" s="258"/>
      <c r="S142" s="258"/>
    </row>
    <row r="143" spans="1:19">
      <c r="A143" s="253"/>
      <c r="B143" s="253"/>
      <c r="C143" s="253"/>
      <c r="D143" s="253"/>
      <c r="E143" s="257"/>
      <c r="F143" s="257"/>
      <c r="G143" s="257"/>
      <c r="H143" s="257"/>
      <c r="I143" s="257"/>
      <c r="J143" s="257"/>
      <c r="K143" s="257"/>
      <c r="L143" s="257"/>
      <c r="M143" s="257"/>
      <c r="N143" s="257"/>
      <c r="O143" s="257"/>
      <c r="P143" s="257"/>
      <c r="Q143" s="257"/>
      <c r="R143" s="258"/>
      <c r="S143" s="258"/>
    </row>
    <row r="144" spans="1:19">
      <c r="A144" s="253"/>
      <c r="B144" s="253"/>
      <c r="C144" s="253"/>
      <c r="D144" s="253"/>
      <c r="E144" s="257"/>
      <c r="F144" s="257"/>
      <c r="G144" s="257"/>
      <c r="H144" s="257"/>
      <c r="I144" s="257"/>
      <c r="J144" s="257"/>
      <c r="K144" s="257"/>
      <c r="L144" s="257"/>
      <c r="M144" s="257"/>
      <c r="N144" s="257"/>
      <c r="O144" s="257"/>
      <c r="P144" s="257"/>
      <c r="Q144" s="257"/>
      <c r="R144" s="258"/>
      <c r="S144" s="258"/>
    </row>
    <row r="145" spans="1:19">
      <c r="A145" s="253"/>
      <c r="B145" s="253"/>
      <c r="C145" s="253"/>
      <c r="D145" s="253"/>
      <c r="E145" s="257"/>
      <c r="F145" s="257"/>
      <c r="G145" s="257"/>
      <c r="H145" s="257"/>
      <c r="I145" s="257"/>
      <c r="J145" s="257"/>
      <c r="K145" s="257"/>
      <c r="L145" s="257"/>
      <c r="M145" s="257"/>
      <c r="N145" s="257"/>
      <c r="O145" s="257"/>
      <c r="P145" s="257"/>
      <c r="Q145" s="257"/>
      <c r="R145" s="258"/>
      <c r="S145" s="258"/>
    </row>
    <row r="146" spans="1:19">
      <c r="A146" s="253"/>
      <c r="B146" s="253"/>
      <c r="C146" s="253"/>
      <c r="D146" s="253"/>
      <c r="E146" s="257"/>
      <c r="F146" s="257"/>
      <c r="G146" s="257"/>
      <c r="H146" s="257"/>
      <c r="I146" s="257"/>
      <c r="J146" s="257"/>
      <c r="K146" s="257"/>
      <c r="L146" s="257"/>
      <c r="M146" s="257"/>
      <c r="N146" s="257"/>
      <c r="O146" s="257"/>
      <c r="P146" s="257"/>
      <c r="Q146" s="257"/>
      <c r="R146" s="258"/>
      <c r="S146" s="258"/>
    </row>
    <row r="147" spans="1:19">
      <c r="A147" s="253"/>
      <c r="B147" s="253"/>
      <c r="C147" s="253"/>
      <c r="D147" s="253"/>
      <c r="E147" s="257"/>
      <c r="F147" s="257"/>
      <c r="G147" s="257"/>
      <c r="H147" s="257"/>
      <c r="I147" s="257"/>
      <c r="J147" s="257"/>
      <c r="K147" s="257"/>
      <c r="L147" s="257"/>
      <c r="M147" s="257"/>
      <c r="N147" s="257"/>
      <c r="O147" s="257"/>
      <c r="P147" s="257"/>
      <c r="Q147" s="257"/>
      <c r="R147" s="258"/>
      <c r="S147" s="258"/>
    </row>
    <row r="148" spans="1:19">
      <c r="A148" s="253"/>
      <c r="B148" s="253"/>
      <c r="C148" s="253"/>
      <c r="D148" s="253"/>
      <c r="E148" s="257"/>
      <c r="F148" s="257"/>
      <c r="G148" s="257"/>
      <c r="H148" s="257"/>
      <c r="I148" s="257"/>
      <c r="J148" s="257"/>
      <c r="K148" s="257"/>
      <c r="L148" s="257"/>
      <c r="M148" s="257"/>
      <c r="N148" s="257"/>
      <c r="O148" s="257"/>
      <c r="P148" s="257"/>
      <c r="Q148" s="257"/>
      <c r="R148" s="258"/>
      <c r="S148" s="258"/>
    </row>
    <row r="149" spans="1:19">
      <c r="A149" s="253"/>
      <c r="B149" s="253"/>
      <c r="C149" s="253"/>
      <c r="D149" s="253"/>
      <c r="E149" s="257"/>
      <c r="F149" s="257"/>
      <c r="G149" s="257"/>
      <c r="H149" s="257"/>
      <c r="I149" s="257"/>
      <c r="J149" s="257"/>
      <c r="K149" s="257"/>
      <c r="L149" s="257"/>
      <c r="M149" s="257"/>
      <c r="N149" s="257"/>
      <c r="O149" s="257"/>
      <c r="P149" s="257"/>
      <c r="Q149" s="257"/>
      <c r="R149" s="258"/>
      <c r="S149" s="258"/>
    </row>
    <row r="150" spans="1:19">
      <c r="A150" s="253"/>
      <c r="B150" s="253"/>
      <c r="C150" s="253"/>
      <c r="D150" s="253"/>
      <c r="E150" s="257"/>
      <c r="F150" s="257"/>
      <c r="G150" s="257"/>
      <c r="H150" s="257"/>
      <c r="I150" s="257"/>
      <c r="J150" s="257"/>
      <c r="K150" s="257"/>
      <c r="L150" s="257"/>
      <c r="M150" s="257"/>
      <c r="N150" s="257"/>
      <c r="O150" s="257"/>
      <c r="P150" s="257"/>
      <c r="Q150" s="257"/>
      <c r="R150" s="258"/>
      <c r="S150" s="258"/>
    </row>
    <row r="151" spans="1:19">
      <c r="A151" s="253"/>
      <c r="B151" s="253"/>
      <c r="C151" s="253"/>
      <c r="D151" s="253"/>
      <c r="E151" s="257"/>
      <c r="F151" s="257"/>
      <c r="G151" s="257"/>
      <c r="H151" s="257"/>
      <c r="I151" s="257"/>
      <c r="J151" s="257"/>
      <c r="K151" s="257"/>
      <c r="L151" s="257"/>
      <c r="M151" s="257"/>
      <c r="N151" s="257"/>
      <c r="O151" s="257"/>
      <c r="P151" s="257"/>
      <c r="Q151" s="257"/>
      <c r="R151" s="258"/>
      <c r="S151" s="258"/>
    </row>
    <row r="152" spans="1:19">
      <c r="A152" s="253"/>
      <c r="B152" s="253"/>
      <c r="C152" s="253"/>
      <c r="D152" s="253"/>
      <c r="E152" s="257"/>
      <c r="F152" s="257"/>
      <c r="G152" s="257"/>
      <c r="H152" s="257"/>
      <c r="I152" s="257"/>
      <c r="J152" s="257"/>
      <c r="K152" s="257"/>
      <c r="L152" s="257"/>
      <c r="M152" s="257"/>
      <c r="N152" s="257"/>
      <c r="O152" s="257"/>
      <c r="P152" s="257"/>
      <c r="Q152" s="257"/>
      <c r="R152" s="258"/>
      <c r="S152" s="258"/>
    </row>
    <row r="153" spans="1:19">
      <c r="A153" s="253"/>
      <c r="B153" s="253"/>
      <c r="C153" s="253"/>
      <c r="D153" s="253"/>
      <c r="E153" s="253"/>
      <c r="F153" s="253"/>
      <c r="G153" s="253"/>
      <c r="H153" s="253"/>
      <c r="I153" s="253"/>
      <c r="J153" s="253"/>
      <c r="K153" s="253"/>
      <c r="L153" s="253"/>
      <c r="M153" s="253"/>
      <c r="N153" s="253"/>
      <c r="O153" s="253"/>
      <c r="P153" s="253"/>
      <c r="Q153" s="253"/>
    </row>
    <row r="154" spans="1:19">
      <c r="A154" s="253"/>
      <c r="B154" s="253"/>
      <c r="C154" s="253"/>
      <c r="D154" s="253"/>
      <c r="E154" s="253"/>
      <c r="F154" s="253"/>
      <c r="G154" s="253"/>
      <c r="H154" s="253"/>
      <c r="I154" s="253"/>
      <c r="J154" s="253"/>
      <c r="K154" s="253"/>
      <c r="L154" s="253"/>
      <c r="M154" s="253"/>
      <c r="N154" s="253"/>
      <c r="O154" s="253"/>
      <c r="P154" s="253"/>
      <c r="Q154" s="253"/>
    </row>
    <row r="155" spans="1:19">
      <c r="A155" s="253"/>
      <c r="B155" s="253"/>
      <c r="C155" s="253"/>
      <c r="D155" s="253"/>
      <c r="E155" s="253"/>
      <c r="F155" s="253"/>
      <c r="G155" s="253"/>
      <c r="H155" s="253"/>
      <c r="I155" s="253"/>
      <c r="J155" s="253"/>
      <c r="K155" s="253"/>
      <c r="L155" s="253"/>
      <c r="M155" s="253"/>
      <c r="N155" s="253"/>
      <c r="O155" s="253"/>
      <c r="P155" s="253"/>
      <c r="Q155" s="253"/>
    </row>
    <row r="156" spans="1:19">
      <c r="A156" s="253"/>
      <c r="B156" s="253"/>
      <c r="C156" s="253"/>
      <c r="D156" s="253"/>
      <c r="E156" s="253"/>
      <c r="F156" s="253"/>
      <c r="G156" s="253"/>
      <c r="H156" s="253"/>
      <c r="I156" s="253"/>
      <c r="J156" s="253"/>
      <c r="K156" s="253"/>
      <c r="L156" s="253"/>
      <c r="M156" s="253"/>
      <c r="N156" s="253"/>
      <c r="O156" s="253"/>
      <c r="P156" s="253"/>
      <c r="Q156" s="253"/>
    </row>
    <row r="157" spans="1:19">
      <c r="A157" s="253"/>
      <c r="B157" s="253"/>
      <c r="C157" s="253"/>
      <c r="D157" s="253"/>
      <c r="E157" s="253"/>
      <c r="F157" s="253"/>
      <c r="G157" s="253"/>
      <c r="H157" s="253"/>
      <c r="I157" s="253"/>
      <c r="J157" s="253"/>
      <c r="K157" s="253"/>
      <c r="L157" s="253"/>
      <c r="M157" s="253"/>
      <c r="N157" s="253"/>
      <c r="O157" s="253"/>
      <c r="P157" s="253"/>
      <c r="Q157" s="253"/>
    </row>
    <row r="158" spans="1:19">
      <c r="A158" s="253"/>
      <c r="B158" s="253"/>
      <c r="C158" s="253"/>
      <c r="D158" s="253"/>
      <c r="E158" s="253"/>
      <c r="F158" s="253"/>
      <c r="G158" s="253"/>
      <c r="H158" s="253"/>
      <c r="I158" s="253"/>
      <c r="J158" s="253"/>
      <c r="K158" s="253"/>
      <c r="L158" s="253"/>
      <c r="M158" s="253"/>
      <c r="N158" s="253"/>
      <c r="O158" s="253"/>
      <c r="P158" s="253"/>
      <c r="Q158" s="253"/>
    </row>
    <row r="159" spans="1:19">
      <c r="A159" s="253"/>
      <c r="B159" s="253"/>
      <c r="C159" s="253"/>
      <c r="D159" s="253"/>
      <c r="E159" s="253"/>
      <c r="F159" s="253"/>
      <c r="G159" s="253"/>
      <c r="H159" s="253"/>
      <c r="I159" s="253"/>
      <c r="J159" s="253"/>
      <c r="K159" s="253"/>
      <c r="L159" s="253"/>
      <c r="M159" s="253"/>
      <c r="N159" s="253"/>
      <c r="O159" s="253"/>
      <c r="P159" s="253"/>
      <c r="Q159" s="253"/>
    </row>
    <row r="160" spans="1:19">
      <c r="A160" s="253"/>
      <c r="B160" s="253"/>
      <c r="C160" s="253"/>
      <c r="D160" s="253"/>
      <c r="E160" s="253"/>
      <c r="F160" s="253"/>
      <c r="G160" s="253"/>
      <c r="H160" s="253"/>
      <c r="I160" s="253"/>
      <c r="J160" s="253"/>
      <c r="K160" s="253"/>
      <c r="L160" s="253"/>
      <c r="M160" s="253"/>
      <c r="N160" s="253"/>
      <c r="O160" s="253"/>
      <c r="P160" s="253"/>
      <c r="Q160" s="253"/>
    </row>
    <row r="161" spans="1:17">
      <c r="A161" s="253"/>
      <c r="B161" s="253"/>
      <c r="C161" s="253"/>
      <c r="D161" s="253"/>
      <c r="E161" s="253"/>
      <c r="F161" s="253"/>
      <c r="G161" s="253"/>
      <c r="H161" s="253"/>
      <c r="I161" s="253"/>
      <c r="J161" s="253"/>
      <c r="K161" s="253"/>
      <c r="L161" s="253"/>
      <c r="M161" s="253"/>
      <c r="N161" s="253"/>
      <c r="O161" s="253"/>
      <c r="P161" s="253"/>
      <c r="Q161" s="253"/>
    </row>
    <row r="162" spans="1:17">
      <c r="A162" s="253"/>
      <c r="B162" s="253"/>
      <c r="C162" s="253"/>
      <c r="D162" s="253"/>
      <c r="E162" s="253"/>
      <c r="F162" s="253"/>
      <c r="G162" s="253"/>
      <c r="H162" s="253"/>
      <c r="I162" s="253"/>
      <c r="J162" s="253"/>
      <c r="K162" s="253"/>
      <c r="L162" s="253"/>
      <c r="M162" s="253"/>
      <c r="N162" s="253"/>
      <c r="O162" s="253"/>
      <c r="P162" s="253"/>
      <c r="Q162" s="253"/>
    </row>
    <row r="163" spans="1:17">
      <c r="A163" s="253"/>
      <c r="B163" s="253"/>
      <c r="C163" s="253"/>
      <c r="D163" s="253"/>
      <c r="E163" s="253"/>
      <c r="F163" s="253"/>
      <c r="G163" s="253"/>
      <c r="H163" s="253"/>
      <c r="I163" s="253"/>
      <c r="J163" s="253"/>
      <c r="K163" s="253"/>
      <c r="L163" s="253"/>
      <c r="M163" s="253"/>
      <c r="N163" s="253"/>
      <c r="O163" s="253"/>
      <c r="P163" s="253"/>
      <c r="Q163" s="253"/>
    </row>
    <row r="164" spans="1:17">
      <c r="A164" s="253"/>
      <c r="B164" s="253"/>
      <c r="C164" s="253"/>
      <c r="D164" s="253"/>
      <c r="E164" s="253"/>
      <c r="F164" s="253"/>
      <c r="G164" s="253"/>
      <c r="H164" s="253"/>
      <c r="I164" s="253"/>
      <c r="J164" s="253"/>
      <c r="K164" s="253"/>
      <c r="L164" s="253"/>
      <c r="M164" s="253"/>
      <c r="N164" s="253"/>
      <c r="O164" s="253"/>
      <c r="P164" s="253"/>
      <c r="Q164" s="253"/>
    </row>
    <row r="165" spans="1:17">
      <c r="A165" s="253"/>
      <c r="B165" s="253"/>
      <c r="C165" s="253"/>
      <c r="D165" s="253"/>
      <c r="E165" s="253"/>
      <c r="F165" s="253"/>
      <c r="G165" s="253"/>
      <c r="H165" s="253"/>
      <c r="I165" s="253"/>
      <c r="J165" s="253"/>
      <c r="K165" s="253"/>
      <c r="L165" s="253"/>
      <c r="M165" s="253"/>
      <c r="N165" s="253"/>
      <c r="O165" s="253"/>
      <c r="P165" s="253"/>
      <c r="Q165" s="253"/>
    </row>
    <row r="166" spans="1:17">
      <c r="A166" s="253"/>
      <c r="B166" s="253"/>
      <c r="C166" s="253"/>
      <c r="D166" s="253"/>
      <c r="E166" s="253"/>
      <c r="F166" s="253"/>
      <c r="G166" s="253"/>
      <c r="H166" s="253"/>
      <c r="I166" s="253"/>
      <c r="J166" s="253"/>
      <c r="K166" s="253"/>
      <c r="L166" s="253"/>
      <c r="M166" s="253"/>
      <c r="N166" s="253"/>
      <c r="O166" s="253"/>
      <c r="P166" s="253"/>
      <c r="Q166" s="253"/>
    </row>
    <row r="167" spans="1:17">
      <c r="A167" s="253"/>
      <c r="B167" s="253"/>
      <c r="C167" s="253"/>
      <c r="D167" s="253"/>
      <c r="E167" s="253"/>
      <c r="F167" s="253"/>
      <c r="G167" s="253"/>
      <c r="H167" s="253"/>
      <c r="I167" s="253"/>
      <c r="J167" s="253"/>
      <c r="K167" s="253"/>
      <c r="L167" s="253"/>
      <c r="M167" s="253"/>
      <c r="N167" s="253"/>
      <c r="O167" s="253"/>
      <c r="P167" s="253"/>
      <c r="Q167" s="253"/>
    </row>
    <row r="168" spans="1:17">
      <c r="A168" s="253"/>
      <c r="B168" s="253"/>
      <c r="C168" s="253"/>
      <c r="D168" s="253"/>
      <c r="E168" s="253"/>
      <c r="F168" s="253"/>
      <c r="G168" s="253"/>
      <c r="H168" s="253"/>
      <c r="I168" s="253"/>
      <c r="J168" s="253"/>
      <c r="K168" s="253"/>
      <c r="L168" s="253"/>
      <c r="M168" s="253"/>
      <c r="N168" s="253"/>
      <c r="O168" s="253"/>
      <c r="P168" s="253"/>
      <c r="Q168" s="253"/>
    </row>
    <row r="169" spans="1:17">
      <c r="A169" s="253"/>
      <c r="B169" s="253"/>
      <c r="C169" s="253"/>
      <c r="D169" s="253"/>
      <c r="E169" s="253"/>
      <c r="F169" s="253"/>
      <c r="G169" s="253"/>
      <c r="H169" s="253"/>
      <c r="I169" s="253"/>
      <c r="J169" s="253"/>
      <c r="K169" s="253"/>
      <c r="L169" s="253"/>
      <c r="M169" s="253"/>
      <c r="N169" s="253"/>
      <c r="O169" s="253"/>
      <c r="P169" s="253"/>
      <c r="Q169" s="253"/>
    </row>
    <row r="170" spans="1:17">
      <c r="A170" s="253"/>
      <c r="B170" s="253"/>
      <c r="C170" s="253"/>
      <c r="D170" s="253"/>
      <c r="E170" s="253"/>
      <c r="F170" s="253"/>
      <c r="G170" s="253"/>
      <c r="H170" s="253"/>
      <c r="I170" s="253"/>
      <c r="J170" s="253"/>
      <c r="K170" s="253"/>
      <c r="L170" s="253"/>
      <c r="M170" s="253"/>
      <c r="N170" s="253"/>
      <c r="O170" s="253"/>
      <c r="P170" s="253"/>
      <c r="Q170" s="253"/>
    </row>
    <row r="171" spans="1:17">
      <c r="A171" s="253"/>
      <c r="B171" s="253"/>
      <c r="C171" s="253"/>
      <c r="D171" s="253"/>
      <c r="E171" s="253"/>
      <c r="F171" s="253"/>
      <c r="G171" s="253"/>
      <c r="H171" s="253"/>
      <c r="I171" s="253"/>
      <c r="J171" s="253"/>
      <c r="K171" s="253"/>
      <c r="L171" s="253"/>
      <c r="M171" s="253"/>
      <c r="N171" s="253"/>
      <c r="O171" s="253"/>
      <c r="P171" s="253"/>
      <c r="Q171" s="253"/>
    </row>
    <row r="172" spans="1:17">
      <c r="A172" s="253"/>
      <c r="B172" s="253"/>
      <c r="C172" s="253"/>
      <c r="D172" s="253"/>
      <c r="E172" s="253"/>
      <c r="F172" s="253"/>
      <c r="G172" s="253"/>
      <c r="H172" s="253"/>
      <c r="I172" s="253"/>
      <c r="J172" s="253"/>
      <c r="K172" s="253"/>
      <c r="L172" s="253"/>
      <c r="M172" s="253"/>
      <c r="N172" s="253"/>
      <c r="O172" s="253"/>
      <c r="P172" s="253"/>
      <c r="Q172" s="253"/>
    </row>
    <row r="173" spans="1:17">
      <c r="A173" s="253"/>
      <c r="B173" s="253"/>
      <c r="C173" s="253"/>
      <c r="D173" s="253"/>
      <c r="E173" s="253"/>
      <c r="F173" s="253"/>
      <c r="G173" s="253"/>
      <c r="H173" s="253"/>
      <c r="I173" s="253"/>
      <c r="J173" s="253"/>
      <c r="K173" s="253"/>
      <c r="L173" s="253"/>
      <c r="M173" s="253"/>
      <c r="N173" s="253"/>
      <c r="O173" s="253"/>
      <c r="P173" s="253"/>
      <c r="Q173" s="253"/>
    </row>
    <row r="174" spans="1:17">
      <c r="A174" s="253"/>
      <c r="B174" s="253"/>
      <c r="C174" s="253"/>
      <c r="D174" s="253"/>
      <c r="E174" s="253"/>
      <c r="F174" s="253"/>
      <c r="G174" s="253"/>
      <c r="H174" s="253"/>
      <c r="I174" s="253"/>
      <c r="J174" s="253"/>
      <c r="K174" s="253"/>
      <c r="L174" s="253"/>
      <c r="M174" s="253"/>
      <c r="N174" s="253"/>
      <c r="O174" s="253"/>
      <c r="P174" s="253"/>
      <c r="Q174" s="253"/>
    </row>
    <row r="175" spans="1:17">
      <c r="A175" s="253"/>
      <c r="B175" s="253"/>
      <c r="C175" s="253"/>
      <c r="D175" s="253"/>
      <c r="E175" s="253"/>
      <c r="F175" s="253"/>
      <c r="G175" s="253"/>
      <c r="H175" s="253"/>
      <c r="I175" s="253"/>
      <c r="J175" s="253"/>
      <c r="K175" s="253"/>
      <c r="L175" s="253"/>
      <c r="M175" s="253"/>
      <c r="N175" s="253"/>
      <c r="O175" s="253"/>
      <c r="P175" s="253"/>
      <c r="Q175" s="253"/>
    </row>
    <row r="176" spans="1:17">
      <c r="A176" s="253"/>
      <c r="B176" s="253"/>
      <c r="C176" s="253"/>
      <c r="D176" s="253"/>
      <c r="E176" s="253"/>
      <c r="F176" s="253"/>
      <c r="G176" s="253"/>
      <c r="H176" s="253"/>
      <c r="I176" s="253"/>
      <c r="J176" s="253"/>
      <c r="K176" s="253"/>
      <c r="L176" s="253"/>
      <c r="M176" s="253"/>
      <c r="N176" s="253"/>
      <c r="O176" s="253"/>
      <c r="P176" s="253"/>
      <c r="Q176" s="253"/>
    </row>
    <row r="177" spans="1:17">
      <c r="A177" s="253"/>
      <c r="B177" s="253"/>
      <c r="C177" s="253"/>
      <c r="D177" s="253"/>
      <c r="E177" s="253"/>
      <c r="F177" s="253"/>
      <c r="G177" s="253"/>
      <c r="H177" s="253"/>
      <c r="I177" s="253"/>
      <c r="J177" s="253"/>
      <c r="K177" s="253"/>
      <c r="L177" s="253"/>
      <c r="M177" s="253"/>
      <c r="N177" s="253"/>
      <c r="O177" s="253"/>
      <c r="P177" s="253"/>
      <c r="Q177" s="253"/>
    </row>
    <row r="178" spans="1:17">
      <c r="A178" s="253"/>
      <c r="B178" s="253"/>
      <c r="C178" s="253"/>
      <c r="D178" s="253"/>
      <c r="E178" s="253"/>
      <c r="F178" s="253"/>
      <c r="G178" s="253"/>
      <c r="H178" s="253"/>
      <c r="I178" s="253"/>
      <c r="J178" s="253"/>
      <c r="K178" s="253"/>
      <c r="L178" s="253"/>
      <c r="M178" s="253"/>
      <c r="N178" s="253"/>
      <c r="O178" s="253"/>
      <c r="P178" s="253"/>
      <c r="Q178" s="253"/>
    </row>
    <row r="179" spans="1:17">
      <c r="A179" s="253"/>
      <c r="B179" s="253"/>
      <c r="C179" s="253"/>
      <c r="D179" s="253"/>
      <c r="E179" s="253"/>
      <c r="F179" s="253"/>
      <c r="G179" s="253"/>
      <c r="H179" s="253"/>
      <c r="I179" s="253"/>
      <c r="J179" s="253"/>
      <c r="K179" s="253"/>
      <c r="L179" s="253"/>
      <c r="M179" s="253"/>
      <c r="N179" s="253"/>
      <c r="O179" s="253"/>
      <c r="P179" s="253"/>
      <c r="Q179" s="253"/>
    </row>
    <row r="180" spans="1:17">
      <c r="A180" s="253"/>
      <c r="B180" s="253"/>
      <c r="C180" s="253"/>
      <c r="D180" s="253"/>
      <c r="E180" s="253"/>
      <c r="F180" s="253"/>
      <c r="G180" s="253"/>
      <c r="H180" s="253"/>
      <c r="I180" s="253"/>
      <c r="J180" s="253"/>
      <c r="K180" s="253"/>
      <c r="L180" s="253"/>
      <c r="M180" s="253"/>
      <c r="N180" s="253"/>
      <c r="O180" s="253"/>
      <c r="P180" s="253"/>
      <c r="Q180" s="253"/>
    </row>
    <row r="181" spans="1:17">
      <c r="A181" s="253"/>
      <c r="B181" s="253"/>
      <c r="C181" s="253"/>
      <c r="D181" s="253"/>
      <c r="E181" s="253"/>
      <c r="F181" s="253"/>
      <c r="G181" s="253"/>
      <c r="H181" s="253"/>
      <c r="I181" s="253"/>
      <c r="J181" s="253"/>
      <c r="K181" s="253"/>
      <c r="L181" s="253"/>
      <c r="M181" s="253"/>
      <c r="N181" s="253"/>
      <c r="O181" s="253"/>
      <c r="P181" s="253"/>
      <c r="Q181" s="253"/>
    </row>
    <row r="182" spans="1:17">
      <c r="A182" s="253"/>
      <c r="B182" s="253"/>
      <c r="C182" s="253"/>
      <c r="D182" s="253"/>
      <c r="E182" s="253"/>
      <c r="F182" s="253"/>
      <c r="G182" s="253"/>
      <c r="H182" s="253"/>
      <c r="I182" s="253"/>
      <c r="J182" s="253"/>
      <c r="K182" s="253"/>
      <c r="L182" s="253"/>
      <c r="M182" s="253"/>
      <c r="N182" s="253"/>
      <c r="O182" s="253"/>
      <c r="P182" s="253"/>
      <c r="Q182" s="253"/>
    </row>
    <row r="183" spans="1:17">
      <c r="A183" s="253"/>
      <c r="B183" s="253"/>
      <c r="C183" s="253"/>
      <c r="D183" s="253"/>
      <c r="E183" s="253"/>
      <c r="F183" s="253"/>
      <c r="G183" s="253"/>
      <c r="H183" s="253"/>
      <c r="I183" s="253"/>
      <c r="J183" s="253"/>
      <c r="K183" s="253"/>
      <c r="L183" s="253"/>
      <c r="M183" s="253"/>
      <c r="N183" s="253"/>
      <c r="O183" s="253"/>
      <c r="P183" s="253"/>
      <c r="Q183" s="253"/>
    </row>
    <row r="184" spans="1:17">
      <c r="A184" s="253"/>
      <c r="B184" s="253"/>
      <c r="C184" s="253"/>
      <c r="D184" s="253"/>
      <c r="E184" s="253"/>
      <c r="F184" s="253"/>
      <c r="G184" s="253"/>
      <c r="H184" s="253"/>
      <c r="I184" s="253"/>
      <c r="J184" s="253"/>
      <c r="K184" s="253"/>
      <c r="L184" s="253"/>
      <c r="M184" s="253"/>
      <c r="N184" s="253"/>
      <c r="O184" s="253"/>
      <c r="P184" s="253"/>
      <c r="Q184" s="253"/>
    </row>
    <row r="185" spans="1:17">
      <c r="A185" s="253"/>
      <c r="B185" s="253"/>
      <c r="C185" s="253"/>
      <c r="D185" s="253"/>
      <c r="E185" s="253"/>
      <c r="F185" s="253"/>
      <c r="G185" s="253"/>
      <c r="H185" s="253"/>
      <c r="I185" s="253"/>
      <c r="J185" s="253"/>
      <c r="K185" s="253"/>
      <c r="L185" s="253"/>
      <c r="M185" s="253"/>
      <c r="N185" s="253"/>
      <c r="O185" s="253"/>
      <c r="P185" s="253"/>
      <c r="Q185" s="253"/>
    </row>
    <row r="186" spans="1:17">
      <c r="A186" s="253"/>
      <c r="B186" s="253"/>
      <c r="C186" s="253"/>
      <c r="D186" s="253"/>
      <c r="E186" s="253"/>
      <c r="F186" s="253"/>
      <c r="G186" s="253"/>
      <c r="H186" s="253"/>
      <c r="I186" s="253"/>
      <c r="J186" s="253"/>
      <c r="K186" s="253"/>
      <c r="L186" s="253"/>
      <c r="M186" s="253"/>
      <c r="N186" s="253"/>
      <c r="O186" s="253"/>
      <c r="P186" s="253"/>
      <c r="Q186" s="253"/>
    </row>
    <row r="187" spans="1:17">
      <c r="A187" s="253"/>
      <c r="B187" s="253"/>
      <c r="C187" s="253"/>
      <c r="D187" s="253"/>
      <c r="E187" s="253"/>
      <c r="F187" s="253"/>
      <c r="G187" s="253"/>
      <c r="H187" s="253"/>
      <c r="I187" s="253"/>
      <c r="J187" s="253"/>
      <c r="K187" s="253"/>
      <c r="L187" s="253"/>
      <c r="M187" s="253"/>
      <c r="N187" s="253"/>
      <c r="O187" s="253"/>
      <c r="P187" s="253"/>
      <c r="Q187" s="253"/>
    </row>
    <row r="188" spans="1:17">
      <c r="A188" s="253"/>
      <c r="B188" s="253"/>
      <c r="C188" s="253"/>
      <c r="D188" s="253"/>
      <c r="E188" s="253"/>
      <c r="F188" s="253"/>
      <c r="G188" s="253"/>
      <c r="H188" s="253"/>
      <c r="I188" s="253"/>
      <c r="J188" s="253"/>
      <c r="K188" s="253"/>
      <c r="L188" s="253"/>
      <c r="M188" s="253"/>
      <c r="N188" s="253"/>
      <c r="O188" s="253"/>
      <c r="P188" s="253"/>
      <c r="Q188" s="253"/>
    </row>
    <row r="189" spans="1:17">
      <c r="A189" s="253"/>
      <c r="B189" s="253"/>
      <c r="C189" s="253"/>
      <c r="D189" s="253"/>
      <c r="E189" s="253"/>
      <c r="F189" s="253"/>
      <c r="G189" s="253"/>
      <c r="H189" s="253"/>
      <c r="I189" s="253"/>
      <c r="J189" s="253"/>
      <c r="K189" s="253"/>
      <c r="L189" s="253"/>
      <c r="M189" s="253"/>
      <c r="N189" s="253"/>
      <c r="O189" s="253"/>
      <c r="P189" s="253"/>
      <c r="Q189" s="253"/>
    </row>
    <row r="190" spans="1:17">
      <c r="A190" s="253"/>
      <c r="B190" s="253"/>
      <c r="C190" s="253"/>
      <c r="D190" s="253"/>
      <c r="E190" s="253"/>
      <c r="F190" s="253"/>
      <c r="G190" s="253"/>
      <c r="H190" s="253"/>
      <c r="I190" s="253"/>
      <c r="J190" s="253"/>
      <c r="K190" s="253"/>
      <c r="L190" s="253"/>
      <c r="M190" s="253"/>
      <c r="N190" s="253"/>
      <c r="O190" s="253"/>
      <c r="P190" s="253"/>
      <c r="Q190" s="253"/>
    </row>
    <row r="191" spans="1:17">
      <c r="A191" s="253"/>
      <c r="B191" s="253"/>
      <c r="C191" s="253"/>
      <c r="D191" s="253"/>
      <c r="E191" s="253"/>
      <c r="F191" s="253"/>
      <c r="G191" s="253"/>
      <c r="H191" s="253"/>
      <c r="I191" s="253"/>
      <c r="J191" s="253"/>
      <c r="K191" s="253"/>
      <c r="L191" s="253"/>
      <c r="M191" s="253"/>
      <c r="N191" s="253"/>
      <c r="O191" s="253"/>
      <c r="P191" s="253"/>
      <c r="Q191" s="253"/>
    </row>
    <row r="192" spans="1:17">
      <c r="A192" s="253"/>
      <c r="B192" s="253"/>
      <c r="C192" s="253"/>
      <c r="D192" s="253"/>
      <c r="E192" s="253"/>
      <c r="F192" s="253"/>
      <c r="G192" s="253"/>
      <c r="H192" s="253"/>
      <c r="I192" s="253"/>
      <c r="J192" s="253"/>
      <c r="K192" s="253"/>
      <c r="L192" s="253"/>
      <c r="M192" s="253"/>
      <c r="N192" s="253"/>
      <c r="O192" s="253"/>
      <c r="P192" s="253"/>
      <c r="Q192" s="253"/>
    </row>
    <row r="193" spans="1:17">
      <c r="A193" s="253"/>
      <c r="B193" s="253"/>
      <c r="C193" s="253"/>
      <c r="D193" s="253"/>
      <c r="E193" s="253"/>
      <c r="F193" s="253"/>
      <c r="G193" s="253"/>
      <c r="H193" s="253"/>
      <c r="I193" s="253"/>
      <c r="J193" s="253"/>
      <c r="K193" s="253"/>
      <c r="L193" s="253"/>
      <c r="M193" s="253"/>
      <c r="N193" s="253"/>
      <c r="O193" s="253"/>
      <c r="P193" s="253"/>
      <c r="Q193" s="253"/>
    </row>
    <row r="194" spans="1:17">
      <c r="A194" s="253"/>
      <c r="B194" s="253"/>
      <c r="C194" s="253"/>
      <c r="D194" s="253"/>
      <c r="E194" s="253"/>
      <c r="F194" s="253"/>
      <c r="G194" s="253"/>
      <c r="H194" s="253"/>
      <c r="I194" s="253"/>
      <c r="J194" s="253"/>
      <c r="K194" s="253"/>
      <c r="L194" s="253"/>
      <c r="M194" s="253"/>
      <c r="N194" s="253"/>
      <c r="O194" s="253"/>
      <c r="P194" s="253"/>
      <c r="Q194" s="253"/>
    </row>
    <row r="195" spans="1:17">
      <c r="A195" s="253"/>
      <c r="B195" s="253"/>
      <c r="C195" s="253"/>
      <c r="D195" s="253"/>
      <c r="E195" s="253"/>
      <c r="F195" s="253"/>
      <c r="G195" s="253"/>
      <c r="H195" s="253"/>
      <c r="I195" s="253"/>
      <c r="J195" s="253"/>
      <c r="K195" s="253"/>
      <c r="L195" s="253"/>
      <c r="M195" s="253"/>
      <c r="N195" s="253"/>
      <c r="O195" s="253"/>
      <c r="P195" s="253"/>
      <c r="Q195" s="253"/>
    </row>
    <row r="196" spans="1:17">
      <c r="A196" s="253"/>
      <c r="B196" s="253"/>
      <c r="C196" s="253"/>
      <c r="D196" s="253"/>
      <c r="E196" s="253"/>
      <c r="F196" s="253"/>
      <c r="G196" s="253"/>
      <c r="H196" s="253"/>
      <c r="I196" s="253"/>
      <c r="J196" s="253"/>
      <c r="K196" s="253"/>
      <c r="L196" s="253"/>
      <c r="M196" s="253"/>
      <c r="N196" s="253"/>
      <c r="O196" s="253"/>
      <c r="P196" s="253"/>
      <c r="Q196" s="253"/>
    </row>
    <row r="197" spans="1:17">
      <c r="A197" s="253"/>
      <c r="B197" s="253"/>
      <c r="C197" s="253"/>
      <c r="D197" s="253"/>
      <c r="E197" s="253"/>
      <c r="F197" s="253"/>
      <c r="G197" s="253"/>
      <c r="H197" s="253"/>
      <c r="I197" s="253"/>
      <c r="J197" s="253"/>
      <c r="K197" s="253"/>
      <c r="L197" s="253"/>
      <c r="M197" s="253"/>
      <c r="N197" s="253"/>
      <c r="O197" s="253"/>
      <c r="P197" s="253"/>
      <c r="Q197" s="253"/>
    </row>
    <row r="198" spans="1:17">
      <c r="A198" s="253"/>
      <c r="B198" s="253"/>
      <c r="C198" s="253"/>
      <c r="D198" s="253"/>
      <c r="E198" s="253"/>
      <c r="F198" s="253"/>
      <c r="G198" s="253"/>
      <c r="H198" s="253"/>
      <c r="I198" s="253"/>
      <c r="J198" s="253"/>
      <c r="K198" s="253"/>
      <c r="L198" s="253"/>
      <c r="M198" s="253"/>
      <c r="N198" s="253"/>
      <c r="O198" s="253"/>
      <c r="P198" s="253"/>
      <c r="Q198" s="253"/>
    </row>
    <row r="199" spans="1:17">
      <c r="A199" s="253"/>
      <c r="B199" s="253"/>
      <c r="C199" s="253"/>
      <c r="D199" s="253"/>
      <c r="E199" s="253"/>
      <c r="F199" s="253"/>
      <c r="G199" s="253"/>
      <c r="H199" s="253"/>
      <c r="I199" s="253"/>
      <c r="J199" s="253"/>
      <c r="K199" s="253"/>
      <c r="L199" s="253"/>
      <c r="M199" s="253"/>
      <c r="N199" s="253"/>
      <c r="O199" s="253"/>
      <c r="P199" s="253"/>
      <c r="Q199" s="253"/>
    </row>
    <row r="200" spans="1:17">
      <c r="A200" s="253"/>
      <c r="B200" s="253"/>
      <c r="C200" s="253"/>
      <c r="D200" s="253"/>
      <c r="E200" s="253"/>
      <c r="F200" s="253"/>
      <c r="G200" s="253"/>
      <c r="H200" s="253"/>
      <c r="I200" s="253"/>
      <c r="J200" s="253"/>
      <c r="K200" s="253"/>
      <c r="L200" s="253"/>
      <c r="M200" s="253"/>
      <c r="N200" s="253"/>
      <c r="O200" s="253"/>
      <c r="P200" s="253"/>
      <c r="Q200" s="253"/>
    </row>
    <row r="201" spans="1:17">
      <c r="A201" s="253"/>
      <c r="B201" s="253"/>
      <c r="C201" s="253"/>
      <c r="D201" s="253"/>
      <c r="E201" s="253"/>
      <c r="F201" s="253"/>
      <c r="G201" s="253"/>
      <c r="H201" s="253"/>
      <c r="I201" s="253"/>
      <c r="J201" s="253"/>
      <c r="K201" s="253"/>
      <c r="L201" s="253"/>
      <c r="M201" s="253"/>
      <c r="N201" s="253"/>
      <c r="O201" s="253"/>
      <c r="P201" s="253"/>
      <c r="Q201" s="253"/>
    </row>
    <row r="202" spans="1:17">
      <c r="A202" s="253"/>
      <c r="B202" s="253"/>
      <c r="C202" s="253"/>
      <c r="D202" s="253"/>
      <c r="E202" s="253"/>
      <c r="F202" s="253"/>
      <c r="G202" s="253"/>
      <c r="H202" s="253"/>
      <c r="I202" s="253"/>
      <c r="J202" s="253"/>
      <c r="K202" s="253"/>
      <c r="L202" s="253"/>
      <c r="M202" s="253"/>
      <c r="N202" s="253"/>
      <c r="O202" s="253"/>
      <c r="P202" s="253"/>
      <c r="Q202" s="253"/>
    </row>
    <row r="203" spans="1:17">
      <c r="A203" s="253"/>
      <c r="B203" s="253"/>
      <c r="C203" s="253"/>
      <c r="D203" s="253"/>
      <c r="E203" s="253"/>
      <c r="F203" s="253"/>
      <c r="G203" s="253"/>
      <c r="H203" s="253"/>
      <c r="I203" s="253"/>
      <c r="J203" s="253"/>
      <c r="K203" s="253"/>
      <c r="L203" s="253"/>
      <c r="M203" s="253"/>
      <c r="N203" s="253"/>
      <c r="O203" s="253"/>
      <c r="P203" s="253"/>
      <c r="Q203" s="253"/>
    </row>
    <row r="204" spans="1:17">
      <c r="A204" s="253"/>
      <c r="B204" s="253"/>
      <c r="C204" s="253"/>
      <c r="D204" s="253"/>
      <c r="E204" s="253"/>
      <c r="F204" s="253"/>
      <c r="G204" s="253"/>
      <c r="H204" s="253"/>
      <c r="I204" s="253"/>
      <c r="J204" s="253"/>
      <c r="K204" s="253"/>
      <c r="L204" s="253"/>
      <c r="M204" s="253"/>
      <c r="N204" s="253"/>
      <c r="O204" s="253"/>
      <c r="P204" s="253"/>
      <c r="Q204" s="253"/>
    </row>
    <row r="205" spans="1:17">
      <c r="A205" s="253"/>
      <c r="B205" s="253"/>
      <c r="C205" s="253"/>
      <c r="D205" s="253"/>
      <c r="E205" s="253"/>
      <c r="F205" s="253"/>
      <c r="G205" s="253"/>
      <c r="H205" s="253"/>
      <c r="I205" s="253"/>
      <c r="J205" s="253"/>
      <c r="K205" s="253"/>
      <c r="L205" s="253"/>
      <c r="M205" s="253"/>
      <c r="N205" s="253"/>
      <c r="O205" s="253"/>
      <c r="P205" s="253"/>
      <c r="Q205" s="253"/>
    </row>
    <row r="206" spans="1:17">
      <c r="A206" s="253"/>
      <c r="B206" s="253"/>
      <c r="C206" s="253"/>
      <c r="D206" s="253"/>
      <c r="E206" s="253"/>
      <c r="F206" s="253"/>
      <c r="G206" s="253"/>
      <c r="H206" s="253"/>
      <c r="I206" s="253"/>
      <c r="J206" s="253"/>
      <c r="K206" s="253"/>
      <c r="L206" s="253"/>
      <c r="M206" s="253"/>
      <c r="N206" s="253"/>
      <c r="O206" s="253"/>
      <c r="P206" s="253"/>
      <c r="Q206" s="253"/>
    </row>
    <row r="207" spans="1:17">
      <c r="A207" s="253"/>
      <c r="B207" s="253"/>
      <c r="C207" s="253"/>
      <c r="D207" s="253"/>
      <c r="E207" s="253"/>
      <c r="F207" s="253"/>
      <c r="G207" s="253"/>
      <c r="H207" s="253"/>
      <c r="I207" s="253"/>
      <c r="J207" s="253"/>
      <c r="K207" s="253"/>
      <c r="L207" s="253"/>
      <c r="M207" s="253"/>
      <c r="N207" s="253"/>
      <c r="O207" s="253"/>
      <c r="P207" s="253"/>
      <c r="Q207" s="253"/>
    </row>
    <row r="208" spans="1:17">
      <c r="A208" s="253"/>
      <c r="B208" s="253"/>
      <c r="C208" s="253"/>
      <c r="D208" s="253"/>
      <c r="E208" s="253"/>
      <c r="F208" s="253"/>
      <c r="G208" s="253"/>
      <c r="H208" s="253"/>
      <c r="I208" s="253"/>
      <c r="J208" s="253"/>
      <c r="K208" s="253"/>
      <c r="L208" s="253"/>
      <c r="M208" s="253"/>
      <c r="N208" s="253"/>
      <c r="O208" s="253"/>
      <c r="P208" s="253"/>
      <c r="Q208" s="253"/>
    </row>
    <row r="209" spans="1:17">
      <c r="A209" s="253"/>
      <c r="B209" s="253"/>
      <c r="C209" s="253"/>
      <c r="D209" s="253"/>
      <c r="E209" s="253"/>
      <c r="F209" s="253"/>
      <c r="G209" s="253"/>
      <c r="H209" s="253"/>
      <c r="I209" s="253"/>
      <c r="J209" s="253"/>
      <c r="K209" s="253"/>
      <c r="L209" s="253"/>
      <c r="M209" s="253"/>
      <c r="N209" s="253"/>
      <c r="O209" s="253"/>
      <c r="P209" s="253"/>
      <c r="Q209" s="253"/>
    </row>
    <row r="210" spans="1:17">
      <c r="A210" s="253"/>
      <c r="B210" s="253"/>
      <c r="C210" s="253"/>
      <c r="D210" s="253"/>
      <c r="E210" s="253"/>
      <c r="F210" s="253"/>
      <c r="G210" s="253"/>
      <c r="H210" s="253"/>
      <c r="I210" s="253"/>
      <c r="J210" s="253"/>
      <c r="K210" s="253"/>
      <c r="L210" s="253"/>
      <c r="M210" s="253"/>
      <c r="N210" s="253"/>
      <c r="O210" s="253"/>
      <c r="P210" s="253"/>
      <c r="Q210" s="253"/>
    </row>
    <row r="211" spans="1:17">
      <c r="A211" s="253"/>
      <c r="B211" s="253"/>
      <c r="C211" s="253"/>
      <c r="D211" s="253"/>
      <c r="E211" s="253"/>
      <c r="F211" s="253"/>
      <c r="G211" s="253"/>
      <c r="H211" s="253"/>
      <c r="I211" s="253"/>
      <c r="J211" s="253"/>
      <c r="K211" s="253"/>
      <c r="L211" s="253"/>
      <c r="M211" s="253"/>
      <c r="N211" s="253"/>
      <c r="O211" s="253"/>
      <c r="P211" s="253"/>
      <c r="Q211" s="253"/>
    </row>
    <row r="212" spans="1:17">
      <c r="A212" s="253"/>
      <c r="B212" s="253"/>
      <c r="C212" s="253"/>
      <c r="D212" s="253"/>
      <c r="E212" s="253"/>
      <c r="F212" s="253"/>
      <c r="G212" s="253"/>
      <c r="H212" s="253"/>
      <c r="I212" s="253"/>
      <c r="J212" s="253"/>
      <c r="K212" s="253"/>
      <c r="L212" s="253"/>
      <c r="M212" s="253"/>
      <c r="N212" s="253"/>
      <c r="O212" s="253"/>
      <c r="P212" s="253"/>
      <c r="Q212" s="253"/>
    </row>
    <row r="213" spans="1:17">
      <c r="A213" s="253"/>
      <c r="B213" s="253"/>
      <c r="C213" s="253"/>
      <c r="D213" s="253"/>
      <c r="E213" s="253"/>
      <c r="F213" s="253"/>
      <c r="G213" s="253"/>
      <c r="H213" s="253"/>
      <c r="I213" s="253"/>
      <c r="J213" s="253"/>
      <c r="K213" s="253"/>
      <c r="L213" s="253"/>
      <c r="M213" s="253"/>
      <c r="N213" s="253"/>
      <c r="O213" s="253"/>
      <c r="P213" s="253"/>
      <c r="Q213" s="253"/>
    </row>
    <row r="214" spans="1:17">
      <c r="A214" s="253"/>
      <c r="B214" s="253"/>
      <c r="C214" s="253"/>
      <c r="D214" s="253"/>
      <c r="E214" s="253"/>
      <c r="F214" s="253"/>
      <c r="G214" s="253"/>
      <c r="H214" s="253"/>
      <c r="I214" s="253"/>
      <c r="J214" s="253"/>
      <c r="K214" s="253"/>
      <c r="L214" s="253"/>
      <c r="M214" s="253"/>
      <c r="N214" s="253"/>
      <c r="O214" s="253"/>
      <c r="P214" s="253"/>
      <c r="Q214" s="253"/>
    </row>
    <row r="215" spans="1:17">
      <c r="A215" s="253"/>
      <c r="B215" s="253"/>
      <c r="C215" s="253"/>
      <c r="D215" s="253"/>
      <c r="E215" s="253"/>
      <c r="F215" s="253"/>
      <c r="G215" s="253"/>
      <c r="H215" s="253"/>
      <c r="I215" s="253"/>
      <c r="J215" s="253"/>
      <c r="K215" s="253"/>
      <c r="L215" s="253"/>
      <c r="M215" s="253"/>
      <c r="N215" s="253"/>
      <c r="O215" s="253"/>
      <c r="P215" s="253"/>
      <c r="Q215" s="253"/>
    </row>
    <row r="216" spans="1:17">
      <c r="A216" s="253"/>
      <c r="B216" s="253"/>
      <c r="C216" s="253"/>
      <c r="D216" s="253"/>
      <c r="E216" s="253"/>
      <c r="F216" s="253"/>
      <c r="G216" s="253"/>
      <c r="H216" s="253"/>
      <c r="I216" s="253"/>
      <c r="J216" s="253"/>
      <c r="K216" s="253"/>
      <c r="L216" s="253"/>
      <c r="M216" s="253"/>
      <c r="N216" s="253"/>
      <c r="O216" s="253"/>
      <c r="P216" s="253"/>
      <c r="Q216" s="253"/>
    </row>
    <row r="217" spans="1:17">
      <c r="A217" s="253"/>
      <c r="B217" s="253"/>
      <c r="C217" s="253"/>
      <c r="D217" s="253"/>
      <c r="E217" s="253"/>
      <c r="F217" s="253"/>
      <c r="G217" s="253"/>
      <c r="H217" s="253"/>
      <c r="I217" s="253"/>
      <c r="J217" s="253"/>
      <c r="K217" s="253"/>
      <c r="L217" s="253"/>
      <c r="M217" s="253"/>
      <c r="N217" s="253"/>
      <c r="O217" s="253"/>
      <c r="P217" s="253"/>
      <c r="Q217" s="253"/>
    </row>
    <row r="218" spans="1:17">
      <c r="A218" s="253"/>
      <c r="B218" s="253"/>
      <c r="C218" s="253"/>
      <c r="D218" s="253"/>
      <c r="E218" s="253"/>
      <c r="F218" s="253"/>
      <c r="G218" s="253"/>
      <c r="H218" s="253"/>
      <c r="I218" s="253"/>
      <c r="J218" s="253"/>
      <c r="K218" s="253"/>
      <c r="L218" s="253"/>
      <c r="M218" s="253"/>
      <c r="N218" s="253"/>
      <c r="O218" s="253"/>
      <c r="P218" s="253"/>
      <c r="Q218" s="253"/>
    </row>
    <row r="219" spans="1:17">
      <c r="A219" s="253"/>
      <c r="B219" s="253"/>
      <c r="C219" s="253"/>
      <c r="D219" s="253"/>
      <c r="E219" s="253"/>
      <c r="F219" s="253"/>
      <c r="G219" s="253"/>
      <c r="H219" s="253"/>
      <c r="I219" s="253"/>
      <c r="J219" s="253"/>
      <c r="K219" s="253"/>
      <c r="L219" s="253"/>
      <c r="M219" s="253"/>
      <c r="N219" s="253"/>
      <c r="O219" s="253"/>
      <c r="P219" s="253"/>
      <c r="Q219" s="253"/>
    </row>
    <row r="220" spans="1:17">
      <c r="A220" s="253"/>
      <c r="B220" s="253"/>
      <c r="C220" s="253"/>
      <c r="D220" s="253"/>
      <c r="E220" s="253"/>
      <c r="F220" s="253"/>
      <c r="G220" s="253"/>
      <c r="H220" s="253"/>
      <c r="I220" s="253"/>
      <c r="J220" s="253"/>
      <c r="K220" s="253"/>
      <c r="L220" s="253"/>
      <c r="M220" s="253"/>
      <c r="N220" s="253"/>
      <c r="O220" s="253"/>
      <c r="P220" s="253"/>
      <c r="Q220" s="253"/>
    </row>
    <row r="221" spans="1:17">
      <c r="A221" s="253"/>
      <c r="B221" s="253"/>
      <c r="C221" s="253"/>
      <c r="D221" s="253"/>
      <c r="E221" s="253"/>
      <c r="F221" s="253"/>
      <c r="G221" s="253"/>
      <c r="H221" s="253"/>
      <c r="I221" s="253"/>
      <c r="J221" s="253"/>
      <c r="K221" s="253"/>
      <c r="L221" s="253"/>
      <c r="M221" s="253"/>
      <c r="N221" s="253"/>
      <c r="O221" s="253"/>
      <c r="P221" s="253"/>
      <c r="Q221" s="253"/>
    </row>
    <row r="222" spans="1:17">
      <c r="A222" s="253"/>
      <c r="B222" s="253"/>
      <c r="C222" s="253"/>
      <c r="D222" s="253"/>
      <c r="E222" s="253"/>
      <c r="F222" s="253"/>
      <c r="G222" s="253"/>
      <c r="H222" s="253"/>
      <c r="I222" s="253"/>
      <c r="J222" s="253"/>
      <c r="K222" s="253"/>
      <c r="L222" s="253"/>
      <c r="M222" s="253"/>
      <c r="N222" s="253"/>
      <c r="O222" s="253"/>
      <c r="P222" s="253"/>
      <c r="Q222" s="253"/>
    </row>
    <row r="223" spans="1:17">
      <c r="A223" s="253"/>
      <c r="B223" s="253"/>
      <c r="C223" s="253"/>
      <c r="D223" s="253"/>
      <c r="E223" s="253"/>
      <c r="F223" s="253"/>
      <c r="G223" s="253"/>
      <c r="H223" s="253"/>
      <c r="I223" s="253"/>
      <c r="J223" s="253"/>
      <c r="K223" s="253"/>
      <c r="L223" s="253"/>
      <c r="M223" s="253"/>
      <c r="N223" s="253"/>
      <c r="O223" s="253"/>
      <c r="P223" s="253"/>
      <c r="Q223" s="253"/>
    </row>
    <row r="224" spans="1:17">
      <c r="A224" s="253"/>
      <c r="B224" s="253"/>
      <c r="C224" s="253"/>
      <c r="D224" s="253"/>
      <c r="E224" s="253"/>
      <c r="F224" s="253"/>
      <c r="G224" s="253"/>
      <c r="H224" s="253"/>
      <c r="I224" s="253"/>
      <c r="J224" s="253"/>
      <c r="K224" s="253"/>
      <c r="L224" s="253"/>
      <c r="M224" s="253"/>
      <c r="N224" s="253"/>
      <c r="O224" s="253"/>
      <c r="P224" s="253"/>
      <c r="Q224" s="253"/>
    </row>
    <row r="225" spans="1:17">
      <c r="A225" s="253"/>
      <c r="B225" s="253"/>
      <c r="C225" s="253"/>
      <c r="D225" s="253"/>
      <c r="E225" s="253"/>
      <c r="F225" s="253"/>
      <c r="G225" s="253"/>
      <c r="H225" s="253"/>
      <c r="I225" s="253"/>
      <c r="J225" s="253"/>
      <c r="K225" s="253"/>
      <c r="L225" s="253"/>
      <c r="M225" s="253"/>
      <c r="N225" s="253"/>
      <c r="O225" s="253"/>
      <c r="P225" s="253"/>
      <c r="Q225" s="253"/>
    </row>
    <row r="226" spans="1:17">
      <c r="A226" s="253"/>
      <c r="B226" s="253"/>
      <c r="C226" s="253"/>
      <c r="D226" s="253"/>
      <c r="E226" s="253"/>
      <c r="F226" s="253"/>
      <c r="G226" s="253"/>
      <c r="H226" s="253"/>
      <c r="I226" s="253"/>
      <c r="J226" s="253"/>
      <c r="K226" s="253"/>
      <c r="L226" s="253"/>
      <c r="M226" s="253"/>
      <c r="N226" s="253"/>
      <c r="O226" s="253"/>
      <c r="P226" s="253"/>
      <c r="Q226" s="253"/>
    </row>
    <row r="227" spans="1:17">
      <c r="A227" s="253"/>
      <c r="B227" s="253"/>
      <c r="C227" s="253"/>
      <c r="D227" s="253"/>
      <c r="E227" s="253"/>
      <c r="F227" s="253"/>
      <c r="G227" s="253"/>
      <c r="H227" s="253"/>
      <c r="I227" s="253"/>
      <c r="J227" s="253"/>
      <c r="K227" s="253"/>
      <c r="L227" s="253"/>
      <c r="M227" s="253"/>
      <c r="N227" s="253"/>
      <c r="O227" s="253"/>
      <c r="P227" s="253"/>
      <c r="Q227" s="253"/>
    </row>
    <row r="228" spans="1:17">
      <c r="A228" s="253"/>
      <c r="B228" s="253"/>
      <c r="C228" s="253"/>
      <c r="D228" s="253"/>
      <c r="E228" s="253"/>
      <c r="F228" s="253"/>
      <c r="G228" s="253"/>
      <c r="H228" s="253"/>
      <c r="I228" s="253"/>
      <c r="J228" s="253"/>
      <c r="K228" s="253"/>
      <c r="L228" s="253"/>
      <c r="M228" s="253"/>
      <c r="N228" s="253"/>
      <c r="O228" s="253"/>
      <c r="P228" s="253"/>
      <c r="Q228" s="253"/>
    </row>
    <row r="229" spans="1:17">
      <c r="A229" s="253"/>
      <c r="B229" s="253"/>
      <c r="C229" s="253"/>
      <c r="D229" s="253"/>
      <c r="E229" s="253"/>
      <c r="F229" s="253"/>
      <c r="G229" s="253"/>
      <c r="H229" s="253"/>
      <c r="I229" s="253"/>
      <c r="J229" s="253"/>
      <c r="K229" s="253"/>
      <c r="L229" s="253"/>
      <c r="M229" s="253"/>
      <c r="N229" s="253"/>
      <c r="O229" s="253"/>
      <c r="P229" s="253"/>
      <c r="Q229" s="253"/>
    </row>
    <row r="230" spans="1:17">
      <c r="A230" s="253"/>
      <c r="B230" s="253"/>
      <c r="C230" s="253"/>
      <c r="D230" s="253"/>
      <c r="E230" s="253"/>
      <c r="F230" s="253"/>
      <c r="G230" s="253"/>
      <c r="H230" s="253"/>
      <c r="I230" s="253"/>
      <c r="J230" s="253"/>
      <c r="K230" s="253"/>
      <c r="L230" s="253"/>
      <c r="M230" s="253"/>
      <c r="N230" s="253"/>
      <c r="O230" s="253"/>
      <c r="P230" s="253"/>
      <c r="Q230" s="253"/>
    </row>
    <row r="231" spans="1:17">
      <c r="A231" s="253"/>
      <c r="B231" s="253"/>
      <c r="C231" s="253"/>
      <c r="D231" s="253"/>
      <c r="E231" s="253"/>
      <c r="F231" s="253"/>
      <c r="G231" s="253"/>
      <c r="H231" s="253"/>
      <c r="I231" s="253"/>
      <c r="J231" s="253"/>
      <c r="K231" s="253"/>
      <c r="L231" s="253"/>
      <c r="M231" s="253"/>
      <c r="N231" s="253"/>
      <c r="O231" s="253"/>
      <c r="P231" s="253"/>
      <c r="Q231" s="253"/>
    </row>
    <row r="232" spans="1:17">
      <c r="A232" s="253"/>
      <c r="B232" s="253"/>
      <c r="C232" s="253"/>
      <c r="D232" s="253"/>
      <c r="E232" s="253"/>
      <c r="F232" s="253"/>
      <c r="G232" s="253"/>
      <c r="H232" s="253"/>
      <c r="I232" s="253"/>
      <c r="J232" s="253"/>
      <c r="K232" s="253"/>
      <c r="L232" s="253"/>
      <c r="M232" s="253"/>
      <c r="N232" s="253"/>
      <c r="O232" s="253"/>
      <c r="P232" s="253"/>
      <c r="Q232" s="253"/>
    </row>
    <row r="233" spans="1:17">
      <c r="A233" s="253"/>
      <c r="B233" s="253"/>
      <c r="C233" s="253"/>
      <c r="D233" s="253"/>
      <c r="E233" s="253"/>
      <c r="F233" s="253"/>
      <c r="G233" s="253"/>
      <c r="H233" s="253"/>
      <c r="I233" s="253"/>
      <c r="J233" s="253"/>
      <c r="K233" s="253"/>
      <c r="L233" s="253"/>
      <c r="M233" s="253"/>
      <c r="N233" s="253"/>
      <c r="O233" s="253"/>
      <c r="P233" s="253"/>
      <c r="Q233" s="253"/>
    </row>
    <row r="234" spans="1:17">
      <c r="A234" s="253"/>
      <c r="B234" s="253"/>
      <c r="C234" s="253"/>
      <c r="D234" s="253"/>
      <c r="E234" s="253"/>
      <c r="F234" s="253"/>
      <c r="G234" s="253"/>
      <c r="H234" s="253"/>
      <c r="I234" s="253"/>
      <c r="J234" s="253"/>
      <c r="K234" s="253"/>
      <c r="L234" s="253"/>
      <c r="M234" s="253"/>
      <c r="N234" s="253"/>
      <c r="O234" s="253"/>
      <c r="P234" s="253"/>
      <c r="Q234" s="253"/>
    </row>
    <row r="235" spans="1:17">
      <c r="A235" s="253"/>
      <c r="B235" s="253"/>
      <c r="C235" s="253"/>
      <c r="D235" s="253"/>
      <c r="E235" s="253"/>
      <c r="F235" s="253"/>
      <c r="G235" s="253"/>
      <c r="H235" s="253"/>
      <c r="I235" s="253"/>
      <c r="J235" s="253"/>
      <c r="K235" s="253"/>
      <c r="L235" s="253"/>
      <c r="M235" s="253"/>
      <c r="N235" s="253"/>
      <c r="O235" s="253"/>
      <c r="P235" s="253"/>
      <c r="Q235" s="253"/>
    </row>
    <row r="236" spans="1:17">
      <c r="A236" s="253"/>
      <c r="B236" s="253"/>
      <c r="C236" s="253"/>
      <c r="D236" s="253"/>
      <c r="E236" s="253"/>
      <c r="F236" s="253"/>
      <c r="G236" s="253"/>
      <c r="H236" s="253"/>
      <c r="I236" s="253"/>
      <c r="J236" s="253"/>
      <c r="K236" s="253"/>
      <c r="L236" s="253"/>
      <c r="M236" s="253"/>
      <c r="N236" s="253"/>
      <c r="O236" s="253"/>
      <c r="P236" s="253"/>
      <c r="Q236" s="253"/>
    </row>
    <row r="237" spans="1:17">
      <c r="A237" s="253"/>
      <c r="B237" s="253"/>
      <c r="C237" s="253"/>
      <c r="D237" s="253"/>
      <c r="E237" s="253"/>
      <c r="F237" s="253"/>
      <c r="G237" s="253"/>
      <c r="H237" s="253"/>
      <c r="I237" s="253"/>
      <c r="J237" s="253"/>
      <c r="K237" s="253"/>
      <c r="L237" s="253"/>
      <c r="M237" s="253"/>
      <c r="N237" s="253"/>
      <c r="O237" s="253"/>
      <c r="P237" s="253"/>
      <c r="Q237" s="253"/>
    </row>
    <row r="238" spans="1:17">
      <c r="A238" s="253"/>
      <c r="B238" s="253"/>
      <c r="C238" s="253"/>
      <c r="D238" s="253"/>
      <c r="E238" s="253"/>
      <c r="F238" s="253"/>
      <c r="G238" s="253"/>
      <c r="H238" s="253"/>
      <c r="I238" s="253"/>
      <c r="J238" s="253"/>
      <c r="K238" s="253"/>
      <c r="L238" s="253"/>
      <c r="M238" s="253"/>
      <c r="N238" s="253"/>
      <c r="O238" s="253"/>
      <c r="P238" s="253"/>
      <c r="Q238" s="253"/>
    </row>
    <row r="239" spans="1:17">
      <c r="A239" s="253"/>
      <c r="B239" s="253"/>
      <c r="C239" s="253"/>
      <c r="D239" s="253"/>
      <c r="E239" s="253"/>
      <c r="F239" s="253"/>
      <c r="G239" s="253"/>
      <c r="H239" s="253"/>
      <c r="I239" s="253"/>
      <c r="J239" s="253"/>
      <c r="K239" s="253"/>
      <c r="L239" s="253"/>
      <c r="M239" s="253"/>
      <c r="N239" s="253"/>
      <c r="O239" s="253"/>
      <c r="P239" s="253"/>
      <c r="Q239" s="253"/>
    </row>
    <row r="240" spans="1:17">
      <c r="A240" s="253"/>
      <c r="B240" s="253"/>
      <c r="C240" s="253"/>
      <c r="D240" s="253"/>
      <c r="E240" s="253"/>
      <c r="F240" s="253"/>
      <c r="G240" s="253"/>
      <c r="H240" s="253"/>
      <c r="I240" s="253"/>
      <c r="J240" s="253"/>
      <c r="K240" s="253"/>
      <c r="L240" s="253"/>
      <c r="M240" s="253"/>
      <c r="N240" s="253"/>
      <c r="O240" s="253"/>
      <c r="P240" s="253"/>
      <c r="Q240" s="253"/>
    </row>
    <row r="241" spans="1:17">
      <c r="A241" s="253"/>
      <c r="B241" s="253"/>
      <c r="C241" s="253"/>
      <c r="D241" s="253"/>
      <c r="E241" s="253"/>
      <c r="F241" s="253"/>
      <c r="G241" s="253"/>
      <c r="H241" s="253"/>
      <c r="I241" s="253"/>
      <c r="J241" s="253"/>
      <c r="K241" s="253"/>
      <c r="L241" s="253"/>
      <c r="M241" s="253"/>
      <c r="N241" s="253"/>
      <c r="O241" s="253"/>
      <c r="P241" s="253"/>
      <c r="Q241" s="253"/>
    </row>
    <row r="242" spans="1:17">
      <c r="A242" s="253"/>
      <c r="B242" s="253"/>
      <c r="C242" s="253"/>
      <c r="D242" s="253"/>
      <c r="E242" s="253"/>
      <c r="F242" s="253"/>
      <c r="G242" s="253"/>
      <c r="H242" s="253"/>
      <c r="I242" s="253"/>
      <c r="J242" s="253"/>
      <c r="K242" s="253"/>
      <c r="L242" s="253"/>
      <c r="M242" s="253"/>
      <c r="N242" s="253"/>
      <c r="O242" s="253"/>
      <c r="P242" s="253"/>
      <c r="Q242" s="253"/>
    </row>
    <row r="243" spans="1:17">
      <c r="A243" s="253"/>
      <c r="B243" s="253"/>
      <c r="C243" s="253"/>
      <c r="D243" s="253"/>
      <c r="E243" s="253"/>
      <c r="F243" s="253"/>
      <c r="G243" s="253"/>
      <c r="H243" s="253"/>
      <c r="I243" s="253"/>
      <c r="J243" s="253"/>
      <c r="K243" s="253"/>
      <c r="L243" s="253"/>
      <c r="M243" s="253"/>
      <c r="N243" s="253"/>
      <c r="O243" s="253"/>
      <c r="P243" s="253"/>
      <c r="Q243" s="253"/>
    </row>
    <row r="244" spans="1:17">
      <c r="A244" s="253"/>
      <c r="B244" s="253"/>
      <c r="C244" s="253"/>
      <c r="D244" s="253"/>
      <c r="E244" s="253"/>
      <c r="F244" s="253"/>
      <c r="G244" s="253"/>
      <c r="H244" s="253"/>
      <c r="I244" s="253"/>
      <c r="J244" s="253"/>
      <c r="K244" s="253"/>
      <c r="L244" s="253"/>
      <c r="M244" s="253"/>
      <c r="N244" s="253"/>
      <c r="O244" s="253"/>
      <c r="P244" s="253"/>
      <c r="Q244" s="253"/>
    </row>
    <row r="245" spans="1:17">
      <c r="A245" s="253"/>
      <c r="B245" s="253"/>
      <c r="C245" s="253"/>
      <c r="D245" s="253"/>
      <c r="E245" s="253"/>
      <c r="F245" s="253"/>
      <c r="G245" s="253"/>
      <c r="H245" s="253"/>
      <c r="I245" s="253"/>
      <c r="J245" s="253"/>
      <c r="K245" s="253"/>
      <c r="L245" s="253"/>
      <c r="M245" s="253"/>
      <c r="N245" s="253"/>
      <c r="O245" s="253"/>
      <c r="P245" s="253"/>
      <c r="Q245" s="253"/>
    </row>
    <row r="246" spans="1:17">
      <c r="A246" s="253"/>
      <c r="B246" s="253"/>
      <c r="C246" s="253"/>
      <c r="D246" s="253"/>
      <c r="E246" s="253"/>
      <c r="F246" s="253"/>
      <c r="G246" s="253"/>
      <c r="H246" s="253"/>
      <c r="I246" s="253"/>
      <c r="J246" s="253"/>
      <c r="K246" s="253"/>
      <c r="L246" s="253"/>
      <c r="M246" s="253"/>
      <c r="N246" s="253"/>
      <c r="O246" s="253"/>
      <c r="P246" s="253"/>
      <c r="Q246" s="253"/>
    </row>
    <row r="247" spans="1:17">
      <c r="A247" s="253"/>
      <c r="B247" s="253"/>
      <c r="C247" s="253"/>
      <c r="D247" s="253"/>
      <c r="E247" s="253"/>
      <c r="F247" s="253"/>
      <c r="G247" s="253"/>
      <c r="H247" s="253"/>
      <c r="I247" s="253"/>
      <c r="J247" s="253"/>
      <c r="K247" s="253"/>
      <c r="L247" s="253"/>
      <c r="M247" s="253"/>
      <c r="N247" s="253"/>
      <c r="O247" s="253"/>
      <c r="P247" s="253"/>
      <c r="Q247" s="253"/>
    </row>
    <row r="248" spans="1:17">
      <c r="A248" s="253"/>
      <c r="B248" s="253"/>
      <c r="C248" s="253"/>
      <c r="D248" s="253"/>
      <c r="E248" s="253"/>
      <c r="F248" s="253"/>
      <c r="G248" s="253"/>
      <c r="H248" s="253"/>
      <c r="I248" s="253"/>
      <c r="J248" s="253"/>
      <c r="K248" s="253"/>
      <c r="L248" s="253"/>
      <c r="M248" s="253"/>
      <c r="N248" s="253"/>
      <c r="O248" s="253"/>
      <c r="P248" s="253"/>
      <c r="Q248" s="253"/>
    </row>
    <row r="249" spans="1:17">
      <c r="A249" s="253"/>
      <c r="B249" s="253"/>
      <c r="C249" s="253"/>
      <c r="D249" s="253"/>
      <c r="E249" s="253"/>
      <c r="F249" s="253"/>
      <c r="G249" s="253"/>
      <c r="H249" s="253"/>
      <c r="I249" s="253"/>
      <c r="J249" s="253"/>
      <c r="K249" s="253"/>
      <c r="L249" s="253"/>
      <c r="M249" s="253"/>
      <c r="N249" s="253"/>
      <c r="O249" s="253"/>
      <c r="P249" s="253"/>
      <c r="Q249" s="253"/>
    </row>
    <row r="250" spans="1:17">
      <c r="A250" s="253"/>
      <c r="B250" s="253"/>
      <c r="C250" s="253"/>
      <c r="D250" s="253"/>
      <c r="E250" s="253"/>
      <c r="F250" s="253"/>
      <c r="G250" s="253"/>
      <c r="H250" s="253"/>
      <c r="I250" s="253"/>
      <c r="J250" s="253"/>
      <c r="K250" s="253"/>
      <c r="L250" s="253"/>
      <c r="M250" s="253"/>
      <c r="N250" s="253"/>
      <c r="O250" s="253"/>
      <c r="P250" s="253"/>
      <c r="Q250" s="253"/>
    </row>
    <row r="251" spans="1:17">
      <c r="A251" s="253"/>
      <c r="B251" s="253"/>
      <c r="C251" s="253"/>
      <c r="D251" s="253"/>
      <c r="E251" s="253"/>
      <c r="F251" s="253"/>
      <c r="G251" s="253"/>
      <c r="H251" s="253"/>
      <c r="I251" s="253"/>
      <c r="J251" s="253"/>
      <c r="K251" s="253"/>
      <c r="L251" s="253"/>
      <c r="M251" s="253"/>
      <c r="N251" s="253"/>
      <c r="O251" s="253"/>
      <c r="P251" s="253"/>
      <c r="Q251" s="253"/>
    </row>
    <row r="252" spans="1:17">
      <c r="A252" s="253"/>
      <c r="B252" s="253"/>
      <c r="C252" s="253"/>
      <c r="D252" s="253"/>
      <c r="E252" s="253"/>
      <c r="F252" s="253"/>
      <c r="G252" s="253"/>
      <c r="H252" s="253"/>
      <c r="I252" s="253"/>
      <c r="J252" s="253"/>
      <c r="K252" s="253"/>
      <c r="L252" s="253"/>
      <c r="M252" s="253"/>
      <c r="N252" s="253"/>
      <c r="O252" s="253"/>
      <c r="P252" s="253"/>
      <c r="Q252" s="253"/>
    </row>
    <row r="253" spans="1:17">
      <c r="A253" s="253"/>
      <c r="B253" s="253"/>
      <c r="C253" s="253"/>
      <c r="D253" s="253"/>
      <c r="E253" s="253"/>
      <c r="F253" s="253"/>
      <c r="G253" s="253"/>
      <c r="H253" s="253"/>
      <c r="I253" s="253"/>
      <c r="J253" s="253"/>
      <c r="K253" s="253"/>
      <c r="L253" s="253"/>
      <c r="M253" s="253"/>
      <c r="N253" s="253"/>
      <c r="O253" s="253"/>
      <c r="P253" s="253"/>
      <c r="Q253" s="253"/>
    </row>
    <row r="254" spans="1:17">
      <c r="A254" s="253"/>
      <c r="B254" s="253"/>
      <c r="C254" s="253"/>
      <c r="D254" s="253"/>
      <c r="E254" s="253"/>
      <c r="F254" s="253"/>
      <c r="G254" s="253"/>
      <c r="H254" s="253"/>
      <c r="I254" s="253"/>
      <c r="J254" s="253"/>
      <c r="K254" s="253"/>
      <c r="L254" s="253"/>
      <c r="M254" s="253"/>
      <c r="N254" s="253"/>
      <c r="O254" s="253"/>
      <c r="P254" s="253"/>
      <c r="Q254" s="253"/>
    </row>
    <row r="255" spans="1:17">
      <c r="A255" s="253"/>
      <c r="B255" s="253"/>
      <c r="C255" s="253"/>
      <c r="D255" s="253"/>
      <c r="E255" s="253"/>
      <c r="F255" s="253"/>
      <c r="G255" s="253"/>
      <c r="H255" s="253"/>
      <c r="I255" s="253"/>
      <c r="J255" s="253"/>
      <c r="K255" s="253"/>
      <c r="L255" s="253"/>
      <c r="M255" s="253"/>
      <c r="N255" s="253"/>
      <c r="O255" s="253"/>
      <c r="P255" s="253"/>
      <c r="Q255" s="253"/>
    </row>
    <row r="256" spans="1:17">
      <c r="A256" s="253"/>
      <c r="B256" s="253"/>
      <c r="C256" s="253"/>
      <c r="D256" s="253"/>
      <c r="E256" s="253"/>
      <c r="F256" s="253"/>
      <c r="G256" s="253"/>
      <c r="H256" s="253"/>
      <c r="I256" s="253"/>
      <c r="J256" s="253"/>
      <c r="K256" s="253"/>
      <c r="L256" s="253"/>
      <c r="M256" s="253"/>
      <c r="N256" s="253"/>
      <c r="O256" s="253"/>
      <c r="P256" s="253"/>
      <c r="Q256" s="253"/>
    </row>
    <row r="257" spans="1:17">
      <c r="A257" s="253"/>
      <c r="B257" s="253"/>
      <c r="C257" s="253"/>
      <c r="D257" s="253"/>
      <c r="E257" s="253"/>
      <c r="F257" s="253"/>
      <c r="G257" s="253"/>
      <c r="H257" s="253"/>
      <c r="I257" s="253"/>
      <c r="J257" s="253"/>
      <c r="K257" s="253"/>
      <c r="L257" s="253"/>
      <c r="M257" s="253"/>
      <c r="N257" s="253"/>
      <c r="O257" s="253"/>
      <c r="P257" s="253"/>
      <c r="Q257" s="253"/>
    </row>
    <row r="258" spans="1:17">
      <c r="A258" s="253"/>
      <c r="B258" s="253"/>
      <c r="C258" s="253"/>
      <c r="D258" s="253"/>
      <c r="E258" s="253"/>
      <c r="F258" s="253"/>
      <c r="G258" s="253"/>
      <c r="H258" s="253"/>
      <c r="I258" s="253"/>
      <c r="J258" s="253"/>
      <c r="K258" s="253"/>
      <c r="L258" s="253"/>
      <c r="M258" s="253"/>
      <c r="N258" s="253"/>
      <c r="O258" s="253"/>
      <c r="P258" s="253"/>
      <c r="Q258" s="253"/>
    </row>
    <row r="259" spans="1:17">
      <c r="A259" s="253"/>
      <c r="B259" s="253"/>
      <c r="C259" s="253"/>
      <c r="D259" s="253"/>
      <c r="E259" s="253"/>
      <c r="F259" s="253"/>
      <c r="G259" s="253"/>
      <c r="H259" s="253"/>
      <c r="I259" s="253"/>
      <c r="J259" s="253"/>
      <c r="K259" s="253"/>
      <c r="L259" s="253"/>
      <c r="M259" s="253"/>
      <c r="N259" s="253"/>
      <c r="O259" s="253"/>
      <c r="P259" s="253"/>
      <c r="Q259" s="253"/>
    </row>
    <row r="260" spans="1:17">
      <c r="A260" s="253"/>
      <c r="B260" s="253"/>
      <c r="C260" s="253"/>
      <c r="D260" s="253"/>
      <c r="E260" s="253"/>
      <c r="F260" s="253"/>
      <c r="G260" s="253"/>
      <c r="H260" s="253"/>
      <c r="I260" s="253"/>
      <c r="J260" s="253"/>
      <c r="K260" s="253"/>
      <c r="L260" s="253"/>
      <c r="M260" s="253"/>
      <c r="N260" s="253"/>
      <c r="O260" s="253"/>
      <c r="P260" s="253"/>
      <c r="Q260" s="253"/>
    </row>
    <row r="261" spans="1:17">
      <c r="A261" s="253"/>
      <c r="B261" s="253"/>
      <c r="C261" s="253"/>
      <c r="D261" s="253"/>
      <c r="E261" s="253"/>
      <c r="F261" s="253"/>
      <c r="G261" s="253"/>
      <c r="H261" s="253"/>
      <c r="I261" s="253"/>
      <c r="J261" s="253"/>
      <c r="K261" s="253"/>
      <c r="L261" s="253"/>
      <c r="M261" s="253"/>
      <c r="N261" s="253"/>
      <c r="O261" s="253"/>
      <c r="P261" s="253"/>
      <c r="Q261" s="253"/>
    </row>
    <row r="262" spans="1:17">
      <c r="A262" s="253"/>
      <c r="B262" s="253"/>
      <c r="C262" s="253"/>
      <c r="D262" s="253"/>
      <c r="E262" s="253"/>
      <c r="F262" s="253"/>
      <c r="G262" s="253"/>
      <c r="H262" s="253"/>
      <c r="I262" s="253"/>
      <c r="J262" s="253"/>
      <c r="K262" s="253"/>
      <c r="L262" s="253"/>
      <c r="M262" s="253"/>
      <c r="N262" s="253"/>
      <c r="O262" s="253"/>
      <c r="P262" s="253"/>
      <c r="Q262" s="253"/>
    </row>
    <row r="263" spans="1:17">
      <c r="A263" s="253"/>
      <c r="B263" s="253"/>
      <c r="C263" s="253"/>
      <c r="D263" s="253"/>
      <c r="E263" s="253"/>
      <c r="F263" s="253"/>
      <c r="G263" s="253"/>
      <c r="H263" s="253"/>
      <c r="I263" s="253"/>
      <c r="J263" s="253"/>
      <c r="K263" s="253"/>
      <c r="L263" s="253"/>
      <c r="M263" s="253"/>
      <c r="N263" s="253"/>
      <c r="O263" s="253"/>
      <c r="P263" s="253"/>
      <c r="Q263" s="253"/>
    </row>
    <row r="264" spans="1:17">
      <c r="A264" s="253"/>
      <c r="B264" s="253"/>
      <c r="C264" s="253"/>
      <c r="D264" s="253"/>
      <c r="E264" s="253"/>
      <c r="F264" s="253"/>
      <c r="G264" s="253"/>
      <c r="H264" s="253"/>
      <c r="I264" s="253"/>
      <c r="J264" s="253"/>
      <c r="K264" s="253"/>
      <c r="L264" s="253"/>
      <c r="M264" s="253"/>
      <c r="N264" s="253"/>
      <c r="O264" s="253"/>
      <c r="P264" s="253"/>
      <c r="Q264" s="253"/>
    </row>
    <row r="265" spans="1:17">
      <c r="A265" s="253"/>
      <c r="B265" s="253"/>
      <c r="C265" s="253"/>
      <c r="D265" s="253"/>
      <c r="E265" s="253"/>
      <c r="F265" s="253"/>
      <c r="G265" s="253"/>
      <c r="H265" s="253"/>
      <c r="I265" s="253"/>
      <c r="J265" s="253"/>
      <c r="K265" s="253"/>
      <c r="L265" s="253"/>
      <c r="M265" s="253"/>
      <c r="N265" s="253"/>
      <c r="O265" s="253"/>
      <c r="P265" s="253"/>
      <c r="Q265" s="253"/>
    </row>
    <row r="266" spans="1:17">
      <c r="A266" s="253"/>
      <c r="B266" s="253"/>
      <c r="C266" s="253"/>
      <c r="D266" s="253"/>
      <c r="E266" s="253"/>
      <c r="F266" s="253"/>
      <c r="G266" s="253"/>
      <c r="H266" s="253"/>
      <c r="I266" s="253"/>
      <c r="J266" s="253"/>
      <c r="K266" s="253"/>
      <c r="L266" s="253"/>
      <c r="M266" s="253"/>
      <c r="N266" s="253"/>
      <c r="O266" s="253"/>
      <c r="P266" s="253"/>
      <c r="Q266" s="253"/>
    </row>
    <row r="267" spans="1:17">
      <c r="A267" s="253"/>
      <c r="B267" s="253"/>
      <c r="C267" s="253"/>
      <c r="D267" s="253"/>
      <c r="E267" s="253"/>
      <c r="F267" s="253"/>
      <c r="G267" s="253"/>
      <c r="H267" s="253"/>
      <c r="I267" s="253"/>
      <c r="J267" s="253"/>
      <c r="K267" s="253"/>
      <c r="L267" s="253"/>
      <c r="M267" s="253"/>
      <c r="N267" s="253"/>
      <c r="O267" s="253"/>
      <c r="P267" s="253"/>
      <c r="Q267" s="253"/>
    </row>
    <row r="268" spans="1:17">
      <c r="A268" s="253"/>
      <c r="B268" s="253"/>
      <c r="C268" s="253"/>
      <c r="D268" s="253"/>
      <c r="E268" s="253"/>
      <c r="F268" s="253"/>
      <c r="G268" s="253"/>
      <c r="H268" s="253"/>
      <c r="I268" s="253"/>
      <c r="J268" s="253"/>
      <c r="K268" s="253"/>
      <c r="L268" s="253"/>
      <c r="M268" s="253"/>
      <c r="N268" s="253"/>
      <c r="O268" s="253"/>
      <c r="P268" s="253"/>
      <c r="Q268" s="253"/>
    </row>
    <row r="269" spans="1:17">
      <c r="A269" s="253"/>
      <c r="B269" s="253"/>
      <c r="C269" s="253"/>
      <c r="D269" s="253"/>
      <c r="E269" s="253"/>
      <c r="F269" s="253"/>
      <c r="G269" s="253"/>
      <c r="H269" s="253"/>
      <c r="I269" s="253"/>
      <c r="J269" s="253"/>
      <c r="K269" s="253"/>
      <c r="L269" s="253"/>
      <c r="M269" s="253"/>
      <c r="N269" s="253"/>
      <c r="O269" s="253"/>
      <c r="P269" s="253"/>
      <c r="Q269" s="253"/>
    </row>
    <row r="270" spans="1:17">
      <c r="A270" s="253"/>
      <c r="B270" s="253"/>
      <c r="C270" s="253"/>
      <c r="D270" s="253"/>
      <c r="E270" s="253"/>
      <c r="F270" s="253"/>
      <c r="G270" s="253"/>
      <c r="H270" s="253"/>
      <c r="I270" s="253"/>
      <c r="J270" s="253"/>
      <c r="K270" s="253"/>
      <c r="L270" s="253"/>
      <c r="M270" s="253"/>
      <c r="N270" s="253"/>
      <c r="O270" s="253"/>
      <c r="P270" s="253"/>
      <c r="Q270" s="253"/>
    </row>
    <row r="271" spans="1:17">
      <c r="A271" s="253"/>
      <c r="B271" s="253"/>
      <c r="C271" s="253"/>
      <c r="D271" s="253"/>
      <c r="E271" s="253"/>
      <c r="F271" s="253"/>
      <c r="G271" s="253"/>
      <c r="H271" s="253"/>
      <c r="I271" s="253"/>
      <c r="J271" s="253"/>
      <c r="K271" s="253"/>
      <c r="L271" s="253"/>
      <c r="M271" s="253"/>
      <c r="N271" s="253"/>
      <c r="O271" s="253"/>
      <c r="P271" s="253"/>
      <c r="Q271" s="253"/>
    </row>
    <row r="272" spans="1:17">
      <c r="A272" s="253"/>
      <c r="B272" s="253"/>
      <c r="C272" s="253"/>
      <c r="D272" s="253"/>
      <c r="E272" s="253"/>
      <c r="F272" s="253"/>
      <c r="G272" s="253"/>
      <c r="H272" s="253"/>
      <c r="I272" s="253"/>
      <c r="J272" s="253"/>
      <c r="K272" s="253"/>
      <c r="L272" s="253"/>
      <c r="M272" s="253"/>
      <c r="N272" s="253"/>
      <c r="O272" s="253"/>
      <c r="P272" s="253"/>
      <c r="Q272" s="253"/>
    </row>
    <row r="273" spans="1:17">
      <c r="A273" s="253"/>
      <c r="B273" s="253"/>
      <c r="C273" s="253"/>
      <c r="D273" s="253"/>
      <c r="E273" s="253"/>
      <c r="F273" s="253"/>
      <c r="G273" s="253"/>
      <c r="H273" s="253"/>
      <c r="I273" s="253"/>
      <c r="J273" s="253"/>
      <c r="K273" s="253"/>
      <c r="L273" s="253"/>
      <c r="M273" s="253"/>
      <c r="N273" s="253"/>
      <c r="O273" s="253"/>
      <c r="P273" s="253"/>
      <c r="Q273" s="253"/>
    </row>
    <row r="274" spans="1:17">
      <c r="A274" s="253"/>
      <c r="B274" s="253"/>
      <c r="C274" s="253"/>
      <c r="D274" s="253"/>
      <c r="E274" s="253"/>
      <c r="F274" s="253"/>
      <c r="G274" s="253"/>
      <c r="H274" s="253"/>
      <c r="I274" s="253"/>
      <c r="J274" s="253"/>
      <c r="K274" s="253"/>
      <c r="L274" s="253"/>
      <c r="M274" s="253"/>
      <c r="N274" s="253"/>
      <c r="O274" s="253"/>
      <c r="P274" s="253"/>
      <c r="Q274" s="253"/>
    </row>
    <row r="275" spans="1:17">
      <c r="A275" s="253"/>
      <c r="B275" s="253"/>
      <c r="C275" s="253"/>
      <c r="D275" s="253"/>
      <c r="E275" s="253"/>
      <c r="F275" s="253"/>
      <c r="G275" s="253"/>
      <c r="H275" s="253"/>
      <c r="I275" s="253"/>
      <c r="J275" s="253"/>
      <c r="K275" s="253"/>
      <c r="L275" s="253"/>
      <c r="M275" s="253"/>
      <c r="N275" s="253"/>
      <c r="O275" s="253"/>
      <c r="P275" s="253"/>
      <c r="Q275" s="253"/>
    </row>
    <row r="276" spans="1:17">
      <c r="A276" s="253"/>
      <c r="B276" s="253"/>
      <c r="C276" s="253"/>
      <c r="D276" s="253"/>
      <c r="E276" s="253"/>
      <c r="F276" s="253"/>
      <c r="G276" s="253"/>
      <c r="H276" s="253"/>
      <c r="I276" s="253"/>
      <c r="J276" s="253"/>
      <c r="K276" s="253"/>
      <c r="L276" s="253"/>
      <c r="M276" s="253"/>
      <c r="N276" s="253"/>
      <c r="O276" s="253"/>
      <c r="P276" s="253"/>
      <c r="Q276" s="253"/>
    </row>
    <row r="277" spans="1:17">
      <c r="A277" s="253"/>
      <c r="B277" s="253"/>
      <c r="C277" s="253"/>
      <c r="D277" s="253"/>
      <c r="E277" s="253"/>
      <c r="F277" s="253"/>
      <c r="G277" s="253"/>
      <c r="H277" s="253"/>
      <c r="I277" s="253"/>
      <c r="J277" s="253"/>
      <c r="K277" s="253"/>
      <c r="L277" s="253"/>
      <c r="M277" s="253"/>
      <c r="N277" s="253"/>
      <c r="O277" s="253"/>
      <c r="P277" s="253"/>
      <c r="Q277" s="253"/>
    </row>
    <row r="278" spans="1:17">
      <c r="A278" s="253"/>
      <c r="B278" s="253"/>
      <c r="C278" s="253"/>
      <c r="D278" s="253"/>
      <c r="E278" s="253"/>
      <c r="F278" s="253"/>
      <c r="G278" s="253"/>
      <c r="H278" s="253"/>
      <c r="I278" s="253"/>
      <c r="J278" s="253"/>
      <c r="K278" s="253"/>
      <c r="L278" s="253"/>
      <c r="M278" s="253"/>
      <c r="N278" s="253"/>
      <c r="O278" s="253"/>
      <c r="P278" s="253"/>
      <c r="Q278" s="253"/>
    </row>
    <row r="279" spans="1:17">
      <c r="A279" s="253"/>
      <c r="B279" s="253"/>
      <c r="C279" s="253"/>
      <c r="D279" s="253"/>
      <c r="E279" s="253"/>
      <c r="F279" s="253"/>
      <c r="G279" s="253"/>
      <c r="H279" s="253"/>
      <c r="I279" s="253"/>
      <c r="J279" s="253"/>
      <c r="K279" s="253"/>
      <c r="L279" s="253"/>
      <c r="M279" s="253"/>
      <c r="N279" s="253"/>
      <c r="O279" s="253"/>
      <c r="P279" s="253"/>
      <c r="Q279" s="253"/>
    </row>
    <row r="280" spans="1:17">
      <c r="A280" s="253"/>
      <c r="B280" s="253"/>
      <c r="C280" s="253"/>
      <c r="D280" s="253"/>
      <c r="E280" s="253"/>
      <c r="F280" s="253"/>
      <c r="G280" s="253"/>
      <c r="H280" s="253"/>
      <c r="I280" s="253"/>
      <c r="J280" s="253"/>
      <c r="K280" s="253"/>
      <c r="L280" s="253"/>
      <c r="M280" s="253"/>
      <c r="N280" s="253"/>
      <c r="O280" s="253"/>
      <c r="P280" s="253"/>
      <c r="Q280" s="253"/>
    </row>
    <row r="281" spans="1:17">
      <c r="A281" s="253"/>
      <c r="B281" s="253"/>
      <c r="C281" s="253"/>
      <c r="D281" s="253"/>
      <c r="E281" s="253"/>
      <c r="F281" s="253"/>
      <c r="G281" s="253"/>
      <c r="H281" s="253"/>
      <c r="I281" s="253"/>
      <c r="J281" s="253"/>
      <c r="K281" s="253"/>
      <c r="L281" s="253"/>
      <c r="M281" s="253"/>
      <c r="N281" s="253"/>
      <c r="O281" s="253"/>
      <c r="P281" s="253"/>
      <c r="Q281" s="253"/>
    </row>
    <row r="282" spans="1:17">
      <c r="A282" s="253"/>
      <c r="B282" s="253"/>
      <c r="C282" s="253"/>
      <c r="D282" s="253"/>
      <c r="E282" s="253"/>
      <c r="F282" s="253"/>
      <c r="G282" s="253"/>
      <c r="H282" s="253"/>
      <c r="I282" s="253"/>
      <c r="J282" s="253"/>
      <c r="K282" s="253"/>
      <c r="L282" s="253"/>
      <c r="M282" s="253"/>
      <c r="N282" s="253"/>
      <c r="O282" s="253"/>
      <c r="P282" s="253"/>
      <c r="Q282" s="253"/>
    </row>
    <row r="283" spans="1:17">
      <c r="A283" s="253"/>
      <c r="B283" s="253"/>
      <c r="C283" s="253"/>
      <c r="D283" s="253"/>
      <c r="E283" s="253"/>
      <c r="F283" s="253"/>
      <c r="G283" s="253"/>
      <c r="H283" s="253"/>
      <c r="I283" s="253"/>
      <c r="J283" s="253"/>
      <c r="K283" s="253"/>
      <c r="L283" s="253"/>
      <c r="M283" s="253"/>
      <c r="N283" s="253"/>
      <c r="O283" s="253"/>
      <c r="P283" s="253"/>
      <c r="Q283" s="253"/>
    </row>
    <row r="284" spans="1:17">
      <c r="A284" s="253"/>
      <c r="B284" s="253"/>
      <c r="C284" s="253"/>
      <c r="D284" s="253"/>
      <c r="E284" s="253"/>
      <c r="F284" s="253"/>
      <c r="G284" s="253"/>
      <c r="H284" s="253"/>
      <c r="I284" s="253"/>
      <c r="J284" s="253"/>
      <c r="K284" s="253"/>
      <c r="L284" s="253"/>
      <c r="M284" s="253"/>
      <c r="N284" s="253"/>
      <c r="O284" s="253"/>
      <c r="P284" s="253"/>
      <c r="Q284" s="253"/>
    </row>
    <row r="285" spans="1:17">
      <c r="A285" s="253"/>
      <c r="B285" s="253"/>
      <c r="C285" s="253"/>
      <c r="D285" s="253"/>
      <c r="E285" s="253"/>
      <c r="F285" s="253"/>
      <c r="G285" s="253"/>
      <c r="H285" s="253"/>
      <c r="I285" s="253"/>
      <c r="J285" s="253"/>
      <c r="K285" s="253"/>
      <c r="L285" s="253"/>
      <c r="M285" s="253"/>
      <c r="N285" s="253"/>
      <c r="O285" s="253"/>
      <c r="P285" s="253"/>
      <c r="Q285" s="253"/>
    </row>
    <row r="286" spans="1:17">
      <c r="A286" s="253"/>
      <c r="B286" s="253"/>
      <c r="C286" s="253"/>
      <c r="D286" s="253"/>
      <c r="E286" s="253"/>
      <c r="F286" s="253"/>
      <c r="G286" s="253"/>
      <c r="H286" s="253"/>
      <c r="I286" s="253"/>
      <c r="J286" s="253"/>
      <c r="K286" s="253"/>
      <c r="L286" s="253"/>
      <c r="M286" s="253"/>
      <c r="N286" s="253"/>
      <c r="O286" s="253"/>
      <c r="P286" s="253"/>
      <c r="Q286" s="253"/>
    </row>
    <row r="287" spans="1:17">
      <c r="A287" s="253"/>
      <c r="B287" s="253"/>
      <c r="C287" s="253"/>
      <c r="D287" s="253"/>
      <c r="E287" s="253"/>
      <c r="F287" s="253"/>
      <c r="G287" s="253"/>
      <c r="H287" s="253"/>
      <c r="I287" s="253"/>
      <c r="J287" s="253"/>
      <c r="K287" s="253"/>
      <c r="L287" s="253"/>
      <c r="M287" s="253"/>
      <c r="N287" s="253"/>
      <c r="O287" s="253"/>
      <c r="P287" s="253"/>
      <c r="Q287" s="253"/>
    </row>
    <row r="288" spans="1:17">
      <c r="A288" s="253"/>
      <c r="B288" s="253"/>
      <c r="C288" s="253"/>
      <c r="D288" s="253"/>
      <c r="E288" s="253"/>
      <c r="F288" s="253"/>
      <c r="G288" s="253"/>
      <c r="H288" s="253"/>
      <c r="I288" s="253"/>
      <c r="J288" s="253"/>
      <c r="K288" s="253"/>
      <c r="L288" s="253"/>
      <c r="M288" s="253"/>
      <c r="N288" s="253"/>
      <c r="O288" s="253"/>
      <c r="P288" s="253"/>
      <c r="Q288" s="253"/>
    </row>
    <row r="289" spans="1:17">
      <c r="A289" s="253"/>
      <c r="B289" s="253"/>
      <c r="C289" s="253"/>
      <c r="D289" s="253"/>
      <c r="E289" s="253"/>
      <c r="F289" s="253"/>
      <c r="G289" s="253"/>
      <c r="H289" s="253"/>
      <c r="I289" s="253"/>
      <c r="J289" s="253"/>
      <c r="K289" s="253"/>
      <c r="L289" s="253"/>
      <c r="M289" s="253"/>
      <c r="N289" s="253"/>
      <c r="O289" s="253"/>
      <c r="P289" s="253"/>
      <c r="Q289" s="253"/>
    </row>
    <row r="290" spans="1:17">
      <c r="A290" s="253"/>
      <c r="B290" s="253"/>
      <c r="C290" s="253"/>
      <c r="D290" s="253"/>
      <c r="E290" s="253"/>
      <c r="F290" s="253"/>
      <c r="G290" s="253"/>
      <c r="H290" s="253"/>
      <c r="I290" s="253"/>
      <c r="J290" s="253"/>
      <c r="K290" s="253"/>
      <c r="L290" s="253"/>
      <c r="M290" s="253"/>
      <c r="N290" s="253"/>
      <c r="O290" s="253"/>
      <c r="P290" s="253"/>
      <c r="Q290" s="253"/>
    </row>
    <row r="291" spans="1:17">
      <c r="A291" s="253"/>
      <c r="B291" s="253"/>
      <c r="C291" s="253"/>
      <c r="D291" s="253"/>
      <c r="E291" s="253"/>
      <c r="F291" s="253"/>
      <c r="G291" s="253"/>
      <c r="H291" s="253"/>
      <c r="I291" s="253"/>
      <c r="J291" s="253"/>
      <c r="K291" s="253"/>
      <c r="L291" s="253"/>
      <c r="M291" s="253"/>
      <c r="N291" s="253"/>
      <c r="O291" s="253"/>
      <c r="P291" s="253"/>
      <c r="Q291" s="253"/>
    </row>
    <row r="292" spans="1:17">
      <c r="A292" s="253"/>
      <c r="B292" s="253"/>
      <c r="C292" s="253"/>
      <c r="D292" s="253"/>
      <c r="E292" s="253"/>
      <c r="F292" s="253"/>
      <c r="G292" s="253"/>
      <c r="H292" s="253"/>
      <c r="I292" s="253"/>
      <c r="J292" s="253"/>
      <c r="K292" s="253"/>
      <c r="L292" s="253"/>
      <c r="M292" s="253"/>
      <c r="N292" s="253"/>
      <c r="O292" s="253"/>
      <c r="P292" s="253"/>
      <c r="Q292" s="253"/>
    </row>
    <row r="293" spans="1:17">
      <c r="A293" s="253"/>
      <c r="B293" s="253"/>
      <c r="C293" s="253"/>
      <c r="D293" s="253"/>
      <c r="E293" s="253"/>
      <c r="F293" s="253"/>
      <c r="G293" s="253"/>
      <c r="H293" s="253"/>
      <c r="I293" s="253"/>
      <c r="J293" s="253"/>
      <c r="K293" s="253"/>
      <c r="L293" s="253"/>
      <c r="M293" s="253"/>
      <c r="N293" s="253"/>
      <c r="O293" s="253"/>
      <c r="P293" s="253"/>
      <c r="Q293" s="253"/>
    </row>
    <row r="294" spans="1:17">
      <c r="A294" s="253"/>
      <c r="B294" s="253"/>
      <c r="C294" s="253"/>
      <c r="D294" s="253"/>
      <c r="E294" s="253"/>
      <c r="F294" s="253"/>
      <c r="G294" s="253"/>
      <c r="H294" s="253"/>
      <c r="I294" s="253"/>
      <c r="J294" s="253"/>
      <c r="K294" s="253"/>
      <c r="L294" s="253"/>
      <c r="M294" s="253"/>
      <c r="N294" s="253"/>
      <c r="O294" s="253"/>
      <c r="P294" s="253"/>
      <c r="Q294" s="253"/>
    </row>
    <row r="295" spans="1:17">
      <c r="A295" s="253"/>
      <c r="B295" s="253"/>
      <c r="C295" s="253"/>
      <c r="D295" s="253"/>
      <c r="E295" s="253"/>
      <c r="F295" s="253"/>
      <c r="G295" s="253"/>
      <c r="H295" s="253"/>
      <c r="I295" s="253"/>
      <c r="J295" s="253"/>
      <c r="K295" s="253"/>
      <c r="L295" s="253"/>
      <c r="M295" s="253"/>
      <c r="N295" s="253"/>
      <c r="O295" s="253"/>
      <c r="P295" s="253"/>
      <c r="Q295" s="253"/>
    </row>
    <row r="296" spans="1:17">
      <c r="A296" s="253"/>
      <c r="B296" s="253"/>
      <c r="C296" s="253"/>
      <c r="D296" s="253"/>
      <c r="E296" s="253"/>
      <c r="F296" s="253"/>
      <c r="G296" s="253"/>
      <c r="H296" s="253"/>
      <c r="I296" s="253"/>
      <c r="J296" s="253"/>
      <c r="K296" s="253"/>
      <c r="L296" s="253"/>
      <c r="M296" s="253"/>
      <c r="N296" s="253"/>
      <c r="O296" s="253"/>
      <c r="P296" s="253"/>
      <c r="Q296" s="253"/>
    </row>
    <row r="297" spans="1:17">
      <c r="A297" s="253"/>
      <c r="B297" s="253"/>
      <c r="C297" s="253"/>
      <c r="D297" s="253"/>
      <c r="E297" s="253"/>
      <c r="F297" s="253"/>
      <c r="G297" s="253"/>
      <c r="H297" s="253"/>
      <c r="I297" s="253"/>
      <c r="J297" s="253"/>
      <c r="K297" s="253"/>
      <c r="L297" s="253"/>
      <c r="M297" s="253"/>
      <c r="N297" s="253"/>
      <c r="O297" s="253"/>
      <c r="P297" s="253"/>
      <c r="Q297" s="253"/>
    </row>
    <row r="298" spans="1:17">
      <c r="A298" s="253"/>
      <c r="B298" s="253"/>
      <c r="C298" s="253"/>
      <c r="D298" s="253"/>
      <c r="E298" s="253"/>
      <c r="F298" s="253"/>
      <c r="G298" s="253"/>
      <c r="H298" s="253"/>
      <c r="I298" s="253"/>
      <c r="J298" s="253"/>
      <c r="K298" s="253"/>
      <c r="L298" s="253"/>
      <c r="M298" s="253"/>
      <c r="N298" s="253"/>
      <c r="O298" s="253"/>
      <c r="P298" s="253"/>
      <c r="Q298" s="253"/>
    </row>
    <row r="299" spans="1:17">
      <c r="A299" s="253"/>
      <c r="B299" s="253"/>
      <c r="C299" s="253"/>
      <c r="D299" s="253"/>
      <c r="E299" s="253"/>
      <c r="F299" s="253"/>
      <c r="G299" s="253"/>
      <c r="H299" s="253"/>
      <c r="I299" s="253"/>
      <c r="J299" s="253"/>
      <c r="K299" s="253"/>
      <c r="L299" s="253"/>
      <c r="M299" s="253"/>
      <c r="N299" s="253"/>
      <c r="O299" s="253"/>
      <c r="P299" s="253"/>
      <c r="Q299" s="253"/>
    </row>
    <row r="300" spans="1:17">
      <c r="A300" s="253"/>
      <c r="B300" s="253"/>
      <c r="C300" s="253"/>
      <c r="D300" s="253"/>
      <c r="E300" s="253"/>
      <c r="F300" s="253"/>
      <c r="G300" s="253"/>
      <c r="H300" s="253"/>
      <c r="I300" s="253"/>
      <c r="J300" s="253"/>
      <c r="K300" s="253"/>
      <c r="L300" s="253"/>
      <c r="M300" s="253"/>
      <c r="N300" s="253"/>
      <c r="O300" s="253"/>
      <c r="P300" s="253"/>
      <c r="Q300" s="253"/>
    </row>
    <row r="301" spans="1:17">
      <c r="A301" s="253"/>
      <c r="B301" s="253"/>
      <c r="C301" s="253"/>
      <c r="D301" s="253"/>
      <c r="E301" s="253"/>
      <c r="F301" s="253"/>
      <c r="G301" s="253"/>
      <c r="H301" s="253"/>
      <c r="I301" s="253"/>
      <c r="J301" s="253"/>
      <c r="K301" s="253"/>
      <c r="L301" s="253"/>
      <c r="M301" s="253"/>
      <c r="N301" s="253"/>
      <c r="O301" s="253"/>
      <c r="P301" s="253"/>
      <c r="Q301" s="253"/>
    </row>
    <row r="302" spans="1:17">
      <c r="A302" s="253"/>
      <c r="B302" s="253"/>
      <c r="C302" s="253"/>
      <c r="D302" s="253"/>
      <c r="E302" s="253"/>
      <c r="F302" s="253"/>
      <c r="G302" s="253"/>
      <c r="H302" s="253"/>
      <c r="I302" s="253"/>
      <c r="J302" s="253"/>
      <c r="K302" s="253"/>
      <c r="L302" s="253"/>
      <c r="M302" s="253"/>
      <c r="N302" s="253"/>
      <c r="O302" s="253"/>
      <c r="P302" s="253"/>
      <c r="Q302" s="253"/>
    </row>
    <row r="303" spans="1:17">
      <c r="A303" s="253"/>
      <c r="B303" s="253"/>
      <c r="C303" s="253"/>
      <c r="D303" s="253"/>
      <c r="E303" s="253"/>
      <c r="F303" s="253"/>
      <c r="G303" s="253"/>
      <c r="H303" s="253"/>
      <c r="I303" s="253"/>
      <c r="J303" s="253"/>
      <c r="K303" s="253"/>
      <c r="L303" s="253"/>
      <c r="M303" s="253"/>
      <c r="N303" s="253"/>
      <c r="O303" s="253"/>
      <c r="P303" s="253"/>
      <c r="Q303" s="253"/>
    </row>
    <row r="304" spans="1:17">
      <c r="A304" s="253"/>
      <c r="B304" s="253"/>
      <c r="C304" s="253"/>
      <c r="D304" s="253"/>
      <c r="E304" s="253"/>
      <c r="F304" s="253"/>
      <c r="G304" s="253"/>
      <c r="H304" s="253"/>
      <c r="I304" s="253"/>
      <c r="J304" s="253"/>
      <c r="K304" s="253"/>
      <c r="L304" s="253"/>
      <c r="M304" s="253"/>
      <c r="N304" s="253"/>
      <c r="O304" s="253"/>
      <c r="P304" s="253"/>
      <c r="Q304" s="253"/>
    </row>
    <row r="305" spans="1:17">
      <c r="A305" s="253"/>
      <c r="B305" s="253"/>
      <c r="C305" s="253"/>
      <c r="D305" s="253"/>
      <c r="E305" s="253"/>
      <c r="F305" s="253"/>
      <c r="G305" s="253"/>
      <c r="H305" s="253"/>
      <c r="I305" s="253"/>
      <c r="J305" s="253"/>
      <c r="K305" s="253"/>
      <c r="L305" s="253"/>
      <c r="M305" s="253"/>
      <c r="N305" s="253"/>
      <c r="O305" s="253"/>
      <c r="P305" s="253"/>
      <c r="Q305" s="253"/>
    </row>
    <row r="306" spans="1:17">
      <c r="A306" s="253"/>
      <c r="B306" s="253"/>
      <c r="C306" s="253"/>
      <c r="D306" s="253"/>
      <c r="E306" s="253"/>
      <c r="F306" s="253"/>
      <c r="G306" s="253"/>
      <c r="H306" s="253"/>
      <c r="I306" s="253"/>
      <c r="J306" s="253"/>
      <c r="K306" s="253"/>
      <c r="L306" s="253"/>
      <c r="M306" s="253"/>
      <c r="N306" s="253"/>
      <c r="O306" s="253"/>
      <c r="P306" s="253"/>
      <c r="Q306" s="253"/>
    </row>
    <row r="307" spans="1:17">
      <c r="A307" s="253"/>
      <c r="B307" s="253"/>
      <c r="C307" s="253"/>
      <c r="D307" s="253"/>
      <c r="E307" s="253"/>
      <c r="F307" s="253"/>
      <c r="G307" s="253"/>
      <c r="H307" s="253"/>
      <c r="I307" s="253"/>
      <c r="J307" s="253"/>
      <c r="K307" s="253"/>
      <c r="L307" s="253"/>
      <c r="M307" s="253"/>
      <c r="N307" s="253"/>
      <c r="O307" s="253"/>
      <c r="P307" s="253"/>
      <c r="Q307" s="253"/>
    </row>
    <row r="308" spans="1:17">
      <c r="A308" s="253"/>
      <c r="B308" s="253"/>
      <c r="C308" s="253"/>
      <c r="D308" s="253"/>
      <c r="E308" s="253"/>
      <c r="F308" s="253"/>
      <c r="G308" s="253"/>
      <c r="H308" s="253"/>
      <c r="I308" s="253"/>
      <c r="J308" s="253"/>
      <c r="K308" s="253"/>
      <c r="L308" s="253"/>
      <c r="M308" s="253"/>
      <c r="N308" s="253"/>
      <c r="O308" s="253"/>
      <c r="P308" s="253"/>
      <c r="Q308" s="253"/>
    </row>
    <row r="309" spans="1:17">
      <c r="A309" s="253"/>
      <c r="B309" s="253"/>
      <c r="C309" s="253"/>
      <c r="D309" s="253"/>
      <c r="E309" s="253"/>
      <c r="F309" s="253"/>
      <c r="G309" s="253"/>
      <c r="H309" s="253"/>
      <c r="I309" s="253"/>
      <c r="J309" s="253"/>
      <c r="K309" s="253"/>
      <c r="L309" s="253"/>
      <c r="M309" s="253"/>
      <c r="N309" s="253"/>
      <c r="O309" s="253"/>
      <c r="P309" s="253"/>
      <c r="Q309" s="253"/>
    </row>
    <row r="310" spans="1:17">
      <c r="A310" s="253"/>
      <c r="B310" s="253"/>
      <c r="C310" s="253"/>
      <c r="D310" s="253"/>
      <c r="E310" s="253"/>
      <c r="F310" s="253"/>
      <c r="G310" s="253"/>
      <c r="H310" s="253"/>
      <c r="I310" s="253"/>
      <c r="J310" s="253"/>
      <c r="K310" s="253"/>
      <c r="L310" s="253"/>
      <c r="M310" s="253"/>
      <c r="N310" s="253"/>
      <c r="O310" s="253"/>
      <c r="P310" s="253"/>
      <c r="Q310" s="253"/>
    </row>
    <row r="311" spans="1:17">
      <c r="A311" s="253"/>
      <c r="B311" s="253"/>
      <c r="C311" s="253"/>
      <c r="D311" s="253"/>
      <c r="E311" s="253"/>
      <c r="F311" s="253"/>
      <c r="G311" s="253"/>
      <c r="H311" s="253"/>
      <c r="I311" s="253"/>
      <c r="J311" s="253"/>
      <c r="K311" s="253"/>
      <c r="L311" s="253"/>
      <c r="M311" s="253"/>
      <c r="N311" s="253"/>
      <c r="O311" s="253"/>
      <c r="P311" s="253"/>
      <c r="Q311" s="253"/>
    </row>
    <row r="312" spans="1:17">
      <c r="A312" s="253"/>
      <c r="B312" s="253"/>
      <c r="C312" s="253"/>
      <c r="D312" s="253"/>
      <c r="E312" s="253"/>
      <c r="F312" s="253"/>
      <c r="G312" s="253"/>
      <c r="H312" s="253"/>
      <c r="I312" s="253"/>
      <c r="J312" s="253"/>
      <c r="K312" s="253"/>
      <c r="L312" s="253"/>
      <c r="M312" s="253"/>
      <c r="N312" s="253"/>
      <c r="O312" s="253"/>
      <c r="P312" s="253"/>
      <c r="Q312" s="253"/>
    </row>
    <row r="313" spans="1:17">
      <c r="A313" s="253"/>
      <c r="B313" s="253"/>
      <c r="C313" s="253"/>
      <c r="D313" s="253"/>
      <c r="E313" s="253"/>
      <c r="F313" s="253"/>
      <c r="G313" s="253"/>
      <c r="H313" s="253"/>
      <c r="I313" s="253"/>
      <c r="J313" s="253"/>
      <c r="K313" s="253"/>
      <c r="L313" s="253"/>
      <c r="M313" s="253"/>
      <c r="N313" s="253"/>
      <c r="O313" s="253"/>
      <c r="P313" s="253"/>
      <c r="Q313" s="253"/>
    </row>
    <row r="314" spans="1:17">
      <c r="A314" s="253"/>
      <c r="B314" s="253"/>
      <c r="C314" s="253"/>
      <c r="D314" s="253"/>
      <c r="E314" s="253"/>
      <c r="F314" s="253"/>
      <c r="G314" s="253"/>
      <c r="H314" s="253"/>
      <c r="I314" s="253"/>
      <c r="J314" s="253"/>
      <c r="K314" s="253"/>
      <c r="L314" s="253"/>
      <c r="M314" s="253"/>
      <c r="N314" s="253"/>
      <c r="O314" s="253"/>
      <c r="P314" s="253"/>
      <c r="Q314" s="253"/>
    </row>
    <row r="315" spans="1:17">
      <c r="A315" s="253"/>
      <c r="B315" s="253"/>
      <c r="C315" s="253"/>
      <c r="D315" s="253"/>
      <c r="E315" s="253"/>
      <c r="F315" s="253"/>
      <c r="G315" s="253"/>
      <c r="H315" s="253"/>
      <c r="I315" s="253"/>
      <c r="J315" s="253"/>
      <c r="K315" s="253"/>
      <c r="L315" s="253"/>
      <c r="M315" s="253"/>
      <c r="N315" s="253"/>
      <c r="O315" s="253"/>
      <c r="P315" s="253"/>
      <c r="Q315" s="253"/>
    </row>
    <row r="316" spans="1:17">
      <c r="A316" s="253"/>
      <c r="B316" s="253"/>
      <c r="C316" s="253"/>
      <c r="D316" s="253"/>
      <c r="E316" s="253"/>
      <c r="F316" s="253"/>
      <c r="G316" s="253"/>
      <c r="H316" s="253"/>
      <c r="I316" s="253"/>
      <c r="J316" s="253"/>
      <c r="K316" s="253"/>
      <c r="L316" s="253"/>
      <c r="M316" s="253"/>
      <c r="N316" s="253"/>
      <c r="O316" s="253"/>
      <c r="P316" s="253"/>
      <c r="Q316" s="253"/>
    </row>
    <row r="317" spans="1:17">
      <c r="A317" s="253"/>
      <c r="B317" s="253"/>
      <c r="C317" s="253"/>
      <c r="D317" s="253"/>
      <c r="E317" s="253"/>
      <c r="F317" s="253"/>
      <c r="G317" s="253"/>
      <c r="H317" s="253"/>
      <c r="I317" s="253"/>
      <c r="J317" s="253"/>
      <c r="K317" s="253"/>
      <c r="L317" s="253"/>
      <c r="M317" s="253"/>
      <c r="N317" s="253"/>
      <c r="O317" s="253"/>
      <c r="P317" s="253"/>
      <c r="Q317" s="253"/>
    </row>
    <row r="318" spans="1:17">
      <c r="A318" s="253"/>
      <c r="B318" s="253"/>
      <c r="C318" s="253"/>
      <c r="D318" s="253"/>
      <c r="E318" s="253"/>
      <c r="F318" s="253"/>
      <c r="G318" s="253"/>
      <c r="H318" s="253"/>
      <c r="I318" s="253"/>
      <c r="J318" s="253"/>
      <c r="K318" s="253"/>
      <c r="L318" s="253"/>
      <c r="M318" s="253"/>
      <c r="N318" s="253"/>
      <c r="O318" s="253"/>
      <c r="P318" s="253"/>
      <c r="Q318" s="253"/>
    </row>
    <row r="319" spans="1:17">
      <c r="A319" s="253"/>
      <c r="B319" s="253"/>
      <c r="C319" s="253"/>
      <c r="D319" s="253"/>
      <c r="E319" s="253"/>
      <c r="F319" s="253"/>
      <c r="G319" s="253"/>
      <c r="H319" s="253"/>
      <c r="I319" s="253"/>
      <c r="J319" s="253"/>
      <c r="K319" s="253"/>
      <c r="L319" s="253"/>
      <c r="M319" s="253"/>
      <c r="N319" s="253"/>
      <c r="O319" s="253"/>
      <c r="P319" s="253"/>
      <c r="Q319" s="253"/>
    </row>
    <row r="320" spans="1:17">
      <c r="A320" s="253"/>
      <c r="B320" s="253"/>
      <c r="C320" s="253"/>
      <c r="D320" s="253"/>
      <c r="E320" s="253"/>
      <c r="F320" s="253"/>
      <c r="G320" s="253"/>
      <c r="H320" s="253"/>
      <c r="I320" s="253"/>
      <c r="J320" s="253"/>
      <c r="K320" s="253"/>
      <c r="L320" s="253"/>
      <c r="M320" s="253"/>
      <c r="N320" s="253"/>
      <c r="O320" s="253"/>
      <c r="P320" s="253"/>
      <c r="Q320" s="253"/>
    </row>
    <row r="321" spans="1:17">
      <c r="A321" s="253"/>
      <c r="B321" s="253"/>
      <c r="C321" s="253"/>
      <c r="D321" s="253"/>
      <c r="E321" s="253"/>
      <c r="F321" s="253"/>
      <c r="G321" s="253"/>
      <c r="H321" s="253"/>
      <c r="I321" s="253"/>
      <c r="J321" s="253"/>
      <c r="K321" s="253"/>
      <c r="L321" s="253"/>
      <c r="M321" s="253"/>
      <c r="N321" s="253"/>
      <c r="O321" s="253"/>
      <c r="P321" s="253"/>
      <c r="Q321" s="253"/>
    </row>
    <row r="322" spans="1:17">
      <c r="A322" s="253"/>
      <c r="B322" s="253"/>
      <c r="C322" s="253"/>
      <c r="D322" s="253"/>
      <c r="E322" s="253"/>
      <c r="F322" s="253"/>
      <c r="G322" s="253"/>
      <c r="H322" s="253"/>
      <c r="I322" s="253"/>
      <c r="J322" s="253"/>
      <c r="K322" s="253"/>
      <c r="L322" s="253"/>
      <c r="M322" s="253"/>
      <c r="N322" s="253"/>
      <c r="O322" s="253"/>
      <c r="P322" s="253"/>
      <c r="Q322" s="253"/>
    </row>
    <row r="323" spans="1:17">
      <c r="A323" s="253"/>
      <c r="B323" s="253"/>
      <c r="C323" s="253"/>
      <c r="D323" s="253"/>
      <c r="E323" s="253"/>
      <c r="F323" s="253"/>
      <c r="G323" s="253"/>
      <c r="H323" s="253"/>
      <c r="I323" s="253"/>
      <c r="J323" s="253"/>
      <c r="K323" s="253"/>
      <c r="L323" s="253"/>
      <c r="M323" s="253"/>
      <c r="N323" s="253"/>
      <c r="O323" s="253"/>
      <c r="P323" s="253"/>
      <c r="Q323" s="253"/>
    </row>
    <row r="324" spans="1:17">
      <c r="A324" s="253"/>
      <c r="B324" s="253"/>
      <c r="C324" s="253"/>
      <c r="D324" s="253"/>
      <c r="E324" s="253"/>
      <c r="F324" s="253"/>
      <c r="G324" s="253"/>
      <c r="H324" s="253"/>
      <c r="I324" s="253"/>
      <c r="J324" s="253"/>
      <c r="K324" s="253"/>
      <c r="L324" s="253"/>
      <c r="M324" s="253"/>
      <c r="N324" s="253"/>
      <c r="O324" s="253"/>
      <c r="P324" s="253"/>
      <c r="Q324" s="253"/>
    </row>
    <row r="325" spans="1:17">
      <c r="A325" s="253"/>
      <c r="B325" s="253"/>
      <c r="C325" s="253"/>
      <c r="D325" s="253"/>
      <c r="E325" s="253"/>
      <c r="F325" s="253"/>
      <c r="G325" s="253"/>
      <c r="H325" s="253"/>
      <c r="I325" s="253"/>
      <c r="J325" s="253"/>
      <c r="K325" s="253"/>
      <c r="L325" s="253"/>
      <c r="M325" s="253"/>
      <c r="N325" s="253"/>
      <c r="O325" s="253"/>
      <c r="P325" s="253"/>
      <c r="Q325" s="253"/>
    </row>
    <row r="326" spans="1:17">
      <c r="A326" s="253"/>
      <c r="B326" s="253"/>
      <c r="C326" s="253"/>
      <c r="D326" s="253"/>
      <c r="E326" s="253"/>
      <c r="F326" s="253"/>
      <c r="G326" s="253"/>
      <c r="H326" s="253"/>
      <c r="I326" s="253"/>
      <c r="J326" s="253"/>
      <c r="K326" s="253"/>
      <c r="L326" s="253"/>
      <c r="M326" s="253"/>
      <c r="N326" s="253"/>
      <c r="O326" s="253"/>
      <c r="P326" s="253"/>
      <c r="Q326" s="253"/>
    </row>
    <row r="327" spans="1:17">
      <c r="A327" s="253"/>
      <c r="B327" s="253"/>
      <c r="C327" s="253"/>
      <c r="D327" s="253"/>
      <c r="E327" s="253"/>
      <c r="F327" s="253"/>
      <c r="G327" s="253"/>
      <c r="H327" s="253"/>
      <c r="I327" s="253"/>
      <c r="J327" s="253"/>
      <c r="K327" s="253"/>
      <c r="L327" s="253"/>
      <c r="M327" s="253"/>
      <c r="N327" s="253"/>
      <c r="O327" s="253"/>
      <c r="P327" s="253"/>
      <c r="Q327" s="253"/>
    </row>
    <row r="328" spans="1:17">
      <c r="A328" s="253"/>
      <c r="B328" s="253"/>
      <c r="C328" s="253"/>
      <c r="D328" s="253"/>
      <c r="E328" s="253"/>
      <c r="F328" s="253"/>
      <c r="G328" s="253"/>
      <c r="H328" s="253"/>
      <c r="I328" s="253"/>
      <c r="J328" s="253"/>
      <c r="K328" s="253"/>
      <c r="L328" s="253"/>
      <c r="M328" s="253"/>
      <c r="N328" s="253"/>
      <c r="O328" s="253"/>
      <c r="P328" s="253"/>
      <c r="Q328" s="253"/>
    </row>
    <row r="329" spans="1:17">
      <c r="A329" s="253"/>
      <c r="B329" s="253"/>
      <c r="C329" s="253"/>
      <c r="D329" s="253"/>
      <c r="E329" s="253"/>
      <c r="F329" s="253"/>
      <c r="G329" s="253"/>
      <c r="H329" s="253"/>
      <c r="I329" s="253"/>
      <c r="J329" s="253"/>
      <c r="K329" s="253"/>
      <c r="L329" s="253"/>
      <c r="M329" s="253"/>
      <c r="N329" s="253"/>
      <c r="O329" s="253"/>
      <c r="P329" s="253"/>
      <c r="Q329" s="253"/>
    </row>
    <row r="330" spans="1:17">
      <c r="A330" s="253"/>
      <c r="B330" s="253"/>
      <c r="C330" s="253"/>
      <c r="D330" s="253"/>
      <c r="E330" s="253"/>
      <c r="F330" s="253"/>
      <c r="G330" s="253"/>
      <c r="H330" s="253"/>
      <c r="I330" s="253"/>
      <c r="J330" s="253"/>
      <c r="K330" s="253"/>
      <c r="L330" s="253"/>
      <c r="M330" s="253"/>
      <c r="N330" s="253"/>
      <c r="O330" s="253"/>
      <c r="P330" s="253"/>
      <c r="Q330" s="253"/>
    </row>
    <row r="331" spans="1:17">
      <c r="A331" s="253"/>
      <c r="B331" s="253"/>
      <c r="C331" s="253"/>
      <c r="D331" s="253"/>
      <c r="E331" s="253"/>
      <c r="F331" s="253"/>
      <c r="G331" s="253"/>
      <c r="H331" s="253"/>
      <c r="I331" s="253"/>
      <c r="J331" s="253"/>
      <c r="K331" s="253"/>
      <c r="L331" s="253"/>
      <c r="M331" s="253"/>
      <c r="N331" s="253"/>
      <c r="O331" s="253"/>
      <c r="P331" s="253"/>
      <c r="Q331" s="253"/>
    </row>
    <row r="332" spans="1:17">
      <c r="A332" s="253"/>
      <c r="B332" s="253"/>
      <c r="C332" s="253"/>
      <c r="D332" s="253"/>
      <c r="E332" s="253"/>
      <c r="F332" s="253"/>
      <c r="G332" s="253"/>
      <c r="H332" s="253"/>
      <c r="I332" s="253"/>
      <c r="J332" s="253"/>
      <c r="K332" s="253"/>
      <c r="L332" s="253"/>
      <c r="M332" s="253"/>
      <c r="N332" s="253"/>
      <c r="O332" s="253"/>
      <c r="P332" s="253"/>
      <c r="Q332" s="253"/>
    </row>
    <row r="333" spans="1:17">
      <c r="A333" s="253"/>
      <c r="B333" s="253"/>
      <c r="C333" s="253"/>
      <c r="D333" s="253"/>
      <c r="E333" s="253"/>
      <c r="F333" s="253"/>
      <c r="G333" s="253"/>
      <c r="H333" s="253"/>
      <c r="I333" s="253"/>
      <c r="J333" s="253"/>
      <c r="K333" s="253"/>
      <c r="L333" s="253"/>
      <c r="M333" s="253"/>
      <c r="N333" s="253"/>
      <c r="O333" s="253"/>
      <c r="P333" s="253"/>
      <c r="Q333" s="253"/>
    </row>
    <row r="334" spans="1:17">
      <c r="A334" s="253"/>
      <c r="B334" s="253"/>
      <c r="C334" s="253"/>
      <c r="D334" s="253"/>
      <c r="E334" s="253"/>
      <c r="F334" s="253"/>
      <c r="G334" s="253"/>
      <c r="H334" s="253"/>
      <c r="I334" s="253"/>
      <c r="J334" s="253"/>
      <c r="K334" s="253"/>
      <c r="L334" s="253"/>
      <c r="M334" s="253"/>
      <c r="N334" s="253"/>
      <c r="O334" s="253"/>
      <c r="P334" s="253"/>
      <c r="Q334" s="253"/>
    </row>
    <row r="335" spans="1:17">
      <c r="A335" s="253"/>
      <c r="B335" s="253"/>
      <c r="C335" s="253"/>
      <c r="D335" s="253"/>
      <c r="E335" s="253"/>
      <c r="F335" s="253"/>
      <c r="G335" s="253"/>
      <c r="H335" s="253"/>
      <c r="I335" s="253"/>
      <c r="J335" s="253"/>
      <c r="K335" s="253"/>
      <c r="L335" s="253"/>
      <c r="M335" s="253"/>
      <c r="N335" s="253"/>
      <c r="O335" s="253"/>
      <c r="P335" s="253"/>
      <c r="Q335" s="253"/>
    </row>
    <row r="336" spans="1:17">
      <c r="A336" s="253"/>
      <c r="B336" s="253"/>
      <c r="C336" s="253"/>
      <c r="D336" s="253"/>
      <c r="E336" s="253"/>
      <c r="F336" s="253"/>
      <c r="G336" s="253"/>
      <c r="H336" s="253"/>
      <c r="I336" s="253"/>
      <c r="J336" s="253"/>
      <c r="K336" s="253"/>
      <c r="L336" s="253"/>
      <c r="M336" s="253"/>
      <c r="N336" s="253"/>
      <c r="O336" s="253"/>
      <c r="P336" s="253"/>
      <c r="Q336" s="253"/>
    </row>
    <row r="337" spans="1:17">
      <c r="A337" s="253"/>
      <c r="B337" s="253"/>
      <c r="C337" s="253"/>
      <c r="D337" s="253"/>
      <c r="E337" s="253"/>
      <c r="F337" s="253"/>
      <c r="G337" s="253"/>
      <c r="H337" s="253"/>
      <c r="I337" s="253"/>
      <c r="J337" s="253"/>
      <c r="K337" s="253"/>
      <c r="L337" s="253"/>
      <c r="M337" s="253"/>
      <c r="N337" s="253"/>
      <c r="O337" s="253"/>
      <c r="P337" s="253"/>
      <c r="Q337" s="253"/>
    </row>
    <row r="338" spans="1:17">
      <c r="A338" s="253"/>
      <c r="B338" s="253"/>
      <c r="C338" s="253"/>
      <c r="D338" s="253"/>
      <c r="E338" s="253"/>
      <c r="F338" s="253"/>
      <c r="G338" s="253"/>
      <c r="H338" s="253"/>
      <c r="I338" s="253"/>
      <c r="J338" s="253"/>
      <c r="K338" s="253"/>
      <c r="L338" s="253"/>
      <c r="M338" s="253"/>
      <c r="N338" s="253"/>
      <c r="O338" s="253"/>
      <c r="P338" s="253"/>
      <c r="Q338" s="253"/>
    </row>
    <row r="339" spans="1:17">
      <c r="A339" s="253"/>
      <c r="B339" s="253"/>
      <c r="C339" s="253"/>
      <c r="D339" s="253"/>
      <c r="E339" s="253"/>
      <c r="F339" s="253"/>
      <c r="G339" s="253"/>
      <c r="H339" s="253"/>
      <c r="I339" s="253"/>
      <c r="J339" s="253"/>
      <c r="K339" s="253"/>
      <c r="L339" s="253"/>
      <c r="M339" s="253"/>
      <c r="N339" s="253"/>
      <c r="O339" s="253"/>
      <c r="P339" s="253"/>
      <c r="Q339" s="253"/>
    </row>
    <row r="340" spans="1:17">
      <c r="A340" s="253"/>
      <c r="B340" s="253"/>
      <c r="C340" s="253"/>
      <c r="D340" s="253"/>
      <c r="E340" s="253"/>
      <c r="F340" s="253"/>
      <c r="G340" s="253"/>
      <c r="H340" s="253"/>
      <c r="I340" s="253"/>
      <c r="J340" s="253"/>
      <c r="K340" s="253"/>
      <c r="L340" s="253"/>
      <c r="M340" s="253"/>
      <c r="N340" s="253"/>
      <c r="O340" s="253"/>
      <c r="P340" s="253"/>
      <c r="Q340" s="253"/>
    </row>
    <row r="341" spans="1:17">
      <c r="A341" s="253"/>
      <c r="B341" s="253"/>
      <c r="C341" s="253"/>
      <c r="D341" s="253"/>
      <c r="E341" s="253"/>
      <c r="F341" s="253"/>
      <c r="G341" s="253"/>
      <c r="H341" s="253"/>
      <c r="I341" s="253"/>
      <c r="J341" s="253"/>
      <c r="K341" s="253"/>
      <c r="L341" s="253"/>
      <c r="M341" s="253"/>
      <c r="N341" s="253"/>
      <c r="O341" s="253"/>
      <c r="P341" s="253"/>
      <c r="Q341" s="253"/>
    </row>
    <row r="342" spans="1:17">
      <c r="A342" s="253"/>
      <c r="B342" s="253"/>
      <c r="C342" s="253"/>
      <c r="D342" s="253"/>
      <c r="E342" s="253"/>
      <c r="F342" s="253"/>
      <c r="G342" s="253"/>
      <c r="H342" s="253"/>
      <c r="I342" s="253"/>
      <c r="J342" s="253"/>
      <c r="K342" s="253"/>
      <c r="L342" s="253"/>
      <c r="M342" s="253"/>
      <c r="N342" s="253"/>
      <c r="O342" s="253"/>
      <c r="P342" s="253"/>
      <c r="Q342" s="253"/>
    </row>
    <row r="343" spans="1:17">
      <c r="A343" s="253"/>
      <c r="B343" s="253"/>
      <c r="C343" s="253"/>
      <c r="D343" s="253"/>
      <c r="E343" s="253"/>
      <c r="F343" s="253"/>
      <c r="G343" s="253"/>
      <c r="H343" s="253"/>
      <c r="I343" s="253"/>
      <c r="J343" s="253"/>
      <c r="K343" s="253"/>
      <c r="L343" s="253"/>
      <c r="M343" s="253"/>
      <c r="N343" s="253"/>
      <c r="O343" s="253"/>
      <c r="P343" s="253"/>
      <c r="Q343" s="253"/>
    </row>
    <row r="344" spans="1:17">
      <c r="A344" s="253"/>
      <c r="B344" s="253"/>
      <c r="C344" s="253"/>
      <c r="D344" s="253"/>
      <c r="E344" s="253"/>
      <c r="F344" s="253"/>
      <c r="G344" s="253"/>
      <c r="H344" s="253"/>
      <c r="I344" s="253"/>
      <c r="J344" s="253"/>
      <c r="K344" s="253"/>
      <c r="L344" s="253"/>
      <c r="M344" s="253"/>
      <c r="N344" s="253"/>
      <c r="O344" s="253"/>
      <c r="P344" s="253"/>
      <c r="Q344" s="253"/>
    </row>
    <row r="345" spans="1:17">
      <c r="A345" s="253"/>
      <c r="B345" s="253"/>
      <c r="C345" s="253"/>
      <c r="D345" s="253"/>
      <c r="E345" s="253"/>
      <c r="F345" s="253"/>
      <c r="G345" s="253"/>
      <c r="H345" s="253"/>
      <c r="I345" s="253"/>
      <c r="J345" s="253"/>
      <c r="K345" s="253"/>
      <c r="L345" s="253"/>
      <c r="M345" s="253"/>
      <c r="N345" s="253"/>
      <c r="O345" s="253"/>
      <c r="P345" s="253"/>
      <c r="Q345" s="253"/>
    </row>
    <row r="346" spans="1:17">
      <c r="A346" s="253"/>
      <c r="B346" s="253"/>
      <c r="C346" s="253"/>
      <c r="D346" s="253"/>
      <c r="E346" s="253"/>
      <c r="F346" s="253"/>
      <c r="G346" s="253"/>
      <c r="H346" s="253"/>
      <c r="I346" s="253"/>
      <c r="J346" s="253"/>
      <c r="K346" s="253"/>
      <c r="L346" s="253"/>
      <c r="M346" s="253"/>
      <c r="N346" s="253"/>
      <c r="O346" s="253"/>
      <c r="P346" s="253"/>
      <c r="Q346" s="253"/>
    </row>
    <row r="347" spans="1:17">
      <c r="A347" s="253"/>
      <c r="B347" s="253"/>
      <c r="C347" s="253"/>
      <c r="D347" s="253"/>
      <c r="E347" s="253"/>
      <c r="F347" s="253"/>
      <c r="G347" s="253"/>
      <c r="H347" s="253"/>
      <c r="I347" s="253"/>
      <c r="J347" s="253"/>
      <c r="K347" s="253"/>
      <c r="L347" s="253"/>
      <c r="M347" s="253"/>
      <c r="N347" s="253"/>
      <c r="O347" s="253"/>
      <c r="P347" s="253"/>
      <c r="Q347" s="253"/>
    </row>
    <row r="348" spans="1:17">
      <c r="A348" s="253"/>
      <c r="B348" s="253"/>
      <c r="C348" s="253"/>
      <c r="D348" s="253"/>
      <c r="E348" s="253"/>
      <c r="F348" s="253"/>
      <c r="G348" s="253"/>
      <c r="H348" s="253"/>
      <c r="I348" s="253"/>
      <c r="J348" s="253"/>
      <c r="K348" s="253"/>
      <c r="L348" s="253"/>
      <c r="M348" s="253"/>
      <c r="N348" s="253"/>
      <c r="O348" s="253"/>
      <c r="P348" s="253"/>
      <c r="Q348" s="253"/>
    </row>
    <row r="349" spans="1:17">
      <c r="A349" s="253"/>
      <c r="B349" s="253"/>
      <c r="C349" s="253"/>
      <c r="D349" s="253"/>
      <c r="E349" s="253"/>
      <c r="F349" s="253"/>
      <c r="G349" s="253"/>
      <c r="H349" s="253"/>
      <c r="I349" s="253"/>
      <c r="J349" s="253"/>
      <c r="K349" s="253"/>
      <c r="L349" s="253"/>
      <c r="M349" s="253"/>
      <c r="N349" s="253"/>
      <c r="O349" s="253"/>
      <c r="P349" s="253"/>
      <c r="Q349" s="253"/>
    </row>
    <row r="350" spans="1:17">
      <c r="A350" s="253"/>
      <c r="B350" s="253"/>
      <c r="C350" s="253"/>
      <c r="D350" s="253"/>
      <c r="E350" s="253"/>
      <c r="F350" s="253"/>
      <c r="G350" s="253"/>
      <c r="H350" s="253"/>
      <c r="I350" s="253"/>
      <c r="J350" s="253"/>
      <c r="K350" s="253"/>
      <c r="L350" s="253"/>
      <c r="M350" s="253"/>
      <c r="N350" s="253"/>
      <c r="O350" s="253"/>
      <c r="P350" s="253"/>
      <c r="Q350" s="253"/>
    </row>
    <row r="351" spans="1:17">
      <c r="A351" s="253"/>
      <c r="B351" s="253"/>
      <c r="C351" s="253"/>
      <c r="D351" s="253"/>
      <c r="E351" s="253"/>
      <c r="F351" s="253"/>
      <c r="G351" s="253"/>
      <c r="H351" s="253"/>
      <c r="I351" s="253"/>
      <c r="J351" s="253"/>
      <c r="K351" s="253"/>
      <c r="L351" s="253"/>
      <c r="M351" s="253"/>
      <c r="N351" s="253"/>
      <c r="O351" s="253"/>
      <c r="P351" s="253"/>
      <c r="Q351" s="253"/>
    </row>
    <row r="352" spans="1:17">
      <c r="A352" s="253"/>
      <c r="B352" s="253"/>
      <c r="C352" s="253"/>
      <c r="D352" s="253"/>
      <c r="E352" s="253"/>
      <c r="F352" s="253"/>
      <c r="G352" s="253"/>
      <c r="H352" s="253"/>
      <c r="I352" s="253"/>
      <c r="J352" s="253"/>
      <c r="K352" s="253"/>
      <c r="L352" s="253"/>
      <c r="M352" s="253"/>
      <c r="N352" s="253"/>
      <c r="O352" s="253"/>
      <c r="P352" s="253"/>
      <c r="Q352" s="253"/>
    </row>
    <row r="353" spans="1:17">
      <c r="A353" s="253"/>
      <c r="B353" s="253"/>
      <c r="C353" s="253"/>
      <c r="D353" s="253"/>
      <c r="E353" s="253"/>
      <c r="F353" s="253"/>
      <c r="G353" s="253"/>
      <c r="H353" s="253"/>
      <c r="I353" s="253"/>
      <c r="J353" s="253"/>
      <c r="K353" s="253"/>
      <c r="L353" s="253"/>
      <c r="M353" s="253"/>
      <c r="N353" s="253"/>
      <c r="O353" s="253"/>
      <c r="P353" s="253"/>
      <c r="Q353" s="253"/>
    </row>
    <row r="354" spans="1:17">
      <c r="A354" s="253"/>
      <c r="B354" s="253"/>
      <c r="C354" s="253"/>
      <c r="D354" s="253"/>
      <c r="E354" s="253"/>
      <c r="F354" s="253"/>
      <c r="G354" s="253"/>
      <c r="H354" s="253"/>
      <c r="I354" s="253"/>
      <c r="J354" s="253"/>
      <c r="K354" s="253"/>
      <c r="L354" s="253"/>
      <c r="M354" s="253"/>
      <c r="N354" s="253"/>
      <c r="O354" s="253"/>
      <c r="P354" s="253"/>
      <c r="Q354" s="253"/>
    </row>
    <row r="355" spans="1:17">
      <c r="A355" s="253"/>
      <c r="B355" s="253"/>
      <c r="C355" s="253"/>
      <c r="D355" s="253"/>
      <c r="E355" s="253"/>
      <c r="F355" s="253"/>
      <c r="G355" s="253"/>
      <c r="H355" s="253"/>
      <c r="I355" s="253"/>
      <c r="J355" s="253"/>
      <c r="K355" s="253"/>
      <c r="L355" s="253"/>
      <c r="M355" s="253"/>
      <c r="N355" s="253"/>
      <c r="O355" s="253"/>
      <c r="P355" s="253"/>
      <c r="Q355" s="253"/>
    </row>
    <row r="356" spans="1:17">
      <c r="A356" s="253"/>
      <c r="B356" s="253"/>
      <c r="C356" s="253"/>
      <c r="D356" s="253"/>
      <c r="E356" s="253"/>
      <c r="F356" s="253"/>
      <c r="G356" s="253"/>
      <c r="H356" s="253"/>
      <c r="I356" s="253"/>
      <c r="J356" s="253"/>
      <c r="K356" s="253"/>
      <c r="L356" s="253"/>
      <c r="M356" s="253"/>
      <c r="N356" s="253"/>
      <c r="O356" s="253"/>
      <c r="P356" s="253"/>
      <c r="Q356" s="253"/>
    </row>
    <row r="357" spans="1:17">
      <c r="A357" s="253"/>
      <c r="B357" s="253"/>
      <c r="C357" s="253"/>
      <c r="D357" s="253"/>
      <c r="E357" s="253"/>
      <c r="F357" s="253"/>
      <c r="G357" s="253"/>
      <c r="H357" s="253"/>
      <c r="I357" s="253"/>
      <c r="J357" s="253"/>
      <c r="K357" s="253"/>
      <c r="L357" s="253"/>
      <c r="M357" s="253"/>
      <c r="N357" s="253"/>
      <c r="O357" s="253"/>
      <c r="P357" s="253"/>
      <c r="Q357" s="253"/>
    </row>
    <row r="358" spans="1:17">
      <c r="A358" s="253"/>
      <c r="B358" s="253"/>
      <c r="C358" s="253"/>
      <c r="D358" s="253"/>
      <c r="E358" s="253"/>
      <c r="F358" s="253"/>
      <c r="G358" s="253"/>
      <c r="H358" s="253"/>
      <c r="I358" s="253"/>
      <c r="J358" s="253"/>
      <c r="K358" s="253"/>
      <c r="L358" s="253"/>
      <c r="M358" s="253"/>
      <c r="N358" s="253"/>
      <c r="O358" s="253"/>
      <c r="P358" s="253"/>
      <c r="Q358" s="253"/>
    </row>
    <row r="359" spans="1:17">
      <c r="A359" s="253"/>
      <c r="B359" s="253"/>
      <c r="C359" s="253"/>
      <c r="D359" s="253"/>
      <c r="E359" s="253"/>
      <c r="F359" s="253"/>
      <c r="G359" s="253"/>
      <c r="H359" s="253"/>
      <c r="I359" s="253"/>
      <c r="J359" s="253"/>
      <c r="K359" s="253"/>
      <c r="L359" s="253"/>
      <c r="M359" s="253"/>
      <c r="N359" s="253"/>
      <c r="O359" s="253"/>
      <c r="P359" s="253"/>
      <c r="Q359" s="253"/>
    </row>
    <row r="360" spans="1:17">
      <c r="A360" s="253"/>
      <c r="B360" s="253"/>
      <c r="C360" s="253"/>
      <c r="D360" s="253"/>
      <c r="E360" s="253"/>
      <c r="F360" s="253"/>
      <c r="G360" s="253"/>
      <c r="H360" s="253"/>
      <c r="I360" s="253"/>
      <c r="J360" s="253"/>
      <c r="K360" s="253"/>
      <c r="L360" s="253"/>
      <c r="M360" s="253"/>
      <c r="N360" s="253"/>
      <c r="O360" s="253"/>
      <c r="P360" s="253"/>
      <c r="Q360" s="253"/>
    </row>
    <row r="361" spans="1:17">
      <c r="A361" s="253"/>
      <c r="B361" s="253"/>
      <c r="C361" s="253"/>
      <c r="D361" s="253"/>
      <c r="E361" s="253"/>
      <c r="F361" s="253"/>
      <c r="G361" s="253"/>
      <c r="H361" s="253"/>
      <c r="I361" s="253"/>
      <c r="J361" s="253"/>
      <c r="K361" s="253"/>
      <c r="L361" s="253"/>
      <c r="M361" s="253"/>
      <c r="N361" s="253"/>
      <c r="O361" s="253"/>
      <c r="P361" s="253"/>
      <c r="Q361" s="253"/>
    </row>
    <row r="362" spans="1:17">
      <c r="A362" s="253"/>
      <c r="B362" s="253"/>
      <c r="C362" s="253"/>
      <c r="D362" s="253"/>
      <c r="E362" s="253"/>
      <c r="F362" s="253"/>
      <c r="G362" s="253"/>
      <c r="H362" s="253"/>
      <c r="I362" s="253"/>
      <c r="J362" s="253"/>
      <c r="K362" s="253"/>
      <c r="L362" s="253"/>
      <c r="M362" s="253"/>
      <c r="N362" s="253"/>
      <c r="O362" s="253"/>
      <c r="P362" s="253"/>
      <c r="Q362" s="253"/>
    </row>
    <row r="363" spans="1:17">
      <c r="A363" s="253"/>
      <c r="B363" s="253"/>
      <c r="C363" s="253"/>
      <c r="D363" s="253"/>
      <c r="E363" s="253"/>
      <c r="F363" s="253"/>
      <c r="G363" s="253"/>
      <c r="H363" s="253"/>
      <c r="I363" s="253"/>
      <c r="J363" s="253"/>
      <c r="K363" s="253"/>
      <c r="L363" s="253"/>
      <c r="M363" s="253"/>
      <c r="N363" s="253"/>
      <c r="O363" s="253"/>
      <c r="P363" s="253"/>
      <c r="Q363" s="253"/>
    </row>
    <row r="364" spans="1:17">
      <c r="A364" s="253"/>
      <c r="B364" s="253"/>
      <c r="C364" s="253"/>
      <c r="D364" s="253"/>
      <c r="E364" s="253"/>
      <c r="F364" s="253"/>
      <c r="G364" s="253"/>
      <c r="H364" s="253"/>
      <c r="I364" s="253"/>
      <c r="J364" s="253"/>
      <c r="K364" s="253"/>
      <c r="L364" s="253"/>
      <c r="M364" s="253"/>
      <c r="N364" s="253"/>
      <c r="O364" s="253"/>
      <c r="P364" s="253"/>
      <c r="Q364" s="253"/>
    </row>
    <row r="365" spans="1:17">
      <c r="A365" s="253"/>
      <c r="B365" s="253"/>
      <c r="C365" s="253"/>
      <c r="D365" s="253"/>
      <c r="E365" s="253"/>
      <c r="F365" s="253"/>
      <c r="G365" s="253"/>
      <c r="H365" s="253"/>
      <c r="I365" s="253"/>
      <c r="J365" s="253"/>
      <c r="K365" s="253"/>
      <c r="L365" s="253"/>
      <c r="M365" s="253"/>
      <c r="N365" s="253"/>
      <c r="O365" s="253"/>
      <c r="P365" s="253"/>
      <c r="Q365" s="253"/>
    </row>
    <row r="366" spans="1:17">
      <c r="A366" s="253"/>
      <c r="B366" s="253"/>
      <c r="C366" s="253"/>
      <c r="D366" s="253"/>
      <c r="E366" s="253"/>
      <c r="F366" s="253"/>
      <c r="G366" s="253"/>
      <c r="H366" s="253"/>
      <c r="I366" s="253"/>
      <c r="J366" s="253"/>
      <c r="K366" s="253"/>
      <c r="L366" s="253"/>
      <c r="M366" s="253"/>
      <c r="N366" s="253"/>
      <c r="O366" s="253"/>
      <c r="P366" s="253"/>
      <c r="Q366" s="253"/>
    </row>
    <row r="367" spans="1:17">
      <c r="A367" s="253"/>
      <c r="B367" s="253"/>
      <c r="C367" s="253"/>
      <c r="D367" s="253"/>
      <c r="E367" s="253"/>
      <c r="F367" s="253"/>
      <c r="G367" s="253"/>
      <c r="H367" s="253"/>
      <c r="I367" s="253"/>
      <c r="J367" s="253"/>
      <c r="K367" s="253"/>
      <c r="L367" s="253"/>
      <c r="M367" s="253"/>
      <c r="N367" s="253"/>
      <c r="O367" s="253"/>
      <c r="P367" s="253"/>
      <c r="Q367" s="253"/>
    </row>
    <row r="368" spans="1:17">
      <c r="A368" s="253"/>
      <c r="B368" s="253"/>
      <c r="C368" s="253"/>
      <c r="D368" s="253"/>
      <c r="E368" s="253"/>
      <c r="F368" s="253"/>
      <c r="G368" s="253"/>
      <c r="H368" s="253"/>
      <c r="I368" s="253"/>
      <c r="J368" s="253"/>
      <c r="K368" s="253"/>
      <c r="L368" s="253"/>
      <c r="M368" s="253"/>
      <c r="N368" s="253"/>
      <c r="O368" s="253"/>
      <c r="P368" s="253"/>
      <c r="Q368" s="253"/>
    </row>
    <row r="369" spans="1:17">
      <c r="A369" s="253"/>
      <c r="B369" s="253"/>
      <c r="C369" s="253"/>
      <c r="D369" s="253"/>
      <c r="E369" s="253"/>
      <c r="F369" s="253"/>
      <c r="G369" s="253"/>
      <c r="H369" s="253"/>
      <c r="I369" s="253"/>
      <c r="J369" s="253"/>
      <c r="K369" s="253"/>
      <c r="L369" s="253"/>
      <c r="M369" s="253"/>
      <c r="N369" s="253"/>
      <c r="O369" s="253"/>
      <c r="P369" s="253"/>
      <c r="Q369" s="253"/>
    </row>
    <row r="370" spans="1:17">
      <c r="A370" s="253"/>
      <c r="B370" s="253"/>
      <c r="C370" s="253"/>
      <c r="D370" s="253"/>
      <c r="E370" s="253"/>
      <c r="F370" s="253"/>
      <c r="G370" s="253"/>
      <c r="H370" s="253"/>
      <c r="I370" s="253"/>
      <c r="J370" s="253"/>
      <c r="K370" s="253"/>
      <c r="L370" s="253"/>
      <c r="M370" s="253"/>
      <c r="N370" s="253"/>
      <c r="O370" s="253"/>
      <c r="P370" s="253"/>
      <c r="Q370" s="253"/>
    </row>
    <row r="371" spans="1:17">
      <c r="A371" s="253"/>
      <c r="B371" s="253"/>
      <c r="C371" s="253"/>
      <c r="D371" s="253"/>
      <c r="E371" s="253"/>
      <c r="F371" s="253"/>
      <c r="G371" s="253"/>
      <c r="H371" s="253"/>
      <c r="I371" s="253"/>
      <c r="J371" s="253"/>
      <c r="K371" s="253"/>
      <c r="L371" s="253"/>
      <c r="M371" s="253"/>
      <c r="N371" s="253"/>
      <c r="O371" s="253"/>
      <c r="P371" s="253"/>
      <c r="Q371" s="253"/>
    </row>
    <row r="372" spans="1:17">
      <c r="A372" s="253"/>
      <c r="B372" s="253"/>
      <c r="C372" s="253"/>
      <c r="D372" s="253"/>
      <c r="E372" s="253"/>
      <c r="F372" s="253"/>
      <c r="G372" s="253"/>
      <c r="H372" s="253"/>
      <c r="I372" s="253"/>
      <c r="J372" s="253"/>
      <c r="K372" s="253"/>
      <c r="L372" s="253"/>
      <c r="M372" s="253"/>
      <c r="N372" s="253"/>
      <c r="O372" s="253"/>
      <c r="P372" s="253"/>
      <c r="Q372" s="253"/>
    </row>
    <row r="373" spans="1:17">
      <c r="A373" s="253"/>
      <c r="B373" s="253"/>
      <c r="C373" s="253"/>
      <c r="D373" s="253"/>
      <c r="E373" s="253"/>
      <c r="F373" s="253"/>
      <c r="G373" s="253"/>
      <c r="H373" s="253"/>
      <c r="I373" s="253"/>
      <c r="J373" s="253"/>
      <c r="K373" s="253"/>
      <c r="L373" s="253"/>
      <c r="M373" s="253"/>
      <c r="N373" s="253"/>
      <c r="O373" s="253"/>
      <c r="P373" s="253"/>
      <c r="Q373" s="253"/>
    </row>
    <row r="374" spans="1:17">
      <c r="A374" s="253"/>
      <c r="B374" s="253"/>
      <c r="C374" s="253"/>
      <c r="D374" s="253"/>
      <c r="E374" s="253"/>
      <c r="F374" s="253"/>
      <c r="G374" s="253"/>
      <c r="H374" s="253"/>
      <c r="I374" s="253"/>
      <c r="J374" s="253"/>
      <c r="K374" s="253"/>
      <c r="L374" s="253"/>
      <c r="M374" s="253"/>
      <c r="N374" s="253"/>
      <c r="O374" s="253"/>
      <c r="P374" s="253"/>
      <c r="Q374" s="253"/>
    </row>
    <row r="375" spans="1:17">
      <c r="A375" s="253"/>
      <c r="B375" s="253"/>
      <c r="C375" s="253"/>
      <c r="D375" s="253"/>
      <c r="E375" s="253"/>
      <c r="F375" s="253"/>
      <c r="G375" s="253"/>
      <c r="H375" s="253"/>
      <c r="I375" s="253"/>
      <c r="J375" s="253"/>
      <c r="K375" s="253"/>
      <c r="L375" s="253"/>
      <c r="M375" s="253"/>
      <c r="N375" s="253"/>
      <c r="O375" s="253"/>
      <c r="P375" s="253"/>
      <c r="Q375" s="253"/>
    </row>
    <row r="376" spans="1:17">
      <c r="A376" s="253"/>
      <c r="B376" s="253"/>
      <c r="C376" s="253"/>
      <c r="D376" s="253"/>
      <c r="E376" s="253"/>
      <c r="F376" s="253"/>
      <c r="G376" s="253"/>
      <c r="H376" s="253"/>
      <c r="I376" s="253"/>
      <c r="J376" s="253"/>
      <c r="K376" s="253"/>
      <c r="L376" s="253"/>
      <c r="M376" s="253"/>
      <c r="N376" s="253"/>
      <c r="O376" s="253"/>
      <c r="P376" s="253"/>
      <c r="Q376" s="253"/>
    </row>
    <row r="377" spans="1:17">
      <c r="A377" s="253"/>
      <c r="B377" s="253"/>
      <c r="C377" s="253"/>
      <c r="D377" s="253"/>
      <c r="E377" s="253"/>
      <c r="F377" s="253"/>
      <c r="G377" s="253"/>
      <c r="H377" s="253"/>
      <c r="I377" s="253"/>
      <c r="J377" s="253"/>
      <c r="K377" s="253"/>
      <c r="L377" s="253"/>
      <c r="M377" s="253"/>
      <c r="N377" s="253"/>
      <c r="O377" s="253"/>
      <c r="P377" s="253"/>
      <c r="Q377" s="253"/>
    </row>
    <row r="378" spans="1:17">
      <c r="A378" s="253"/>
      <c r="B378" s="253"/>
      <c r="C378" s="253"/>
      <c r="D378" s="253"/>
      <c r="E378" s="253"/>
      <c r="F378" s="253"/>
      <c r="G378" s="253"/>
      <c r="H378" s="253"/>
      <c r="I378" s="253"/>
      <c r="J378" s="253"/>
      <c r="K378" s="253"/>
      <c r="L378" s="253"/>
      <c r="M378" s="253"/>
      <c r="N378" s="253"/>
      <c r="O378" s="253"/>
      <c r="P378" s="253"/>
      <c r="Q378" s="253"/>
    </row>
    <row r="379" spans="1:17">
      <c r="A379" s="253"/>
      <c r="B379" s="253"/>
      <c r="C379" s="253"/>
      <c r="D379" s="253"/>
      <c r="E379" s="253"/>
      <c r="F379" s="253"/>
      <c r="G379" s="253"/>
      <c r="H379" s="253"/>
      <c r="I379" s="253"/>
      <c r="J379" s="253"/>
      <c r="K379" s="253"/>
      <c r="L379" s="253"/>
      <c r="M379" s="253"/>
      <c r="N379" s="253"/>
      <c r="O379" s="253"/>
      <c r="P379" s="253"/>
      <c r="Q379" s="253"/>
    </row>
    <row r="380" spans="1:17">
      <c r="A380" s="253"/>
      <c r="B380" s="253"/>
      <c r="C380" s="253"/>
      <c r="D380" s="253"/>
      <c r="E380" s="253"/>
      <c r="F380" s="253"/>
      <c r="G380" s="253"/>
      <c r="H380" s="253"/>
      <c r="I380" s="253"/>
      <c r="J380" s="253"/>
      <c r="K380" s="253"/>
      <c r="L380" s="253"/>
      <c r="M380" s="253"/>
      <c r="N380" s="253"/>
      <c r="O380" s="253"/>
      <c r="P380" s="253"/>
      <c r="Q380" s="253"/>
    </row>
    <row r="381" spans="1:17">
      <c r="A381" s="253"/>
      <c r="B381" s="253"/>
      <c r="C381" s="253"/>
      <c r="D381" s="253"/>
      <c r="E381" s="253"/>
      <c r="F381" s="253"/>
      <c r="G381" s="253"/>
      <c r="H381" s="253"/>
      <c r="I381" s="253"/>
      <c r="J381" s="253"/>
      <c r="K381" s="253"/>
      <c r="L381" s="253"/>
      <c r="M381" s="253"/>
      <c r="N381" s="253"/>
      <c r="O381" s="253"/>
      <c r="P381" s="253"/>
      <c r="Q381" s="253"/>
    </row>
    <row r="382" spans="1:17">
      <c r="A382" s="253"/>
      <c r="B382" s="253"/>
      <c r="C382" s="253"/>
      <c r="D382" s="253"/>
      <c r="E382" s="253"/>
      <c r="F382" s="253"/>
      <c r="G382" s="253"/>
      <c r="H382" s="253"/>
      <c r="I382" s="253"/>
      <c r="J382" s="253"/>
      <c r="K382" s="253"/>
      <c r="L382" s="253"/>
      <c r="M382" s="253"/>
      <c r="N382" s="253"/>
      <c r="O382" s="253"/>
      <c r="P382" s="253"/>
      <c r="Q382" s="253"/>
    </row>
    <row r="383" spans="1:17">
      <c r="A383" s="253"/>
      <c r="B383" s="253"/>
      <c r="C383" s="253"/>
      <c r="D383" s="253"/>
      <c r="E383" s="253"/>
      <c r="F383" s="253"/>
      <c r="G383" s="253"/>
      <c r="H383" s="253"/>
      <c r="I383" s="253"/>
      <c r="J383" s="253"/>
      <c r="K383" s="253"/>
      <c r="L383" s="253"/>
      <c r="M383" s="253"/>
      <c r="N383" s="253"/>
      <c r="O383" s="253"/>
      <c r="P383" s="253"/>
      <c r="Q383" s="253"/>
    </row>
    <row r="384" spans="1:17">
      <c r="A384" s="253"/>
      <c r="B384" s="253"/>
      <c r="C384" s="253"/>
      <c r="D384" s="253"/>
      <c r="E384" s="253"/>
      <c r="F384" s="253"/>
      <c r="G384" s="253"/>
      <c r="H384" s="253"/>
      <c r="I384" s="253"/>
      <c r="J384" s="253"/>
      <c r="K384" s="253"/>
      <c r="L384" s="253"/>
      <c r="M384" s="253"/>
      <c r="N384" s="253"/>
      <c r="O384" s="253"/>
      <c r="P384" s="253"/>
      <c r="Q384" s="253"/>
    </row>
    <row r="385" spans="1:17">
      <c r="A385" s="253"/>
      <c r="B385" s="253"/>
      <c r="C385" s="253"/>
      <c r="D385" s="253"/>
      <c r="E385" s="253"/>
      <c r="F385" s="253"/>
      <c r="G385" s="253"/>
      <c r="H385" s="253"/>
      <c r="I385" s="253"/>
      <c r="J385" s="253"/>
      <c r="K385" s="253"/>
      <c r="L385" s="253"/>
      <c r="M385" s="253"/>
      <c r="N385" s="253"/>
      <c r="O385" s="253"/>
      <c r="P385" s="253"/>
      <c r="Q385" s="253"/>
    </row>
    <row r="386" spans="1:17">
      <c r="A386" s="253"/>
      <c r="B386" s="253"/>
      <c r="C386" s="253"/>
      <c r="D386" s="253"/>
      <c r="E386" s="253"/>
      <c r="F386" s="253"/>
      <c r="G386" s="253"/>
      <c r="H386" s="253"/>
      <c r="I386" s="253"/>
      <c r="J386" s="253"/>
      <c r="K386" s="253"/>
      <c r="L386" s="253"/>
      <c r="M386" s="253"/>
      <c r="N386" s="253"/>
      <c r="O386" s="253"/>
      <c r="P386" s="253"/>
      <c r="Q386" s="253"/>
    </row>
    <row r="387" spans="1:17">
      <c r="A387" s="253"/>
      <c r="B387" s="253"/>
      <c r="C387" s="253"/>
      <c r="D387" s="253"/>
      <c r="E387" s="253"/>
      <c r="F387" s="253"/>
      <c r="G387" s="253"/>
      <c r="H387" s="253"/>
      <c r="I387" s="253"/>
      <c r="J387" s="253"/>
      <c r="K387" s="253"/>
      <c r="L387" s="253"/>
      <c r="M387" s="253"/>
      <c r="N387" s="253"/>
      <c r="O387" s="253"/>
      <c r="P387" s="253"/>
      <c r="Q387" s="253"/>
    </row>
    <row r="388" spans="1:17">
      <c r="A388" s="253"/>
      <c r="B388" s="253"/>
      <c r="C388" s="253"/>
      <c r="D388" s="253"/>
      <c r="E388" s="253"/>
      <c r="F388" s="253"/>
      <c r="G388" s="253"/>
      <c r="H388" s="253"/>
      <c r="I388" s="253"/>
      <c r="J388" s="253"/>
      <c r="K388" s="253"/>
      <c r="L388" s="253"/>
      <c r="M388" s="253"/>
      <c r="N388" s="253"/>
      <c r="O388" s="253"/>
      <c r="P388" s="253"/>
      <c r="Q388" s="253"/>
    </row>
    <row r="389" spans="1:17">
      <c r="A389" s="253"/>
      <c r="B389" s="253"/>
      <c r="C389" s="253"/>
      <c r="D389" s="253"/>
      <c r="E389" s="253"/>
      <c r="F389" s="253"/>
      <c r="G389" s="253"/>
      <c r="H389" s="253"/>
      <c r="I389" s="253"/>
      <c r="J389" s="253"/>
      <c r="K389" s="253"/>
      <c r="L389" s="253"/>
      <c r="M389" s="253"/>
      <c r="N389" s="253"/>
      <c r="O389" s="253"/>
      <c r="P389" s="253"/>
      <c r="Q389" s="253"/>
    </row>
    <row r="390" spans="1:17">
      <c r="A390" s="253"/>
      <c r="B390" s="253"/>
      <c r="C390" s="253"/>
      <c r="D390" s="253"/>
      <c r="E390" s="253"/>
      <c r="F390" s="253"/>
      <c r="G390" s="253"/>
      <c r="H390" s="253"/>
      <c r="I390" s="253"/>
      <c r="J390" s="253"/>
      <c r="K390" s="253"/>
      <c r="L390" s="253"/>
      <c r="M390" s="253"/>
      <c r="N390" s="253"/>
      <c r="O390" s="253"/>
      <c r="P390" s="253"/>
      <c r="Q390" s="253"/>
    </row>
    <row r="391" spans="1:17">
      <c r="A391" s="253"/>
      <c r="B391" s="253"/>
      <c r="C391" s="253"/>
      <c r="D391" s="253"/>
      <c r="E391" s="253"/>
      <c r="F391" s="253"/>
      <c r="G391" s="253"/>
      <c r="H391" s="253"/>
      <c r="I391" s="253"/>
      <c r="J391" s="253"/>
      <c r="K391" s="253"/>
      <c r="L391" s="253"/>
      <c r="M391" s="253"/>
      <c r="N391" s="253"/>
      <c r="O391" s="253"/>
      <c r="P391" s="253"/>
      <c r="Q391" s="253"/>
    </row>
    <row r="392" spans="1:17">
      <c r="A392" s="253"/>
      <c r="B392" s="253"/>
      <c r="C392" s="253"/>
      <c r="D392" s="253"/>
      <c r="E392" s="253"/>
      <c r="F392" s="253"/>
      <c r="G392" s="253"/>
      <c r="H392" s="253"/>
      <c r="I392" s="253"/>
      <c r="J392" s="253"/>
      <c r="K392" s="253"/>
      <c r="L392" s="253"/>
      <c r="M392" s="253"/>
      <c r="N392" s="253"/>
      <c r="O392" s="253"/>
      <c r="P392" s="253"/>
      <c r="Q392" s="253"/>
    </row>
    <row r="393" spans="1:17">
      <c r="A393" s="253"/>
      <c r="B393" s="253"/>
      <c r="C393" s="253"/>
      <c r="D393" s="253"/>
      <c r="E393" s="253"/>
      <c r="F393" s="253"/>
      <c r="G393" s="253"/>
      <c r="H393" s="253"/>
      <c r="I393" s="253"/>
      <c r="J393" s="253"/>
      <c r="K393" s="253"/>
      <c r="L393" s="253"/>
      <c r="M393" s="253"/>
      <c r="N393" s="253"/>
      <c r="O393" s="253"/>
      <c r="P393" s="253"/>
      <c r="Q393" s="253"/>
    </row>
    <row r="394" spans="1:17">
      <c r="A394" s="253"/>
      <c r="B394" s="253"/>
      <c r="C394" s="253"/>
      <c r="D394" s="253"/>
      <c r="E394" s="253"/>
      <c r="F394" s="253"/>
      <c r="G394" s="253"/>
      <c r="H394" s="253"/>
      <c r="I394" s="253"/>
      <c r="J394" s="253"/>
      <c r="K394" s="253"/>
      <c r="L394" s="253"/>
      <c r="M394" s="253"/>
      <c r="N394" s="253"/>
      <c r="O394" s="253"/>
      <c r="P394" s="253"/>
      <c r="Q394" s="253"/>
    </row>
    <row r="395" spans="1:17">
      <c r="A395" s="253"/>
      <c r="B395" s="253"/>
      <c r="C395" s="253"/>
      <c r="D395" s="253"/>
      <c r="E395" s="253"/>
      <c r="F395" s="253"/>
      <c r="G395" s="253"/>
      <c r="H395" s="253"/>
      <c r="I395" s="253"/>
      <c r="J395" s="253"/>
      <c r="K395" s="253"/>
      <c r="L395" s="253"/>
      <c r="M395" s="253"/>
      <c r="N395" s="253"/>
      <c r="O395" s="253"/>
      <c r="P395" s="253"/>
      <c r="Q395" s="253"/>
    </row>
    <row r="396" spans="1:17">
      <c r="A396" s="253"/>
      <c r="B396" s="253"/>
      <c r="C396" s="253"/>
      <c r="D396" s="253"/>
      <c r="E396" s="253"/>
      <c r="F396" s="253"/>
      <c r="G396" s="253"/>
      <c r="H396" s="253"/>
      <c r="I396" s="253"/>
      <c r="J396" s="253"/>
      <c r="K396" s="253"/>
      <c r="L396" s="253"/>
      <c r="M396" s="253"/>
      <c r="N396" s="253"/>
      <c r="O396" s="253"/>
      <c r="P396" s="253"/>
      <c r="Q396" s="253"/>
    </row>
    <row r="397" spans="1:17">
      <c r="A397" s="253"/>
      <c r="B397" s="253"/>
      <c r="C397" s="253"/>
      <c r="D397" s="253"/>
      <c r="E397" s="253"/>
      <c r="F397" s="253"/>
      <c r="G397" s="253"/>
      <c r="H397" s="253"/>
      <c r="I397" s="253"/>
      <c r="J397" s="253"/>
      <c r="K397" s="253"/>
      <c r="L397" s="253"/>
      <c r="M397" s="253"/>
      <c r="N397" s="253"/>
      <c r="O397" s="253"/>
      <c r="P397" s="253"/>
      <c r="Q397" s="253"/>
    </row>
    <row r="398" spans="1:17">
      <c r="A398" s="253"/>
      <c r="B398" s="253"/>
      <c r="C398" s="253"/>
      <c r="D398" s="253"/>
      <c r="E398" s="253"/>
      <c r="F398" s="253"/>
      <c r="G398" s="253"/>
      <c r="H398" s="253"/>
      <c r="I398" s="253"/>
      <c r="J398" s="253"/>
      <c r="K398" s="253"/>
      <c r="L398" s="253"/>
      <c r="M398" s="253"/>
      <c r="N398" s="253"/>
      <c r="O398" s="253"/>
      <c r="P398" s="253"/>
      <c r="Q398" s="253"/>
    </row>
    <row r="399" spans="1:17">
      <c r="A399" s="253"/>
      <c r="B399" s="253"/>
      <c r="C399" s="253"/>
      <c r="D399" s="253"/>
      <c r="E399" s="253"/>
      <c r="F399" s="253"/>
      <c r="G399" s="253"/>
      <c r="H399" s="253"/>
      <c r="I399" s="253"/>
      <c r="J399" s="253"/>
      <c r="K399" s="253"/>
      <c r="L399" s="253"/>
      <c r="M399" s="253"/>
      <c r="N399" s="253"/>
      <c r="O399" s="253"/>
      <c r="P399" s="253"/>
      <c r="Q399" s="253"/>
    </row>
    <row r="400" spans="1:17">
      <c r="A400" s="253"/>
      <c r="B400" s="253"/>
      <c r="C400" s="253"/>
      <c r="D400" s="253"/>
      <c r="E400" s="253"/>
      <c r="F400" s="253"/>
      <c r="G400" s="253"/>
      <c r="H400" s="253"/>
      <c r="I400" s="253"/>
      <c r="J400" s="253"/>
      <c r="K400" s="253"/>
      <c r="L400" s="253"/>
      <c r="M400" s="253"/>
      <c r="N400" s="253"/>
      <c r="O400" s="253"/>
      <c r="P400" s="253"/>
      <c r="Q400" s="253"/>
    </row>
    <row r="401" spans="1:17">
      <c r="A401" s="253"/>
      <c r="B401" s="253"/>
      <c r="C401" s="253"/>
      <c r="D401" s="253"/>
      <c r="E401" s="253"/>
      <c r="F401" s="253"/>
      <c r="G401" s="253"/>
      <c r="H401" s="253"/>
      <c r="I401" s="253"/>
      <c r="J401" s="253"/>
      <c r="K401" s="253"/>
      <c r="L401" s="253"/>
      <c r="M401" s="253"/>
      <c r="N401" s="253"/>
      <c r="O401" s="253"/>
      <c r="P401" s="253"/>
      <c r="Q401" s="253"/>
    </row>
    <row r="402" spans="1:17">
      <c r="A402" s="253"/>
      <c r="B402" s="253"/>
      <c r="C402" s="253"/>
      <c r="D402" s="253"/>
      <c r="E402" s="253"/>
      <c r="F402" s="253"/>
      <c r="G402" s="253"/>
      <c r="H402" s="253"/>
      <c r="I402" s="253"/>
      <c r="J402" s="253"/>
      <c r="K402" s="253"/>
      <c r="L402" s="253"/>
      <c r="M402" s="253"/>
      <c r="N402" s="253"/>
      <c r="O402" s="253"/>
      <c r="P402" s="253"/>
      <c r="Q402" s="253"/>
    </row>
    <row r="403" spans="1:17">
      <c r="A403" s="253"/>
      <c r="B403" s="253"/>
      <c r="C403" s="253"/>
      <c r="D403" s="253"/>
      <c r="E403" s="253"/>
      <c r="F403" s="253"/>
      <c r="G403" s="253"/>
      <c r="H403" s="253"/>
      <c r="I403" s="253"/>
      <c r="J403" s="253"/>
      <c r="K403" s="253"/>
      <c r="L403" s="253"/>
      <c r="M403" s="253"/>
      <c r="N403" s="253"/>
      <c r="O403" s="253"/>
      <c r="P403" s="253"/>
      <c r="Q403" s="253"/>
    </row>
    <row r="404" spans="1:17">
      <c r="A404" s="253"/>
      <c r="B404" s="253"/>
      <c r="C404" s="253"/>
      <c r="D404" s="253"/>
      <c r="E404" s="253"/>
      <c r="F404" s="253"/>
      <c r="G404" s="253"/>
      <c r="H404" s="253"/>
      <c r="I404" s="253"/>
      <c r="J404" s="253"/>
      <c r="K404" s="253"/>
      <c r="L404" s="253"/>
      <c r="M404" s="253"/>
      <c r="N404" s="253"/>
      <c r="O404" s="253"/>
      <c r="P404" s="253"/>
      <c r="Q404" s="253"/>
    </row>
    <row r="405" spans="1:17">
      <c r="A405" s="253"/>
      <c r="B405" s="253"/>
      <c r="C405" s="253"/>
      <c r="D405" s="253"/>
      <c r="E405" s="253"/>
      <c r="F405" s="253"/>
      <c r="G405" s="253"/>
      <c r="H405" s="253"/>
      <c r="I405" s="253"/>
      <c r="J405" s="253"/>
      <c r="K405" s="253"/>
      <c r="L405" s="253"/>
      <c r="M405" s="253"/>
      <c r="N405" s="253"/>
      <c r="O405" s="253"/>
      <c r="P405" s="253"/>
      <c r="Q405" s="253"/>
    </row>
    <row r="406" spans="1:17">
      <c r="A406" s="253"/>
      <c r="B406" s="253"/>
      <c r="C406" s="253"/>
      <c r="D406" s="253"/>
      <c r="E406" s="253"/>
      <c r="F406" s="253"/>
      <c r="G406" s="253"/>
      <c r="H406" s="253"/>
      <c r="I406" s="253"/>
      <c r="J406" s="253"/>
      <c r="K406" s="253"/>
      <c r="L406" s="253"/>
      <c r="M406" s="253"/>
      <c r="N406" s="253"/>
      <c r="O406" s="253"/>
      <c r="P406" s="253"/>
      <c r="Q406" s="253"/>
    </row>
    <row r="407" spans="1:17">
      <c r="A407" s="253"/>
      <c r="B407" s="253"/>
      <c r="C407" s="253"/>
      <c r="D407" s="253"/>
      <c r="E407" s="253"/>
      <c r="F407" s="253"/>
      <c r="G407" s="253"/>
      <c r="H407" s="253"/>
      <c r="I407" s="253"/>
      <c r="J407" s="253"/>
      <c r="K407" s="253"/>
      <c r="L407" s="253"/>
      <c r="M407" s="253"/>
      <c r="N407" s="253"/>
      <c r="O407" s="253"/>
      <c r="P407" s="253"/>
      <c r="Q407" s="253"/>
    </row>
    <row r="408" spans="1:17">
      <c r="A408" s="253"/>
      <c r="B408" s="253"/>
      <c r="C408" s="253"/>
      <c r="D408" s="253"/>
      <c r="E408" s="253"/>
      <c r="F408" s="253"/>
      <c r="G408" s="253"/>
      <c r="H408" s="253"/>
      <c r="I408" s="253"/>
      <c r="J408" s="253"/>
      <c r="K408" s="253"/>
      <c r="L408" s="253"/>
      <c r="M408" s="253"/>
      <c r="N408" s="253"/>
      <c r="O408" s="253"/>
      <c r="P408" s="253"/>
      <c r="Q408" s="253"/>
    </row>
    <row r="409" spans="1:17">
      <c r="A409" s="253"/>
      <c r="B409" s="253"/>
      <c r="C409" s="253"/>
      <c r="D409" s="253"/>
      <c r="E409" s="253"/>
      <c r="F409" s="253"/>
      <c r="G409" s="253"/>
      <c r="H409" s="253"/>
      <c r="I409" s="253"/>
      <c r="J409" s="253"/>
      <c r="K409" s="253"/>
      <c r="L409" s="253"/>
      <c r="M409" s="253"/>
      <c r="N409" s="253"/>
      <c r="O409" s="253"/>
      <c r="P409" s="253"/>
      <c r="Q409" s="253"/>
    </row>
    <row r="410" spans="1:17">
      <c r="A410" s="253"/>
      <c r="B410" s="253"/>
      <c r="C410" s="253"/>
      <c r="D410" s="253"/>
      <c r="E410" s="253"/>
      <c r="F410" s="253"/>
      <c r="G410" s="253"/>
      <c r="H410" s="253"/>
      <c r="I410" s="253"/>
      <c r="J410" s="253"/>
      <c r="K410" s="253"/>
      <c r="L410" s="253"/>
      <c r="M410" s="253"/>
      <c r="N410" s="253"/>
      <c r="O410" s="253"/>
      <c r="P410" s="253"/>
      <c r="Q410" s="253"/>
    </row>
    <row r="411" spans="1:17">
      <c r="A411" s="253"/>
      <c r="B411" s="253"/>
      <c r="C411" s="253"/>
      <c r="D411" s="253"/>
      <c r="E411" s="253"/>
      <c r="F411" s="253"/>
      <c r="G411" s="253"/>
      <c r="H411" s="253"/>
      <c r="I411" s="253"/>
      <c r="J411" s="253"/>
      <c r="K411" s="253"/>
      <c r="L411" s="253"/>
      <c r="M411" s="253"/>
      <c r="N411" s="253"/>
      <c r="O411" s="253"/>
      <c r="P411" s="253"/>
      <c r="Q411" s="253"/>
    </row>
    <row r="412" spans="1:17">
      <c r="A412" s="253"/>
      <c r="B412" s="253"/>
      <c r="C412" s="253"/>
      <c r="D412" s="253"/>
      <c r="E412" s="253"/>
      <c r="F412" s="253"/>
      <c r="G412" s="253"/>
      <c r="H412" s="253"/>
      <c r="I412" s="253"/>
      <c r="J412" s="253"/>
      <c r="K412" s="253"/>
      <c r="L412" s="253"/>
      <c r="M412" s="253"/>
      <c r="N412" s="253"/>
      <c r="O412" s="253"/>
      <c r="P412" s="253"/>
      <c r="Q412" s="253"/>
    </row>
    <row r="413" spans="1:17">
      <c r="A413" s="253"/>
      <c r="B413" s="253"/>
      <c r="C413" s="253"/>
      <c r="D413" s="253"/>
      <c r="E413" s="253"/>
      <c r="F413" s="253"/>
      <c r="G413" s="253"/>
      <c r="H413" s="253"/>
      <c r="I413" s="253"/>
      <c r="J413" s="253"/>
      <c r="K413" s="253"/>
      <c r="L413" s="253"/>
      <c r="M413" s="253"/>
      <c r="N413" s="253"/>
      <c r="O413" s="253"/>
      <c r="P413" s="253"/>
      <c r="Q413" s="253"/>
    </row>
    <row r="414" spans="1:17">
      <c r="A414" s="253"/>
      <c r="B414" s="253"/>
      <c r="C414" s="253"/>
      <c r="D414" s="253"/>
      <c r="E414" s="253"/>
      <c r="F414" s="253"/>
      <c r="G414" s="253"/>
      <c r="H414" s="253"/>
      <c r="I414" s="253"/>
      <c r="J414" s="253"/>
      <c r="K414" s="253"/>
      <c r="L414" s="253"/>
      <c r="M414" s="253"/>
      <c r="N414" s="253"/>
      <c r="O414" s="253"/>
      <c r="P414" s="253"/>
      <c r="Q414" s="253"/>
    </row>
    <row r="415" spans="1:17">
      <c r="A415" s="253"/>
      <c r="B415" s="253"/>
      <c r="C415" s="253"/>
      <c r="D415" s="253"/>
      <c r="E415" s="253"/>
      <c r="F415" s="253"/>
      <c r="G415" s="253"/>
      <c r="H415" s="253"/>
      <c r="I415" s="253"/>
      <c r="J415" s="253"/>
      <c r="K415" s="253"/>
      <c r="L415" s="253"/>
      <c r="M415" s="253"/>
      <c r="N415" s="253"/>
      <c r="O415" s="253"/>
      <c r="P415" s="253"/>
      <c r="Q415" s="253"/>
    </row>
    <row r="416" spans="1:17">
      <c r="A416" s="253"/>
      <c r="B416" s="253"/>
      <c r="C416" s="253"/>
      <c r="D416" s="253"/>
      <c r="E416" s="253"/>
      <c r="F416" s="253"/>
      <c r="G416" s="253"/>
      <c r="H416" s="253"/>
      <c r="I416" s="253"/>
      <c r="J416" s="253"/>
      <c r="K416" s="253"/>
      <c r="L416" s="253"/>
      <c r="M416" s="253"/>
      <c r="N416" s="253"/>
      <c r="O416" s="253"/>
      <c r="P416" s="253"/>
      <c r="Q416" s="253"/>
    </row>
    <row r="417" spans="1:17">
      <c r="A417" s="253"/>
      <c r="B417" s="253"/>
      <c r="C417" s="253"/>
      <c r="D417" s="253"/>
      <c r="E417" s="253"/>
      <c r="F417" s="253"/>
      <c r="G417" s="253"/>
      <c r="H417" s="253"/>
      <c r="I417" s="253"/>
      <c r="J417" s="253"/>
      <c r="K417" s="253"/>
      <c r="L417" s="253"/>
      <c r="M417" s="253"/>
      <c r="N417" s="253"/>
      <c r="O417" s="253"/>
      <c r="P417" s="253"/>
      <c r="Q417" s="253"/>
    </row>
    <row r="418" spans="1:17">
      <c r="A418" s="253"/>
      <c r="B418" s="253"/>
      <c r="C418" s="253"/>
      <c r="D418" s="253"/>
      <c r="E418" s="253"/>
      <c r="F418" s="253"/>
      <c r="G418" s="253"/>
      <c r="H418" s="253"/>
      <c r="I418" s="253"/>
      <c r="J418" s="253"/>
      <c r="K418" s="253"/>
      <c r="L418" s="253"/>
      <c r="M418" s="253"/>
      <c r="N418" s="253"/>
      <c r="O418" s="253"/>
      <c r="P418" s="253"/>
      <c r="Q418" s="253"/>
    </row>
    <row r="419" spans="1:17">
      <c r="A419" s="253"/>
      <c r="B419" s="253"/>
      <c r="C419" s="253"/>
      <c r="D419" s="253"/>
      <c r="E419" s="253"/>
      <c r="F419" s="253"/>
      <c r="G419" s="253"/>
      <c r="H419" s="253"/>
      <c r="I419" s="253"/>
      <c r="J419" s="253"/>
      <c r="K419" s="253"/>
      <c r="L419" s="253"/>
      <c r="M419" s="253"/>
      <c r="N419" s="253"/>
      <c r="O419" s="253"/>
      <c r="P419" s="253"/>
      <c r="Q419" s="253"/>
    </row>
    <row r="420" spans="1:17">
      <c r="A420" s="253"/>
      <c r="B420" s="253"/>
      <c r="C420" s="253"/>
      <c r="D420" s="253"/>
      <c r="E420" s="253"/>
      <c r="F420" s="253"/>
      <c r="G420" s="253"/>
      <c r="H420" s="253"/>
      <c r="I420" s="253"/>
      <c r="J420" s="253"/>
      <c r="K420" s="253"/>
      <c r="L420" s="253"/>
      <c r="M420" s="253"/>
      <c r="N420" s="253"/>
      <c r="O420" s="253"/>
      <c r="P420" s="253"/>
      <c r="Q420" s="253"/>
    </row>
    <row r="421" spans="1:17">
      <c r="A421" s="253"/>
      <c r="B421" s="253"/>
      <c r="C421" s="253"/>
      <c r="D421" s="253"/>
      <c r="E421" s="253"/>
      <c r="F421" s="253"/>
      <c r="G421" s="253"/>
      <c r="H421" s="253"/>
      <c r="I421" s="253"/>
      <c r="J421" s="253"/>
      <c r="K421" s="253"/>
      <c r="L421" s="253"/>
      <c r="M421" s="253"/>
      <c r="N421" s="253"/>
      <c r="O421" s="253"/>
      <c r="P421" s="253"/>
      <c r="Q421" s="253"/>
    </row>
    <row r="422" spans="1:17">
      <c r="A422" s="253"/>
      <c r="B422" s="253"/>
      <c r="C422" s="253"/>
      <c r="D422" s="253"/>
      <c r="E422" s="253"/>
      <c r="F422" s="253"/>
      <c r="G422" s="253"/>
      <c r="H422" s="253"/>
      <c r="I422" s="253"/>
      <c r="J422" s="253"/>
      <c r="K422" s="253"/>
      <c r="L422" s="253"/>
      <c r="M422" s="253"/>
      <c r="N422" s="253"/>
      <c r="O422" s="253"/>
      <c r="P422" s="253"/>
      <c r="Q422" s="253"/>
    </row>
    <row r="423" spans="1:17">
      <c r="A423" s="253"/>
      <c r="B423" s="253"/>
      <c r="C423" s="253"/>
      <c r="D423" s="253"/>
      <c r="E423" s="253"/>
      <c r="F423" s="253"/>
      <c r="G423" s="253"/>
      <c r="H423" s="253"/>
      <c r="I423" s="253"/>
      <c r="J423" s="253"/>
      <c r="K423" s="253"/>
      <c r="L423" s="253"/>
      <c r="M423" s="253"/>
      <c r="N423" s="253"/>
      <c r="O423" s="253"/>
      <c r="P423" s="253"/>
      <c r="Q423" s="253"/>
    </row>
    <row r="424" spans="1:17">
      <c r="A424" s="253"/>
      <c r="B424" s="253"/>
      <c r="C424" s="253"/>
      <c r="D424" s="253"/>
      <c r="E424" s="253"/>
      <c r="F424" s="253"/>
      <c r="G424" s="253"/>
      <c r="H424" s="253"/>
      <c r="I424" s="253"/>
      <c r="J424" s="253"/>
      <c r="K424" s="253"/>
      <c r="L424" s="253"/>
      <c r="M424" s="253"/>
      <c r="N424" s="253"/>
      <c r="O424" s="253"/>
      <c r="P424" s="253"/>
      <c r="Q424" s="253"/>
    </row>
    <row r="425" spans="1:17">
      <c r="A425" s="253"/>
      <c r="B425" s="253"/>
      <c r="C425" s="253"/>
      <c r="D425" s="253"/>
      <c r="E425" s="253"/>
      <c r="F425" s="253"/>
      <c r="G425" s="253"/>
      <c r="H425" s="253"/>
      <c r="I425" s="253"/>
      <c r="J425" s="253"/>
      <c r="K425" s="253"/>
      <c r="L425" s="253"/>
      <c r="M425" s="253"/>
      <c r="N425" s="253"/>
      <c r="O425" s="253"/>
      <c r="P425" s="253"/>
      <c r="Q425" s="253"/>
    </row>
    <row r="426" spans="1:17">
      <c r="A426" s="253"/>
      <c r="B426" s="253"/>
      <c r="C426" s="253"/>
      <c r="D426" s="253"/>
      <c r="E426" s="253"/>
      <c r="F426" s="253"/>
      <c r="G426" s="253"/>
      <c r="H426" s="253"/>
      <c r="I426" s="253"/>
      <c r="J426" s="253"/>
      <c r="K426" s="253"/>
      <c r="L426" s="253"/>
      <c r="M426" s="253"/>
      <c r="N426" s="253"/>
      <c r="O426" s="253"/>
      <c r="P426" s="253"/>
      <c r="Q426" s="253"/>
    </row>
    <row r="427" spans="1:17">
      <c r="A427" s="253"/>
      <c r="B427" s="253"/>
      <c r="C427" s="253"/>
      <c r="D427" s="253"/>
      <c r="E427" s="253"/>
      <c r="F427" s="253"/>
      <c r="G427" s="253"/>
      <c r="H427" s="253"/>
      <c r="I427" s="253"/>
      <c r="J427" s="253"/>
      <c r="K427" s="253"/>
      <c r="L427" s="253"/>
      <c r="M427" s="253"/>
      <c r="N427" s="253"/>
      <c r="O427" s="253"/>
      <c r="P427" s="253"/>
      <c r="Q427" s="253"/>
    </row>
    <row r="428" spans="1:17">
      <c r="A428" s="253"/>
      <c r="B428" s="253"/>
      <c r="C428" s="253"/>
      <c r="D428" s="253"/>
      <c r="E428" s="253"/>
      <c r="F428" s="253"/>
      <c r="G428" s="253"/>
      <c r="H428" s="253"/>
      <c r="I428" s="253"/>
      <c r="J428" s="253"/>
      <c r="K428" s="253"/>
      <c r="L428" s="253"/>
      <c r="M428" s="253"/>
      <c r="N428" s="253"/>
      <c r="O428" s="253"/>
      <c r="P428" s="253"/>
      <c r="Q428" s="253"/>
    </row>
    <row r="429" spans="1:17">
      <c r="A429" s="253"/>
      <c r="B429" s="253"/>
      <c r="C429" s="253"/>
      <c r="D429" s="253"/>
      <c r="E429" s="253"/>
      <c r="F429" s="253"/>
      <c r="G429" s="253"/>
      <c r="H429" s="253"/>
      <c r="I429" s="253"/>
      <c r="J429" s="253"/>
      <c r="K429" s="253"/>
      <c r="L429" s="253"/>
      <c r="M429" s="253"/>
      <c r="N429" s="253"/>
      <c r="O429" s="253"/>
      <c r="P429" s="253"/>
      <c r="Q429" s="253"/>
    </row>
    <row r="430" spans="1:17">
      <c r="A430" s="253"/>
      <c r="B430" s="253"/>
      <c r="C430" s="253"/>
      <c r="D430" s="253"/>
      <c r="E430" s="253"/>
      <c r="F430" s="253"/>
      <c r="G430" s="253"/>
      <c r="H430" s="253"/>
      <c r="I430" s="253"/>
      <c r="J430" s="253"/>
      <c r="K430" s="253"/>
      <c r="L430" s="253"/>
      <c r="M430" s="253"/>
      <c r="N430" s="253"/>
      <c r="O430" s="253"/>
      <c r="P430" s="253"/>
      <c r="Q430" s="253"/>
    </row>
    <row r="431" spans="1:17">
      <c r="A431" s="253"/>
      <c r="B431" s="253"/>
      <c r="C431" s="253"/>
      <c r="D431" s="253"/>
      <c r="E431" s="253"/>
      <c r="F431" s="253"/>
      <c r="G431" s="253"/>
      <c r="H431" s="253"/>
      <c r="I431" s="253"/>
      <c r="J431" s="253"/>
      <c r="K431" s="253"/>
      <c r="L431" s="253"/>
      <c r="M431" s="253"/>
      <c r="N431" s="253"/>
      <c r="O431" s="253"/>
      <c r="P431" s="253"/>
      <c r="Q431" s="253"/>
    </row>
    <row r="432" spans="1:17">
      <c r="A432" s="253"/>
      <c r="B432" s="253"/>
      <c r="C432" s="253"/>
      <c r="D432" s="253"/>
      <c r="E432" s="253"/>
      <c r="F432" s="253"/>
      <c r="G432" s="253"/>
      <c r="H432" s="253"/>
      <c r="I432" s="253"/>
      <c r="J432" s="253"/>
      <c r="K432" s="253"/>
      <c r="L432" s="253"/>
      <c r="M432" s="253"/>
      <c r="N432" s="253"/>
      <c r="O432" s="253"/>
      <c r="P432" s="253"/>
      <c r="Q432" s="253"/>
    </row>
    <row r="433" spans="1:17">
      <c r="A433" s="253"/>
      <c r="B433" s="253"/>
      <c r="C433" s="253"/>
      <c r="D433" s="253"/>
      <c r="E433" s="253"/>
      <c r="F433" s="253"/>
      <c r="G433" s="253"/>
      <c r="H433" s="253"/>
      <c r="I433" s="253"/>
      <c r="J433" s="253"/>
      <c r="K433" s="253"/>
      <c r="L433" s="253"/>
      <c r="M433" s="253"/>
      <c r="N433" s="253"/>
      <c r="O433" s="253"/>
      <c r="P433" s="253"/>
      <c r="Q433" s="253"/>
    </row>
    <row r="434" spans="1:17">
      <c r="A434" s="253"/>
      <c r="B434" s="253"/>
      <c r="C434" s="253"/>
      <c r="D434" s="253"/>
      <c r="E434" s="253"/>
      <c r="F434" s="253"/>
      <c r="G434" s="253"/>
      <c r="H434" s="253"/>
      <c r="I434" s="253"/>
      <c r="J434" s="253"/>
      <c r="K434" s="253"/>
      <c r="L434" s="253"/>
      <c r="M434" s="253"/>
      <c r="N434" s="253"/>
      <c r="O434" s="253"/>
      <c r="P434" s="253"/>
      <c r="Q434" s="253"/>
    </row>
    <row r="435" spans="1:17">
      <c r="A435" s="253"/>
      <c r="B435" s="253"/>
      <c r="C435" s="253"/>
      <c r="D435" s="253"/>
      <c r="E435" s="253"/>
      <c r="F435" s="253"/>
      <c r="G435" s="253"/>
      <c r="H435" s="253"/>
      <c r="I435" s="253"/>
      <c r="J435" s="253"/>
      <c r="K435" s="253"/>
      <c r="L435" s="253"/>
      <c r="M435" s="253"/>
      <c r="N435" s="253"/>
      <c r="O435" s="253"/>
      <c r="P435" s="253"/>
      <c r="Q435" s="253"/>
    </row>
    <row r="436" spans="1:17">
      <c r="A436" s="253"/>
      <c r="B436" s="253"/>
      <c r="C436" s="253"/>
      <c r="D436" s="253"/>
      <c r="E436" s="253"/>
      <c r="F436" s="253"/>
      <c r="G436" s="253"/>
      <c r="H436" s="253"/>
      <c r="I436" s="253"/>
      <c r="J436" s="253"/>
      <c r="K436" s="253"/>
      <c r="L436" s="253"/>
      <c r="M436" s="253"/>
      <c r="N436" s="253"/>
      <c r="O436" s="253"/>
      <c r="P436" s="253"/>
      <c r="Q436" s="253"/>
    </row>
    <row r="437" spans="1:17">
      <c r="A437" s="253"/>
      <c r="B437" s="253"/>
      <c r="C437" s="253"/>
      <c r="D437" s="253"/>
      <c r="E437" s="253"/>
      <c r="F437" s="253"/>
      <c r="G437" s="253"/>
      <c r="H437" s="253"/>
      <c r="I437" s="253"/>
      <c r="J437" s="253"/>
      <c r="K437" s="253"/>
      <c r="L437" s="253"/>
      <c r="M437" s="253"/>
      <c r="N437" s="253"/>
      <c r="O437" s="253"/>
      <c r="P437" s="253"/>
      <c r="Q437" s="253"/>
    </row>
    <row r="438" spans="1:17">
      <c r="A438" s="253"/>
      <c r="B438" s="253"/>
      <c r="C438" s="253"/>
      <c r="D438" s="253"/>
      <c r="E438" s="253"/>
      <c r="F438" s="253"/>
      <c r="G438" s="253"/>
      <c r="H438" s="253"/>
      <c r="I438" s="253"/>
      <c r="J438" s="253"/>
      <c r="K438" s="253"/>
      <c r="L438" s="253"/>
      <c r="M438" s="253"/>
      <c r="N438" s="253"/>
      <c r="O438" s="253"/>
      <c r="P438" s="253"/>
      <c r="Q438" s="253"/>
    </row>
    <row r="439" spans="1:17">
      <c r="A439" s="253"/>
      <c r="B439" s="253"/>
      <c r="C439" s="253"/>
      <c r="D439" s="253"/>
      <c r="E439" s="253"/>
      <c r="F439" s="253"/>
      <c r="G439" s="253"/>
      <c r="H439" s="253"/>
      <c r="I439" s="253"/>
      <c r="J439" s="253"/>
      <c r="K439" s="253"/>
      <c r="L439" s="253"/>
      <c r="M439" s="253"/>
      <c r="N439" s="253"/>
      <c r="O439" s="253"/>
      <c r="P439" s="253"/>
      <c r="Q439" s="253"/>
    </row>
    <row r="440" spans="1:17">
      <c r="A440" s="253"/>
      <c r="B440" s="253"/>
      <c r="C440" s="253"/>
      <c r="D440" s="253"/>
      <c r="E440" s="253"/>
      <c r="F440" s="253"/>
      <c r="G440" s="253"/>
      <c r="H440" s="253"/>
      <c r="I440" s="253"/>
      <c r="J440" s="253"/>
      <c r="K440" s="253"/>
      <c r="L440" s="253"/>
      <c r="M440" s="253"/>
      <c r="N440" s="253"/>
      <c r="O440" s="253"/>
      <c r="P440" s="253"/>
      <c r="Q440" s="253"/>
    </row>
    <row r="441" spans="1:17">
      <c r="A441" s="253"/>
      <c r="B441" s="253"/>
      <c r="C441" s="253"/>
      <c r="D441" s="253"/>
      <c r="E441" s="253"/>
      <c r="F441" s="253"/>
      <c r="G441" s="253"/>
      <c r="H441" s="253"/>
      <c r="I441" s="253"/>
      <c r="J441" s="253"/>
      <c r="K441" s="253"/>
      <c r="L441" s="253"/>
      <c r="M441" s="253"/>
      <c r="N441" s="253"/>
      <c r="O441" s="253"/>
      <c r="P441" s="253"/>
      <c r="Q441" s="253"/>
    </row>
    <row r="442" spans="1:17">
      <c r="A442" s="253"/>
      <c r="B442" s="253"/>
      <c r="C442" s="253"/>
      <c r="D442" s="253"/>
      <c r="E442" s="253"/>
      <c r="F442" s="253"/>
      <c r="G442" s="253"/>
      <c r="H442" s="253"/>
      <c r="I442" s="253"/>
      <c r="J442" s="253"/>
      <c r="K442" s="253"/>
      <c r="L442" s="253"/>
      <c r="M442" s="253"/>
      <c r="N442" s="253"/>
      <c r="O442" s="253"/>
      <c r="P442" s="253"/>
      <c r="Q442" s="253"/>
    </row>
    <row r="443" spans="1:17">
      <c r="A443" s="253"/>
      <c r="B443" s="253"/>
      <c r="C443" s="253"/>
      <c r="D443" s="253"/>
      <c r="E443" s="253"/>
      <c r="F443" s="253"/>
      <c r="G443" s="253"/>
      <c r="H443" s="253"/>
      <c r="I443" s="253"/>
      <c r="J443" s="253"/>
      <c r="K443" s="253"/>
      <c r="L443" s="253"/>
      <c r="M443" s="253"/>
      <c r="N443" s="253"/>
      <c r="O443" s="253"/>
      <c r="P443" s="253"/>
      <c r="Q443" s="253"/>
    </row>
    <row r="444" spans="1:17">
      <c r="A444" s="253"/>
      <c r="B444" s="253"/>
      <c r="C444" s="253"/>
      <c r="D444" s="253"/>
      <c r="E444" s="253"/>
      <c r="F444" s="253"/>
      <c r="G444" s="253"/>
      <c r="H444" s="253"/>
      <c r="I444" s="253"/>
      <c r="J444" s="253"/>
      <c r="K444" s="253"/>
      <c r="L444" s="253"/>
      <c r="M444" s="253"/>
      <c r="N444" s="253"/>
      <c r="O444" s="253"/>
      <c r="P444" s="253"/>
      <c r="Q444" s="253"/>
    </row>
    <row r="445" spans="1:17">
      <c r="A445" s="253"/>
      <c r="B445" s="253"/>
      <c r="C445" s="253"/>
      <c r="D445" s="253"/>
      <c r="E445" s="253"/>
      <c r="F445" s="253"/>
      <c r="G445" s="253"/>
      <c r="H445" s="253"/>
      <c r="I445" s="253"/>
      <c r="J445" s="253"/>
      <c r="K445" s="253"/>
      <c r="L445" s="253"/>
      <c r="M445" s="253"/>
      <c r="N445" s="253"/>
      <c r="O445" s="253"/>
      <c r="P445" s="253"/>
      <c r="Q445" s="253"/>
    </row>
    <row r="446" spans="1:17">
      <c r="A446" s="253"/>
      <c r="B446" s="253"/>
      <c r="C446" s="253"/>
      <c r="D446" s="253"/>
      <c r="E446" s="253"/>
      <c r="F446" s="253"/>
      <c r="G446" s="253"/>
      <c r="H446" s="253"/>
      <c r="I446" s="253"/>
      <c r="J446" s="253"/>
      <c r="K446" s="253"/>
      <c r="L446" s="253"/>
      <c r="M446" s="253"/>
      <c r="N446" s="253"/>
      <c r="O446" s="253"/>
      <c r="P446" s="253"/>
      <c r="Q446" s="253"/>
    </row>
    <row r="447" spans="1:17">
      <c r="A447" s="253"/>
      <c r="B447" s="253"/>
      <c r="C447" s="253"/>
      <c r="D447" s="253"/>
      <c r="E447" s="253"/>
      <c r="F447" s="253"/>
      <c r="G447" s="253"/>
      <c r="H447" s="253"/>
      <c r="I447" s="253"/>
      <c r="J447" s="253"/>
      <c r="K447" s="253"/>
      <c r="L447" s="253"/>
      <c r="M447" s="253"/>
      <c r="N447" s="253"/>
      <c r="O447" s="253"/>
      <c r="P447" s="253"/>
      <c r="Q447" s="253"/>
    </row>
    <row r="448" spans="1:17">
      <c r="A448" s="253"/>
      <c r="B448" s="253"/>
      <c r="C448" s="253"/>
      <c r="D448" s="253"/>
      <c r="E448" s="253"/>
      <c r="F448" s="253"/>
      <c r="G448" s="253"/>
      <c r="H448" s="253"/>
      <c r="I448" s="253"/>
      <c r="J448" s="253"/>
      <c r="K448" s="253"/>
      <c r="L448" s="253"/>
      <c r="M448" s="253"/>
      <c r="N448" s="253"/>
      <c r="O448" s="253"/>
      <c r="P448" s="253"/>
      <c r="Q448" s="253"/>
    </row>
    <row r="449" spans="1:17">
      <c r="A449" s="253"/>
      <c r="B449" s="253"/>
      <c r="C449" s="253"/>
      <c r="D449" s="253"/>
      <c r="E449" s="253"/>
      <c r="F449" s="253"/>
      <c r="G449" s="253"/>
      <c r="H449" s="253"/>
      <c r="I449" s="253"/>
      <c r="J449" s="253"/>
      <c r="K449" s="253"/>
      <c r="L449" s="253"/>
      <c r="M449" s="253"/>
      <c r="N449" s="253"/>
      <c r="O449" s="253"/>
      <c r="P449" s="253"/>
      <c r="Q449" s="253"/>
    </row>
    <row r="450" spans="1:17">
      <c r="A450" s="253"/>
      <c r="B450" s="253"/>
      <c r="C450" s="253"/>
      <c r="D450" s="253"/>
      <c r="E450" s="253"/>
      <c r="F450" s="253"/>
      <c r="G450" s="253"/>
      <c r="H450" s="253"/>
      <c r="I450" s="253"/>
      <c r="J450" s="253"/>
      <c r="K450" s="253"/>
      <c r="L450" s="253"/>
      <c r="M450" s="253"/>
      <c r="N450" s="253"/>
      <c r="O450" s="253"/>
      <c r="P450" s="253"/>
      <c r="Q450" s="253"/>
    </row>
    <row r="451" spans="1:17">
      <c r="A451" s="253"/>
      <c r="B451" s="253"/>
      <c r="C451" s="253"/>
      <c r="D451" s="253"/>
      <c r="E451" s="253"/>
      <c r="F451" s="253"/>
      <c r="G451" s="253"/>
      <c r="H451" s="253"/>
      <c r="I451" s="253"/>
      <c r="J451" s="253"/>
      <c r="K451" s="253"/>
      <c r="L451" s="253"/>
      <c r="M451" s="253"/>
      <c r="N451" s="253"/>
      <c r="O451" s="253"/>
      <c r="P451" s="253"/>
      <c r="Q451" s="253"/>
    </row>
    <row r="452" spans="1:17">
      <c r="A452" s="253"/>
      <c r="B452" s="253"/>
      <c r="C452" s="253"/>
      <c r="D452" s="253"/>
      <c r="E452" s="253"/>
      <c r="F452" s="253"/>
      <c r="G452" s="253"/>
      <c r="H452" s="253"/>
      <c r="I452" s="253"/>
      <c r="J452" s="253"/>
      <c r="K452" s="253"/>
      <c r="L452" s="253"/>
      <c r="M452" s="253"/>
      <c r="N452" s="253"/>
      <c r="O452" s="253"/>
      <c r="P452" s="253"/>
      <c r="Q452" s="253"/>
    </row>
    <row r="453" spans="1:17">
      <c r="A453" s="253"/>
      <c r="B453" s="253"/>
      <c r="C453" s="253"/>
      <c r="D453" s="253"/>
      <c r="E453" s="253"/>
      <c r="F453" s="253"/>
      <c r="G453" s="253"/>
      <c r="H453" s="253"/>
      <c r="I453" s="253"/>
      <c r="J453" s="253"/>
      <c r="K453" s="253"/>
      <c r="L453" s="253"/>
      <c r="M453" s="253"/>
      <c r="N453" s="253"/>
      <c r="O453" s="253"/>
      <c r="P453" s="253"/>
      <c r="Q453" s="253"/>
    </row>
    <row r="454" spans="1:17">
      <c r="A454" s="253"/>
      <c r="B454" s="253"/>
      <c r="C454" s="253"/>
      <c r="D454" s="253"/>
      <c r="E454" s="253"/>
      <c r="F454" s="253"/>
      <c r="G454" s="253"/>
      <c r="H454" s="253"/>
      <c r="I454" s="253"/>
      <c r="J454" s="253"/>
      <c r="K454" s="253"/>
      <c r="L454" s="253"/>
      <c r="M454" s="253"/>
      <c r="N454" s="253"/>
      <c r="O454" s="253"/>
      <c r="P454" s="253"/>
      <c r="Q454" s="253"/>
    </row>
    <row r="455" spans="1:17">
      <c r="A455" s="253"/>
      <c r="B455" s="253"/>
      <c r="C455" s="253"/>
      <c r="D455" s="253"/>
      <c r="E455" s="253"/>
      <c r="F455" s="253"/>
      <c r="G455" s="253"/>
      <c r="H455" s="253"/>
      <c r="I455" s="253"/>
      <c r="J455" s="253"/>
      <c r="K455" s="253"/>
      <c r="L455" s="253"/>
      <c r="M455" s="253"/>
      <c r="N455" s="253"/>
      <c r="O455" s="253"/>
      <c r="P455" s="253"/>
      <c r="Q455" s="253"/>
    </row>
    <row r="456" spans="1:17">
      <c r="A456" s="253"/>
      <c r="B456" s="253"/>
      <c r="C456" s="253"/>
      <c r="D456" s="253"/>
      <c r="E456" s="253"/>
      <c r="F456" s="253"/>
      <c r="G456" s="253"/>
      <c r="H456" s="253"/>
      <c r="I456" s="253"/>
      <c r="J456" s="253"/>
      <c r="K456" s="253"/>
      <c r="L456" s="253"/>
      <c r="M456" s="253"/>
      <c r="N456" s="253"/>
      <c r="O456" s="253"/>
      <c r="P456" s="253"/>
      <c r="Q456" s="253"/>
    </row>
    <row r="457" spans="1:17">
      <c r="A457" s="253"/>
      <c r="B457" s="253"/>
      <c r="C457" s="253"/>
      <c r="D457" s="253"/>
      <c r="E457" s="253"/>
      <c r="F457" s="253"/>
      <c r="G457" s="253"/>
      <c r="H457" s="253"/>
      <c r="I457" s="253"/>
      <c r="J457" s="253"/>
      <c r="K457" s="253"/>
      <c r="L457" s="253"/>
      <c r="M457" s="253"/>
      <c r="N457" s="253"/>
      <c r="O457" s="253"/>
      <c r="P457" s="253"/>
      <c r="Q457" s="253"/>
    </row>
    <row r="458" spans="1:17">
      <c r="A458" s="253"/>
      <c r="B458" s="253"/>
      <c r="C458" s="253"/>
      <c r="D458" s="253"/>
      <c r="E458" s="253"/>
      <c r="F458" s="253"/>
      <c r="G458" s="253"/>
      <c r="H458" s="253"/>
      <c r="I458" s="253"/>
      <c r="J458" s="253"/>
      <c r="K458" s="253"/>
      <c r="L458" s="253"/>
      <c r="M458" s="253"/>
      <c r="N458" s="253"/>
      <c r="O458" s="253"/>
      <c r="P458" s="253"/>
      <c r="Q458" s="253"/>
    </row>
    <row r="459" spans="1:17">
      <c r="A459" s="253"/>
      <c r="B459" s="253"/>
      <c r="C459" s="253"/>
      <c r="D459" s="253"/>
      <c r="E459" s="253"/>
      <c r="F459" s="253"/>
      <c r="G459" s="253"/>
      <c r="H459" s="253"/>
      <c r="I459" s="253"/>
      <c r="J459" s="253"/>
      <c r="K459" s="253"/>
      <c r="L459" s="253"/>
      <c r="M459" s="253"/>
      <c r="N459" s="253"/>
      <c r="O459" s="253"/>
      <c r="P459" s="253"/>
      <c r="Q459" s="253"/>
    </row>
    <row r="460" spans="1:17">
      <c r="A460" s="253"/>
      <c r="B460" s="253"/>
      <c r="C460" s="253"/>
      <c r="D460" s="253"/>
      <c r="E460" s="253"/>
      <c r="F460" s="253"/>
      <c r="G460" s="253"/>
      <c r="H460" s="253"/>
      <c r="I460" s="253"/>
      <c r="J460" s="253"/>
      <c r="K460" s="253"/>
      <c r="L460" s="253"/>
      <c r="M460" s="253"/>
      <c r="N460" s="253"/>
      <c r="O460" s="253"/>
      <c r="P460" s="253"/>
      <c r="Q460" s="253"/>
    </row>
    <row r="461" spans="1:17">
      <c r="A461" s="253"/>
      <c r="B461" s="253"/>
      <c r="C461" s="253"/>
      <c r="D461" s="253"/>
      <c r="E461" s="253"/>
      <c r="F461" s="253"/>
      <c r="G461" s="253"/>
      <c r="H461" s="253"/>
      <c r="I461" s="253"/>
      <c r="J461" s="253"/>
      <c r="K461" s="253"/>
      <c r="L461" s="253"/>
      <c r="M461" s="253"/>
      <c r="N461" s="253"/>
      <c r="O461" s="253"/>
      <c r="P461" s="253"/>
      <c r="Q461" s="253"/>
    </row>
    <row r="462" spans="1:17">
      <c r="A462" s="253"/>
      <c r="B462" s="253"/>
      <c r="C462" s="253"/>
      <c r="D462" s="253"/>
      <c r="E462" s="253"/>
      <c r="F462" s="253"/>
      <c r="G462" s="253"/>
      <c r="H462" s="253"/>
      <c r="I462" s="253"/>
      <c r="J462" s="253"/>
      <c r="K462" s="253"/>
      <c r="L462" s="253"/>
      <c r="M462" s="253"/>
      <c r="N462" s="253"/>
      <c r="O462" s="253"/>
      <c r="P462" s="253"/>
      <c r="Q462" s="253"/>
    </row>
    <row r="463" spans="1:17">
      <c r="A463" s="253"/>
      <c r="B463" s="253"/>
      <c r="C463" s="253"/>
      <c r="D463" s="253"/>
      <c r="E463" s="253"/>
      <c r="F463" s="253"/>
      <c r="G463" s="253"/>
      <c r="H463" s="253"/>
      <c r="I463" s="253"/>
      <c r="J463" s="253"/>
      <c r="K463" s="253"/>
      <c r="L463" s="253"/>
      <c r="M463" s="253"/>
      <c r="N463" s="253"/>
      <c r="O463" s="253"/>
      <c r="P463" s="253"/>
      <c r="Q463" s="253"/>
    </row>
    <row r="464" spans="1:17">
      <c r="A464" s="253"/>
      <c r="B464" s="253"/>
      <c r="C464" s="253"/>
      <c r="D464" s="253"/>
      <c r="E464" s="253"/>
      <c r="F464" s="253"/>
      <c r="G464" s="253"/>
      <c r="H464" s="253"/>
      <c r="I464" s="253"/>
      <c r="J464" s="253"/>
      <c r="K464" s="253"/>
      <c r="L464" s="253"/>
      <c r="M464" s="253"/>
      <c r="N464" s="253"/>
      <c r="O464" s="253"/>
      <c r="P464" s="253"/>
      <c r="Q464" s="253"/>
    </row>
    <row r="465" spans="1:17">
      <c r="A465" s="253"/>
      <c r="B465" s="253"/>
      <c r="C465" s="253"/>
      <c r="D465" s="253"/>
      <c r="E465" s="253"/>
      <c r="F465" s="253"/>
      <c r="G465" s="253"/>
      <c r="H465" s="253"/>
      <c r="I465" s="253"/>
      <c r="J465" s="253"/>
      <c r="K465" s="253"/>
      <c r="L465" s="253"/>
      <c r="M465" s="253"/>
      <c r="N465" s="253"/>
      <c r="O465" s="253"/>
      <c r="P465" s="253"/>
      <c r="Q465" s="253"/>
    </row>
    <row r="466" spans="1:17">
      <c r="A466" s="253"/>
      <c r="B466" s="253"/>
      <c r="C466" s="253"/>
      <c r="D466" s="253"/>
      <c r="E466" s="253"/>
      <c r="F466" s="253"/>
      <c r="G466" s="253"/>
      <c r="H466" s="253"/>
      <c r="I466" s="253"/>
      <c r="J466" s="253"/>
      <c r="K466" s="253"/>
      <c r="L466" s="253"/>
      <c r="M466" s="253"/>
      <c r="N466" s="253"/>
      <c r="O466" s="253"/>
      <c r="P466" s="253"/>
      <c r="Q466" s="253"/>
    </row>
    <row r="467" spans="1:17">
      <c r="A467" s="253"/>
      <c r="B467" s="253"/>
      <c r="C467" s="253"/>
      <c r="D467" s="253"/>
      <c r="E467" s="253"/>
      <c r="F467" s="253"/>
      <c r="G467" s="253"/>
      <c r="H467" s="253"/>
      <c r="I467" s="253"/>
      <c r="J467" s="253"/>
      <c r="K467" s="253"/>
      <c r="L467" s="253"/>
      <c r="M467" s="253"/>
      <c r="N467" s="253"/>
      <c r="O467" s="253"/>
      <c r="P467" s="253"/>
      <c r="Q467" s="253"/>
    </row>
    <row r="468" spans="1:17">
      <c r="A468" s="253"/>
      <c r="B468" s="253"/>
      <c r="C468" s="253"/>
      <c r="D468" s="253"/>
      <c r="E468" s="253"/>
      <c r="F468" s="253"/>
      <c r="G468" s="253"/>
      <c r="H468" s="253"/>
      <c r="I468" s="253"/>
      <c r="J468" s="253"/>
      <c r="K468" s="253"/>
      <c r="L468" s="253"/>
      <c r="M468" s="253"/>
      <c r="N468" s="253"/>
      <c r="O468" s="253"/>
      <c r="P468" s="253"/>
      <c r="Q468" s="253"/>
    </row>
    <row r="469" spans="1:17">
      <c r="A469" s="253"/>
      <c r="B469" s="253"/>
      <c r="C469" s="253"/>
      <c r="D469" s="253"/>
      <c r="E469" s="253"/>
      <c r="F469" s="253"/>
      <c r="G469" s="253"/>
      <c r="H469" s="253"/>
      <c r="I469" s="253"/>
      <c r="J469" s="253"/>
      <c r="K469" s="253"/>
      <c r="L469" s="253"/>
      <c r="M469" s="253"/>
      <c r="N469" s="253"/>
      <c r="O469" s="253"/>
      <c r="P469" s="253"/>
      <c r="Q469" s="253"/>
    </row>
    <row r="470" spans="1:17">
      <c r="A470" s="253"/>
      <c r="B470" s="253"/>
      <c r="C470" s="253"/>
      <c r="D470" s="253"/>
      <c r="E470" s="253"/>
      <c r="F470" s="253"/>
      <c r="G470" s="253"/>
      <c r="H470" s="253"/>
      <c r="I470" s="253"/>
      <c r="J470" s="253"/>
      <c r="K470" s="253"/>
      <c r="L470" s="253"/>
      <c r="M470" s="253"/>
      <c r="N470" s="253"/>
      <c r="O470" s="253"/>
      <c r="P470" s="253"/>
      <c r="Q470" s="253"/>
    </row>
    <row r="471" spans="1:17">
      <c r="A471" s="253"/>
      <c r="B471" s="253"/>
      <c r="C471" s="253"/>
      <c r="D471" s="253"/>
      <c r="E471" s="253"/>
      <c r="F471" s="253"/>
      <c r="G471" s="253"/>
      <c r="H471" s="253"/>
      <c r="I471" s="253"/>
      <c r="J471" s="253"/>
      <c r="K471" s="253"/>
      <c r="L471" s="253"/>
      <c r="M471" s="253"/>
      <c r="N471" s="253"/>
      <c r="O471" s="253"/>
      <c r="P471" s="253"/>
      <c r="Q471" s="253"/>
    </row>
    <row r="472" spans="1:17">
      <c r="A472" s="253"/>
      <c r="B472" s="253"/>
      <c r="C472" s="253"/>
      <c r="D472" s="253"/>
      <c r="E472" s="253"/>
      <c r="F472" s="253"/>
      <c r="G472" s="253"/>
      <c r="H472" s="253"/>
      <c r="I472" s="253"/>
      <c r="J472" s="253"/>
      <c r="K472" s="253"/>
      <c r="L472" s="253"/>
      <c r="M472" s="253"/>
      <c r="N472" s="253"/>
      <c r="O472" s="253"/>
      <c r="P472" s="253"/>
      <c r="Q472" s="253"/>
    </row>
    <row r="473" spans="1:17">
      <c r="A473" s="253"/>
      <c r="B473" s="253"/>
      <c r="C473" s="253"/>
      <c r="D473" s="253"/>
      <c r="E473" s="253"/>
      <c r="F473" s="253"/>
      <c r="G473" s="253"/>
      <c r="H473" s="253"/>
      <c r="I473" s="253"/>
      <c r="J473" s="253"/>
      <c r="K473" s="253"/>
      <c r="L473" s="253"/>
      <c r="M473" s="253"/>
      <c r="N473" s="253"/>
      <c r="O473" s="253"/>
      <c r="P473" s="253"/>
      <c r="Q473" s="253"/>
    </row>
    <row r="474" spans="1:17">
      <c r="A474" s="253"/>
      <c r="B474" s="253"/>
      <c r="C474" s="253"/>
      <c r="D474" s="253"/>
      <c r="E474" s="253"/>
      <c r="F474" s="253"/>
      <c r="G474" s="253"/>
      <c r="H474" s="253"/>
      <c r="I474" s="253"/>
      <c r="J474" s="253"/>
      <c r="K474" s="253"/>
      <c r="L474" s="253"/>
      <c r="M474" s="253"/>
      <c r="N474" s="253"/>
      <c r="O474" s="253"/>
      <c r="P474" s="253"/>
      <c r="Q474" s="253"/>
    </row>
    <row r="475" spans="1:17">
      <c r="A475" s="253"/>
      <c r="B475" s="253"/>
      <c r="C475" s="253"/>
      <c r="D475" s="253"/>
      <c r="E475" s="253"/>
      <c r="F475" s="253"/>
      <c r="G475" s="253"/>
      <c r="H475" s="253"/>
      <c r="I475" s="253"/>
      <c r="J475" s="253"/>
      <c r="K475" s="253"/>
      <c r="L475" s="253"/>
      <c r="M475" s="253"/>
      <c r="N475" s="253"/>
      <c r="O475" s="253"/>
      <c r="P475" s="253"/>
      <c r="Q475" s="253"/>
    </row>
    <row r="476" spans="1:17">
      <c r="A476" s="253"/>
      <c r="B476" s="253"/>
      <c r="C476" s="253"/>
      <c r="D476" s="253"/>
      <c r="E476" s="253"/>
      <c r="F476" s="253"/>
      <c r="G476" s="253"/>
      <c r="H476" s="253"/>
      <c r="I476" s="253"/>
      <c r="J476" s="253"/>
      <c r="K476" s="253"/>
      <c r="L476" s="253"/>
      <c r="M476" s="253"/>
      <c r="N476" s="253"/>
      <c r="O476" s="253"/>
      <c r="P476" s="253"/>
      <c r="Q476" s="253"/>
    </row>
    <row r="477" spans="1:17">
      <c r="A477" s="253"/>
      <c r="B477" s="253"/>
      <c r="C477" s="253"/>
      <c r="D477" s="253"/>
      <c r="E477" s="253"/>
      <c r="F477" s="253"/>
      <c r="G477" s="253"/>
      <c r="H477" s="253"/>
      <c r="I477" s="253"/>
      <c r="J477" s="253"/>
      <c r="K477" s="253"/>
      <c r="L477" s="253"/>
      <c r="M477" s="253"/>
      <c r="N477" s="253"/>
      <c r="O477" s="253"/>
      <c r="P477" s="253"/>
      <c r="Q477" s="253"/>
    </row>
    <row r="478" spans="1:17">
      <c r="A478" s="253"/>
      <c r="B478" s="253"/>
      <c r="C478" s="253"/>
      <c r="D478" s="253"/>
      <c r="E478" s="253"/>
      <c r="F478" s="253"/>
      <c r="G478" s="253"/>
      <c r="H478" s="253"/>
      <c r="I478" s="253"/>
      <c r="J478" s="253"/>
      <c r="K478" s="253"/>
      <c r="L478" s="253"/>
      <c r="M478" s="253"/>
      <c r="N478" s="253"/>
      <c r="O478" s="253"/>
      <c r="P478" s="253"/>
      <c r="Q478" s="253"/>
    </row>
    <row r="479" spans="1:17">
      <c r="A479" s="253"/>
      <c r="B479" s="253"/>
      <c r="C479" s="253"/>
      <c r="D479" s="253"/>
      <c r="E479" s="253"/>
      <c r="F479" s="253"/>
      <c r="G479" s="253"/>
      <c r="H479" s="253"/>
      <c r="I479" s="253"/>
      <c r="J479" s="253"/>
      <c r="K479" s="253"/>
      <c r="L479" s="253"/>
      <c r="M479" s="253"/>
      <c r="N479" s="253"/>
      <c r="O479" s="253"/>
      <c r="P479" s="253"/>
      <c r="Q479" s="253"/>
    </row>
    <row r="480" spans="1:17">
      <c r="A480" s="253"/>
      <c r="B480" s="253"/>
      <c r="C480" s="253"/>
      <c r="D480" s="253"/>
      <c r="E480" s="253"/>
      <c r="F480" s="253"/>
      <c r="G480" s="253"/>
      <c r="H480" s="253"/>
      <c r="I480" s="253"/>
      <c r="J480" s="253"/>
      <c r="K480" s="253"/>
      <c r="L480" s="253"/>
      <c r="M480" s="253"/>
      <c r="N480" s="253"/>
      <c r="O480" s="253"/>
      <c r="P480" s="253"/>
      <c r="Q480" s="253"/>
    </row>
    <row r="481" spans="1:17">
      <c r="A481" s="253"/>
      <c r="B481" s="253"/>
      <c r="C481" s="253"/>
      <c r="D481" s="253"/>
      <c r="E481" s="253"/>
      <c r="F481" s="253"/>
      <c r="G481" s="253"/>
      <c r="H481" s="253"/>
      <c r="I481" s="253"/>
      <c r="J481" s="253"/>
      <c r="K481" s="253"/>
      <c r="L481" s="253"/>
      <c r="M481" s="253"/>
      <c r="N481" s="253"/>
      <c r="O481" s="253"/>
      <c r="P481" s="253"/>
      <c r="Q481" s="253"/>
    </row>
    <row r="482" spans="1:17">
      <c r="A482" s="253"/>
      <c r="B482" s="253"/>
      <c r="C482" s="253"/>
      <c r="D482" s="253"/>
      <c r="E482" s="253"/>
      <c r="F482" s="253"/>
      <c r="G482" s="253"/>
      <c r="H482" s="253"/>
      <c r="I482" s="253"/>
      <c r="J482" s="253"/>
      <c r="K482" s="253"/>
      <c r="L482" s="253"/>
      <c r="M482" s="253"/>
      <c r="N482" s="253"/>
      <c r="O482" s="253"/>
      <c r="P482" s="253"/>
      <c r="Q482" s="253"/>
    </row>
    <row r="483" spans="1:17">
      <c r="A483" s="253"/>
      <c r="B483" s="253"/>
      <c r="C483" s="253"/>
      <c r="D483" s="253"/>
      <c r="E483" s="253"/>
      <c r="F483" s="253"/>
      <c r="G483" s="253"/>
      <c r="H483" s="253"/>
      <c r="I483" s="253"/>
      <c r="J483" s="253"/>
      <c r="K483" s="253"/>
      <c r="L483" s="253"/>
      <c r="M483" s="253"/>
      <c r="N483" s="253"/>
      <c r="O483" s="253"/>
      <c r="P483" s="253"/>
      <c r="Q483" s="253"/>
    </row>
    <row r="484" spans="1:17">
      <c r="A484" s="253"/>
      <c r="B484" s="253"/>
      <c r="C484" s="253"/>
      <c r="D484" s="253"/>
      <c r="E484" s="253"/>
      <c r="F484" s="253"/>
      <c r="G484" s="253"/>
      <c r="H484" s="253"/>
      <c r="I484" s="253"/>
      <c r="J484" s="253"/>
      <c r="K484" s="253"/>
      <c r="L484" s="253"/>
      <c r="M484" s="253"/>
      <c r="N484" s="253"/>
      <c r="O484" s="253"/>
      <c r="P484" s="253"/>
      <c r="Q484" s="253"/>
    </row>
    <row r="485" spans="1:17">
      <c r="A485" s="253"/>
      <c r="B485" s="253"/>
      <c r="C485" s="253"/>
      <c r="D485" s="253"/>
      <c r="E485" s="253"/>
      <c r="F485" s="253"/>
      <c r="G485" s="253"/>
      <c r="H485" s="253"/>
      <c r="I485" s="253"/>
      <c r="J485" s="253"/>
      <c r="K485" s="253"/>
      <c r="L485" s="253"/>
      <c r="M485" s="253"/>
      <c r="N485" s="253"/>
      <c r="O485" s="253"/>
      <c r="P485" s="253"/>
      <c r="Q485" s="253"/>
    </row>
    <row r="486" spans="1:17">
      <c r="A486" s="253"/>
      <c r="B486" s="253"/>
      <c r="C486" s="253"/>
      <c r="D486" s="253"/>
      <c r="E486" s="253"/>
      <c r="F486" s="253"/>
      <c r="G486" s="253"/>
      <c r="H486" s="253"/>
      <c r="I486" s="253"/>
      <c r="J486" s="253"/>
      <c r="K486" s="253"/>
      <c r="L486" s="253"/>
      <c r="M486" s="253"/>
      <c r="N486" s="253"/>
      <c r="O486" s="253"/>
      <c r="P486" s="253"/>
      <c r="Q486" s="253"/>
    </row>
    <row r="487" spans="1:17">
      <c r="A487" s="253"/>
      <c r="B487" s="253"/>
      <c r="C487" s="253"/>
      <c r="D487" s="253"/>
      <c r="E487" s="253"/>
      <c r="F487" s="253"/>
      <c r="G487" s="253"/>
      <c r="H487" s="253"/>
      <c r="I487" s="253"/>
      <c r="J487" s="253"/>
      <c r="K487" s="253"/>
      <c r="L487" s="253"/>
      <c r="M487" s="253"/>
      <c r="N487" s="253"/>
      <c r="O487" s="253"/>
      <c r="P487" s="253"/>
      <c r="Q487" s="253"/>
    </row>
    <row r="488" spans="1:17">
      <c r="A488" s="253"/>
      <c r="B488" s="253"/>
      <c r="C488" s="253"/>
      <c r="D488" s="253"/>
      <c r="E488" s="253"/>
      <c r="F488" s="253"/>
      <c r="G488" s="253"/>
      <c r="H488" s="253"/>
      <c r="I488" s="253"/>
      <c r="J488" s="253"/>
      <c r="K488" s="253"/>
      <c r="L488" s="253"/>
      <c r="M488" s="253"/>
      <c r="N488" s="253"/>
      <c r="O488" s="253"/>
      <c r="P488" s="253"/>
      <c r="Q488" s="253"/>
    </row>
    <row r="489" spans="1:17">
      <c r="A489" s="253"/>
      <c r="B489" s="253"/>
      <c r="C489" s="253"/>
      <c r="D489" s="253"/>
      <c r="E489" s="253"/>
      <c r="F489" s="253"/>
      <c r="G489" s="253"/>
      <c r="H489" s="253"/>
      <c r="I489" s="253"/>
      <c r="J489" s="253"/>
      <c r="K489" s="253"/>
      <c r="L489" s="253"/>
      <c r="M489" s="253"/>
      <c r="N489" s="253"/>
      <c r="O489" s="253"/>
      <c r="P489" s="253"/>
      <c r="Q489" s="253"/>
    </row>
    <row r="490" spans="1:17">
      <c r="A490" s="253"/>
      <c r="B490" s="253"/>
      <c r="C490" s="253"/>
      <c r="D490" s="253"/>
      <c r="E490" s="253"/>
      <c r="F490" s="253"/>
      <c r="G490" s="253"/>
      <c r="H490" s="253"/>
      <c r="I490" s="253"/>
      <c r="J490" s="253"/>
      <c r="K490" s="253"/>
      <c r="L490" s="253"/>
      <c r="M490" s="253"/>
      <c r="N490" s="253"/>
      <c r="O490" s="253"/>
      <c r="P490" s="253"/>
      <c r="Q490" s="253"/>
    </row>
    <row r="491" spans="1:17">
      <c r="A491" s="253"/>
      <c r="B491" s="253"/>
      <c r="C491" s="253"/>
      <c r="D491" s="253"/>
      <c r="E491" s="253"/>
      <c r="F491" s="253"/>
      <c r="G491" s="253"/>
      <c r="H491" s="253"/>
      <c r="I491" s="253"/>
      <c r="J491" s="253"/>
      <c r="K491" s="253"/>
      <c r="L491" s="253"/>
      <c r="M491" s="253"/>
      <c r="N491" s="253"/>
      <c r="O491" s="253"/>
      <c r="P491" s="253"/>
      <c r="Q491" s="253"/>
    </row>
    <row r="492" spans="1:17">
      <c r="A492" s="253"/>
      <c r="B492" s="253"/>
      <c r="C492" s="253"/>
      <c r="D492" s="253"/>
      <c r="E492" s="253"/>
      <c r="F492" s="253"/>
      <c r="G492" s="253"/>
      <c r="H492" s="253"/>
      <c r="I492" s="253"/>
      <c r="J492" s="253"/>
      <c r="K492" s="253"/>
      <c r="L492" s="253"/>
      <c r="M492" s="253"/>
      <c r="N492" s="253"/>
      <c r="O492" s="253"/>
      <c r="P492" s="253"/>
      <c r="Q492" s="253"/>
    </row>
    <row r="493" spans="1:17">
      <c r="A493" s="253"/>
      <c r="B493" s="253"/>
      <c r="C493" s="253"/>
      <c r="D493" s="253"/>
      <c r="E493" s="253"/>
      <c r="F493" s="253"/>
      <c r="G493" s="253"/>
      <c r="H493" s="253"/>
      <c r="I493" s="253"/>
      <c r="J493" s="253"/>
      <c r="K493" s="253"/>
      <c r="L493" s="253"/>
      <c r="M493" s="253"/>
      <c r="N493" s="253"/>
      <c r="O493" s="253"/>
      <c r="P493" s="253"/>
      <c r="Q493" s="253"/>
    </row>
    <row r="494" spans="1:17">
      <c r="A494" s="253"/>
      <c r="B494" s="253"/>
      <c r="C494" s="253"/>
      <c r="D494" s="253"/>
      <c r="E494" s="253"/>
      <c r="F494" s="253"/>
      <c r="G494" s="253"/>
      <c r="H494" s="253"/>
      <c r="I494" s="253"/>
      <c r="J494" s="253"/>
      <c r="K494" s="253"/>
      <c r="L494" s="253"/>
      <c r="M494" s="253"/>
      <c r="N494" s="253"/>
      <c r="O494" s="253"/>
      <c r="P494" s="253"/>
      <c r="Q494" s="253"/>
    </row>
    <row r="495" spans="1:17">
      <c r="A495" s="253"/>
      <c r="B495" s="253"/>
      <c r="C495" s="253"/>
      <c r="D495" s="253"/>
      <c r="E495" s="253"/>
      <c r="F495" s="253"/>
      <c r="G495" s="253"/>
      <c r="H495" s="253"/>
      <c r="I495" s="253"/>
      <c r="J495" s="253"/>
      <c r="K495" s="253"/>
      <c r="L495" s="253"/>
      <c r="M495" s="253"/>
      <c r="N495" s="253"/>
      <c r="O495" s="253"/>
      <c r="P495" s="253"/>
      <c r="Q495" s="253"/>
    </row>
    <row r="496" spans="1:17">
      <c r="A496" s="253"/>
      <c r="B496" s="253"/>
      <c r="C496" s="253"/>
      <c r="D496" s="253"/>
      <c r="E496" s="253"/>
      <c r="F496" s="253"/>
      <c r="G496" s="253"/>
      <c r="H496" s="253"/>
      <c r="I496" s="253"/>
      <c r="J496" s="253"/>
      <c r="K496" s="253"/>
      <c r="L496" s="253"/>
      <c r="M496" s="253"/>
      <c r="N496" s="253"/>
      <c r="O496" s="253"/>
      <c r="P496" s="253"/>
      <c r="Q496" s="253"/>
    </row>
    <row r="497" spans="1:17">
      <c r="A497" s="253"/>
      <c r="B497" s="253"/>
      <c r="C497" s="253"/>
      <c r="D497" s="253"/>
      <c r="E497" s="253"/>
      <c r="F497" s="253"/>
      <c r="G497" s="253"/>
      <c r="H497" s="253"/>
      <c r="I497" s="253"/>
      <c r="J497" s="253"/>
      <c r="K497" s="253"/>
      <c r="L497" s="253"/>
      <c r="M497" s="253"/>
      <c r="N497" s="253"/>
      <c r="O497" s="253"/>
      <c r="P497" s="253"/>
      <c r="Q497" s="253"/>
    </row>
    <row r="498" spans="1:17">
      <c r="A498" s="253"/>
      <c r="B498" s="253"/>
      <c r="C498" s="253"/>
      <c r="D498" s="253"/>
      <c r="E498" s="253"/>
      <c r="F498" s="253"/>
      <c r="G498" s="253"/>
      <c r="H498" s="253"/>
      <c r="I498" s="253"/>
      <c r="J498" s="253"/>
      <c r="K498" s="253"/>
      <c r="L498" s="253"/>
      <c r="M498" s="253"/>
      <c r="N498" s="253"/>
      <c r="O498" s="253"/>
      <c r="P498" s="253"/>
      <c r="Q498" s="253"/>
    </row>
    <row r="499" spans="1:17">
      <c r="A499" s="253"/>
      <c r="B499" s="253"/>
      <c r="C499" s="253"/>
      <c r="D499" s="253"/>
      <c r="E499" s="253"/>
      <c r="F499" s="253"/>
      <c r="G499" s="253"/>
      <c r="H499" s="253"/>
      <c r="I499" s="253"/>
      <c r="J499" s="253"/>
      <c r="K499" s="253"/>
      <c r="L499" s="253"/>
      <c r="M499" s="253"/>
      <c r="N499" s="253"/>
      <c r="O499" s="253"/>
      <c r="P499" s="253"/>
      <c r="Q499" s="253"/>
    </row>
    <row r="500" spans="1:17">
      <c r="A500" s="253"/>
      <c r="B500" s="253"/>
      <c r="C500" s="253"/>
      <c r="D500" s="253"/>
      <c r="E500" s="253"/>
      <c r="F500" s="253"/>
      <c r="G500" s="253"/>
      <c r="H500" s="253"/>
      <c r="I500" s="253"/>
      <c r="J500" s="253"/>
      <c r="K500" s="253"/>
      <c r="L500" s="253"/>
      <c r="M500" s="253"/>
      <c r="N500" s="253"/>
      <c r="O500" s="253"/>
      <c r="P500" s="253"/>
      <c r="Q500" s="253"/>
    </row>
    <row r="501" spans="1:17">
      <c r="A501" s="253"/>
      <c r="B501" s="253"/>
      <c r="C501" s="253"/>
      <c r="D501" s="253"/>
      <c r="E501" s="253"/>
      <c r="F501" s="253"/>
      <c r="G501" s="253"/>
      <c r="H501" s="253"/>
      <c r="I501" s="253"/>
      <c r="J501" s="253"/>
      <c r="K501" s="253"/>
      <c r="L501" s="253"/>
      <c r="M501" s="253"/>
      <c r="N501" s="253"/>
      <c r="O501" s="253"/>
      <c r="P501" s="253"/>
      <c r="Q501" s="253"/>
    </row>
    <row r="502" spans="1:17">
      <c r="A502" s="253"/>
      <c r="B502" s="253"/>
      <c r="C502" s="253"/>
      <c r="D502" s="253"/>
      <c r="E502" s="253"/>
      <c r="F502" s="253"/>
      <c r="G502" s="253"/>
      <c r="H502" s="253"/>
      <c r="I502" s="253"/>
      <c r="J502" s="253"/>
      <c r="K502" s="253"/>
      <c r="L502" s="253"/>
      <c r="M502" s="253"/>
      <c r="N502" s="253"/>
      <c r="O502" s="253"/>
      <c r="P502" s="253"/>
      <c r="Q502" s="253"/>
    </row>
    <row r="503" spans="1:17">
      <c r="A503" s="253"/>
      <c r="B503" s="253"/>
      <c r="C503" s="253"/>
      <c r="D503" s="253"/>
      <c r="E503" s="253"/>
      <c r="F503" s="253"/>
      <c r="G503" s="253"/>
      <c r="H503" s="253"/>
      <c r="I503" s="253"/>
      <c r="J503" s="253"/>
      <c r="K503" s="253"/>
      <c r="L503" s="253"/>
      <c r="M503" s="253"/>
      <c r="N503" s="253"/>
      <c r="O503" s="253"/>
      <c r="P503" s="253"/>
      <c r="Q503" s="253"/>
    </row>
    <row r="504" spans="1:17">
      <c r="A504" s="253"/>
      <c r="B504" s="253"/>
      <c r="C504" s="253"/>
      <c r="D504" s="253"/>
      <c r="E504" s="253"/>
      <c r="F504" s="253"/>
      <c r="G504" s="253"/>
      <c r="H504" s="253"/>
      <c r="I504" s="253"/>
      <c r="J504" s="253"/>
      <c r="K504" s="253"/>
      <c r="L504" s="253"/>
      <c r="M504" s="253"/>
      <c r="N504" s="253"/>
      <c r="O504" s="253"/>
      <c r="P504" s="253"/>
      <c r="Q504" s="253"/>
    </row>
    <row r="505" spans="1:17">
      <c r="A505" s="253"/>
      <c r="B505" s="253"/>
      <c r="C505" s="253"/>
      <c r="D505" s="253"/>
      <c r="E505" s="253"/>
      <c r="F505" s="253"/>
      <c r="G505" s="253"/>
      <c r="H505" s="253"/>
      <c r="I505" s="253"/>
      <c r="J505" s="253"/>
      <c r="K505" s="253"/>
      <c r="L505" s="253"/>
      <c r="M505" s="253"/>
      <c r="N505" s="253"/>
      <c r="O505" s="253"/>
      <c r="P505" s="253"/>
      <c r="Q505" s="253"/>
    </row>
    <row r="506" spans="1:17">
      <c r="A506" s="253"/>
      <c r="B506" s="253"/>
      <c r="C506" s="253"/>
      <c r="D506" s="253"/>
      <c r="E506" s="253"/>
      <c r="F506" s="253"/>
      <c r="G506" s="253"/>
      <c r="H506" s="253"/>
      <c r="I506" s="253"/>
      <c r="J506" s="253"/>
      <c r="K506" s="253"/>
      <c r="L506" s="253"/>
      <c r="M506" s="253"/>
      <c r="N506" s="253"/>
      <c r="O506" s="253"/>
      <c r="P506" s="253"/>
      <c r="Q506" s="253"/>
    </row>
    <row r="507" spans="1:17">
      <c r="A507" s="253"/>
      <c r="B507" s="253"/>
      <c r="C507" s="253"/>
      <c r="D507" s="253"/>
      <c r="E507" s="253"/>
      <c r="F507" s="253"/>
      <c r="G507" s="253"/>
      <c r="H507" s="253"/>
      <c r="I507" s="253"/>
      <c r="J507" s="253"/>
      <c r="K507" s="253"/>
      <c r="L507" s="253"/>
      <c r="M507" s="253"/>
      <c r="N507" s="253"/>
      <c r="O507" s="253"/>
      <c r="P507" s="253"/>
      <c r="Q507" s="253"/>
    </row>
    <row r="508" spans="1:17">
      <c r="A508" s="253"/>
      <c r="B508" s="253"/>
      <c r="C508" s="253"/>
      <c r="D508" s="253"/>
      <c r="E508" s="253"/>
      <c r="F508" s="253"/>
      <c r="G508" s="253"/>
      <c r="H508" s="253"/>
      <c r="I508" s="253"/>
      <c r="J508" s="253"/>
      <c r="K508" s="253"/>
      <c r="L508" s="253"/>
      <c r="M508" s="253"/>
      <c r="N508" s="253"/>
      <c r="O508" s="253"/>
      <c r="P508" s="253"/>
      <c r="Q508" s="253"/>
    </row>
    <row r="509" spans="1:17">
      <c r="A509" s="253"/>
      <c r="B509" s="253"/>
      <c r="C509" s="253"/>
      <c r="D509" s="253"/>
      <c r="E509" s="253"/>
      <c r="F509" s="253"/>
      <c r="G509" s="253"/>
      <c r="H509" s="253"/>
      <c r="I509" s="253"/>
      <c r="J509" s="253"/>
      <c r="K509" s="253"/>
      <c r="L509" s="253"/>
      <c r="M509" s="253"/>
      <c r="N509" s="253"/>
      <c r="O509" s="253"/>
      <c r="P509" s="253"/>
      <c r="Q509" s="253"/>
    </row>
    <row r="510" spans="1:17">
      <c r="A510" s="253"/>
      <c r="B510" s="253"/>
      <c r="C510" s="253"/>
      <c r="D510" s="253"/>
      <c r="E510" s="253"/>
      <c r="F510" s="253"/>
      <c r="G510" s="253"/>
      <c r="H510" s="253"/>
      <c r="I510" s="253"/>
      <c r="J510" s="253"/>
      <c r="K510" s="253"/>
      <c r="L510" s="253"/>
      <c r="M510" s="253"/>
      <c r="N510" s="253"/>
      <c r="O510" s="253"/>
      <c r="P510" s="253"/>
      <c r="Q510" s="253"/>
    </row>
    <row r="511" spans="1:17">
      <c r="A511" s="253"/>
      <c r="B511" s="253"/>
      <c r="C511" s="253"/>
      <c r="D511" s="253"/>
      <c r="E511" s="253"/>
      <c r="F511" s="253"/>
      <c r="G511" s="253"/>
      <c r="H511" s="253"/>
      <c r="I511" s="253"/>
      <c r="J511" s="253"/>
      <c r="K511" s="253"/>
      <c r="L511" s="253"/>
      <c r="M511" s="253"/>
      <c r="N511" s="253"/>
      <c r="O511" s="253"/>
      <c r="P511" s="253"/>
      <c r="Q511" s="253"/>
    </row>
    <row r="512" spans="1:17">
      <c r="A512" s="253"/>
      <c r="B512" s="253"/>
      <c r="C512" s="253"/>
      <c r="D512" s="253"/>
      <c r="E512" s="253"/>
      <c r="F512" s="253"/>
      <c r="G512" s="253"/>
      <c r="H512" s="253"/>
      <c r="I512" s="253"/>
      <c r="J512" s="253"/>
      <c r="K512" s="253"/>
      <c r="L512" s="253"/>
      <c r="M512" s="253"/>
      <c r="N512" s="253"/>
      <c r="O512" s="253"/>
      <c r="P512" s="253"/>
      <c r="Q512" s="253"/>
    </row>
    <row r="513" spans="1:17">
      <c r="A513" s="253"/>
      <c r="B513" s="253"/>
      <c r="C513" s="253"/>
      <c r="D513" s="253"/>
      <c r="E513" s="253"/>
      <c r="F513" s="253"/>
      <c r="G513" s="253"/>
      <c r="H513" s="253"/>
      <c r="I513" s="253"/>
      <c r="J513" s="253"/>
      <c r="K513" s="253"/>
      <c r="L513" s="253"/>
      <c r="M513" s="253"/>
      <c r="N513" s="253"/>
      <c r="O513" s="253"/>
      <c r="P513" s="253"/>
      <c r="Q513" s="253"/>
    </row>
    <row r="514" spans="1:17">
      <c r="A514" s="253"/>
      <c r="B514" s="253"/>
      <c r="C514" s="253"/>
      <c r="D514" s="253"/>
      <c r="E514" s="253"/>
      <c r="F514" s="253"/>
      <c r="G514" s="253"/>
      <c r="H514" s="253"/>
      <c r="I514" s="253"/>
      <c r="J514" s="253"/>
      <c r="K514" s="253"/>
      <c r="L514" s="253"/>
      <c r="M514" s="253"/>
      <c r="N514" s="253"/>
      <c r="O514" s="253"/>
      <c r="P514" s="253"/>
      <c r="Q514" s="253"/>
    </row>
    <row r="515" spans="1:17">
      <c r="A515" s="253"/>
      <c r="B515" s="253"/>
      <c r="C515" s="253"/>
      <c r="D515" s="253"/>
      <c r="E515" s="253"/>
      <c r="F515" s="253"/>
      <c r="G515" s="253"/>
      <c r="H515" s="253"/>
      <c r="I515" s="253"/>
      <c r="J515" s="253"/>
      <c r="K515" s="253"/>
      <c r="L515" s="253"/>
      <c r="M515" s="253"/>
      <c r="N515" s="253"/>
      <c r="O515" s="253"/>
      <c r="P515" s="253"/>
      <c r="Q515" s="253"/>
    </row>
    <row r="516" spans="1:17">
      <c r="A516" s="253"/>
      <c r="B516" s="253"/>
      <c r="C516" s="253"/>
      <c r="D516" s="253"/>
      <c r="E516" s="253"/>
      <c r="F516" s="253"/>
      <c r="G516" s="253"/>
      <c r="H516" s="253"/>
      <c r="I516" s="253"/>
      <c r="J516" s="253"/>
      <c r="K516" s="253"/>
      <c r="L516" s="253"/>
      <c r="M516" s="253"/>
      <c r="N516" s="253"/>
      <c r="O516" s="253"/>
      <c r="P516" s="253"/>
      <c r="Q516" s="253"/>
    </row>
    <row r="517" spans="1:17">
      <c r="A517" s="253"/>
      <c r="B517" s="253"/>
      <c r="C517" s="253"/>
      <c r="D517" s="253"/>
      <c r="E517" s="253"/>
      <c r="F517" s="253"/>
      <c r="G517" s="253"/>
      <c r="H517" s="253"/>
      <c r="I517" s="253"/>
      <c r="J517" s="253"/>
      <c r="K517" s="253"/>
      <c r="L517" s="253"/>
      <c r="M517" s="253"/>
      <c r="N517" s="253"/>
      <c r="O517" s="253"/>
      <c r="P517" s="253"/>
      <c r="Q517" s="253"/>
    </row>
    <row r="518" spans="1:17">
      <c r="A518" s="253"/>
      <c r="B518" s="253"/>
      <c r="C518" s="253"/>
      <c r="D518" s="253"/>
      <c r="E518" s="253"/>
      <c r="F518" s="253"/>
      <c r="G518" s="253"/>
      <c r="H518" s="253"/>
      <c r="I518" s="253"/>
      <c r="J518" s="253"/>
      <c r="K518" s="253"/>
      <c r="L518" s="253"/>
      <c r="M518" s="253"/>
      <c r="N518" s="253"/>
      <c r="O518" s="253"/>
      <c r="P518" s="253"/>
      <c r="Q518" s="253"/>
    </row>
    <row r="519" spans="1:17">
      <c r="A519" s="253"/>
      <c r="B519" s="253"/>
      <c r="C519" s="253"/>
      <c r="D519" s="253"/>
      <c r="E519" s="253"/>
      <c r="F519" s="253"/>
      <c r="G519" s="253"/>
      <c r="H519" s="253"/>
      <c r="I519" s="253"/>
      <c r="J519" s="253"/>
      <c r="K519" s="253"/>
      <c r="L519" s="253"/>
      <c r="M519" s="253"/>
      <c r="N519" s="253"/>
      <c r="O519" s="253"/>
      <c r="P519" s="253"/>
      <c r="Q519" s="253"/>
    </row>
    <row r="520" spans="1:17">
      <c r="A520" s="253"/>
      <c r="B520" s="253"/>
      <c r="C520" s="253"/>
      <c r="D520" s="253"/>
      <c r="E520" s="253"/>
      <c r="F520" s="253"/>
      <c r="G520" s="253"/>
      <c r="H520" s="253"/>
      <c r="I520" s="253"/>
      <c r="J520" s="253"/>
      <c r="K520" s="253"/>
      <c r="L520" s="253"/>
      <c r="M520" s="253"/>
      <c r="N520" s="253"/>
      <c r="O520" s="253"/>
      <c r="P520" s="253"/>
      <c r="Q520" s="253"/>
    </row>
    <row r="521" spans="1:17">
      <c r="A521" s="253"/>
      <c r="B521" s="253"/>
      <c r="C521" s="253"/>
      <c r="D521" s="253"/>
      <c r="E521" s="253"/>
      <c r="F521" s="253"/>
      <c r="G521" s="253"/>
      <c r="H521" s="253"/>
      <c r="I521" s="253"/>
      <c r="J521" s="253"/>
      <c r="K521" s="253"/>
      <c r="L521" s="253"/>
      <c r="M521" s="253"/>
      <c r="N521" s="253"/>
      <c r="O521" s="253"/>
      <c r="P521" s="253"/>
      <c r="Q521" s="253"/>
    </row>
    <row r="522" spans="1:17">
      <c r="A522" s="253"/>
      <c r="B522" s="253"/>
      <c r="C522" s="253"/>
      <c r="D522" s="253"/>
      <c r="E522" s="253"/>
      <c r="F522" s="253"/>
      <c r="G522" s="253"/>
      <c r="H522" s="253"/>
      <c r="I522" s="253"/>
      <c r="J522" s="253"/>
      <c r="K522" s="253"/>
      <c r="L522" s="253"/>
      <c r="M522" s="253"/>
      <c r="N522" s="253"/>
      <c r="O522" s="253"/>
      <c r="P522" s="253"/>
      <c r="Q522" s="253"/>
    </row>
    <row r="523" spans="1:17">
      <c r="A523" s="253"/>
      <c r="B523" s="253"/>
      <c r="C523" s="253"/>
      <c r="D523" s="253"/>
      <c r="E523" s="253"/>
      <c r="F523" s="253"/>
      <c r="G523" s="253"/>
      <c r="H523" s="253"/>
      <c r="I523" s="253"/>
      <c r="J523" s="253"/>
      <c r="K523" s="253"/>
      <c r="L523" s="253"/>
      <c r="M523" s="253"/>
      <c r="N523" s="253"/>
      <c r="O523" s="253"/>
      <c r="P523" s="253"/>
      <c r="Q523" s="253"/>
    </row>
    <row r="524" spans="1:17">
      <c r="A524" s="253"/>
      <c r="B524" s="253"/>
      <c r="C524" s="253"/>
      <c r="D524" s="253"/>
      <c r="E524" s="253"/>
      <c r="F524" s="253"/>
      <c r="G524" s="253"/>
      <c r="H524" s="253"/>
      <c r="I524" s="253"/>
      <c r="J524" s="253"/>
      <c r="K524" s="253"/>
      <c r="L524" s="253"/>
      <c r="M524" s="253"/>
      <c r="N524" s="253"/>
      <c r="O524" s="253"/>
      <c r="P524" s="253"/>
      <c r="Q524" s="253"/>
    </row>
    <row r="525" spans="1:17">
      <c r="A525" s="253"/>
      <c r="B525" s="253"/>
      <c r="C525" s="253"/>
      <c r="D525" s="253"/>
      <c r="E525" s="253"/>
      <c r="F525" s="253"/>
      <c r="G525" s="253"/>
      <c r="H525" s="253"/>
      <c r="I525" s="253"/>
      <c r="J525" s="253"/>
      <c r="K525" s="253"/>
      <c r="L525" s="253"/>
      <c r="M525" s="253"/>
      <c r="N525" s="253"/>
      <c r="O525" s="253"/>
      <c r="P525" s="253"/>
      <c r="Q525" s="253"/>
    </row>
    <row r="526" spans="1:17">
      <c r="A526" s="253"/>
      <c r="B526" s="253"/>
      <c r="C526" s="253"/>
      <c r="D526" s="253"/>
      <c r="E526" s="253"/>
      <c r="F526" s="253"/>
      <c r="G526" s="253"/>
      <c r="H526" s="253"/>
      <c r="I526" s="253"/>
      <c r="J526" s="253"/>
      <c r="K526" s="253"/>
      <c r="L526" s="253"/>
      <c r="M526" s="253"/>
      <c r="N526" s="253"/>
      <c r="O526" s="253"/>
      <c r="P526" s="253"/>
      <c r="Q526" s="253"/>
    </row>
    <row r="527" spans="1:17">
      <c r="A527" s="253"/>
      <c r="B527" s="253"/>
      <c r="C527" s="253"/>
      <c r="D527" s="253"/>
      <c r="E527" s="253"/>
      <c r="F527" s="253"/>
      <c r="G527" s="253"/>
      <c r="H527" s="253"/>
      <c r="I527" s="253"/>
      <c r="J527" s="253"/>
      <c r="K527" s="253"/>
      <c r="L527" s="253"/>
      <c r="M527" s="253"/>
      <c r="N527" s="253"/>
      <c r="O527" s="253"/>
      <c r="P527" s="253"/>
      <c r="Q527" s="253"/>
    </row>
    <row r="528" spans="1:17">
      <c r="A528" s="253"/>
      <c r="B528" s="253"/>
      <c r="C528" s="253"/>
      <c r="D528" s="253"/>
      <c r="E528" s="253"/>
      <c r="F528" s="253"/>
      <c r="G528" s="253"/>
      <c r="H528" s="253"/>
      <c r="I528" s="253"/>
      <c r="J528" s="253"/>
      <c r="K528" s="253"/>
      <c r="L528" s="253"/>
      <c r="M528" s="253"/>
      <c r="N528" s="253"/>
      <c r="O528" s="253"/>
      <c r="P528" s="253"/>
      <c r="Q528" s="253"/>
    </row>
    <row r="529" spans="1:17">
      <c r="A529" s="253"/>
      <c r="B529" s="253"/>
      <c r="C529" s="253"/>
      <c r="D529" s="253"/>
      <c r="E529" s="253"/>
      <c r="F529" s="253"/>
      <c r="G529" s="253"/>
      <c r="H529" s="253"/>
      <c r="I529" s="253"/>
      <c r="J529" s="253"/>
      <c r="K529" s="253"/>
      <c r="L529" s="253"/>
      <c r="M529" s="253"/>
      <c r="N529" s="253"/>
      <c r="O529" s="253"/>
      <c r="P529" s="253"/>
      <c r="Q529" s="253"/>
    </row>
    <row r="530" spans="1:17">
      <c r="A530" s="253"/>
      <c r="B530" s="253"/>
      <c r="C530" s="253"/>
      <c r="D530" s="253"/>
      <c r="E530" s="253"/>
      <c r="F530" s="253"/>
      <c r="G530" s="253"/>
      <c r="H530" s="253"/>
      <c r="I530" s="253"/>
      <c r="J530" s="253"/>
      <c r="K530" s="253"/>
      <c r="L530" s="253"/>
      <c r="M530" s="253"/>
      <c r="N530" s="253"/>
      <c r="O530" s="253"/>
      <c r="P530" s="253"/>
      <c r="Q530" s="253"/>
    </row>
    <row r="531" spans="1:17">
      <c r="A531" s="253"/>
      <c r="B531" s="253"/>
      <c r="C531" s="253"/>
      <c r="D531" s="253"/>
      <c r="E531" s="253"/>
      <c r="F531" s="253"/>
      <c r="G531" s="253"/>
      <c r="H531" s="253"/>
      <c r="I531" s="253"/>
      <c r="J531" s="253"/>
      <c r="K531" s="253"/>
      <c r="L531" s="253"/>
      <c r="M531" s="253"/>
      <c r="N531" s="253"/>
      <c r="O531" s="253"/>
      <c r="P531" s="253"/>
      <c r="Q531" s="253"/>
    </row>
    <row r="532" spans="1:17">
      <c r="A532" s="253"/>
      <c r="B532" s="253"/>
      <c r="C532" s="253"/>
      <c r="D532" s="253"/>
      <c r="E532" s="253"/>
      <c r="F532" s="253"/>
      <c r="G532" s="253"/>
      <c r="H532" s="253"/>
      <c r="I532" s="253"/>
      <c r="J532" s="253"/>
      <c r="K532" s="253"/>
      <c r="L532" s="253"/>
      <c r="M532" s="253"/>
      <c r="N532" s="253"/>
      <c r="O532" s="253"/>
      <c r="P532" s="253"/>
      <c r="Q532" s="253"/>
    </row>
    <row r="533" spans="1:17">
      <c r="A533" s="253"/>
      <c r="B533" s="253"/>
      <c r="C533" s="253"/>
      <c r="D533" s="253"/>
      <c r="E533" s="253"/>
      <c r="F533" s="253"/>
      <c r="G533" s="253"/>
      <c r="H533" s="253"/>
      <c r="I533" s="253"/>
      <c r="J533" s="253"/>
      <c r="K533" s="253"/>
      <c r="L533" s="253"/>
      <c r="M533" s="253"/>
      <c r="N533" s="253"/>
      <c r="O533" s="253"/>
      <c r="P533" s="253"/>
      <c r="Q533" s="253"/>
    </row>
    <row r="534" spans="1:17">
      <c r="A534" s="253"/>
      <c r="B534" s="253"/>
      <c r="C534" s="253"/>
      <c r="D534" s="253"/>
      <c r="E534" s="253"/>
      <c r="F534" s="253"/>
      <c r="G534" s="253"/>
      <c r="H534" s="253"/>
      <c r="I534" s="253"/>
      <c r="J534" s="253"/>
      <c r="K534" s="253"/>
      <c r="L534" s="253"/>
      <c r="M534" s="253"/>
      <c r="N534" s="253"/>
      <c r="O534" s="253"/>
      <c r="P534" s="253"/>
      <c r="Q534" s="253"/>
    </row>
    <row r="535" spans="1:17">
      <c r="A535" s="253"/>
      <c r="B535" s="253"/>
      <c r="C535" s="253"/>
      <c r="D535" s="253"/>
      <c r="E535" s="253"/>
      <c r="F535" s="253"/>
      <c r="G535" s="253"/>
      <c r="H535" s="253"/>
      <c r="I535" s="253"/>
      <c r="J535" s="253"/>
      <c r="K535" s="253"/>
      <c r="L535" s="253"/>
      <c r="M535" s="253"/>
      <c r="N535" s="253"/>
      <c r="O535" s="253"/>
      <c r="P535" s="253"/>
      <c r="Q535" s="253"/>
    </row>
    <row r="536" spans="1:17">
      <c r="A536" s="253"/>
      <c r="B536" s="253"/>
      <c r="C536" s="253"/>
      <c r="D536" s="253"/>
      <c r="E536" s="253"/>
      <c r="F536" s="253"/>
      <c r="G536" s="253"/>
      <c r="H536" s="253"/>
      <c r="I536" s="253"/>
      <c r="J536" s="253"/>
      <c r="K536" s="253"/>
      <c r="L536" s="253"/>
      <c r="M536" s="253"/>
      <c r="N536" s="253"/>
      <c r="O536" s="253"/>
      <c r="P536" s="253"/>
      <c r="Q536" s="253"/>
    </row>
    <row r="537" spans="1:17">
      <c r="A537" s="253"/>
      <c r="B537" s="253"/>
      <c r="C537" s="253"/>
      <c r="D537" s="253"/>
      <c r="E537" s="253"/>
      <c r="F537" s="253"/>
      <c r="G537" s="253"/>
      <c r="H537" s="253"/>
      <c r="I537" s="253"/>
      <c r="J537" s="253"/>
      <c r="K537" s="253"/>
      <c r="L537" s="253"/>
      <c r="M537" s="253"/>
      <c r="N537" s="253"/>
      <c r="O537" s="253"/>
      <c r="P537" s="253"/>
      <c r="Q537" s="253"/>
    </row>
    <row r="538" spans="1:17">
      <c r="A538" s="253"/>
      <c r="B538" s="253"/>
      <c r="C538" s="253"/>
      <c r="D538" s="253"/>
      <c r="E538" s="253"/>
      <c r="F538" s="253"/>
      <c r="G538" s="253"/>
      <c r="H538" s="253"/>
      <c r="I538" s="253"/>
      <c r="J538" s="253"/>
      <c r="K538" s="253"/>
      <c r="L538" s="253"/>
      <c r="M538" s="253"/>
      <c r="N538" s="253"/>
      <c r="O538" s="253"/>
      <c r="P538" s="253"/>
      <c r="Q538" s="253"/>
    </row>
    <row r="539" spans="1:17">
      <c r="A539" s="253"/>
      <c r="B539" s="253"/>
      <c r="C539" s="253"/>
      <c r="D539" s="253"/>
      <c r="E539" s="253"/>
      <c r="F539" s="253"/>
      <c r="G539" s="253"/>
      <c r="H539" s="253"/>
      <c r="I539" s="253"/>
      <c r="J539" s="253"/>
      <c r="K539" s="253"/>
      <c r="L539" s="253"/>
      <c r="M539" s="253"/>
      <c r="N539" s="253"/>
      <c r="O539" s="253"/>
      <c r="P539" s="253"/>
      <c r="Q539" s="253"/>
    </row>
    <row r="540" spans="1:17">
      <c r="A540" s="253"/>
      <c r="B540" s="253"/>
      <c r="C540" s="253"/>
      <c r="D540" s="253"/>
      <c r="E540" s="253"/>
      <c r="F540" s="253"/>
      <c r="G540" s="253"/>
      <c r="H540" s="253"/>
      <c r="I540" s="253"/>
      <c r="J540" s="253"/>
      <c r="K540" s="253"/>
      <c r="L540" s="253"/>
      <c r="M540" s="253"/>
      <c r="N540" s="253"/>
      <c r="O540" s="253"/>
      <c r="P540" s="253"/>
      <c r="Q540" s="253"/>
    </row>
    <row r="541" spans="1:17">
      <c r="A541" s="253"/>
      <c r="B541" s="253"/>
      <c r="C541" s="253"/>
      <c r="D541" s="253"/>
      <c r="E541" s="253"/>
      <c r="F541" s="253"/>
      <c r="G541" s="253"/>
      <c r="H541" s="253"/>
      <c r="I541" s="253"/>
      <c r="J541" s="253"/>
      <c r="K541" s="253"/>
      <c r="L541" s="253"/>
      <c r="M541" s="253"/>
      <c r="N541" s="253"/>
      <c r="O541" s="253"/>
      <c r="P541" s="253"/>
      <c r="Q541" s="253"/>
    </row>
    <row r="542" spans="1:17">
      <c r="A542" s="253"/>
      <c r="B542" s="253"/>
      <c r="C542" s="253"/>
      <c r="D542" s="253"/>
      <c r="E542" s="253"/>
      <c r="F542" s="253"/>
      <c r="G542" s="253"/>
      <c r="H542" s="253"/>
      <c r="I542" s="253"/>
      <c r="J542" s="253"/>
      <c r="K542" s="253"/>
      <c r="L542" s="253"/>
      <c r="M542" s="253"/>
      <c r="N542" s="253"/>
      <c r="O542" s="253"/>
      <c r="P542" s="253"/>
      <c r="Q542" s="253"/>
    </row>
    <row r="543" spans="1:17">
      <c r="A543" s="253"/>
      <c r="B543" s="253"/>
      <c r="C543" s="253"/>
      <c r="D543" s="253"/>
      <c r="E543" s="253"/>
      <c r="F543" s="253"/>
      <c r="G543" s="253"/>
      <c r="H543" s="253"/>
      <c r="I543" s="253"/>
      <c r="J543" s="253"/>
      <c r="K543" s="253"/>
      <c r="L543" s="253"/>
      <c r="M543" s="253"/>
      <c r="N543" s="253"/>
      <c r="O543" s="253"/>
      <c r="P543" s="253"/>
      <c r="Q543" s="253"/>
    </row>
    <row r="544" spans="1:17">
      <c r="A544" s="253"/>
      <c r="B544" s="253"/>
      <c r="C544" s="253"/>
      <c r="D544" s="253"/>
      <c r="E544" s="253"/>
      <c r="F544" s="253"/>
      <c r="G544" s="253"/>
      <c r="H544" s="253"/>
      <c r="I544" s="253"/>
      <c r="J544" s="253"/>
      <c r="K544" s="253"/>
      <c r="L544" s="253"/>
      <c r="M544" s="253"/>
      <c r="N544" s="253"/>
      <c r="O544" s="253"/>
      <c r="P544" s="253"/>
      <c r="Q544" s="253"/>
    </row>
    <row r="545" spans="1:17">
      <c r="A545" s="253"/>
      <c r="B545" s="253"/>
      <c r="C545" s="253"/>
      <c r="D545" s="253"/>
      <c r="E545" s="253"/>
      <c r="F545" s="253"/>
      <c r="G545" s="253"/>
      <c r="H545" s="253"/>
      <c r="I545" s="253"/>
      <c r="J545" s="253"/>
      <c r="K545" s="253"/>
      <c r="L545" s="253"/>
      <c r="M545" s="253"/>
      <c r="N545" s="253"/>
      <c r="O545" s="253"/>
      <c r="P545" s="253"/>
      <c r="Q545" s="253"/>
    </row>
    <row r="546" spans="1:17">
      <c r="A546" s="253"/>
      <c r="B546" s="253"/>
      <c r="C546" s="253"/>
      <c r="D546" s="253"/>
      <c r="E546" s="253"/>
      <c r="F546" s="253"/>
      <c r="G546" s="253"/>
      <c r="H546" s="253"/>
      <c r="I546" s="253"/>
      <c r="J546" s="253"/>
      <c r="K546" s="253"/>
      <c r="L546" s="253"/>
      <c r="M546" s="253"/>
      <c r="N546" s="253"/>
      <c r="O546" s="253"/>
      <c r="P546" s="253"/>
      <c r="Q546" s="253"/>
    </row>
    <row r="547" spans="1:17">
      <c r="A547" s="253"/>
      <c r="B547" s="253"/>
      <c r="C547" s="253"/>
      <c r="D547" s="253"/>
      <c r="E547" s="253"/>
      <c r="F547" s="253"/>
      <c r="G547" s="253"/>
      <c r="H547" s="253"/>
      <c r="I547" s="253"/>
      <c r="J547" s="253"/>
      <c r="K547" s="253"/>
      <c r="L547" s="253"/>
      <c r="M547" s="253"/>
      <c r="N547" s="253"/>
      <c r="O547" s="253"/>
      <c r="P547" s="253"/>
      <c r="Q547" s="253"/>
    </row>
    <row r="548" spans="1:17">
      <c r="A548" s="253"/>
      <c r="B548" s="253"/>
      <c r="C548" s="253"/>
      <c r="D548" s="253"/>
      <c r="E548" s="253"/>
      <c r="F548" s="253"/>
      <c r="G548" s="253"/>
      <c r="H548" s="253"/>
      <c r="I548" s="253"/>
      <c r="J548" s="253"/>
      <c r="K548" s="253"/>
      <c r="L548" s="253"/>
      <c r="M548" s="253"/>
      <c r="N548" s="253"/>
      <c r="O548" s="253"/>
      <c r="P548" s="253"/>
      <c r="Q548" s="253"/>
    </row>
    <row r="549" spans="1:17">
      <c r="A549" s="253"/>
      <c r="B549" s="253"/>
      <c r="C549" s="253"/>
      <c r="D549" s="253"/>
      <c r="E549" s="253"/>
      <c r="F549" s="253"/>
      <c r="G549" s="253"/>
      <c r="H549" s="253"/>
      <c r="I549" s="253"/>
      <c r="J549" s="253"/>
      <c r="K549" s="253"/>
      <c r="L549" s="253"/>
      <c r="M549" s="253"/>
      <c r="N549" s="253"/>
      <c r="O549" s="253"/>
      <c r="P549" s="253"/>
      <c r="Q549" s="253"/>
    </row>
    <row r="550" spans="1:17">
      <c r="A550" s="253"/>
      <c r="B550" s="253"/>
      <c r="C550" s="253"/>
      <c r="D550" s="253"/>
      <c r="E550" s="253"/>
      <c r="F550" s="253"/>
      <c r="G550" s="253"/>
      <c r="H550" s="253"/>
      <c r="I550" s="253"/>
      <c r="J550" s="253"/>
      <c r="K550" s="253"/>
      <c r="L550" s="253"/>
      <c r="M550" s="253"/>
      <c r="N550" s="253"/>
      <c r="O550" s="253"/>
      <c r="P550" s="253"/>
      <c r="Q550" s="253"/>
    </row>
    <row r="551" spans="1:17">
      <c r="A551" s="253"/>
      <c r="B551" s="253"/>
      <c r="C551" s="253"/>
      <c r="D551" s="253"/>
      <c r="E551" s="253"/>
      <c r="F551" s="253"/>
      <c r="G551" s="253"/>
      <c r="H551" s="253"/>
      <c r="I551" s="253"/>
      <c r="J551" s="253"/>
      <c r="K551" s="253"/>
      <c r="L551" s="253"/>
      <c r="M551" s="253"/>
      <c r="N551" s="253"/>
      <c r="O551" s="253"/>
      <c r="P551" s="253"/>
      <c r="Q551" s="253"/>
    </row>
    <row r="552" spans="1:17">
      <c r="A552" s="253"/>
      <c r="B552" s="253"/>
      <c r="C552" s="253"/>
      <c r="D552" s="253"/>
      <c r="E552" s="253"/>
      <c r="F552" s="253"/>
      <c r="G552" s="253"/>
      <c r="H552" s="253"/>
      <c r="I552" s="253"/>
      <c r="J552" s="253"/>
      <c r="K552" s="253"/>
      <c r="L552" s="253"/>
      <c r="M552" s="253"/>
      <c r="N552" s="253"/>
      <c r="O552" s="253"/>
      <c r="P552" s="253"/>
      <c r="Q552" s="253"/>
    </row>
    <row r="553" spans="1:17">
      <c r="A553" s="253"/>
      <c r="B553" s="253"/>
      <c r="C553" s="253"/>
      <c r="D553" s="253"/>
      <c r="E553" s="253"/>
      <c r="F553" s="253"/>
      <c r="G553" s="253"/>
      <c r="H553" s="253"/>
      <c r="I553" s="253"/>
      <c r="J553" s="253"/>
      <c r="K553" s="253"/>
      <c r="L553" s="253"/>
      <c r="M553" s="253"/>
      <c r="N553" s="253"/>
      <c r="O553" s="253"/>
      <c r="P553" s="253"/>
      <c r="Q553" s="253"/>
    </row>
    <row r="554" spans="1:17">
      <c r="A554" s="253"/>
      <c r="B554" s="253"/>
      <c r="C554" s="253"/>
      <c r="D554" s="253"/>
      <c r="E554" s="253"/>
      <c r="F554" s="253"/>
      <c r="G554" s="253"/>
      <c r="H554" s="253"/>
      <c r="I554" s="253"/>
      <c r="J554" s="253"/>
      <c r="K554" s="253"/>
      <c r="L554" s="253"/>
      <c r="M554" s="253"/>
      <c r="N554" s="253"/>
      <c r="O554" s="253"/>
      <c r="P554" s="253"/>
      <c r="Q554" s="253"/>
    </row>
    <row r="555" spans="1:17">
      <c r="A555" s="253"/>
      <c r="B555" s="253"/>
      <c r="C555" s="253"/>
      <c r="D555" s="253"/>
      <c r="E555" s="253"/>
      <c r="F555" s="253"/>
      <c r="G555" s="253"/>
      <c r="H555" s="253"/>
      <c r="I555" s="253"/>
      <c r="J555" s="253"/>
      <c r="K555" s="253"/>
      <c r="L555" s="253"/>
      <c r="M555" s="253"/>
      <c r="N555" s="253"/>
      <c r="O555" s="253"/>
      <c r="P555" s="253"/>
      <c r="Q555" s="253"/>
    </row>
    <row r="556" spans="1:17">
      <c r="A556" s="253"/>
      <c r="B556" s="253"/>
      <c r="C556" s="253"/>
      <c r="D556" s="253"/>
      <c r="E556" s="253"/>
      <c r="F556" s="253"/>
      <c r="G556" s="253"/>
      <c r="H556" s="253"/>
      <c r="I556" s="253"/>
      <c r="J556" s="253"/>
      <c r="K556" s="253"/>
      <c r="L556" s="253"/>
      <c r="M556" s="253"/>
      <c r="N556" s="253"/>
      <c r="O556" s="253"/>
      <c r="P556" s="253"/>
      <c r="Q556" s="253"/>
    </row>
    <row r="557" spans="1:17">
      <c r="A557" s="253"/>
      <c r="B557" s="253"/>
      <c r="C557" s="253"/>
      <c r="D557" s="253"/>
      <c r="E557" s="253"/>
      <c r="F557" s="253"/>
      <c r="G557" s="253"/>
      <c r="H557" s="253"/>
      <c r="I557" s="253"/>
      <c r="J557" s="253"/>
      <c r="K557" s="253"/>
      <c r="L557" s="253"/>
      <c r="M557" s="253"/>
      <c r="N557" s="253"/>
      <c r="O557" s="253"/>
      <c r="P557" s="253"/>
      <c r="Q557" s="253"/>
    </row>
    <row r="558" spans="1:17">
      <c r="A558" s="253"/>
      <c r="B558" s="253"/>
      <c r="C558" s="253"/>
      <c r="D558" s="253"/>
      <c r="E558" s="253"/>
      <c r="F558" s="253"/>
      <c r="G558" s="253"/>
      <c r="H558" s="253"/>
      <c r="I558" s="253"/>
      <c r="J558" s="253"/>
      <c r="K558" s="253"/>
      <c r="L558" s="253"/>
      <c r="M558" s="253"/>
      <c r="N558" s="253"/>
      <c r="O558" s="253"/>
      <c r="P558" s="253"/>
      <c r="Q558" s="253"/>
    </row>
    <row r="559" spans="1:17">
      <c r="A559" s="253"/>
      <c r="B559" s="253"/>
      <c r="C559" s="253"/>
      <c r="D559" s="253"/>
      <c r="E559" s="253"/>
      <c r="F559" s="253"/>
      <c r="G559" s="253"/>
      <c r="H559" s="253"/>
      <c r="I559" s="253"/>
      <c r="J559" s="253"/>
      <c r="K559" s="253"/>
      <c r="L559" s="253"/>
      <c r="M559" s="253"/>
      <c r="N559" s="253"/>
      <c r="O559" s="253"/>
      <c r="P559" s="253"/>
      <c r="Q559" s="253"/>
    </row>
    <row r="560" spans="1:17">
      <c r="A560" s="253"/>
      <c r="B560" s="253"/>
      <c r="C560" s="253"/>
      <c r="D560" s="253"/>
      <c r="E560" s="253"/>
      <c r="F560" s="253"/>
      <c r="G560" s="253"/>
      <c r="H560" s="253"/>
      <c r="I560" s="253"/>
      <c r="J560" s="253"/>
      <c r="K560" s="253"/>
      <c r="L560" s="253"/>
      <c r="M560" s="253"/>
      <c r="N560" s="253"/>
      <c r="O560" s="253"/>
      <c r="P560" s="253"/>
      <c r="Q560" s="253"/>
    </row>
    <row r="561" spans="1:17">
      <c r="A561" s="253"/>
      <c r="B561" s="253"/>
      <c r="C561" s="253"/>
      <c r="D561" s="253"/>
      <c r="E561" s="253"/>
      <c r="F561" s="253"/>
      <c r="G561" s="253"/>
      <c r="H561" s="253"/>
      <c r="I561" s="253"/>
      <c r="J561" s="253"/>
      <c r="K561" s="253"/>
      <c r="L561" s="253"/>
      <c r="M561" s="253"/>
      <c r="N561" s="253"/>
      <c r="O561" s="253"/>
      <c r="P561" s="253"/>
      <c r="Q561" s="253"/>
    </row>
    <row r="562" spans="1:17">
      <c r="A562" s="253"/>
      <c r="B562" s="253"/>
      <c r="C562" s="253"/>
      <c r="D562" s="253"/>
      <c r="E562" s="253"/>
      <c r="F562" s="253"/>
      <c r="G562" s="253"/>
      <c r="H562" s="253"/>
      <c r="I562" s="253"/>
      <c r="J562" s="253"/>
      <c r="K562" s="253"/>
      <c r="L562" s="253"/>
      <c r="M562" s="253"/>
      <c r="N562" s="253"/>
      <c r="O562" s="253"/>
      <c r="P562" s="253"/>
      <c r="Q562" s="253"/>
    </row>
    <row r="563" spans="1:17">
      <c r="A563" s="253"/>
      <c r="B563" s="253"/>
      <c r="C563" s="253"/>
      <c r="D563" s="253"/>
      <c r="E563" s="253"/>
      <c r="F563" s="253"/>
      <c r="G563" s="253"/>
      <c r="H563" s="253"/>
      <c r="I563" s="253"/>
      <c r="J563" s="253"/>
      <c r="K563" s="253"/>
      <c r="L563" s="253"/>
      <c r="M563" s="253"/>
      <c r="N563" s="253"/>
      <c r="O563" s="253"/>
      <c r="P563" s="253"/>
      <c r="Q563" s="253"/>
    </row>
    <row r="564" spans="1:17">
      <c r="A564" s="253"/>
      <c r="B564" s="253"/>
      <c r="C564" s="253"/>
      <c r="D564" s="253"/>
      <c r="E564" s="253"/>
      <c r="F564" s="253"/>
      <c r="G564" s="253"/>
      <c r="H564" s="253"/>
      <c r="I564" s="253"/>
      <c r="J564" s="253"/>
      <c r="K564" s="253"/>
      <c r="L564" s="253"/>
      <c r="M564" s="253"/>
      <c r="N564" s="253"/>
      <c r="O564" s="253"/>
      <c r="P564" s="253"/>
      <c r="Q564" s="253"/>
    </row>
    <row r="565" spans="1:17">
      <c r="A565" s="253"/>
      <c r="B565" s="253"/>
      <c r="C565" s="253"/>
      <c r="D565" s="253"/>
      <c r="E565" s="253"/>
      <c r="F565" s="253"/>
      <c r="G565" s="253"/>
      <c r="H565" s="253"/>
      <c r="I565" s="253"/>
      <c r="J565" s="253"/>
      <c r="K565" s="253"/>
      <c r="L565" s="253"/>
      <c r="M565" s="253"/>
      <c r="N565" s="253"/>
      <c r="O565" s="253"/>
      <c r="P565" s="253"/>
      <c r="Q565" s="253"/>
    </row>
    <row r="566" spans="1:17">
      <c r="A566" s="253"/>
      <c r="B566" s="253"/>
      <c r="C566" s="253"/>
      <c r="D566" s="253"/>
      <c r="E566" s="253"/>
      <c r="F566" s="253"/>
      <c r="G566" s="253"/>
      <c r="H566" s="253"/>
      <c r="I566" s="253"/>
      <c r="J566" s="253"/>
      <c r="K566" s="253"/>
      <c r="L566" s="253"/>
      <c r="M566" s="253"/>
      <c r="N566" s="253"/>
      <c r="O566" s="253"/>
      <c r="P566" s="253"/>
      <c r="Q566" s="253"/>
    </row>
    <row r="567" spans="1:17">
      <c r="A567" s="253"/>
      <c r="B567" s="253"/>
      <c r="C567" s="253"/>
      <c r="D567" s="253"/>
      <c r="E567" s="253"/>
      <c r="F567" s="253"/>
      <c r="G567" s="253"/>
      <c r="H567" s="253"/>
      <c r="I567" s="253"/>
      <c r="J567" s="253"/>
      <c r="K567" s="253"/>
      <c r="L567" s="253"/>
      <c r="M567" s="253"/>
      <c r="N567" s="253"/>
      <c r="O567" s="253"/>
      <c r="P567" s="253"/>
      <c r="Q567" s="253"/>
    </row>
    <row r="568" spans="1:17">
      <c r="A568" s="253"/>
      <c r="B568" s="253"/>
      <c r="C568" s="253"/>
      <c r="D568" s="253"/>
      <c r="E568" s="253"/>
      <c r="F568" s="253"/>
      <c r="G568" s="253"/>
      <c r="H568" s="253"/>
      <c r="I568" s="253"/>
      <c r="J568" s="253"/>
      <c r="K568" s="253"/>
      <c r="L568" s="253"/>
      <c r="M568" s="253"/>
      <c r="N568" s="253"/>
      <c r="O568" s="253"/>
      <c r="P568" s="253"/>
      <c r="Q568" s="253"/>
    </row>
    <row r="569" spans="1:17">
      <c r="A569" s="253"/>
      <c r="B569" s="253"/>
      <c r="C569" s="253"/>
      <c r="D569" s="253"/>
      <c r="E569" s="253"/>
      <c r="F569" s="253"/>
      <c r="G569" s="253"/>
      <c r="H569" s="253"/>
      <c r="I569" s="253"/>
      <c r="J569" s="253"/>
      <c r="K569" s="253"/>
      <c r="L569" s="253"/>
      <c r="M569" s="253"/>
      <c r="N569" s="253"/>
      <c r="O569" s="253"/>
      <c r="P569" s="253"/>
      <c r="Q569" s="253"/>
    </row>
    <row r="570" spans="1:17">
      <c r="A570" s="253"/>
      <c r="B570" s="253"/>
      <c r="C570" s="253"/>
      <c r="D570" s="253"/>
      <c r="E570" s="253"/>
      <c r="F570" s="253"/>
      <c r="G570" s="253"/>
      <c r="H570" s="253"/>
      <c r="I570" s="253"/>
      <c r="J570" s="253"/>
      <c r="K570" s="253"/>
      <c r="L570" s="253"/>
      <c r="M570" s="253"/>
      <c r="N570" s="253"/>
      <c r="O570" s="253"/>
      <c r="P570" s="253"/>
      <c r="Q570" s="253"/>
    </row>
    <row r="571" spans="1:17">
      <c r="A571" s="253"/>
      <c r="B571" s="253"/>
      <c r="C571" s="253"/>
      <c r="D571" s="253"/>
      <c r="E571" s="253"/>
      <c r="F571" s="253"/>
      <c r="G571" s="253"/>
      <c r="H571" s="253"/>
      <c r="I571" s="253"/>
      <c r="J571" s="253"/>
      <c r="K571" s="253"/>
      <c r="L571" s="253"/>
      <c r="M571" s="253"/>
      <c r="N571" s="253"/>
      <c r="O571" s="253"/>
      <c r="P571" s="253"/>
      <c r="Q571" s="253"/>
    </row>
    <row r="572" spans="1:17">
      <c r="A572" s="253"/>
      <c r="B572" s="253"/>
      <c r="C572" s="253"/>
      <c r="D572" s="253"/>
      <c r="E572" s="253"/>
      <c r="F572" s="253"/>
      <c r="G572" s="253"/>
      <c r="H572" s="253"/>
      <c r="I572" s="253"/>
      <c r="J572" s="253"/>
      <c r="K572" s="253"/>
      <c r="L572" s="253"/>
      <c r="M572" s="253"/>
      <c r="N572" s="253"/>
      <c r="O572" s="253"/>
      <c r="P572" s="253"/>
      <c r="Q572" s="253"/>
    </row>
    <row r="573" spans="1:17">
      <c r="A573" s="253"/>
      <c r="B573" s="253"/>
      <c r="C573" s="253"/>
      <c r="D573" s="253"/>
      <c r="E573" s="253"/>
      <c r="F573" s="253"/>
      <c r="G573" s="253"/>
      <c r="H573" s="253"/>
      <c r="I573" s="253"/>
      <c r="J573" s="253"/>
      <c r="K573" s="253"/>
      <c r="L573" s="253"/>
      <c r="M573" s="253"/>
      <c r="N573" s="253"/>
      <c r="O573" s="253"/>
      <c r="P573" s="253"/>
      <c r="Q573" s="253"/>
    </row>
    <row r="574" spans="1:17">
      <c r="A574" s="253"/>
      <c r="B574" s="253"/>
      <c r="C574" s="253"/>
      <c r="D574" s="253"/>
      <c r="E574" s="253"/>
      <c r="F574" s="253"/>
      <c r="G574" s="253"/>
      <c r="H574" s="253"/>
      <c r="I574" s="253"/>
      <c r="J574" s="253"/>
      <c r="K574" s="253"/>
      <c r="L574" s="253"/>
      <c r="M574" s="253"/>
      <c r="N574" s="253"/>
      <c r="O574" s="253"/>
      <c r="P574" s="253"/>
      <c r="Q574" s="253"/>
    </row>
    <row r="575" spans="1:17">
      <c r="A575" s="253"/>
      <c r="B575" s="253"/>
      <c r="C575" s="253"/>
      <c r="D575" s="253"/>
      <c r="E575" s="253"/>
      <c r="F575" s="253"/>
      <c r="G575" s="253"/>
      <c r="H575" s="253"/>
      <c r="I575" s="253"/>
      <c r="J575" s="253"/>
      <c r="K575" s="253"/>
      <c r="L575" s="253"/>
      <c r="M575" s="253"/>
      <c r="N575" s="253"/>
      <c r="O575" s="253"/>
      <c r="P575" s="253"/>
      <c r="Q575" s="253"/>
    </row>
    <row r="576" spans="1:17">
      <c r="A576" s="253"/>
      <c r="B576" s="253"/>
      <c r="C576" s="253"/>
      <c r="D576" s="253"/>
      <c r="E576" s="253"/>
      <c r="F576" s="253"/>
      <c r="G576" s="253"/>
      <c r="H576" s="253"/>
      <c r="I576" s="253"/>
      <c r="J576" s="253"/>
      <c r="K576" s="253"/>
      <c r="L576" s="253"/>
      <c r="M576" s="253"/>
      <c r="N576" s="253"/>
      <c r="O576" s="253"/>
      <c r="P576" s="253"/>
      <c r="Q576" s="253"/>
    </row>
    <row r="577" spans="1:17">
      <c r="A577" s="253"/>
      <c r="B577" s="253"/>
      <c r="C577" s="253"/>
      <c r="D577" s="253"/>
      <c r="E577" s="253"/>
      <c r="F577" s="253"/>
      <c r="G577" s="253"/>
      <c r="H577" s="253"/>
      <c r="I577" s="253"/>
      <c r="J577" s="253"/>
      <c r="K577" s="253"/>
      <c r="L577" s="253"/>
      <c r="M577" s="253"/>
      <c r="N577" s="253"/>
      <c r="O577" s="253"/>
      <c r="P577" s="253"/>
      <c r="Q577" s="253"/>
    </row>
    <row r="578" spans="1:17">
      <c r="A578" s="253"/>
      <c r="B578" s="253"/>
      <c r="C578" s="253"/>
      <c r="D578" s="253"/>
      <c r="E578" s="253"/>
      <c r="F578" s="253"/>
      <c r="G578" s="253"/>
      <c r="H578" s="253"/>
      <c r="I578" s="253"/>
      <c r="J578" s="253"/>
      <c r="K578" s="253"/>
      <c r="L578" s="253"/>
      <c r="M578" s="253"/>
      <c r="N578" s="253"/>
      <c r="O578" s="253"/>
      <c r="P578" s="253"/>
      <c r="Q578" s="253"/>
    </row>
    <row r="579" spans="1:17">
      <c r="A579" s="253"/>
      <c r="B579" s="253"/>
      <c r="C579" s="253"/>
      <c r="D579" s="253"/>
      <c r="E579" s="253"/>
      <c r="F579" s="253"/>
      <c r="G579" s="253"/>
      <c r="H579" s="253"/>
      <c r="I579" s="253"/>
      <c r="J579" s="253"/>
      <c r="K579" s="253"/>
      <c r="L579" s="253"/>
      <c r="M579" s="253"/>
      <c r="N579" s="253"/>
      <c r="O579" s="253"/>
      <c r="P579" s="253"/>
      <c r="Q579" s="253"/>
    </row>
    <row r="580" spans="1:17">
      <c r="A580" s="253"/>
      <c r="B580" s="253"/>
      <c r="C580" s="253"/>
      <c r="D580" s="253"/>
      <c r="E580" s="253"/>
      <c r="F580" s="253"/>
      <c r="G580" s="253"/>
      <c r="H580" s="253"/>
      <c r="I580" s="253"/>
      <c r="J580" s="253"/>
      <c r="K580" s="253"/>
      <c r="L580" s="253"/>
      <c r="M580" s="253"/>
      <c r="N580" s="253"/>
      <c r="O580" s="253"/>
      <c r="P580" s="253"/>
      <c r="Q580" s="253"/>
    </row>
    <row r="581" spans="1:17">
      <c r="A581" s="253"/>
      <c r="B581" s="253"/>
      <c r="C581" s="253"/>
      <c r="D581" s="253"/>
      <c r="E581" s="253"/>
      <c r="F581" s="253"/>
      <c r="G581" s="253"/>
      <c r="H581" s="253"/>
      <c r="I581" s="253"/>
      <c r="J581" s="253"/>
      <c r="K581" s="253"/>
      <c r="L581" s="253"/>
      <c r="M581" s="253"/>
      <c r="N581" s="253"/>
      <c r="O581" s="253"/>
      <c r="P581" s="253"/>
      <c r="Q581" s="253"/>
    </row>
    <row r="582" spans="1:17">
      <c r="A582" s="253"/>
      <c r="B582" s="253"/>
      <c r="C582" s="253"/>
      <c r="D582" s="253"/>
      <c r="E582" s="253"/>
      <c r="F582" s="253"/>
      <c r="G582" s="253"/>
      <c r="H582" s="253"/>
      <c r="I582" s="253"/>
      <c r="J582" s="253"/>
      <c r="K582" s="253"/>
      <c r="L582" s="253"/>
      <c r="M582" s="253"/>
      <c r="N582" s="253"/>
      <c r="O582" s="253"/>
      <c r="P582" s="253"/>
      <c r="Q582" s="253"/>
    </row>
    <row r="583" spans="1:17">
      <c r="A583" s="253"/>
      <c r="B583" s="253"/>
      <c r="C583" s="253"/>
      <c r="D583" s="253"/>
      <c r="E583" s="253"/>
      <c r="F583" s="253"/>
      <c r="G583" s="253"/>
      <c r="H583" s="253"/>
      <c r="I583" s="253"/>
      <c r="J583" s="253"/>
      <c r="K583" s="253"/>
      <c r="L583" s="253"/>
      <c r="M583" s="253"/>
      <c r="N583" s="253"/>
      <c r="O583" s="253"/>
      <c r="P583" s="253"/>
      <c r="Q583" s="253"/>
    </row>
    <row r="584" spans="1:17">
      <c r="A584" s="253"/>
      <c r="B584" s="253"/>
      <c r="C584" s="253"/>
      <c r="D584" s="253"/>
      <c r="E584" s="253"/>
      <c r="F584" s="253"/>
      <c r="G584" s="253"/>
      <c r="H584" s="253"/>
      <c r="I584" s="253"/>
      <c r="J584" s="253"/>
      <c r="K584" s="253"/>
      <c r="L584" s="253"/>
      <c r="M584" s="253"/>
      <c r="N584" s="253"/>
      <c r="O584" s="253"/>
      <c r="P584" s="253"/>
      <c r="Q584" s="253"/>
    </row>
    <row r="585" spans="1:17">
      <c r="A585" s="253"/>
      <c r="B585" s="253"/>
      <c r="C585" s="253"/>
      <c r="D585" s="253"/>
      <c r="E585" s="253"/>
      <c r="F585" s="253"/>
      <c r="G585" s="253"/>
      <c r="H585" s="253"/>
      <c r="I585" s="253"/>
      <c r="J585" s="253"/>
      <c r="K585" s="253"/>
      <c r="L585" s="253"/>
      <c r="M585" s="253"/>
      <c r="N585" s="253"/>
      <c r="O585" s="253"/>
      <c r="P585" s="253"/>
      <c r="Q585" s="253"/>
    </row>
    <row r="586" spans="1:17">
      <c r="A586" s="253"/>
      <c r="B586" s="253"/>
      <c r="C586" s="253"/>
      <c r="D586" s="253"/>
      <c r="E586" s="253"/>
      <c r="F586" s="253"/>
      <c r="G586" s="253"/>
      <c r="H586" s="253"/>
      <c r="I586" s="253"/>
      <c r="J586" s="253"/>
      <c r="K586" s="253"/>
      <c r="L586" s="253"/>
      <c r="M586" s="253"/>
      <c r="N586" s="253"/>
      <c r="O586" s="253"/>
      <c r="P586" s="253"/>
      <c r="Q586" s="253"/>
    </row>
    <row r="587" spans="1:17">
      <c r="A587" s="253"/>
      <c r="B587" s="253"/>
      <c r="C587" s="253"/>
      <c r="D587" s="253"/>
      <c r="E587" s="253"/>
      <c r="F587" s="253"/>
      <c r="G587" s="253"/>
      <c r="H587" s="253"/>
      <c r="I587" s="253"/>
      <c r="J587" s="253"/>
      <c r="K587" s="253"/>
      <c r="L587" s="253"/>
      <c r="M587" s="253"/>
      <c r="N587" s="253"/>
      <c r="O587" s="253"/>
      <c r="P587" s="253"/>
      <c r="Q587" s="253"/>
    </row>
    <row r="588" spans="1:17">
      <c r="A588" s="253"/>
      <c r="B588" s="253"/>
      <c r="C588" s="253"/>
      <c r="D588" s="253"/>
      <c r="E588" s="253"/>
      <c r="F588" s="253"/>
      <c r="G588" s="253"/>
      <c r="H588" s="253"/>
      <c r="I588" s="253"/>
      <c r="J588" s="253"/>
      <c r="K588" s="253"/>
      <c r="L588" s="253"/>
      <c r="M588" s="253"/>
      <c r="N588" s="253"/>
      <c r="O588" s="253"/>
      <c r="P588" s="253"/>
      <c r="Q588" s="253"/>
    </row>
    <row r="589" spans="1:17">
      <c r="A589" s="253"/>
      <c r="B589" s="253"/>
      <c r="C589" s="253"/>
      <c r="D589" s="253"/>
      <c r="E589" s="253"/>
      <c r="F589" s="253"/>
      <c r="G589" s="253"/>
      <c r="H589" s="253"/>
      <c r="I589" s="253"/>
      <c r="J589" s="253"/>
      <c r="K589" s="253"/>
      <c r="L589" s="253"/>
      <c r="M589" s="253"/>
      <c r="N589" s="253"/>
      <c r="O589" s="253"/>
      <c r="P589" s="253"/>
      <c r="Q589" s="253"/>
    </row>
    <row r="590" spans="1:17">
      <c r="A590" s="253"/>
      <c r="B590" s="253"/>
      <c r="C590" s="253"/>
      <c r="D590" s="253"/>
      <c r="E590" s="253"/>
      <c r="F590" s="253"/>
      <c r="G590" s="253"/>
      <c r="H590" s="253"/>
      <c r="I590" s="253"/>
      <c r="J590" s="253"/>
      <c r="K590" s="253"/>
      <c r="L590" s="253"/>
      <c r="M590" s="253"/>
      <c r="N590" s="253"/>
      <c r="O590" s="253"/>
      <c r="P590" s="253"/>
      <c r="Q590" s="253"/>
    </row>
    <row r="591" spans="1:17">
      <c r="A591" s="253"/>
      <c r="B591" s="253"/>
      <c r="C591" s="253"/>
      <c r="D591" s="253"/>
      <c r="E591" s="253"/>
      <c r="F591" s="253"/>
      <c r="G591" s="253"/>
      <c r="H591" s="253"/>
      <c r="I591" s="253"/>
      <c r="J591" s="253"/>
      <c r="K591" s="253"/>
      <c r="L591" s="253"/>
      <c r="M591" s="253"/>
      <c r="N591" s="253"/>
      <c r="O591" s="253"/>
      <c r="P591" s="253"/>
      <c r="Q591" s="253"/>
    </row>
    <row r="592" spans="1:17">
      <c r="A592" s="253"/>
      <c r="B592" s="253"/>
      <c r="C592" s="253"/>
      <c r="D592" s="253"/>
      <c r="E592" s="253"/>
      <c r="F592" s="253"/>
      <c r="G592" s="253"/>
      <c r="H592" s="253"/>
      <c r="I592" s="253"/>
      <c r="J592" s="253"/>
      <c r="K592" s="253"/>
      <c r="L592" s="253"/>
      <c r="M592" s="253"/>
      <c r="N592" s="253"/>
      <c r="O592" s="253"/>
      <c r="P592" s="253"/>
      <c r="Q592" s="253"/>
    </row>
    <row r="593" spans="1:17">
      <c r="A593" s="253"/>
      <c r="B593" s="253"/>
      <c r="C593" s="253"/>
      <c r="D593" s="253"/>
      <c r="E593" s="253"/>
      <c r="F593" s="253"/>
      <c r="G593" s="253"/>
      <c r="H593" s="253"/>
      <c r="I593" s="253"/>
      <c r="J593" s="253"/>
      <c r="K593" s="253"/>
      <c r="L593" s="253"/>
      <c r="M593" s="253"/>
      <c r="N593" s="253"/>
      <c r="O593" s="253"/>
      <c r="P593" s="253"/>
      <c r="Q593" s="253"/>
    </row>
    <row r="594" spans="1:17">
      <c r="A594" s="253"/>
      <c r="B594" s="253"/>
      <c r="C594" s="253"/>
      <c r="D594" s="253"/>
      <c r="E594" s="253"/>
      <c r="F594" s="253"/>
      <c r="G594" s="253"/>
      <c r="H594" s="253"/>
      <c r="I594" s="253"/>
      <c r="J594" s="253"/>
      <c r="K594" s="253"/>
      <c r="L594" s="253"/>
      <c r="M594" s="253"/>
      <c r="N594" s="253"/>
      <c r="O594" s="253"/>
      <c r="P594" s="253"/>
      <c r="Q594" s="253"/>
    </row>
    <row r="595" spans="1:17">
      <c r="A595" s="253"/>
      <c r="B595" s="253"/>
      <c r="C595" s="253"/>
      <c r="D595" s="253"/>
      <c r="E595" s="253"/>
      <c r="F595" s="253"/>
      <c r="G595" s="253"/>
      <c r="H595" s="253"/>
      <c r="I595" s="253"/>
      <c r="J595" s="253"/>
      <c r="K595" s="253"/>
      <c r="L595" s="253"/>
      <c r="M595" s="253"/>
      <c r="N595" s="253"/>
      <c r="O595" s="253"/>
      <c r="P595" s="253"/>
      <c r="Q595" s="253"/>
    </row>
    <row r="596" spans="1:17">
      <c r="A596" s="253"/>
      <c r="B596" s="253"/>
      <c r="C596" s="253"/>
      <c r="D596" s="253"/>
      <c r="E596" s="253"/>
      <c r="F596" s="253"/>
      <c r="G596" s="253"/>
      <c r="H596" s="253"/>
      <c r="I596" s="253"/>
      <c r="J596" s="253"/>
      <c r="K596" s="253"/>
      <c r="L596" s="253"/>
      <c r="M596" s="253"/>
      <c r="N596" s="253"/>
      <c r="O596" s="253"/>
      <c r="P596" s="253"/>
      <c r="Q596" s="253"/>
    </row>
    <row r="597" spans="1:17">
      <c r="A597" s="253"/>
      <c r="B597" s="253"/>
      <c r="C597" s="253"/>
      <c r="D597" s="253"/>
      <c r="E597" s="253"/>
      <c r="F597" s="253"/>
      <c r="G597" s="253"/>
      <c r="H597" s="253"/>
      <c r="I597" s="253"/>
      <c r="J597" s="253"/>
      <c r="K597" s="253"/>
      <c r="L597" s="253"/>
      <c r="M597" s="253"/>
      <c r="N597" s="253"/>
      <c r="O597" s="253"/>
      <c r="P597" s="253"/>
      <c r="Q597" s="253"/>
    </row>
    <row r="598" spans="1:17">
      <c r="A598" s="253"/>
      <c r="B598" s="253"/>
      <c r="C598" s="253"/>
      <c r="D598" s="253"/>
      <c r="E598" s="253"/>
      <c r="F598" s="253"/>
      <c r="G598" s="253"/>
      <c r="H598" s="253"/>
      <c r="I598" s="253"/>
      <c r="J598" s="253"/>
      <c r="K598" s="253"/>
      <c r="L598" s="253"/>
      <c r="M598" s="253"/>
      <c r="N598" s="253"/>
      <c r="O598" s="253"/>
      <c r="P598" s="253"/>
      <c r="Q598" s="253"/>
    </row>
    <row r="599" spans="1:17">
      <c r="A599" s="253"/>
      <c r="B599" s="253"/>
      <c r="C599" s="253"/>
      <c r="D599" s="253"/>
      <c r="E599" s="253"/>
      <c r="F599" s="253"/>
      <c r="G599" s="253"/>
      <c r="H599" s="253"/>
      <c r="I599" s="253"/>
      <c r="J599" s="253"/>
      <c r="K599" s="253"/>
      <c r="L599" s="253"/>
      <c r="M599" s="253"/>
      <c r="N599" s="253"/>
      <c r="O599" s="253"/>
      <c r="P599" s="253"/>
      <c r="Q599" s="253"/>
    </row>
    <row r="600" spans="1:17">
      <c r="A600" s="253"/>
      <c r="B600" s="253"/>
      <c r="C600" s="253"/>
      <c r="D600" s="253"/>
      <c r="E600" s="253"/>
      <c r="F600" s="253"/>
      <c r="G600" s="253"/>
      <c r="H600" s="253"/>
      <c r="I600" s="253"/>
      <c r="J600" s="253"/>
      <c r="K600" s="253"/>
      <c r="L600" s="253"/>
      <c r="M600" s="253"/>
      <c r="N600" s="253"/>
      <c r="O600" s="253"/>
      <c r="P600" s="253"/>
      <c r="Q600" s="253"/>
    </row>
    <row r="601" spans="1:17">
      <c r="A601" s="253"/>
      <c r="B601" s="253"/>
      <c r="C601" s="253"/>
      <c r="D601" s="253"/>
      <c r="E601" s="253"/>
      <c r="F601" s="253"/>
      <c r="G601" s="253"/>
      <c r="H601" s="253"/>
      <c r="I601" s="253"/>
      <c r="J601" s="253"/>
      <c r="K601" s="253"/>
      <c r="L601" s="253"/>
      <c r="M601" s="253"/>
      <c r="N601" s="253"/>
      <c r="O601" s="253"/>
      <c r="P601" s="253"/>
      <c r="Q601" s="253"/>
    </row>
    <row r="602" spans="1:17">
      <c r="A602" s="253"/>
      <c r="B602" s="253"/>
      <c r="C602" s="253"/>
      <c r="D602" s="253"/>
      <c r="E602" s="253"/>
      <c r="F602" s="253"/>
      <c r="G602" s="253"/>
      <c r="H602" s="253"/>
      <c r="I602" s="253"/>
      <c r="J602" s="253"/>
      <c r="K602" s="253"/>
      <c r="L602" s="253"/>
      <c r="M602" s="253"/>
      <c r="N602" s="253"/>
      <c r="O602" s="253"/>
      <c r="P602" s="253"/>
      <c r="Q602" s="253"/>
    </row>
    <row r="603" spans="1:17">
      <c r="A603" s="253"/>
      <c r="B603" s="253"/>
      <c r="C603" s="253"/>
      <c r="D603" s="253"/>
      <c r="E603" s="253"/>
      <c r="F603" s="253"/>
      <c r="G603" s="253"/>
      <c r="H603" s="253"/>
      <c r="I603" s="253"/>
      <c r="J603" s="253"/>
      <c r="K603" s="253"/>
      <c r="L603" s="253"/>
      <c r="M603" s="253"/>
      <c r="N603" s="253"/>
      <c r="O603" s="253"/>
      <c r="P603" s="253"/>
      <c r="Q603" s="253"/>
    </row>
    <row r="604" spans="1:17">
      <c r="A604" s="253"/>
      <c r="B604" s="253"/>
      <c r="C604" s="253"/>
      <c r="D604" s="253"/>
      <c r="E604" s="253"/>
      <c r="F604" s="253"/>
      <c r="G604" s="253"/>
      <c r="H604" s="253"/>
      <c r="I604" s="253"/>
      <c r="J604" s="253"/>
      <c r="K604" s="253"/>
      <c r="L604" s="253"/>
      <c r="M604" s="253"/>
      <c r="N604" s="253"/>
      <c r="O604" s="253"/>
      <c r="P604" s="253"/>
      <c r="Q604" s="253"/>
    </row>
    <row r="605" spans="1:17">
      <c r="A605" s="253"/>
      <c r="B605" s="253"/>
      <c r="C605" s="253"/>
      <c r="D605" s="253"/>
      <c r="E605" s="253"/>
      <c r="F605" s="253"/>
      <c r="G605" s="253"/>
      <c r="H605" s="253"/>
      <c r="I605" s="253"/>
      <c r="J605" s="253"/>
      <c r="K605" s="253"/>
      <c r="L605" s="253"/>
      <c r="M605" s="253"/>
      <c r="N605" s="253"/>
      <c r="O605" s="253"/>
      <c r="P605" s="253"/>
      <c r="Q605" s="253"/>
    </row>
    <row r="606" spans="1:17">
      <c r="A606" s="253"/>
      <c r="B606" s="253"/>
      <c r="C606" s="253"/>
      <c r="D606" s="253"/>
      <c r="E606" s="253"/>
      <c r="F606" s="253"/>
      <c r="G606" s="253"/>
      <c r="H606" s="253"/>
      <c r="I606" s="253"/>
      <c r="J606" s="253"/>
      <c r="K606" s="253"/>
      <c r="L606" s="253"/>
      <c r="M606" s="253"/>
      <c r="N606" s="253"/>
      <c r="O606" s="253"/>
      <c r="P606" s="253"/>
      <c r="Q606" s="253"/>
    </row>
    <row r="607" spans="1:17">
      <c r="A607" s="253"/>
      <c r="B607" s="253"/>
      <c r="C607" s="253"/>
      <c r="D607" s="253"/>
      <c r="E607" s="253"/>
      <c r="F607" s="253"/>
      <c r="G607" s="253"/>
      <c r="H607" s="253"/>
      <c r="I607" s="253"/>
      <c r="J607" s="253"/>
      <c r="K607" s="253"/>
      <c r="L607" s="253"/>
      <c r="M607" s="253"/>
      <c r="N607" s="253"/>
      <c r="O607" s="253"/>
      <c r="P607" s="253"/>
      <c r="Q607" s="253"/>
    </row>
    <row r="608" spans="1:17">
      <c r="A608" s="253"/>
      <c r="B608" s="253"/>
      <c r="C608" s="253"/>
      <c r="D608" s="253"/>
      <c r="E608" s="253"/>
      <c r="F608" s="253"/>
      <c r="G608" s="253"/>
      <c r="H608" s="253"/>
      <c r="I608" s="253"/>
      <c r="J608" s="253"/>
      <c r="K608" s="253"/>
      <c r="L608" s="253"/>
      <c r="M608" s="253"/>
      <c r="N608" s="253"/>
      <c r="O608" s="253"/>
      <c r="P608" s="253"/>
      <c r="Q608" s="253"/>
    </row>
    <row r="609" spans="1:17">
      <c r="A609" s="253"/>
      <c r="B609" s="253"/>
      <c r="C609" s="253"/>
      <c r="D609" s="253"/>
      <c r="E609" s="253"/>
      <c r="F609" s="253"/>
      <c r="G609" s="253"/>
      <c r="H609" s="253"/>
      <c r="I609" s="253"/>
      <c r="J609" s="253"/>
      <c r="K609" s="253"/>
      <c r="L609" s="253"/>
      <c r="M609" s="253"/>
      <c r="N609" s="253"/>
      <c r="O609" s="253"/>
      <c r="P609" s="253"/>
      <c r="Q609" s="253"/>
    </row>
    <row r="610" spans="1:17">
      <c r="A610" s="253"/>
      <c r="B610" s="253"/>
      <c r="C610" s="253"/>
      <c r="D610" s="253"/>
      <c r="E610" s="253"/>
      <c r="F610" s="253"/>
      <c r="G610" s="253"/>
      <c r="H610" s="253"/>
      <c r="I610" s="253"/>
      <c r="J610" s="253"/>
      <c r="K610" s="253"/>
      <c r="L610" s="253"/>
      <c r="M610" s="253"/>
      <c r="N610" s="253"/>
      <c r="O610" s="253"/>
      <c r="P610" s="253"/>
      <c r="Q610" s="253"/>
    </row>
    <row r="611" spans="1:17">
      <c r="A611" s="253"/>
      <c r="B611" s="253"/>
      <c r="C611" s="253"/>
      <c r="D611" s="253"/>
      <c r="E611" s="253"/>
      <c r="F611" s="253"/>
      <c r="G611" s="253"/>
      <c r="H611" s="253"/>
      <c r="I611" s="253"/>
      <c r="J611" s="253"/>
      <c r="K611" s="253"/>
      <c r="L611" s="253"/>
      <c r="M611" s="253"/>
      <c r="N611" s="253"/>
      <c r="O611" s="253"/>
      <c r="P611" s="253"/>
      <c r="Q611" s="253"/>
    </row>
    <row r="612" spans="1:17">
      <c r="A612" s="253"/>
      <c r="B612" s="253"/>
      <c r="C612" s="253"/>
      <c r="D612" s="253"/>
      <c r="E612" s="253"/>
      <c r="F612" s="253"/>
      <c r="G612" s="253"/>
      <c r="H612" s="253"/>
      <c r="I612" s="253"/>
      <c r="J612" s="253"/>
      <c r="K612" s="253"/>
      <c r="L612" s="253"/>
      <c r="M612" s="253"/>
      <c r="N612" s="253"/>
      <c r="O612" s="253"/>
      <c r="P612" s="253"/>
      <c r="Q612" s="253"/>
    </row>
    <row r="613" spans="1:17">
      <c r="A613" s="253"/>
      <c r="B613" s="253"/>
      <c r="C613" s="253"/>
      <c r="D613" s="253"/>
      <c r="E613" s="253"/>
      <c r="F613" s="253"/>
      <c r="G613" s="253"/>
      <c r="H613" s="253"/>
      <c r="I613" s="253"/>
      <c r="J613" s="253"/>
      <c r="K613" s="253"/>
      <c r="L613" s="253"/>
      <c r="M613" s="253"/>
      <c r="N613" s="253"/>
      <c r="O613" s="253"/>
      <c r="P613" s="253"/>
      <c r="Q613" s="253"/>
    </row>
    <row r="614" spans="1:17">
      <c r="A614" s="253"/>
      <c r="B614" s="253"/>
      <c r="C614" s="253"/>
      <c r="D614" s="253"/>
      <c r="E614" s="253"/>
      <c r="F614" s="253"/>
      <c r="G614" s="253"/>
      <c r="H614" s="253"/>
      <c r="I614" s="253"/>
      <c r="J614" s="253"/>
      <c r="K614" s="253"/>
      <c r="L614" s="253"/>
      <c r="M614" s="253"/>
      <c r="N614" s="253"/>
      <c r="O614" s="253"/>
      <c r="P614" s="253"/>
      <c r="Q614" s="253"/>
    </row>
    <row r="615" spans="1:17">
      <c r="A615" s="253"/>
      <c r="B615" s="253"/>
      <c r="C615" s="253"/>
      <c r="D615" s="253"/>
      <c r="E615" s="253"/>
      <c r="F615" s="253"/>
      <c r="G615" s="253"/>
      <c r="H615" s="253"/>
      <c r="I615" s="253"/>
      <c r="J615" s="253"/>
      <c r="K615" s="253"/>
      <c r="L615" s="253"/>
      <c r="M615" s="253"/>
      <c r="N615" s="253"/>
      <c r="O615" s="253"/>
      <c r="P615" s="253"/>
      <c r="Q615" s="253"/>
    </row>
    <row r="616" spans="1:17">
      <c r="A616" s="253"/>
      <c r="B616" s="253"/>
      <c r="C616" s="253"/>
      <c r="D616" s="253"/>
      <c r="E616" s="253"/>
      <c r="F616" s="253"/>
      <c r="G616" s="253"/>
      <c r="H616" s="253"/>
      <c r="I616" s="253"/>
      <c r="J616" s="253"/>
      <c r="K616" s="253"/>
      <c r="L616" s="253"/>
      <c r="M616" s="253"/>
      <c r="N616" s="253"/>
      <c r="O616" s="253"/>
      <c r="P616" s="253"/>
      <c r="Q616" s="253"/>
    </row>
    <row r="617" spans="1:17">
      <c r="A617" s="253"/>
      <c r="B617" s="253"/>
      <c r="C617" s="253"/>
      <c r="D617" s="253"/>
      <c r="E617" s="253"/>
      <c r="F617" s="253"/>
      <c r="G617" s="253"/>
      <c r="H617" s="253"/>
      <c r="I617" s="253"/>
      <c r="J617" s="253"/>
      <c r="K617" s="253"/>
      <c r="L617" s="253"/>
      <c r="M617" s="253"/>
      <c r="N617" s="253"/>
      <c r="O617" s="253"/>
      <c r="P617" s="253"/>
      <c r="Q617" s="253"/>
    </row>
    <row r="618" spans="1:17">
      <c r="A618" s="253"/>
      <c r="B618" s="253"/>
      <c r="C618" s="253"/>
      <c r="D618" s="253"/>
      <c r="E618" s="253"/>
      <c r="F618" s="253"/>
      <c r="G618" s="253"/>
      <c r="H618" s="253"/>
      <c r="I618" s="253"/>
      <c r="J618" s="253"/>
      <c r="K618" s="253"/>
      <c r="L618" s="253"/>
      <c r="M618" s="253"/>
      <c r="N618" s="253"/>
      <c r="O618" s="253"/>
      <c r="P618" s="253"/>
      <c r="Q618" s="253"/>
    </row>
    <row r="619" spans="1:17">
      <c r="A619" s="253"/>
      <c r="B619" s="253"/>
      <c r="C619" s="253"/>
      <c r="D619" s="253"/>
      <c r="E619" s="253"/>
      <c r="F619" s="253"/>
      <c r="G619" s="253"/>
      <c r="H619" s="253"/>
      <c r="I619" s="253"/>
      <c r="J619" s="253"/>
      <c r="K619" s="253"/>
      <c r="L619" s="253"/>
      <c r="M619" s="253"/>
      <c r="N619" s="253"/>
      <c r="O619" s="253"/>
      <c r="P619" s="253"/>
      <c r="Q619" s="253"/>
    </row>
    <row r="620" spans="1:17">
      <c r="A620" s="253"/>
      <c r="B620" s="253"/>
      <c r="C620" s="253"/>
      <c r="D620" s="253"/>
      <c r="E620" s="253"/>
      <c r="F620" s="253"/>
      <c r="G620" s="253"/>
      <c r="H620" s="253"/>
      <c r="I620" s="253"/>
      <c r="J620" s="253"/>
      <c r="K620" s="253"/>
      <c r="L620" s="253"/>
      <c r="M620" s="253"/>
      <c r="N620" s="253"/>
      <c r="O620" s="253"/>
      <c r="P620" s="253"/>
      <c r="Q620" s="253"/>
    </row>
    <row r="621" spans="1:17">
      <c r="A621" s="253"/>
      <c r="B621" s="253"/>
      <c r="C621" s="253"/>
      <c r="D621" s="253"/>
      <c r="E621" s="253"/>
      <c r="F621" s="253"/>
      <c r="G621" s="253"/>
      <c r="H621" s="253"/>
      <c r="I621" s="253"/>
      <c r="J621" s="253"/>
      <c r="K621" s="253"/>
      <c r="L621" s="253"/>
      <c r="M621" s="253"/>
      <c r="N621" s="253"/>
      <c r="O621" s="253"/>
      <c r="P621" s="253"/>
      <c r="Q621" s="253"/>
    </row>
    <row r="622" spans="1:17">
      <c r="A622" s="253"/>
      <c r="B622" s="253"/>
      <c r="C622" s="253"/>
      <c r="D622" s="253"/>
      <c r="E622" s="253"/>
      <c r="F622" s="253"/>
      <c r="G622" s="253"/>
      <c r="H622" s="253"/>
      <c r="I622" s="253"/>
      <c r="J622" s="253"/>
      <c r="K622" s="253"/>
      <c r="L622" s="253"/>
      <c r="M622" s="253"/>
      <c r="N622" s="253"/>
      <c r="O622" s="253"/>
      <c r="P622" s="253"/>
      <c r="Q622" s="253"/>
    </row>
    <row r="623" spans="1:17">
      <c r="A623" s="253"/>
      <c r="B623" s="253"/>
      <c r="C623" s="253"/>
      <c r="D623" s="253"/>
      <c r="E623" s="253"/>
      <c r="F623" s="253"/>
      <c r="G623" s="253"/>
      <c r="H623" s="253"/>
      <c r="I623" s="253"/>
      <c r="J623" s="253"/>
      <c r="K623" s="253"/>
      <c r="L623" s="253"/>
      <c r="M623" s="253"/>
      <c r="N623" s="253"/>
      <c r="O623" s="253"/>
      <c r="P623" s="253"/>
      <c r="Q623" s="253"/>
    </row>
    <row r="624" spans="1:17">
      <c r="A624" s="253"/>
      <c r="B624" s="253"/>
      <c r="C624" s="253"/>
      <c r="D624" s="253"/>
      <c r="E624" s="253"/>
      <c r="F624" s="253"/>
      <c r="G624" s="253"/>
      <c r="H624" s="253"/>
      <c r="I624" s="253"/>
      <c r="J624" s="253"/>
      <c r="K624" s="253"/>
      <c r="L624" s="253"/>
      <c r="M624" s="253"/>
      <c r="N624" s="253"/>
      <c r="O624" s="253"/>
      <c r="P624" s="253"/>
      <c r="Q624" s="253"/>
    </row>
    <row r="625" spans="1:17">
      <c r="A625" s="253"/>
      <c r="B625" s="253"/>
      <c r="C625" s="253"/>
      <c r="D625" s="253"/>
      <c r="E625" s="253"/>
      <c r="F625" s="253"/>
      <c r="G625" s="253"/>
      <c r="H625" s="253"/>
      <c r="I625" s="253"/>
      <c r="J625" s="253"/>
      <c r="K625" s="253"/>
      <c r="L625" s="253"/>
      <c r="M625" s="253"/>
      <c r="N625" s="253"/>
      <c r="O625" s="253"/>
      <c r="P625" s="253"/>
      <c r="Q625" s="253"/>
    </row>
    <row r="626" spans="1:17">
      <c r="A626" s="253"/>
      <c r="B626" s="253"/>
      <c r="C626" s="253"/>
      <c r="D626" s="253"/>
      <c r="E626" s="253"/>
      <c r="F626" s="253"/>
      <c r="G626" s="253"/>
      <c r="H626" s="253"/>
      <c r="I626" s="253"/>
      <c r="J626" s="253"/>
      <c r="K626" s="253"/>
      <c r="L626" s="253"/>
      <c r="M626" s="253"/>
      <c r="N626" s="253"/>
      <c r="O626" s="253"/>
      <c r="P626" s="253"/>
      <c r="Q626" s="253"/>
    </row>
    <row r="627" spans="1:17">
      <c r="A627" s="253"/>
      <c r="B627" s="253"/>
      <c r="C627" s="253"/>
      <c r="D627" s="253"/>
      <c r="E627" s="253"/>
      <c r="F627" s="253"/>
      <c r="G627" s="253"/>
      <c r="H627" s="253"/>
      <c r="I627" s="253"/>
      <c r="J627" s="253"/>
      <c r="K627" s="253"/>
      <c r="L627" s="253"/>
      <c r="M627" s="253"/>
      <c r="N627" s="253"/>
      <c r="O627" s="253"/>
      <c r="P627" s="253"/>
      <c r="Q627" s="253"/>
    </row>
    <row r="628" spans="1:17">
      <c r="A628" s="253"/>
      <c r="B628" s="253"/>
      <c r="C628" s="253"/>
      <c r="D628" s="253"/>
      <c r="E628" s="253"/>
      <c r="F628" s="253"/>
      <c r="G628" s="253"/>
      <c r="H628" s="253"/>
      <c r="I628" s="253"/>
      <c r="J628" s="253"/>
      <c r="K628" s="253"/>
      <c r="L628" s="253"/>
      <c r="M628" s="253"/>
      <c r="N628" s="253"/>
      <c r="O628" s="253"/>
      <c r="P628" s="253"/>
      <c r="Q628" s="253"/>
    </row>
    <row r="629" spans="1:17">
      <c r="A629" s="253"/>
      <c r="B629" s="253"/>
      <c r="C629" s="253"/>
      <c r="D629" s="253"/>
      <c r="E629" s="253"/>
      <c r="F629" s="253"/>
      <c r="G629" s="253"/>
      <c r="H629" s="253"/>
      <c r="I629" s="253"/>
      <c r="J629" s="253"/>
      <c r="K629" s="253"/>
      <c r="L629" s="253"/>
      <c r="M629" s="253"/>
      <c r="N629" s="253"/>
      <c r="O629" s="253"/>
      <c r="P629" s="253"/>
      <c r="Q629" s="253"/>
    </row>
    <row r="630" spans="1:17">
      <c r="A630" s="253"/>
      <c r="B630" s="253"/>
      <c r="C630" s="253"/>
      <c r="D630" s="253"/>
      <c r="E630" s="253"/>
      <c r="F630" s="253"/>
      <c r="G630" s="253"/>
      <c r="H630" s="253"/>
      <c r="I630" s="253"/>
      <c r="J630" s="253"/>
      <c r="K630" s="253"/>
      <c r="L630" s="253"/>
      <c r="M630" s="253"/>
      <c r="N630" s="253"/>
      <c r="O630" s="253"/>
      <c r="P630" s="253"/>
      <c r="Q630" s="253"/>
    </row>
    <row r="631" spans="1:17">
      <c r="A631" s="253"/>
      <c r="B631" s="253"/>
      <c r="C631" s="253"/>
      <c r="D631" s="253"/>
      <c r="E631" s="253"/>
      <c r="F631" s="253"/>
      <c r="G631" s="253"/>
      <c r="H631" s="253"/>
      <c r="I631" s="253"/>
      <c r="J631" s="253"/>
      <c r="K631" s="253"/>
      <c r="L631" s="253"/>
      <c r="M631" s="253"/>
      <c r="N631" s="253"/>
      <c r="O631" s="253"/>
      <c r="P631" s="253"/>
      <c r="Q631" s="253"/>
    </row>
    <row r="632" spans="1:17">
      <c r="A632" s="253"/>
      <c r="B632" s="253"/>
      <c r="C632" s="253"/>
      <c r="D632" s="253"/>
      <c r="E632" s="253"/>
      <c r="F632" s="253"/>
      <c r="G632" s="253"/>
      <c r="H632" s="253"/>
      <c r="I632" s="253"/>
      <c r="J632" s="253"/>
      <c r="K632" s="253"/>
      <c r="L632" s="253"/>
      <c r="M632" s="253"/>
      <c r="N632" s="253"/>
      <c r="O632" s="253"/>
      <c r="P632" s="253"/>
      <c r="Q632" s="253"/>
    </row>
    <row r="633" spans="1:17">
      <c r="A633" s="253"/>
      <c r="B633" s="253"/>
      <c r="C633" s="253"/>
      <c r="D633" s="253"/>
      <c r="E633" s="253"/>
      <c r="F633" s="253"/>
      <c r="G633" s="253"/>
      <c r="H633" s="253"/>
      <c r="I633" s="253"/>
      <c r="J633" s="253"/>
      <c r="K633" s="253"/>
      <c r="L633" s="253"/>
      <c r="M633" s="253"/>
      <c r="N633" s="253"/>
      <c r="O633" s="253"/>
      <c r="P633" s="253"/>
      <c r="Q633" s="253"/>
    </row>
    <row r="634" spans="1:17">
      <c r="A634" s="253"/>
      <c r="B634" s="253"/>
      <c r="C634" s="253"/>
      <c r="D634" s="253"/>
      <c r="E634" s="253"/>
      <c r="F634" s="253"/>
      <c r="G634" s="253"/>
      <c r="H634" s="253"/>
      <c r="I634" s="253"/>
      <c r="J634" s="253"/>
      <c r="K634" s="253"/>
      <c r="L634" s="253"/>
      <c r="M634" s="253"/>
      <c r="N634" s="253"/>
      <c r="O634" s="253"/>
      <c r="P634" s="253"/>
      <c r="Q634" s="253"/>
    </row>
    <row r="635" spans="1:17">
      <c r="A635" s="253"/>
      <c r="B635" s="253"/>
      <c r="C635" s="253"/>
      <c r="D635" s="253"/>
      <c r="E635" s="253"/>
      <c r="F635" s="253"/>
      <c r="G635" s="253"/>
      <c r="H635" s="253"/>
      <c r="I635" s="253"/>
      <c r="J635" s="253"/>
      <c r="K635" s="253"/>
      <c r="L635" s="253"/>
      <c r="M635" s="253"/>
      <c r="N635" s="253"/>
      <c r="O635" s="253"/>
      <c r="P635" s="253"/>
      <c r="Q635" s="253"/>
    </row>
    <row r="636" spans="1:17">
      <c r="A636" s="253"/>
      <c r="B636" s="253"/>
      <c r="C636" s="253"/>
      <c r="D636" s="253"/>
      <c r="E636" s="253"/>
      <c r="F636" s="253"/>
      <c r="G636" s="253"/>
      <c r="H636" s="253"/>
      <c r="I636" s="253"/>
      <c r="J636" s="253"/>
      <c r="K636" s="253"/>
      <c r="L636" s="253"/>
      <c r="M636" s="253"/>
      <c r="N636" s="253"/>
      <c r="O636" s="253"/>
      <c r="P636" s="253"/>
      <c r="Q636" s="253"/>
    </row>
    <row r="637" spans="1:17">
      <c r="A637" s="253"/>
      <c r="B637" s="253"/>
      <c r="C637" s="253"/>
      <c r="D637" s="253"/>
      <c r="E637" s="253"/>
      <c r="F637" s="253"/>
      <c r="G637" s="253"/>
      <c r="H637" s="253"/>
      <c r="I637" s="253"/>
      <c r="J637" s="253"/>
      <c r="K637" s="253"/>
      <c r="L637" s="253"/>
      <c r="M637" s="253"/>
      <c r="N637" s="253"/>
      <c r="O637" s="253"/>
      <c r="P637" s="253"/>
      <c r="Q637" s="253"/>
    </row>
    <row r="638" spans="1:17">
      <c r="A638" s="253"/>
      <c r="B638" s="253"/>
      <c r="C638" s="253"/>
      <c r="D638" s="253"/>
      <c r="E638" s="253"/>
      <c r="F638" s="253"/>
      <c r="G638" s="253"/>
      <c r="H638" s="253"/>
      <c r="I638" s="253"/>
      <c r="J638" s="253"/>
      <c r="K638" s="253"/>
      <c r="L638" s="253"/>
      <c r="M638" s="253"/>
      <c r="N638" s="253"/>
      <c r="O638" s="253"/>
      <c r="P638" s="253"/>
      <c r="Q638" s="253"/>
    </row>
    <row r="639" spans="1:17">
      <c r="A639" s="253"/>
      <c r="B639" s="253"/>
      <c r="C639" s="253"/>
      <c r="D639" s="253"/>
      <c r="E639" s="253"/>
      <c r="F639" s="253"/>
      <c r="G639" s="253"/>
      <c r="H639" s="253"/>
      <c r="I639" s="253"/>
      <c r="J639" s="253"/>
      <c r="K639" s="253"/>
      <c r="L639" s="253"/>
      <c r="M639" s="253"/>
      <c r="N639" s="253"/>
      <c r="O639" s="253"/>
      <c r="P639" s="253"/>
      <c r="Q639" s="253"/>
    </row>
    <row r="640" spans="1:17">
      <c r="A640" s="253"/>
      <c r="B640" s="253"/>
      <c r="C640" s="253"/>
      <c r="D640" s="253"/>
      <c r="E640" s="253"/>
      <c r="F640" s="253"/>
      <c r="G640" s="253"/>
      <c r="H640" s="253"/>
      <c r="I640" s="253"/>
      <c r="J640" s="253"/>
      <c r="K640" s="253"/>
      <c r="L640" s="253"/>
      <c r="M640" s="253"/>
      <c r="N640" s="253"/>
      <c r="O640" s="253"/>
      <c r="P640" s="253"/>
      <c r="Q640" s="253"/>
    </row>
    <row r="641" spans="1:17">
      <c r="A641" s="253"/>
      <c r="B641" s="253"/>
      <c r="C641" s="253"/>
      <c r="D641" s="253"/>
      <c r="E641" s="253"/>
      <c r="F641" s="253"/>
      <c r="G641" s="253"/>
      <c r="H641" s="253"/>
      <c r="I641" s="253"/>
      <c r="J641" s="253"/>
      <c r="K641" s="253"/>
      <c r="L641" s="253"/>
      <c r="M641" s="253"/>
      <c r="N641" s="253"/>
      <c r="O641" s="253"/>
      <c r="P641" s="253"/>
      <c r="Q641" s="253"/>
    </row>
    <row r="642" spans="1:17">
      <c r="A642" s="253"/>
      <c r="B642" s="253"/>
      <c r="C642" s="253"/>
      <c r="D642" s="253"/>
      <c r="E642" s="253"/>
      <c r="F642" s="253"/>
      <c r="G642" s="253"/>
      <c r="H642" s="253"/>
      <c r="I642" s="253"/>
      <c r="J642" s="253"/>
      <c r="K642" s="253"/>
      <c r="L642" s="253"/>
      <c r="M642" s="253"/>
      <c r="N642" s="253"/>
      <c r="O642" s="253"/>
      <c r="P642" s="253"/>
      <c r="Q642" s="253"/>
    </row>
    <row r="643" spans="1:17">
      <c r="A643" s="253"/>
      <c r="B643" s="253"/>
      <c r="C643" s="253"/>
      <c r="D643" s="253"/>
      <c r="E643" s="253"/>
      <c r="F643" s="253"/>
      <c r="G643" s="253"/>
      <c r="H643" s="253"/>
      <c r="I643" s="253"/>
      <c r="J643" s="253"/>
      <c r="K643" s="253"/>
      <c r="L643" s="253"/>
      <c r="M643" s="253"/>
      <c r="N643" s="253"/>
      <c r="O643" s="253"/>
      <c r="P643" s="253"/>
      <c r="Q643" s="253"/>
    </row>
    <row r="644" spans="1:17">
      <c r="A644" s="253"/>
      <c r="B644" s="253"/>
      <c r="C644" s="253"/>
      <c r="D644" s="253"/>
      <c r="E644" s="253"/>
      <c r="F644" s="253"/>
      <c r="G644" s="253"/>
      <c r="H644" s="253"/>
      <c r="I644" s="253"/>
      <c r="J644" s="253"/>
      <c r="K644" s="253"/>
      <c r="L644" s="253"/>
      <c r="M644" s="253"/>
      <c r="N644" s="253"/>
      <c r="O644" s="253"/>
      <c r="P644" s="253"/>
      <c r="Q644" s="253"/>
    </row>
    <row r="645" spans="1:17">
      <c r="A645" s="253"/>
      <c r="B645" s="253"/>
      <c r="C645" s="253"/>
      <c r="D645" s="253"/>
      <c r="E645" s="253"/>
      <c r="F645" s="253"/>
      <c r="G645" s="253"/>
      <c r="H645" s="253"/>
      <c r="I645" s="253"/>
      <c r="J645" s="253"/>
      <c r="K645" s="253"/>
      <c r="L645" s="253"/>
      <c r="M645" s="253"/>
      <c r="N645" s="253"/>
      <c r="O645" s="253"/>
      <c r="P645" s="253"/>
      <c r="Q645" s="253"/>
    </row>
    <row r="646" spans="1:17">
      <c r="A646" s="253"/>
      <c r="B646" s="253"/>
      <c r="C646" s="253"/>
      <c r="D646" s="253"/>
      <c r="E646" s="253"/>
      <c r="F646" s="253"/>
      <c r="G646" s="253"/>
      <c r="H646" s="253"/>
      <c r="I646" s="253"/>
      <c r="J646" s="253"/>
      <c r="K646" s="253"/>
      <c r="L646" s="253"/>
      <c r="M646" s="253"/>
      <c r="N646" s="253"/>
      <c r="O646" s="253"/>
      <c r="P646" s="253"/>
      <c r="Q646" s="253"/>
    </row>
    <row r="647" spans="1:17">
      <c r="A647" s="253"/>
      <c r="B647" s="253"/>
      <c r="C647" s="253"/>
      <c r="D647" s="253"/>
      <c r="E647" s="253"/>
      <c r="F647" s="253"/>
      <c r="G647" s="253"/>
      <c r="H647" s="253"/>
      <c r="I647" s="253"/>
      <c r="J647" s="253"/>
      <c r="K647" s="253"/>
      <c r="L647" s="253"/>
      <c r="M647" s="253"/>
      <c r="N647" s="253"/>
      <c r="O647" s="253"/>
      <c r="P647" s="253"/>
      <c r="Q647" s="253"/>
    </row>
    <row r="648" spans="1:17">
      <c r="A648" s="253"/>
      <c r="B648" s="253"/>
      <c r="C648" s="253"/>
      <c r="D648" s="253"/>
      <c r="E648" s="253"/>
      <c r="F648" s="253"/>
      <c r="G648" s="253"/>
      <c r="H648" s="253"/>
      <c r="I648" s="253"/>
      <c r="J648" s="253"/>
      <c r="K648" s="253"/>
      <c r="L648" s="253"/>
      <c r="M648" s="253"/>
      <c r="N648" s="253"/>
      <c r="O648" s="253"/>
      <c r="P648" s="253"/>
      <c r="Q648" s="253"/>
    </row>
    <row r="649" spans="1:17">
      <c r="A649" s="253"/>
      <c r="B649" s="253"/>
      <c r="C649" s="253"/>
      <c r="D649" s="253"/>
      <c r="E649" s="253"/>
      <c r="F649" s="253"/>
      <c r="G649" s="253"/>
      <c r="H649" s="253"/>
      <c r="I649" s="253"/>
      <c r="J649" s="253"/>
      <c r="K649" s="253"/>
      <c r="L649" s="253"/>
      <c r="M649" s="253"/>
      <c r="N649" s="253"/>
      <c r="O649" s="253"/>
      <c r="P649" s="253"/>
      <c r="Q649" s="253"/>
    </row>
    <row r="650" spans="1:17">
      <c r="A650" s="253"/>
      <c r="B650" s="253"/>
      <c r="C650" s="253"/>
      <c r="D650" s="253"/>
      <c r="E650" s="253"/>
      <c r="F650" s="253"/>
      <c r="G650" s="253"/>
      <c r="H650" s="253"/>
      <c r="I650" s="253"/>
      <c r="J650" s="253"/>
      <c r="K650" s="253"/>
      <c r="L650" s="253"/>
      <c r="M650" s="253"/>
      <c r="N650" s="253"/>
      <c r="O650" s="253"/>
      <c r="P650" s="253"/>
      <c r="Q650" s="253"/>
    </row>
    <row r="651" spans="1:17">
      <c r="A651" s="253"/>
      <c r="B651" s="253"/>
      <c r="C651" s="253"/>
      <c r="D651" s="253"/>
      <c r="E651" s="253"/>
      <c r="F651" s="253"/>
      <c r="G651" s="253"/>
      <c r="H651" s="253"/>
      <c r="I651" s="253"/>
      <c r="J651" s="253"/>
      <c r="K651" s="253"/>
      <c r="L651" s="253"/>
      <c r="M651" s="253"/>
      <c r="N651" s="253"/>
      <c r="O651" s="253"/>
      <c r="P651" s="253"/>
      <c r="Q651" s="253"/>
    </row>
    <row r="652" spans="1:17">
      <c r="A652" s="253"/>
      <c r="B652" s="253"/>
      <c r="C652" s="253"/>
      <c r="D652" s="253"/>
      <c r="E652" s="253"/>
      <c r="F652" s="253"/>
      <c r="G652" s="253"/>
      <c r="H652" s="253"/>
      <c r="I652" s="253"/>
      <c r="J652" s="253"/>
      <c r="K652" s="253"/>
      <c r="L652" s="253"/>
      <c r="M652" s="253"/>
      <c r="N652" s="253"/>
      <c r="O652" s="253"/>
      <c r="P652" s="253"/>
      <c r="Q652" s="253"/>
    </row>
    <row r="653" spans="1:17">
      <c r="A653" s="253"/>
      <c r="B653" s="253"/>
      <c r="C653" s="253"/>
      <c r="D653" s="253"/>
      <c r="E653" s="253"/>
      <c r="F653" s="253"/>
      <c r="G653" s="253"/>
      <c r="H653" s="253"/>
      <c r="I653" s="253"/>
      <c r="J653" s="253"/>
      <c r="K653" s="253"/>
      <c r="L653" s="253"/>
      <c r="M653" s="253"/>
      <c r="N653" s="253"/>
      <c r="O653" s="253"/>
      <c r="P653" s="253"/>
      <c r="Q653" s="253"/>
    </row>
    <row r="654" spans="1:17">
      <c r="A654" s="253"/>
      <c r="B654" s="253"/>
      <c r="C654" s="253"/>
      <c r="D654" s="253"/>
      <c r="E654" s="253"/>
      <c r="F654" s="253"/>
      <c r="G654" s="253"/>
      <c r="H654" s="253"/>
      <c r="I654" s="253"/>
      <c r="J654" s="253"/>
      <c r="K654" s="253"/>
      <c r="L654" s="253"/>
      <c r="M654" s="253"/>
      <c r="N654" s="253"/>
      <c r="O654" s="253"/>
      <c r="P654" s="253"/>
      <c r="Q654" s="253"/>
    </row>
    <row r="655" spans="1:17">
      <c r="A655" s="253"/>
      <c r="B655" s="253"/>
      <c r="C655" s="253"/>
      <c r="D655" s="253"/>
      <c r="E655" s="253"/>
      <c r="F655" s="253"/>
      <c r="G655" s="253"/>
      <c r="H655" s="253"/>
      <c r="I655" s="253"/>
      <c r="J655" s="253"/>
      <c r="K655" s="253"/>
      <c r="L655" s="253"/>
      <c r="M655" s="253"/>
      <c r="N655" s="253"/>
      <c r="O655" s="253"/>
      <c r="P655" s="253"/>
      <c r="Q655" s="253"/>
    </row>
    <row r="656" spans="1:17">
      <c r="A656" s="253"/>
      <c r="B656" s="253"/>
      <c r="C656" s="253"/>
      <c r="D656" s="253"/>
      <c r="E656" s="253"/>
      <c r="F656" s="253"/>
      <c r="G656" s="253"/>
      <c r="H656" s="253"/>
      <c r="I656" s="253"/>
      <c r="J656" s="253"/>
      <c r="K656" s="253"/>
      <c r="L656" s="253"/>
      <c r="M656" s="253"/>
      <c r="N656" s="253"/>
      <c r="O656" s="253"/>
      <c r="P656" s="253"/>
      <c r="Q656" s="253"/>
    </row>
    <row r="657" spans="1:17">
      <c r="A657" s="253"/>
      <c r="B657" s="253"/>
      <c r="C657" s="253"/>
      <c r="D657" s="253"/>
      <c r="E657" s="253"/>
      <c r="F657" s="253"/>
      <c r="G657" s="253"/>
      <c r="H657" s="253"/>
      <c r="I657" s="253"/>
      <c r="J657" s="253"/>
      <c r="K657" s="253"/>
      <c r="L657" s="253"/>
      <c r="M657" s="253"/>
      <c r="N657" s="253"/>
      <c r="O657" s="253"/>
      <c r="P657" s="253"/>
      <c r="Q657" s="253"/>
    </row>
    <row r="658" spans="1:17">
      <c r="A658" s="253"/>
      <c r="B658" s="253"/>
      <c r="C658" s="253"/>
      <c r="D658" s="253"/>
      <c r="E658" s="253"/>
      <c r="F658" s="253"/>
      <c r="G658" s="253"/>
      <c r="H658" s="253"/>
      <c r="I658" s="253"/>
      <c r="J658" s="253"/>
      <c r="K658" s="253"/>
      <c r="L658" s="253"/>
      <c r="M658" s="253"/>
      <c r="N658" s="253"/>
      <c r="O658" s="253"/>
      <c r="P658" s="253"/>
      <c r="Q658" s="253"/>
    </row>
    <row r="659" spans="1:17">
      <c r="A659" s="253"/>
      <c r="B659" s="253"/>
      <c r="C659" s="253"/>
      <c r="D659" s="253"/>
      <c r="E659" s="253"/>
      <c r="F659" s="253"/>
      <c r="G659" s="253"/>
      <c r="H659" s="253"/>
      <c r="I659" s="253"/>
      <c r="J659" s="253"/>
      <c r="K659" s="253"/>
      <c r="L659" s="253"/>
      <c r="M659" s="253"/>
      <c r="N659" s="253"/>
      <c r="O659" s="253"/>
      <c r="P659" s="253"/>
      <c r="Q659" s="253"/>
    </row>
    <row r="660" spans="1:17">
      <c r="A660" s="253"/>
      <c r="B660" s="253"/>
      <c r="C660" s="253"/>
      <c r="D660" s="253"/>
      <c r="E660" s="253"/>
      <c r="F660" s="253"/>
      <c r="G660" s="253"/>
      <c r="H660" s="253"/>
      <c r="I660" s="253"/>
      <c r="J660" s="253"/>
      <c r="K660" s="253"/>
      <c r="L660" s="253"/>
      <c r="M660" s="253"/>
      <c r="N660" s="253"/>
      <c r="O660" s="253"/>
      <c r="P660" s="253"/>
      <c r="Q660" s="253"/>
    </row>
    <row r="661" spans="1:17">
      <c r="A661" s="253"/>
      <c r="B661" s="253"/>
      <c r="C661" s="253"/>
      <c r="D661" s="253"/>
      <c r="E661" s="253"/>
      <c r="F661" s="253"/>
      <c r="G661" s="253"/>
      <c r="H661" s="253"/>
      <c r="I661" s="253"/>
      <c r="J661" s="253"/>
      <c r="K661" s="253"/>
      <c r="L661" s="253"/>
      <c r="M661" s="253"/>
      <c r="N661" s="253"/>
      <c r="O661" s="253"/>
      <c r="P661" s="253"/>
      <c r="Q661" s="253"/>
    </row>
    <row r="662" spans="1:17">
      <c r="A662" s="253"/>
      <c r="B662" s="253"/>
      <c r="C662" s="253"/>
      <c r="D662" s="253"/>
      <c r="E662" s="253"/>
      <c r="F662" s="253"/>
      <c r="G662" s="253"/>
      <c r="H662" s="253"/>
      <c r="I662" s="253"/>
      <c r="J662" s="253"/>
      <c r="K662" s="253"/>
      <c r="L662" s="253"/>
      <c r="M662" s="253"/>
      <c r="N662" s="253"/>
      <c r="O662" s="253"/>
      <c r="P662" s="253"/>
      <c r="Q662" s="253"/>
    </row>
    <row r="663" spans="1:17">
      <c r="A663" s="253"/>
      <c r="B663" s="253"/>
      <c r="C663" s="253"/>
      <c r="D663" s="253"/>
      <c r="E663" s="253"/>
      <c r="F663" s="253"/>
      <c r="G663" s="253"/>
      <c r="H663" s="253"/>
      <c r="I663" s="253"/>
      <c r="J663" s="253"/>
      <c r="K663" s="253"/>
      <c r="L663" s="253"/>
      <c r="M663" s="253"/>
      <c r="N663" s="253"/>
      <c r="O663" s="253"/>
      <c r="P663" s="253"/>
      <c r="Q663" s="253"/>
    </row>
    <row r="664" spans="1:17">
      <c r="A664" s="253"/>
      <c r="B664" s="253"/>
      <c r="C664" s="253"/>
      <c r="D664" s="253"/>
      <c r="E664" s="253"/>
      <c r="F664" s="253"/>
      <c r="G664" s="253"/>
      <c r="H664" s="253"/>
      <c r="I664" s="253"/>
      <c r="J664" s="253"/>
      <c r="K664" s="253"/>
      <c r="L664" s="253"/>
      <c r="M664" s="253"/>
      <c r="N664" s="253"/>
      <c r="O664" s="253"/>
      <c r="P664" s="253"/>
      <c r="Q664" s="253"/>
    </row>
    <row r="665" spans="1:17">
      <c r="A665" s="253"/>
      <c r="B665" s="253"/>
      <c r="C665" s="253"/>
      <c r="D665" s="253"/>
      <c r="E665" s="253"/>
      <c r="F665" s="253"/>
      <c r="G665" s="253"/>
      <c r="H665" s="253"/>
      <c r="I665" s="253"/>
      <c r="J665" s="253"/>
      <c r="K665" s="253"/>
      <c r="L665" s="253"/>
      <c r="M665" s="253"/>
      <c r="N665" s="253"/>
      <c r="O665" s="253"/>
      <c r="P665" s="253"/>
      <c r="Q665" s="253"/>
    </row>
    <row r="666" spans="1:17">
      <c r="A666" s="253"/>
      <c r="B666" s="253"/>
      <c r="C666" s="253"/>
      <c r="D666" s="253"/>
      <c r="E666" s="253"/>
      <c r="F666" s="253"/>
      <c r="G666" s="253"/>
      <c r="H666" s="253"/>
      <c r="I666" s="253"/>
      <c r="J666" s="253"/>
      <c r="K666" s="253"/>
      <c r="L666" s="253"/>
      <c r="M666" s="253"/>
      <c r="N666" s="253"/>
      <c r="O666" s="253"/>
      <c r="P666" s="253"/>
      <c r="Q666" s="253"/>
    </row>
    <row r="667" spans="1:17">
      <c r="A667" s="253"/>
      <c r="B667" s="253"/>
      <c r="C667" s="253"/>
      <c r="D667" s="253"/>
      <c r="E667" s="253"/>
      <c r="F667" s="253"/>
      <c r="G667" s="253"/>
      <c r="H667" s="253"/>
      <c r="I667" s="253"/>
      <c r="J667" s="253"/>
      <c r="K667" s="253"/>
      <c r="L667" s="253"/>
      <c r="M667" s="253"/>
      <c r="N667" s="253"/>
      <c r="O667" s="253"/>
      <c r="P667" s="253"/>
      <c r="Q667" s="253"/>
    </row>
    <row r="668" spans="1:17">
      <c r="A668" s="253"/>
      <c r="B668" s="253"/>
      <c r="C668" s="253"/>
      <c r="D668" s="253"/>
      <c r="E668" s="253"/>
      <c r="F668" s="253"/>
      <c r="G668" s="253"/>
      <c r="H668" s="253"/>
      <c r="I668" s="253"/>
      <c r="J668" s="253"/>
      <c r="K668" s="253"/>
      <c r="L668" s="253"/>
      <c r="M668" s="253"/>
      <c r="N668" s="253"/>
      <c r="O668" s="253"/>
      <c r="P668" s="253"/>
      <c r="Q668" s="253"/>
    </row>
    <row r="669" spans="1:17">
      <c r="A669" s="253"/>
      <c r="B669" s="253"/>
      <c r="C669" s="253"/>
      <c r="D669" s="253"/>
      <c r="E669" s="253"/>
      <c r="F669" s="253"/>
      <c r="G669" s="253"/>
      <c r="H669" s="253"/>
      <c r="I669" s="253"/>
      <c r="J669" s="253"/>
      <c r="K669" s="253"/>
      <c r="L669" s="253"/>
      <c r="M669" s="253"/>
      <c r="N669" s="253"/>
      <c r="O669" s="253"/>
      <c r="P669" s="253"/>
      <c r="Q669" s="253"/>
    </row>
    <row r="670" spans="1:17">
      <c r="A670" s="253"/>
      <c r="B670" s="253"/>
      <c r="C670" s="253"/>
      <c r="D670" s="253"/>
      <c r="E670" s="253"/>
      <c r="F670" s="253"/>
      <c r="G670" s="253"/>
      <c r="H670" s="253"/>
      <c r="I670" s="253"/>
      <c r="J670" s="253"/>
      <c r="K670" s="253"/>
      <c r="L670" s="253"/>
      <c r="M670" s="253"/>
      <c r="N670" s="253"/>
      <c r="O670" s="253"/>
      <c r="P670" s="253"/>
      <c r="Q670" s="253"/>
    </row>
    <row r="671" spans="1:17">
      <c r="A671" s="253"/>
      <c r="B671" s="253"/>
      <c r="C671" s="253"/>
      <c r="D671" s="253"/>
      <c r="E671" s="253"/>
      <c r="F671" s="253"/>
      <c r="G671" s="253"/>
      <c r="H671" s="253"/>
      <c r="I671" s="253"/>
      <c r="J671" s="253"/>
      <c r="K671" s="253"/>
      <c r="L671" s="253"/>
      <c r="M671" s="253"/>
      <c r="N671" s="253"/>
      <c r="O671" s="253"/>
      <c r="P671" s="253"/>
      <c r="Q671" s="253"/>
    </row>
    <row r="672" spans="1:17">
      <c r="A672" s="253"/>
      <c r="B672" s="253"/>
      <c r="C672" s="253"/>
      <c r="D672" s="253"/>
      <c r="E672" s="253"/>
      <c r="F672" s="253"/>
      <c r="G672" s="253"/>
      <c r="H672" s="253"/>
      <c r="I672" s="253"/>
      <c r="J672" s="253"/>
      <c r="K672" s="253"/>
      <c r="L672" s="253"/>
      <c r="M672" s="253"/>
      <c r="N672" s="253"/>
      <c r="O672" s="253"/>
      <c r="P672" s="253"/>
      <c r="Q672" s="253"/>
    </row>
    <row r="673" spans="1:17">
      <c r="A673" s="253"/>
      <c r="B673" s="253"/>
      <c r="C673" s="253"/>
      <c r="D673" s="253"/>
      <c r="E673" s="253"/>
      <c r="F673" s="253"/>
      <c r="G673" s="253"/>
      <c r="H673" s="253"/>
      <c r="I673" s="253"/>
      <c r="J673" s="253"/>
      <c r="K673" s="253"/>
      <c r="L673" s="253"/>
      <c r="M673" s="253"/>
      <c r="N673" s="253"/>
      <c r="O673" s="253"/>
      <c r="P673" s="253"/>
      <c r="Q673" s="253"/>
    </row>
    <row r="674" spans="1:17">
      <c r="A674" s="253"/>
      <c r="B674" s="253"/>
      <c r="C674" s="253"/>
      <c r="D674" s="253"/>
      <c r="E674" s="253"/>
      <c r="F674" s="253"/>
      <c r="G674" s="253"/>
      <c r="H674" s="253"/>
      <c r="I674" s="253"/>
      <c r="J674" s="253"/>
      <c r="K674" s="253"/>
      <c r="L674" s="253"/>
      <c r="M674" s="253"/>
      <c r="N674" s="253"/>
      <c r="O674" s="253"/>
      <c r="P674" s="253"/>
      <c r="Q674" s="253"/>
    </row>
    <row r="675" spans="1:17">
      <c r="A675" s="253"/>
      <c r="B675" s="253"/>
      <c r="C675" s="253"/>
      <c r="D675" s="253"/>
      <c r="E675" s="253"/>
      <c r="F675" s="253"/>
      <c r="G675" s="253"/>
      <c r="H675" s="253"/>
      <c r="I675" s="253"/>
      <c r="J675" s="253"/>
      <c r="K675" s="253"/>
      <c r="L675" s="253"/>
      <c r="M675" s="253"/>
      <c r="N675" s="253"/>
      <c r="O675" s="253"/>
      <c r="P675" s="253"/>
      <c r="Q675" s="253"/>
    </row>
    <row r="676" spans="1:17">
      <c r="A676" s="253"/>
      <c r="B676" s="253"/>
      <c r="C676" s="253"/>
      <c r="D676" s="253"/>
      <c r="E676" s="253"/>
      <c r="F676" s="253"/>
      <c r="G676" s="253"/>
      <c r="H676" s="253"/>
      <c r="I676" s="253"/>
      <c r="J676" s="253"/>
      <c r="K676" s="253"/>
      <c r="L676" s="253"/>
      <c r="M676" s="253"/>
      <c r="N676" s="253"/>
      <c r="O676" s="253"/>
      <c r="P676" s="253"/>
      <c r="Q676" s="253"/>
    </row>
    <row r="677" spans="1:17">
      <c r="A677" s="253"/>
      <c r="B677" s="253"/>
      <c r="C677" s="253"/>
      <c r="D677" s="253"/>
      <c r="E677" s="253"/>
      <c r="F677" s="253"/>
      <c r="G677" s="253"/>
      <c r="H677" s="253"/>
      <c r="I677" s="253"/>
      <c r="J677" s="253"/>
      <c r="K677" s="253"/>
      <c r="L677" s="253"/>
      <c r="M677" s="253"/>
      <c r="N677" s="253"/>
      <c r="O677" s="253"/>
      <c r="P677" s="253"/>
      <c r="Q677" s="253"/>
    </row>
    <row r="678" spans="1:17">
      <c r="A678" s="253"/>
      <c r="B678" s="253"/>
      <c r="C678" s="253"/>
      <c r="D678" s="253"/>
      <c r="E678" s="253"/>
      <c r="F678" s="253"/>
      <c r="G678" s="253"/>
      <c r="H678" s="253"/>
      <c r="I678" s="253"/>
      <c r="J678" s="253"/>
      <c r="K678" s="253"/>
      <c r="L678" s="253"/>
      <c r="M678" s="253"/>
      <c r="N678" s="253"/>
      <c r="O678" s="253"/>
      <c r="P678" s="253"/>
      <c r="Q678" s="253"/>
    </row>
    <row r="679" spans="1:17">
      <c r="A679" s="253"/>
      <c r="B679" s="253"/>
      <c r="C679" s="253"/>
      <c r="D679" s="253"/>
      <c r="E679" s="253"/>
      <c r="F679" s="253"/>
      <c r="G679" s="253"/>
      <c r="H679" s="253"/>
      <c r="I679" s="253"/>
      <c r="J679" s="253"/>
      <c r="K679" s="253"/>
      <c r="L679" s="253"/>
      <c r="M679" s="253"/>
      <c r="N679" s="253"/>
      <c r="O679" s="253"/>
      <c r="P679" s="253"/>
      <c r="Q679" s="253"/>
    </row>
    <row r="680" spans="1:17">
      <c r="A680" s="253"/>
      <c r="B680" s="253"/>
      <c r="C680" s="253"/>
      <c r="D680" s="253"/>
      <c r="E680" s="253"/>
      <c r="F680" s="253"/>
      <c r="G680" s="253"/>
      <c r="H680" s="253"/>
      <c r="I680" s="253"/>
      <c r="J680" s="253"/>
      <c r="K680" s="253"/>
      <c r="L680" s="253"/>
      <c r="M680" s="253"/>
      <c r="N680" s="253"/>
      <c r="O680" s="253"/>
      <c r="P680" s="253"/>
      <c r="Q680" s="253"/>
    </row>
    <row r="681" spans="1:17">
      <c r="A681" s="253"/>
      <c r="B681" s="253"/>
      <c r="C681" s="253"/>
      <c r="D681" s="253"/>
      <c r="E681" s="253"/>
      <c r="F681" s="253"/>
      <c r="G681" s="253"/>
      <c r="H681" s="253"/>
      <c r="I681" s="253"/>
      <c r="J681" s="253"/>
      <c r="K681" s="253"/>
      <c r="L681" s="253"/>
      <c r="M681" s="253"/>
      <c r="N681" s="253"/>
      <c r="O681" s="253"/>
      <c r="P681" s="253"/>
      <c r="Q681" s="253"/>
    </row>
    <row r="682" spans="1:17">
      <c r="A682" s="253"/>
      <c r="B682" s="253"/>
      <c r="C682" s="253"/>
      <c r="D682" s="253"/>
      <c r="E682" s="253"/>
      <c r="F682" s="253"/>
      <c r="G682" s="253"/>
      <c r="H682" s="253"/>
      <c r="I682" s="253"/>
      <c r="J682" s="253"/>
      <c r="K682" s="253"/>
      <c r="L682" s="253"/>
      <c r="M682" s="253"/>
      <c r="N682" s="253"/>
      <c r="O682" s="253"/>
      <c r="P682" s="253"/>
      <c r="Q682" s="253"/>
    </row>
    <row r="683" spans="1:17">
      <c r="A683" s="253"/>
      <c r="B683" s="253"/>
      <c r="C683" s="253"/>
      <c r="D683" s="253"/>
      <c r="E683" s="253"/>
      <c r="F683" s="253"/>
      <c r="G683" s="253"/>
      <c r="H683" s="253"/>
      <c r="I683" s="253"/>
      <c r="J683" s="253"/>
      <c r="K683" s="253"/>
      <c r="L683" s="253"/>
      <c r="M683" s="253"/>
      <c r="N683" s="253"/>
      <c r="O683" s="253"/>
      <c r="P683" s="253"/>
      <c r="Q683" s="253"/>
    </row>
    <row r="684" spans="1:17">
      <c r="A684" s="253"/>
      <c r="B684" s="253"/>
      <c r="C684" s="253"/>
      <c r="D684" s="253"/>
      <c r="E684" s="253"/>
      <c r="F684" s="253"/>
      <c r="G684" s="253"/>
      <c r="H684" s="253"/>
      <c r="I684" s="253"/>
      <c r="J684" s="253"/>
      <c r="K684" s="253"/>
      <c r="L684" s="253"/>
      <c r="M684" s="253"/>
      <c r="N684" s="253"/>
      <c r="O684" s="253"/>
      <c r="P684" s="253"/>
      <c r="Q684" s="253"/>
    </row>
    <row r="685" spans="1:17">
      <c r="A685" s="253"/>
      <c r="B685" s="253"/>
      <c r="C685" s="253"/>
      <c r="D685" s="253"/>
      <c r="E685" s="253"/>
      <c r="F685" s="253"/>
      <c r="G685" s="253"/>
      <c r="H685" s="253"/>
      <c r="I685" s="253"/>
      <c r="J685" s="253"/>
      <c r="K685" s="253"/>
      <c r="L685" s="253"/>
      <c r="M685" s="253"/>
      <c r="N685" s="253"/>
      <c r="O685" s="253"/>
      <c r="P685" s="253"/>
      <c r="Q685" s="253"/>
    </row>
    <row r="686" spans="1:17">
      <c r="A686" s="253"/>
      <c r="B686" s="253"/>
      <c r="C686" s="253"/>
      <c r="D686" s="253"/>
      <c r="E686" s="253"/>
      <c r="F686" s="253"/>
      <c r="G686" s="253"/>
      <c r="H686" s="253"/>
      <c r="I686" s="253"/>
      <c r="J686" s="253"/>
      <c r="K686" s="253"/>
      <c r="L686" s="253"/>
      <c r="M686" s="253"/>
      <c r="N686" s="253"/>
      <c r="O686" s="253"/>
      <c r="P686" s="253"/>
      <c r="Q686" s="253"/>
    </row>
    <row r="687" spans="1:17">
      <c r="A687" s="253"/>
      <c r="B687" s="253"/>
      <c r="C687" s="253"/>
      <c r="D687" s="253"/>
      <c r="E687" s="253"/>
      <c r="F687" s="253"/>
      <c r="G687" s="253"/>
      <c r="H687" s="253"/>
      <c r="I687" s="253"/>
      <c r="J687" s="253"/>
      <c r="K687" s="253"/>
      <c r="L687" s="253"/>
      <c r="M687" s="253"/>
      <c r="N687" s="253"/>
      <c r="O687" s="253"/>
      <c r="P687" s="253"/>
      <c r="Q687" s="253"/>
    </row>
    <row r="688" spans="1:17">
      <c r="A688" s="253"/>
      <c r="B688" s="253"/>
      <c r="C688" s="253"/>
      <c r="D688" s="253"/>
      <c r="E688" s="253"/>
      <c r="F688" s="253"/>
      <c r="G688" s="253"/>
      <c r="H688" s="253"/>
      <c r="I688" s="253"/>
      <c r="J688" s="253"/>
      <c r="K688" s="253"/>
      <c r="L688" s="253"/>
      <c r="M688" s="253"/>
      <c r="N688" s="253"/>
      <c r="O688" s="253"/>
      <c r="P688" s="253"/>
      <c r="Q688" s="253"/>
    </row>
    <row r="689" spans="1:17">
      <c r="A689" s="253"/>
      <c r="B689" s="253"/>
      <c r="C689" s="253"/>
      <c r="D689" s="253"/>
      <c r="E689" s="253"/>
      <c r="F689" s="253"/>
      <c r="G689" s="253"/>
      <c r="H689" s="253"/>
      <c r="I689" s="253"/>
      <c r="J689" s="253"/>
      <c r="K689" s="253"/>
      <c r="L689" s="253"/>
      <c r="M689" s="253"/>
      <c r="N689" s="253"/>
      <c r="O689" s="253"/>
      <c r="P689" s="253"/>
      <c r="Q689" s="253"/>
    </row>
    <row r="690" spans="1:17">
      <c r="A690" s="253"/>
      <c r="B690" s="253"/>
      <c r="C690" s="253"/>
      <c r="D690" s="253"/>
      <c r="E690" s="253"/>
      <c r="F690" s="253"/>
      <c r="G690" s="253"/>
      <c r="H690" s="253"/>
      <c r="I690" s="253"/>
      <c r="J690" s="253"/>
      <c r="K690" s="253"/>
      <c r="L690" s="253"/>
      <c r="M690" s="253"/>
      <c r="N690" s="253"/>
      <c r="O690" s="253"/>
      <c r="P690" s="253"/>
      <c r="Q690" s="253"/>
    </row>
    <row r="691" spans="1:17">
      <c r="A691" s="253"/>
      <c r="B691" s="253"/>
      <c r="C691" s="253"/>
      <c r="D691" s="253"/>
      <c r="E691" s="253"/>
      <c r="F691" s="253"/>
      <c r="G691" s="253"/>
      <c r="H691" s="253"/>
      <c r="I691" s="253"/>
      <c r="J691" s="253"/>
      <c r="K691" s="253"/>
      <c r="L691" s="253"/>
      <c r="M691" s="253"/>
      <c r="N691" s="253"/>
      <c r="O691" s="253"/>
      <c r="P691" s="253"/>
      <c r="Q691" s="253"/>
    </row>
    <row r="692" spans="1:17">
      <c r="A692" s="253"/>
      <c r="B692" s="253"/>
      <c r="C692" s="253"/>
      <c r="D692" s="253"/>
      <c r="E692" s="253"/>
      <c r="F692" s="253"/>
      <c r="G692" s="253"/>
      <c r="H692" s="253"/>
      <c r="I692" s="253"/>
      <c r="J692" s="253"/>
      <c r="K692" s="253"/>
      <c r="L692" s="253"/>
      <c r="M692" s="253"/>
      <c r="N692" s="253"/>
      <c r="O692" s="253"/>
      <c r="P692" s="253"/>
      <c r="Q692" s="253"/>
    </row>
    <row r="693" spans="1:17">
      <c r="A693" s="253"/>
      <c r="B693" s="253"/>
      <c r="C693" s="253"/>
      <c r="D693" s="253"/>
      <c r="E693" s="253"/>
      <c r="F693" s="253"/>
      <c r="G693" s="253"/>
      <c r="H693" s="253"/>
      <c r="I693" s="253"/>
      <c r="J693" s="253"/>
      <c r="K693" s="253"/>
      <c r="L693" s="253"/>
      <c r="M693" s="253"/>
      <c r="N693" s="253"/>
      <c r="O693" s="253"/>
      <c r="P693" s="253"/>
      <c r="Q693" s="253"/>
    </row>
    <row r="694" spans="1:17">
      <c r="A694" s="253"/>
      <c r="B694" s="253"/>
      <c r="C694" s="253"/>
      <c r="D694" s="253"/>
      <c r="E694" s="253"/>
      <c r="F694" s="253"/>
      <c r="G694" s="253"/>
      <c r="H694" s="253"/>
      <c r="I694" s="253"/>
      <c r="J694" s="253"/>
      <c r="K694" s="253"/>
      <c r="L694" s="253"/>
      <c r="M694" s="253"/>
      <c r="N694" s="253"/>
      <c r="O694" s="253"/>
      <c r="P694" s="253"/>
      <c r="Q694" s="253"/>
    </row>
    <row r="695" spans="1:17">
      <c r="A695" s="253"/>
      <c r="B695" s="253"/>
      <c r="C695" s="253"/>
      <c r="D695" s="253"/>
      <c r="E695" s="253"/>
      <c r="F695" s="253"/>
      <c r="G695" s="253"/>
      <c r="H695" s="253"/>
      <c r="I695" s="253"/>
      <c r="J695" s="253"/>
      <c r="K695" s="253"/>
      <c r="L695" s="253"/>
      <c r="M695" s="253"/>
      <c r="N695" s="253"/>
      <c r="O695" s="253"/>
      <c r="P695" s="253"/>
      <c r="Q695" s="253"/>
    </row>
    <row r="696" spans="1:17">
      <c r="A696" s="253"/>
      <c r="B696" s="253"/>
      <c r="C696" s="253"/>
      <c r="D696" s="253"/>
      <c r="E696" s="253"/>
      <c r="F696" s="253"/>
      <c r="G696" s="253"/>
      <c r="H696" s="253"/>
      <c r="I696" s="253"/>
      <c r="J696" s="253"/>
      <c r="K696" s="253"/>
      <c r="L696" s="253"/>
      <c r="M696" s="253"/>
      <c r="N696" s="253"/>
      <c r="O696" s="253"/>
      <c r="P696" s="253"/>
      <c r="Q696" s="253"/>
    </row>
    <row r="697" spans="1:17">
      <c r="A697" s="253"/>
      <c r="B697" s="253"/>
      <c r="C697" s="253"/>
      <c r="D697" s="253"/>
      <c r="E697" s="253"/>
      <c r="F697" s="253"/>
      <c r="G697" s="253"/>
      <c r="H697" s="253"/>
      <c r="I697" s="253"/>
      <c r="J697" s="253"/>
      <c r="K697" s="253"/>
      <c r="L697" s="253"/>
      <c r="M697" s="253"/>
      <c r="N697" s="253"/>
      <c r="O697" s="253"/>
      <c r="P697" s="253"/>
      <c r="Q697" s="253"/>
    </row>
    <row r="698" spans="1:17">
      <c r="A698" s="253"/>
      <c r="B698" s="253"/>
      <c r="C698" s="253"/>
      <c r="D698" s="253"/>
      <c r="E698" s="253"/>
      <c r="F698" s="253"/>
      <c r="G698" s="253"/>
      <c r="H698" s="253"/>
      <c r="I698" s="253"/>
      <c r="J698" s="253"/>
      <c r="K698" s="253"/>
      <c r="L698" s="253"/>
      <c r="M698" s="253"/>
      <c r="N698" s="253"/>
      <c r="O698" s="253"/>
      <c r="P698" s="253"/>
      <c r="Q698" s="253"/>
    </row>
    <row r="699" spans="1:17">
      <c r="A699" s="253"/>
      <c r="B699" s="253"/>
      <c r="C699" s="253"/>
      <c r="D699" s="253"/>
      <c r="E699" s="253"/>
      <c r="F699" s="253"/>
      <c r="G699" s="253"/>
      <c r="H699" s="253"/>
      <c r="I699" s="253"/>
      <c r="J699" s="253"/>
      <c r="K699" s="253"/>
      <c r="L699" s="253"/>
      <c r="M699" s="253"/>
      <c r="N699" s="253"/>
      <c r="O699" s="253"/>
      <c r="P699" s="253"/>
      <c r="Q699" s="253"/>
    </row>
    <row r="700" spans="1:17">
      <c r="A700" s="253"/>
      <c r="B700" s="253"/>
      <c r="C700" s="253"/>
      <c r="D700" s="253"/>
      <c r="E700" s="253"/>
      <c r="F700" s="253"/>
      <c r="G700" s="253"/>
      <c r="H700" s="253"/>
      <c r="I700" s="253"/>
      <c r="J700" s="253"/>
      <c r="K700" s="253"/>
      <c r="L700" s="253"/>
      <c r="M700" s="253"/>
      <c r="N700" s="253"/>
      <c r="O700" s="253"/>
      <c r="P700" s="253"/>
      <c r="Q700" s="253"/>
    </row>
    <row r="701" spans="1:17">
      <c r="A701" s="253"/>
      <c r="B701" s="253"/>
      <c r="C701" s="253"/>
      <c r="D701" s="253"/>
      <c r="E701" s="253"/>
      <c r="F701" s="253"/>
      <c r="G701" s="253"/>
      <c r="H701" s="253"/>
      <c r="I701" s="253"/>
      <c r="J701" s="253"/>
      <c r="K701" s="253"/>
      <c r="L701" s="253"/>
      <c r="M701" s="253"/>
      <c r="N701" s="253"/>
      <c r="O701" s="253"/>
      <c r="P701" s="253"/>
      <c r="Q701" s="253"/>
    </row>
    <row r="702" spans="1:17">
      <c r="A702" s="253"/>
      <c r="B702" s="253"/>
      <c r="C702" s="253"/>
      <c r="D702" s="253"/>
      <c r="E702" s="253"/>
      <c r="F702" s="253"/>
      <c r="G702" s="253"/>
      <c r="H702" s="253"/>
      <c r="I702" s="253"/>
      <c r="J702" s="253"/>
      <c r="K702" s="253"/>
      <c r="L702" s="253"/>
      <c r="M702" s="253"/>
      <c r="N702" s="253"/>
      <c r="O702" s="253"/>
      <c r="P702" s="253"/>
      <c r="Q702" s="253"/>
    </row>
    <row r="703" spans="1:17">
      <c r="A703" s="253"/>
      <c r="B703" s="253"/>
      <c r="C703" s="253"/>
      <c r="D703" s="253"/>
      <c r="E703" s="253"/>
      <c r="F703" s="253"/>
      <c r="G703" s="253"/>
      <c r="H703" s="253"/>
      <c r="I703" s="253"/>
      <c r="J703" s="253"/>
      <c r="K703" s="253"/>
      <c r="L703" s="253"/>
      <c r="M703" s="253"/>
      <c r="N703" s="253"/>
      <c r="O703" s="253"/>
      <c r="P703" s="253"/>
      <c r="Q703" s="253"/>
    </row>
    <row r="704" spans="1:17">
      <c r="A704" s="253"/>
      <c r="B704" s="253"/>
      <c r="C704" s="253"/>
      <c r="D704" s="253"/>
      <c r="E704" s="253"/>
      <c r="F704" s="253"/>
      <c r="G704" s="253"/>
      <c r="H704" s="253"/>
      <c r="I704" s="253"/>
      <c r="J704" s="253"/>
      <c r="K704" s="253"/>
      <c r="L704" s="253"/>
      <c r="M704" s="253"/>
      <c r="N704" s="253"/>
      <c r="O704" s="253"/>
      <c r="P704" s="253"/>
      <c r="Q704" s="253"/>
    </row>
    <row r="705" spans="1:17">
      <c r="A705" s="253"/>
      <c r="B705" s="253"/>
      <c r="C705" s="253"/>
      <c r="D705" s="253"/>
      <c r="E705" s="253"/>
      <c r="F705" s="253"/>
      <c r="G705" s="253"/>
      <c r="H705" s="253"/>
      <c r="I705" s="253"/>
      <c r="J705" s="253"/>
      <c r="K705" s="253"/>
      <c r="L705" s="253"/>
      <c r="M705" s="253"/>
      <c r="N705" s="253"/>
      <c r="O705" s="253"/>
      <c r="P705" s="253"/>
      <c r="Q705" s="253"/>
    </row>
    <row r="706" spans="1:17">
      <c r="A706" s="253"/>
      <c r="B706" s="253"/>
      <c r="C706" s="253"/>
      <c r="D706" s="253"/>
      <c r="E706" s="253"/>
      <c r="F706" s="253"/>
      <c r="G706" s="253"/>
      <c r="H706" s="253"/>
      <c r="I706" s="253"/>
      <c r="J706" s="253"/>
      <c r="K706" s="253"/>
      <c r="L706" s="253"/>
      <c r="M706" s="253"/>
      <c r="N706" s="253"/>
      <c r="O706" s="253"/>
      <c r="P706" s="253"/>
      <c r="Q706" s="253"/>
    </row>
    <row r="707" spans="1:17">
      <c r="A707" s="253"/>
      <c r="B707" s="253"/>
      <c r="C707" s="253"/>
      <c r="D707" s="253"/>
      <c r="E707" s="253"/>
      <c r="F707" s="253"/>
      <c r="G707" s="253"/>
      <c r="H707" s="253"/>
      <c r="I707" s="253"/>
      <c r="J707" s="253"/>
      <c r="K707" s="253"/>
      <c r="L707" s="253"/>
      <c r="M707" s="253"/>
      <c r="N707" s="253"/>
      <c r="O707" s="253"/>
      <c r="P707" s="253"/>
      <c r="Q707" s="253"/>
    </row>
    <row r="708" spans="1:17">
      <c r="A708" s="253"/>
      <c r="B708" s="253"/>
      <c r="C708" s="253"/>
      <c r="D708" s="253"/>
      <c r="E708" s="253"/>
      <c r="F708" s="253"/>
      <c r="G708" s="253"/>
      <c r="H708" s="253"/>
      <c r="I708" s="253"/>
      <c r="J708" s="253"/>
      <c r="K708" s="253"/>
      <c r="L708" s="253"/>
      <c r="M708" s="253"/>
      <c r="N708" s="253"/>
      <c r="O708" s="253"/>
      <c r="P708" s="253"/>
      <c r="Q708" s="253"/>
    </row>
    <row r="709" spans="1:17">
      <c r="A709" s="253"/>
      <c r="B709" s="253"/>
      <c r="C709" s="253"/>
      <c r="D709" s="253"/>
      <c r="E709" s="253"/>
      <c r="F709" s="253"/>
      <c r="G709" s="253"/>
      <c r="H709" s="253"/>
      <c r="I709" s="253"/>
      <c r="J709" s="253"/>
      <c r="K709" s="253"/>
      <c r="L709" s="253"/>
      <c r="M709" s="253"/>
      <c r="N709" s="253"/>
      <c r="O709" s="253"/>
      <c r="P709" s="253"/>
      <c r="Q709" s="253"/>
    </row>
    <row r="710" spans="1:17">
      <c r="A710" s="253"/>
      <c r="B710" s="253"/>
      <c r="C710" s="253"/>
      <c r="D710" s="253"/>
      <c r="E710" s="253"/>
      <c r="F710" s="253"/>
      <c r="G710" s="253"/>
      <c r="H710" s="253"/>
      <c r="I710" s="253"/>
      <c r="J710" s="253"/>
      <c r="K710" s="253"/>
      <c r="L710" s="253"/>
      <c r="M710" s="253"/>
      <c r="N710" s="253"/>
      <c r="O710" s="253"/>
      <c r="P710" s="253"/>
      <c r="Q710" s="253"/>
    </row>
    <row r="711" spans="1:17">
      <c r="A711" s="253"/>
      <c r="B711" s="253"/>
      <c r="C711" s="253"/>
      <c r="D711" s="253"/>
      <c r="E711" s="253"/>
      <c r="F711" s="253"/>
      <c r="G711" s="253"/>
      <c r="H711" s="253"/>
      <c r="I711" s="253"/>
      <c r="J711" s="253"/>
      <c r="K711" s="253"/>
      <c r="L711" s="253"/>
      <c r="M711" s="253"/>
      <c r="N711" s="253"/>
      <c r="O711" s="253"/>
      <c r="P711" s="253"/>
      <c r="Q711" s="253"/>
    </row>
    <row r="712" spans="1:17">
      <c r="A712" s="253"/>
      <c r="B712" s="253"/>
      <c r="C712" s="253"/>
      <c r="D712" s="253"/>
      <c r="E712" s="253"/>
      <c r="F712" s="253"/>
      <c r="G712" s="253"/>
      <c r="H712" s="253"/>
      <c r="I712" s="253"/>
      <c r="J712" s="253"/>
      <c r="K712" s="253"/>
      <c r="L712" s="253"/>
      <c r="M712" s="253"/>
      <c r="N712" s="253"/>
      <c r="O712" s="253"/>
      <c r="P712" s="253"/>
      <c r="Q712" s="253"/>
    </row>
    <row r="713" spans="1:17">
      <c r="A713" s="253"/>
      <c r="B713" s="253"/>
      <c r="C713" s="253"/>
      <c r="D713" s="253"/>
      <c r="E713" s="253"/>
      <c r="F713" s="253"/>
      <c r="G713" s="253"/>
      <c r="H713" s="253"/>
      <c r="I713" s="253"/>
      <c r="J713" s="253"/>
      <c r="K713" s="253"/>
      <c r="L713" s="253"/>
      <c r="M713" s="253"/>
      <c r="N713" s="253"/>
      <c r="O713" s="253"/>
      <c r="P713" s="253"/>
      <c r="Q713" s="253"/>
    </row>
    <row r="714" spans="1:17">
      <c r="A714" s="253"/>
      <c r="B714" s="253"/>
      <c r="C714" s="253"/>
      <c r="D714" s="253"/>
      <c r="E714" s="253"/>
      <c r="F714" s="253"/>
      <c r="G714" s="253"/>
      <c r="H714" s="253"/>
      <c r="I714" s="253"/>
      <c r="J714" s="253"/>
      <c r="K714" s="253"/>
      <c r="L714" s="253"/>
      <c r="M714" s="253"/>
      <c r="N714" s="253"/>
      <c r="O714" s="253"/>
      <c r="P714" s="253"/>
      <c r="Q714" s="253"/>
    </row>
    <row r="715" spans="1:17">
      <c r="A715" s="253"/>
      <c r="B715" s="253"/>
      <c r="C715" s="253"/>
      <c r="D715" s="253"/>
      <c r="E715" s="253"/>
      <c r="F715" s="253"/>
      <c r="G715" s="253"/>
      <c r="H715" s="253"/>
      <c r="I715" s="253"/>
      <c r="J715" s="253"/>
      <c r="K715" s="253"/>
      <c r="L715" s="253"/>
      <c r="M715" s="253"/>
      <c r="N715" s="253"/>
      <c r="O715" s="253"/>
      <c r="P715" s="253"/>
      <c r="Q715" s="253"/>
    </row>
    <row r="716" spans="1:17">
      <c r="A716" s="253"/>
      <c r="B716" s="253"/>
      <c r="C716" s="253"/>
      <c r="D716" s="253"/>
      <c r="E716" s="253"/>
      <c r="F716" s="253"/>
      <c r="G716" s="253"/>
      <c r="H716" s="253"/>
      <c r="I716" s="253"/>
      <c r="J716" s="253"/>
      <c r="K716" s="253"/>
      <c r="L716" s="253"/>
      <c r="M716" s="253"/>
      <c r="N716" s="253"/>
      <c r="O716" s="253"/>
      <c r="P716" s="253"/>
      <c r="Q716" s="253"/>
    </row>
    <row r="717" spans="1:17">
      <c r="A717" s="253"/>
      <c r="B717" s="253"/>
      <c r="C717" s="253"/>
      <c r="D717" s="253"/>
      <c r="E717" s="253"/>
      <c r="F717" s="253"/>
      <c r="G717" s="253"/>
      <c r="H717" s="253"/>
      <c r="I717" s="253"/>
      <c r="J717" s="253"/>
      <c r="K717" s="253"/>
      <c r="L717" s="253"/>
      <c r="M717" s="253"/>
      <c r="N717" s="253"/>
      <c r="O717" s="253"/>
      <c r="P717" s="253"/>
      <c r="Q717" s="253"/>
    </row>
    <row r="718" spans="1:17">
      <c r="A718" s="253"/>
      <c r="B718" s="253"/>
      <c r="C718" s="253"/>
      <c r="D718" s="253"/>
      <c r="E718" s="253"/>
      <c r="F718" s="253"/>
      <c r="G718" s="253"/>
      <c r="H718" s="253"/>
      <c r="I718" s="253"/>
      <c r="J718" s="253"/>
      <c r="K718" s="253"/>
      <c r="L718" s="253"/>
      <c r="M718" s="253"/>
      <c r="N718" s="253"/>
      <c r="O718" s="253"/>
      <c r="P718" s="253"/>
      <c r="Q718" s="253"/>
    </row>
    <row r="719" spans="1:17">
      <c r="A719" s="253"/>
      <c r="B719" s="253"/>
      <c r="C719" s="253"/>
      <c r="D719" s="253"/>
      <c r="E719" s="253"/>
      <c r="F719" s="253"/>
      <c r="G719" s="253"/>
      <c r="H719" s="253"/>
      <c r="I719" s="253"/>
      <c r="J719" s="253"/>
      <c r="K719" s="253"/>
      <c r="L719" s="253"/>
      <c r="M719" s="253"/>
      <c r="N719" s="253"/>
      <c r="O719" s="253"/>
      <c r="P719" s="253"/>
      <c r="Q719" s="253"/>
    </row>
    <row r="720" spans="1:17">
      <c r="A720" s="253"/>
      <c r="B720" s="253"/>
      <c r="C720" s="253"/>
      <c r="D720" s="253"/>
      <c r="E720" s="253"/>
      <c r="F720" s="253"/>
      <c r="G720" s="253"/>
      <c r="H720" s="253"/>
      <c r="I720" s="253"/>
      <c r="J720" s="253"/>
      <c r="K720" s="253"/>
      <c r="L720" s="253"/>
      <c r="M720" s="253"/>
      <c r="N720" s="253"/>
      <c r="O720" s="253"/>
      <c r="P720" s="253"/>
      <c r="Q720" s="253"/>
    </row>
    <row r="721" spans="1:17">
      <c r="A721" s="253"/>
      <c r="B721" s="253"/>
      <c r="C721" s="253"/>
      <c r="D721" s="253"/>
      <c r="E721" s="253"/>
      <c r="F721" s="253"/>
      <c r="G721" s="253"/>
      <c r="H721" s="253"/>
      <c r="I721" s="253"/>
      <c r="J721" s="253"/>
      <c r="K721" s="253"/>
      <c r="L721" s="253"/>
      <c r="M721" s="253"/>
      <c r="N721" s="253"/>
      <c r="O721" s="253"/>
      <c r="P721" s="253"/>
      <c r="Q721" s="253"/>
    </row>
    <row r="722" spans="1:17">
      <c r="A722" s="253"/>
      <c r="B722" s="253"/>
      <c r="C722" s="253"/>
      <c r="D722" s="253"/>
      <c r="E722" s="253"/>
      <c r="F722" s="253"/>
      <c r="G722" s="253"/>
      <c r="H722" s="253"/>
      <c r="I722" s="253"/>
      <c r="J722" s="253"/>
      <c r="K722" s="253"/>
      <c r="L722" s="253"/>
      <c r="M722" s="253"/>
      <c r="N722" s="253"/>
      <c r="O722" s="253"/>
      <c r="P722" s="253"/>
      <c r="Q722" s="253"/>
    </row>
    <row r="723" spans="1:17">
      <c r="A723" s="253"/>
      <c r="B723" s="253"/>
      <c r="C723" s="253"/>
      <c r="D723" s="253"/>
      <c r="E723" s="253"/>
      <c r="F723" s="253"/>
      <c r="G723" s="253"/>
      <c r="H723" s="253"/>
      <c r="I723" s="253"/>
      <c r="J723" s="253"/>
      <c r="K723" s="253"/>
      <c r="L723" s="253"/>
      <c r="M723" s="253"/>
      <c r="N723" s="253"/>
      <c r="O723" s="253"/>
      <c r="P723" s="253"/>
      <c r="Q723" s="253"/>
    </row>
    <row r="724" spans="1:17">
      <c r="A724" s="253"/>
      <c r="B724" s="253"/>
      <c r="C724" s="253"/>
      <c r="D724" s="253"/>
      <c r="E724" s="253"/>
      <c r="F724" s="253"/>
      <c r="G724" s="253"/>
      <c r="H724" s="253"/>
      <c r="I724" s="253"/>
      <c r="J724" s="253"/>
      <c r="K724" s="253"/>
      <c r="L724" s="253"/>
      <c r="M724" s="253"/>
      <c r="N724" s="253"/>
      <c r="O724" s="253"/>
      <c r="P724" s="253"/>
      <c r="Q724" s="253"/>
    </row>
    <row r="725" spans="1:17">
      <c r="A725" s="253"/>
      <c r="B725" s="253"/>
      <c r="C725" s="253"/>
      <c r="D725" s="253"/>
      <c r="E725" s="253"/>
      <c r="F725" s="253"/>
      <c r="G725" s="253"/>
      <c r="H725" s="253"/>
      <c r="I725" s="253"/>
      <c r="J725" s="253"/>
      <c r="K725" s="253"/>
      <c r="L725" s="253"/>
      <c r="M725" s="253"/>
      <c r="N725" s="253"/>
      <c r="O725" s="253"/>
      <c r="P725" s="253"/>
      <c r="Q725" s="253"/>
    </row>
    <row r="726" spans="1:17">
      <c r="A726" s="253"/>
      <c r="B726" s="253"/>
      <c r="C726" s="253"/>
      <c r="D726" s="253"/>
      <c r="E726" s="253"/>
      <c r="F726" s="253"/>
      <c r="G726" s="253"/>
      <c r="H726" s="253"/>
      <c r="I726" s="253"/>
      <c r="J726" s="253"/>
      <c r="K726" s="253"/>
      <c r="L726" s="253"/>
      <c r="M726" s="253"/>
      <c r="N726" s="253"/>
      <c r="O726" s="253"/>
      <c r="P726" s="253"/>
      <c r="Q726" s="253"/>
    </row>
    <row r="727" spans="1:17">
      <c r="A727" s="253"/>
      <c r="B727" s="253"/>
      <c r="C727" s="253"/>
      <c r="D727" s="253"/>
      <c r="E727" s="253"/>
      <c r="F727" s="253"/>
      <c r="G727" s="253"/>
      <c r="H727" s="253"/>
      <c r="I727" s="253"/>
      <c r="J727" s="253"/>
      <c r="K727" s="253"/>
      <c r="L727" s="253"/>
      <c r="M727" s="253"/>
      <c r="N727" s="253"/>
      <c r="O727" s="253"/>
      <c r="P727" s="253"/>
      <c r="Q727" s="253"/>
    </row>
    <row r="728" spans="1:17">
      <c r="A728" s="253"/>
      <c r="B728" s="253"/>
      <c r="C728" s="253"/>
      <c r="D728" s="253"/>
      <c r="E728" s="253"/>
      <c r="F728" s="253"/>
      <c r="G728" s="253"/>
      <c r="H728" s="253"/>
      <c r="I728" s="253"/>
      <c r="J728" s="253"/>
      <c r="K728" s="253"/>
      <c r="L728" s="253"/>
      <c r="M728" s="253"/>
      <c r="N728" s="253"/>
      <c r="O728" s="253"/>
      <c r="P728" s="253"/>
      <c r="Q728" s="253"/>
    </row>
    <row r="729" spans="1:17">
      <c r="A729" s="253"/>
      <c r="B729" s="253"/>
      <c r="C729" s="253"/>
      <c r="D729" s="253"/>
      <c r="E729" s="253"/>
      <c r="F729" s="253"/>
      <c r="G729" s="253"/>
      <c r="H729" s="253"/>
      <c r="I729" s="253"/>
      <c r="J729" s="253"/>
      <c r="K729" s="253"/>
      <c r="L729" s="253"/>
      <c r="M729" s="253"/>
      <c r="N729" s="253"/>
      <c r="O729" s="253"/>
      <c r="P729" s="253"/>
      <c r="Q729" s="253"/>
    </row>
    <row r="730" spans="1:17">
      <c r="A730" s="253"/>
      <c r="B730" s="253"/>
      <c r="C730" s="253"/>
      <c r="D730" s="253"/>
      <c r="E730" s="253"/>
      <c r="F730" s="253"/>
      <c r="G730" s="253"/>
      <c r="H730" s="253"/>
      <c r="I730" s="253"/>
      <c r="J730" s="253"/>
      <c r="K730" s="253"/>
      <c r="L730" s="253"/>
      <c r="M730" s="253"/>
      <c r="N730" s="253"/>
      <c r="O730" s="253"/>
      <c r="P730" s="253"/>
      <c r="Q730" s="253"/>
    </row>
    <row r="731" spans="1:17">
      <c r="A731" s="253"/>
      <c r="B731" s="253"/>
      <c r="C731" s="253"/>
      <c r="D731" s="253"/>
      <c r="E731" s="253"/>
      <c r="F731" s="253"/>
      <c r="G731" s="253"/>
      <c r="H731" s="253"/>
      <c r="I731" s="253"/>
      <c r="J731" s="253"/>
      <c r="K731" s="253"/>
      <c r="L731" s="253"/>
      <c r="M731" s="253"/>
      <c r="N731" s="253"/>
      <c r="O731" s="253"/>
      <c r="P731" s="253"/>
      <c r="Q731" s="253"/>
    </row>
    <row r="732" spans="1:17">
      <c r="A732" s="253"/>
      <c r="B732" s="253"/>
      <c r="C732" s="253"/>
      <c r="D732" s="253"/>
      <c r="E732" s="253"/>
      <c r="F732" s="253"/>
      <c r="G732" s="253"/>
      <c r="H732" s="253"/>
      <c r="I732" s="253"/>
      <c r="J732" s="253"/>
      <c r="K732" s="253"/>
      <c r="L732" s="253"/>
      <c r="M732" s="253"/>
      <c r="N732" s="253"/>
      <c r="O732" s="253"/>
      <c r="P732" s="253"/>
      <c r="Q732" s="253"/>
    </row>
    <row r="733" spans="1:17">
      <c r="A733" s="253"/>
      <c r="B733" s="253"/>
      <c r="C733" s="253"/>
      <c r="D733" s="253"/>
      <c r="E733" s="253"/>
      <c r="F733" s="253"/>
      <c r="G733" s="253"/>
      <c r="H733" s="253"/>
      <c r="I733" s="253"/>
      <c r="J733" s="253"/>
      <c r="K733" s="253"/>
      <c r="L733" s="253"/>
      <c r="M733" s="253"/>
      <c r="N733" s="253"/>
      <c r="O733" s="253"/>
      <c r="P733" s="253"/>
      <c r="Q733" s="253"/>
    </row>
    <row r="734" spans="1:17">
      <c r="A734" s="253"/>
      <c r="B734" s="253"/>
      <c r="C734" s="253"/>
      <c r="D734" s="253"/>
      <c r="E734" s="253"/>
      <c r="F734" s="253"/>
      <c r="G734" s="253"/>
      <c r="H734" s="253"/>
      <c r="I734" s="253"/>
      <c r="J734" s="253"/>
      <c r="K734" s="253"/>
      <c r="L734" s="253"/>
      <c r="M734" s="253"/>
      <c r="N734" s="253"/>
      <c r="O734" s="253"/>
      <c r="P734" s="253"/>
      <c r="Q734" s="253"/>
    </row>
    <row r="735" spans="1:17">
      <c r="A735" s="253"/>
      <c r="B735" s="253"/>
      <c r="C735" s="253"/>
      <c r="D735" s="253"/>
      <c r="E735" s="253"/>
      <c r="F735" s="253"/>
      <c r="G735" s="253"/>
      <c r="H735" s="253"/>
      <c r="I735" s="253"/>
      <c r="J735" s="253"/>
      <c r="K735" s="253"/>
      <c r="L735" s="253"/>
      <c r="M735" s="253"/>
      <c r="N735" s="253"/>
      <c r="O735" s="253"/>
      <c r="P735" s="253"/>
      <c r="Q735" s="253"/>
    </row>
    <row r="736" spans="1:17">
      <c r="A736" s="253"/>
      <c r="B736" s="253"/>
      <c r="C736" s="253"/>
      <c r="D736" s="253"/>
      <c r="E736" s="253"/>
      <c r="F736" s="253"/>
      <c r="G736" s="253"/>
      <c r="H736" s="253"/>
      <c r="I736" s="253"/>
      <c r="J736" s="253"/>
      <c r="K736" s="253"/>
      <c r="L736" s="253"/>
      <c r="M736" s="253"/>
      <c r="N736" s="253"/>
      <c r="O736" s="253"/>
      <c r="P736" s="253"/>
      <c r="Q736" s="253"/>
    </row>
    <row r="737" spans="1:17">
      <c r="A737" s="253"/>
      <c r="B737" s="253"/>
      <c r="C737" s="253"/>
      <c r="D737" s="253"/>
      <c r="E737" s="253"/>
      <c r="F737" s="253"/>
      <c r="G737" s="253"/>
      <c r="H737" s="253"/>
      <c r="I737" s="253"/>
      <c r="J737" s="253"/>
      <c r="K737" s="253"/>
      <c r="L737" s="253"/>
      <c r="M737" s="253"/>
      <c r="N737" s="253"/>
      <c r="O737" s="253"/>
      <c r="P737" s="253"/>
      <c r="Q737" s="253"/>
    </row>
    <row r="738" spans="1:17">
      <c r="A738" s="253"/>
      <c r="B738" s="253"/>
      <c r="C738" s="253"/>
      <c r="D738" s="253"/>
      <c r="E738" s="253"/>
      <c r="F738" s="253"/>
      <c r="G738" s="253"/>
      <c r="H738" s="253"/>
      <c r="I738" s="253"/>
      <c r="J738" s="253"/>
      <c r="K738" s="253"/>
      <c r="L738" s="253"/>
      <c r="M738" s="253"/>
      <c r="N738" s="253"/>
      <c r="O738" s="253"/>
      <c r="P738" s="253"/>
      <c r="Q738" s="253"/>
    </row>
    <row r="739" spans="1:17">
      <c r="A739" s="253"/>
      <c r="B739" s="253"/>
      <c r="C739" s="253"/>
      <c r="D739" s="253"/>
      <c r="E739" s="253"/>
      <c r="F739" s="253"/>
      <c r="G739" s="253"/>
      <c r="H739" s="253"/>
      <c r="I739" s="253"/>
      <c r="J739" s="253"/>
      <c r="K739" s="253"/>
      <c r="L739" s="253"/>
      <c r="M739" s="253"/>
      <c r="N739" s="253"/>
      <c r="O739" s="253"/>
      <c r="P739" s="253"/>
      <c r="Q739" s="253"/>
    </row>
    <row r="740" spans="1:17">
      <c r="A740" s="253"/>
      <c r="B740" s="253"/>
      <c r="C740" s="253"/>
      <c r="D740" s="253"/>
      <c r="E740" s="253"/>
      <c r="F740" s="253"/>
      <c r="G740" s="253"/>
      <c r="H740" s="253"/>
      <c r="I740" s="253"/>
      <c r="J740" s="253"/>
      <c r="K740" s="253"/>
      <c r="L740" s="253"/>
      <c r="M740" s="253"/>
      <c r="N740" s="253"/>
      <c r="O740" s="253"/>
      <c r="P740" s="253"/>
      <c r="Q740" s="253"/>
    </row>
    <row r="741" spans="1:17">
      <c r="A741" s="253"/>
      <c r="B741" s="253"/>
      <c r="C741" s="253"/>
      <c r="D741" s="253"/>
      <c r="E741" s="253"/>
      <c r="F741" s="253"/>
      <c r="G741" s="253"/>
      <c r="H741" s="253"/>
      <c r="I741" s="253"/>
      <c r="J741" s="253"/>
      <c r="K741" s="253"/>
      <c r="L741" s="253"/>
      <c r="M741" s="253"/>
      <c r="N741" s="253"/>
      <c r="O741" s="253"/>
      <c r="P741" s="253"/>
      <c r="Q741" s="253"/>
    </row>
    <row r="742" spans="1:17">
      <c r="A742" s="253"/>
      <c r="B742" s="253"/>
      <c r="C742" s="253"/>
      <c r="D742" s="253"/>
      <c r="E742" s="253"/>
      <c r="F742" s="253"/>
      <c r="G742" s="253"/>
      <c r="H742" s="253"/>
      <c r="I742" s="253"/>
      <c r="J742" s="253"/>
      <c r="K742" s="253"/>
      <c r="L742" s="253"/>
      <c r="M742" s="253"/>
      <c r="N742" s="253"/>
      <c r="O742" s="253"/>
      <c r="P742" s="253"/>
      <c r="Q742" s="253"/>
    </row>
    <row r="743" spans="1:17">
      <c r="A743" s="253"/>
      <c r="B743" s="253"/>
      <c r="C743" s="253"/>
      <c r="D743" s="253"/>
      <c r="E743" s="253"/>
      <c r="F743" s="253"/>
      <c r="G743" s="253"/>
      <c r="H743" s="253"/>
      <c r="I743" s="253"/>
      <c r="J743" s="253"/>
      <c r="K743" s="253"/>
      <c r="L743" s="253"/>
      <c r="M743" s="253"/>
      <c r="N743" s="253"/>
      <c r="O743" s="253"/>
      <c r="P743" s="253"/>
      <c r="Q743" s="253"/>
    </row>
    <row r="744" spans="1:17">
      <c r="A744" s="253"/>
      <c r="B744" s="253"/>
      <c r="C744" s="253"/>
      <c r="D744" s="253"/>
      <c r="E744" s="253"/>
      <c r="F744" s="253"/>
      <c r="G744" s="253"/>
      <c r="H744" s="253"/>
      <c r="I744" s="253"/>
      <c r="J744" s="253"/>
      <c r="K744" s="253"/>
      <c r="L744" s="253"/>
      <c r="M744" s="253"/>
      <c r="N744" s="253"/>
      <c r="O744" s="253"/>
      <c r="P744" s="253"/>
      <c r="Q744" s="253"/>
    </row>
    <row r="745" spans="1:17">
      <c r="A745" s="253"/>
      <c r="B745" s="253"/>
      <c r="C745" s="253"/>
      <c r="D745" s="253"/>
      <c r="E745" s="253"/>
      <c r="F745" s="253"/>
      <c r="G745" s="253"/>
      <c r="H745" s="253"/>
      <c r="I745" s="253"/>
      <c r="J745" s="253"/>
      <c r="K745" s="253"/>
      <c r="L745" s="253"/>
      <c r="M745" s="253"/>
      <c r="N745" s="253"/>
      <c r="O745" s="253"/>
      <c r="P745" s="253"/>
      <c r="Q745" s="253"/>
    </row>
    <row r="746" spans="1:17">
      <c r="A746" s="253"/>
      <c r="B746" s="253"/>
      <c r="C746" s="253"/>
      <c r="D746" s="253"/>
      <c r="E746" s="253"/>
      <c r="F746" s="253"/>
      <c r="G746" s="253"/>
      <c r="H746" s="253"/>
      <c r="I746" s="253"/>
      <c r="J746" s="253"/>
      <c r="K746" s="253"/>
      <c r="L746" s="253"/>
      <c r="M746" s="253"/>
      <c r="N746" s="253"/>
      <c r="O746" s="253"/>
      <c r="P746" s="253"/>
      <c r="Q746" s="253"/>
    </row>
    <row r="747" spans="1:17">
      <c r="A747" s="253"/>
      <c r="B747" s="253"/>
      <c r="C747" s="253"/>
      <c r="D747" s="253"/>
      <c r="E747" s="253"/>
      <c r="F747" s="253"/>
      <c r="G747" s="253"/>
      <c r="H747" s="253"/>
      <c r="I747" s="253"/>
      <c r="J747" s="253"/>
      <c r="K747" s="253"/>
      <c r="L747" s="253"/>
      <c r="M747" s="253"/>
      <c r="N747" s="253"/>
      <c r="O747" s="253"/>
      <c r="P747" s="253"/>
      <c r="Q747" s="253"/>
    </row>
    <row r="748" spans="1:17">
      <c r="A748" s="253"/>
      <c r="B748" s="253"/>
      <c r="C748" s="253"/>
      <c r="D748" s="253"/>
      <c r="E748" s="253"/>
      <c r="F748" s="253"/>
      <c r="G748" s="253"/>
      <c r="H748" s="253"/>
      <c r="I748" s="253"/>
      <c r="J748" s="253"/>
      <c r="K748" s="253"/>
      <c r="L748" s="253"/>
      <c r="M748" s="253"/>
      <c r="N748" s="253"/>
      <c r="O748" s="253"/>
      <c r="P748" s="253"/>
      <c r="Q748" s="253"/>
    </row>
    <row r="749" spans="1:17">
      <c r="A749" s="253"/>
      <c r="B749" s="253"/>
      <c r="C749" s="253"/>
      <c r="D749" s="253"/>
      <c r="E749" s="253"/>
      <c r="F749" s="253"/>
      <c r="G749" s="253"/>
      <c r="H749" s="253"/>
      <c r="I749" s="253"/>
      <c r="J749" s="253"/>
      <c r="K749" s="253"/>
      <c r="L749" s="253"/>
      <c r="M749" s="253"/>
      <c r="N749" s="253"/>
      <c r="O749" s="253"/>
      <c r="P749" s="253"/>
      <c r="Q749" s="253"/>
    </row>
    <row r="750" spans="1:17">
      <c r="A750" s="253"/>
      <c r="B750" s="253"/>
      <c r="C750" s="253"/>
      <c r="D750" s="253"/>
      <c r="E750" s="253"/>
      <c r="F750" s="253"/>
      <c r="G750" s="253"/>
      <c r="H750" s="253"/>
      <c r="I750" s="253"/>
      <c r="J750" s="253"/>
      <c r="K750" s="253"/>
      <c r="L750" s="253"/>
      <c r="M750" s="253"/>
      <c r="N750" s="253"/>
      <c r="O750" s="253"/>
      <c r="P750" s="253"/>
      <c r="Q750" s="253"/>
    </row>
    <row r="751" spans="1:17">
      <c r="A751" s="253"/>
      <c r="B751" s="253"/>
      <c r="C751" s="253"/>
      <c r="D751" s="253"/>
      <c r="E751" s="253"/>
      <c r="F751" s="253"/>
      <c r="G751" s="253"/>
      <c r="H751" s="253"/>
      <c r="I751" s="253"/>
      <c r="J751" s="253"/>
      <c r="K751" s="253"/>
      <c r="L751" s="253"/>
      <c r="M751" s="253"/>
      <c r="N751" s="253"/>
      <c r="O751" s="253"/>
      <c r="P751" s="253"/>
      <c r="Q751" s="253"/>
    </row>
    <row r="752" spans="1:17">
      <c r="A752" s="253"/>
      <c r="B752" s="253"/>
      <c r="C752" s="253"/>
      <c r="D752" s="253"/>
      <c r="E752" s="253"/>
      <c r="F752" s="253"/>
      <c r="G752" s="253"/>
      <c r="H752" s="253"/>
      <c r="I752" s="253"/>
      <c r="J752" s="253"/>
      <c r="K752" s="253"/>
      <c r="L752" s="253"/>
      <c r="M752" s="253"/>
      <c r="N752" s="253"/>
      <c r="O752" s="253"/>
      <c r="P752" s="253"/>
      <c r="Q752" s="253"/>
    </row>
    <row r="753" spans="1:17">
      <c r="A753" s="253"/>
      <c r="B753" s="253"/>
      <c r="C753" s="253"/>
      <c r="D753" s="253"/>
      <c r="E753" s="253"/>
      <c r="F753" s="253"/>
      <c r="G753" s="253"/>
      <c r="H753" s="253"/>
      <c r="I753" s="253"/>
      <c r="J753" s="253"/>
      <c r="K753" s="253"/>
      <c r="L753" s="253"/>
      <c r="M753" s="253"/>
      <c r="N753" s="253"/>
      <c r="O753" s="253"/>
      <c r="P753" s="253"/>
      <c r="Q753" s="253"/>
    </row>
    <row r="754" spans="1:17">
      <c r="A754" s="253"/>
      <c r="B754" s="253"/>
      <c r="C754" s="253"/>
      <c r="D754" s="253"/>
      <c r="E754" s="253"/>
      <c r="F754" s="253"/>
      <c r="G754" s="253"/>
      <c r="H754" s="253"/>
      <c r="I754" s="253"/>
      <c r="J754" s="253"/>
      <c r="K754" s="253"/>
      <c r="L754" s="253"/>
      <c r="M754" s="253"/>
      <c r="N754" s="253"/>
      <c r="O754" s="253"/>
      <c r="P754" s="253"/>
      <c r="Q754" s="253"/>
    </row>
    <row r="755" spans="1:17">
      <c r="A755" s="253"/>
      <c r="B755" s="253"/>
      <c r="C755" s="253"/>
      <c r="D755" s="253"/>
      <c r="E755" s="253"/>
      <c r="F755" s="253"/>
      <c r="G755" s="253"/>
      <c r="H755" s="253"/>
      <c r="I755" s="253"/>
      <c r="J755" s="253"/>
      <c r="K755" s="253"/>
      <c r="L755" s="253"/>
      <c r="M755" s="253"/>
      <c r="N755" s="253"/>
      <c r="O755" s="253"/>
      <c r="P755" s="253"/>
      <c r="Q755" s="253"/>
    </row>
    <row r="756" spans="1:17">
      <c r="A756" s="253"/>
      <c r="B756" s="253"/>
      <c r="C756" s="253"/>
      <c r="D756" s="253"/>
      <c r="E756" s="253"/>
      <c r="F756" s="253"/>
      <c r="G756" s="253"/>
      <c r="H756" s="253"/>
      <c r="I756" s="253"/>
      <c r="J756" s="253"/>
      <c r="K756" s="253"/>
      <c r="L756" s="253"/>
      <c r="M756" s="253"/>
      <c r="N756" s="253"/>
      <c r="O756" s="253"/>
      <c r="P756" s="253"/>
      <c r="Q756" s="253"/>
    </row>
    <row r="757" spans="1:17">
      <c r="A757" s="253"/>
      <c r="B757" s="253"/>
      <c r="C757" s="253"/>
      <c r="D757" s="253"/>
      <c r="E757" s="253"/>
      <c r="F757" s="253"/>
      <c r="G757" s="253"/>
      <c r="H757" s="253"/>
      <c r="I757" s="253"/>
      <c r="J757" s="253"/>
      <c r="K757" s="253"/>
      <c r="L757" s="253"/>
      <c r="M757" s="253"/>
      <c r="N757" s="253"/>
      <c r="O757" s="253"/>
      <c r="P757" s="253"/>
      <c r="Q757" s="253"/>
    </row>
    <row r="758" spans="1:17">
      <c r="A758" s="253"/>
      <c r="B758" s="253"/>
      <c r="C758" s="253"/>
      <c r="D758" s="253"/>
      <c r="E758" s="253"/>
      <c r="F758" s="253"/>
      <c r="G758" s="253"/>
      <c r="H758" s="253"/>
      <c r="I758" s="253"/>
      <c r="J758" s="253"/>
      <c r="K758" s="253"/>
      <c r="L758" s="253"/>
      <c r="M758" s="253"/>
      <c r="N758" s="253"/>
      <c r="O758" s="253"/>
      <c r="P758" s="253"/>
      <c r="Q758" s="253"/>
    </row>
    <row r="759" spans="1:17">
      <c r="A759" s="253"/>
      <c r="B759" s="253"/>
      <c r="C759" s="253"/>
      <c r="D759" s="253"/>
      <c r="E759" s="253"/>
      <c r="F759" s="253"/>
      <c r="G759" s="253"/>
      <c r="H759" s="253"/>
      <c r="I759" s="253"/>
      <c r="J759" s="253"/>
      <c r="K759" s="253"/>
      <c r="L759" s="253"/>
      <c r="M759" s="253"/>
      <c r="N759" s="253"/>
      <c r="O759" s="253"/>
      <c r="P759" s="253"/>
      <c r="Q759" s="253"/>
    </row>
    <row r="760" spans="1:17">
      <c r="A760" s="253"/>
      <c r="B760" s="253"/>
      <c r="C760" s="253"/>
      <c r="D760" s="253"/>
      <c r="E760" s="253"/>
      <c r="F760" s="253"/>
      <c r="G760" s="253"/>
      <c r="H760" s="253"/>
      <c r="I760" s="253"/>
      <c r="J760" s="253"/>
      <c r="K760" s="253"/>
      <c r="L760" s="253"/>
      <c r="M760" s="253"/>
      <c r="N760" s="253"/>
      <c r="O760" s="253"/>
      <c r="P760" s="253"/>
      <c r="Q760" s="253"/>
    </row>
    <row r="761" spans="1:17">
      <c r="A761" s="253"/>
      <c r="B761" s="253"/>
      <c r="C761" s="253"/>
      <c r="D761" s="253"/>
      <c r="E761" s="253"/>
      <c r="F761" s="253"/>
      <c r="G761" s="253"/>
      <c r="H761" s="253"/>
      <c r="I761" s="253"/>
      <c r="J761" s="253"/>
      <c r="K761" s="253"/>
      <c r="L761" s="253"/>
      <c r="M761" s="253"/>
      <c r="N761" s="253"/>
      <c r="O761" s="253"/>
      <c r="P761" s="253"/>
      <c r="Q761" s="253"/>
    </row>
    <row r="762" spans="1:17">
      <c r="A762" s="253"/>
      <c r="B762" s="253"/>
      <c r="C762" s="253"/>
      <c r="D762" s="253"/>
      <c r="E762" s="253"/>
      <c r="F762" s="253"/>
      <c r="G762" s="253"/>
      <c r="H762" s="253"/>
      <c r="I762" s="253"/>
      <c r="J762" s="253"/>
      <c r="K762" s="253"/>
      <c r="L762" s="253"/>
      <c r="M762" s="253"/>
      <c r="N762" s="253"/>
      <c r="O762" s="253"/>
      <c r="P762" s="253"/>
      <c r="Q762" s="253"/>
    </row>
    <row r="763" spans="1:17">
      <c r="A763" s="253"/>
      <c r="B763" s="253"/>
      <c r="C763" s="253"/>
      <c r="D763" s="253"/>
      <c r="E763" s="253"/>
      <c r="F763" s="253"/>
      <c r="G763" s="253"/>
      <c r="H763" s="253"/>
      <c r="I763" s="253"/>
      <c r="J763" s="253"/>
      <c r="K763" s="253"/>
      <c r="L763" s="253"/>
      <c r="M763" s="253"/>
      <c r="N763" s="253"/>
      <c r="O763" s="253"/>
      <c r="P763" s="253"/>
      <c r="Q763" s="253"/>
    </row>
    <row r="764" spans="1:17">
      <c r="A764" s="253"/>
      <c r="B764" s="253"/>
      <c r="C764" s="253"/>
      <c r="D764" s="253"/>
      <c r="E764" s="253"/>
      <c r="F764" s="253"/>
      <c r="G764" s="253"/>
      <c r="H764" s="253"/>
      <c r="I764" s="253"/>
      <c r="J764" s="253"/>
      <c r="K764" s="253"/>
      <c r="L764" s="253"/>
      <c r="M764" s="253"/>
      <c r="N764" s="253"/>
      <c r="O764" s="253"/>
      <c r="P764" s="253"/>
      <c r="Q764" s="253"/>
    </row>
    <row r="765" spans="1:17">
      <c r="A765" s="253"/>
      <c r="B765" s="253"/>
      <c r="C765" s="253"/>
      <c r="D765" s="253"/>
      <c r="E765" s="253"/>
      <c r="F765" s="253"/>
      <c r="G765" s="253"/>
      <c r="H765" s="253"/>
      <c r="I765" s="253"/>
      <c r="J765" s="253"/>
      <c r="K765" s="253"/>
      <c r="L765" s="253"/>
      <c r="M765" s="253"/>
      <c r="N765" s="253"/>
      <c r="O765" s="253"/>
      <c r="P765" s="253"/>
      <c r="Q765" s="253"/>
    </row>
    <row r="766" spans="1:17">
      <c r="A766" s="253"/>
      <c r="B766" s="253"/>
      <c r="C766" s="253"/>
      <c r="D766" s="253"/>
      <c r="E766" s="253"/>
      <c r="F766" s="253"/>
      <c r="G766" s="253"/>
      <c r="H766" s="253"/>
      <c r="I766" s="253"/>
      <c r="J766" s="253"/>
      <c r="K766" s="253"/>
      <c r="L766" s="253"/>
      <c r="M766" s="253"/>
      <c r="N766" s="253"/>
      <c r="O766" s="253"/>
      <c r="P766" s="253"/>
      <c r="Q766" s="253"/>
    </row>
    <row r="767" spans="1:17">
      <c r="A767" s="253"/>
      <c r="B767" s="253"/>
      <c r="C767" s="253"/>
      <c r="D767" s="253"/>
      <c r="E767" s="253"/>
      <c r="F767" s="253"/>
      <c r="G767" s="253"/>
      <c r="H767" s="253"/>
      <c r="I767" s="253"/>
      <c r="J767" s="253"/>
      <c r="K767" s="253"/>
      <c r="L767" s="253"/>
      <c r="M767" s="253"/>
      <c r="N767" s="253"/>
      <c r="O767" s="253"/>
      <c r="P767" s="253"/>
      <c r="Q767" s="253"/>
    </row>
    <row r="768" spans="1:17">
      <c r="A768" s="253"/>
      <c r="B768" s="253"/>
      <c r="C768" s="253"/>
      <c r="D768" s="253"/>
      <c r="E768" s="253"/>
      <c r="F768" s="253"/>
      <c r="G768" s="253"/>
      <c r="H768" s="253"/>
      <c r="I768" s="253"/>
      <c r="J768" s="253"/>
      <c r="K768" s="253"/>
      <c r="L768" s="253"/>
      <c r="M768" s="253"/>
      <c r="N768" s="253"/>
      <c r="O768" s="253"/>
      <c r="P768" s="253"/>
      <c r="Q768" s="253"/>
    </row>
    <row r="769" spans="1:17">
      <c r="A769" s="253"/>
      <c r="B769" s="253"/>
      <c r="C769" s="253"/>
      <c r="D769" s="253"/>
      <c r="E769" s="253"/>
      <c r="F769" s="253"/>
      <c r="G769" s="253"/>
      <c r="H769" s="253"/>
      <c r="I769" s="253"/>
      <c r="J769" s="253"/>
      <c r="K769" s="253"/>
      <c r="L769" s="253"/>
      <c r="M769" s="253"/>
      <c r="N769" s="253"/>
      <c r="O769" s="253"/>
      <c r="P769" s="253"/>
      <c r="Q769" s="253"/>
    </row>
    <row r="770" spans="1:17">
      <c r="A770" s="253"/>
      <c r="B770" s="253"/>
      <c r="C770" s="253"/>
      <c r="D770" s="253"/>
      <c r="E770" s="253"/>
      <c r="F770" s="253"/>
      <c r="G770" s="253"/>
      <c r="H770" s="253"/>
      <c r="I770" s="253"/>
      <c r="J770" s="253"/>
      <c r="K770" s="253"/>
      <c r="L770" s="253"/>
      <c r="M770" s="253"/>
      <c r="N770" s="253"/>
      <c r="O770" s="253"/>
      <c r="P770" s="253"/>
      <c r="Q770" s="253"/>
    </row>
    <row r="771" spans="1:17">
      <c r="A771" s="253"/>
      <c r="B771" s="253"/>
      <c r="C771" s="253"/>
      <c r="D771" s="253"/>
      <c r="E771" s="253"/>
      <c r="F771" s="253"/>
      <c r="G771" s="253"/>
      <c r="H771" s="253"/>
      <c r="I771" s="253"/>
      <c r="J771" s="253"/>
      <c r="K771" s="253"/>
      <c r="L771" s="253"/>
      <c r="M771" s="253"/>
      <c r="N771" s="253"/>
      <c r="O771" s="253"/>
      <c r="P771" s="253"/>
      <c r="Q771" s="253"/>
    </row>
    <row r="772" spans="1:17">
      <c r="A772" s="253"/>
      <c r="B772" s="253"/>
      <c r="C772" s="253"/>
      <c r="D772" s="253"/>
      <c r="E772" s="253"/>
      <c r="F772" s="253"/>
      <c r="G772" s="253"/>
      <c r="H772" s="253"/>
      <c r="I772" s="253"/>
      <c r="J772" s="253"/>
      <c r="K772" s="253"/>
      <c r="L772" s="253"/>
      <c r="M772" s="253"/>
      <c r="N772" s="253"/>
      <c r="O772" s="253"/>
      <c r="P772" s="253"/>
      <c r="Q772" s="253"/>
    </row>
    <row r="773" spans="1:17">
      <c r="A773" s="253"/>
      <c r="B773" s="253"/>
      <c r="C773" s="253"/>
      <c r="D773" s="253"/>
      <c r="E773" s="253"/>
      <c r="F773" s="253"/>
      <c r="G773" s="253"/>
      <c r="H773" s="253"/>
      <c r="I773" s="253"/>
      <c r="J773" s="253"/>
      <c r="K773" s="253"/>
      <c r="L773" s="253"/>
      <c r="M773" s="253"/>
      <c r="N773" s="253"/>
      <c r="O773" s="253"/>
      <c r="P773" s="253"/>
      <c r="Q773" s="253"/>
    </row>
    <row r="774" spans="1:17">
      <c r="A774" s="253"/>
      <c r="B774" s="253"/>
      <c r="C774" s="253"/>
      <c r="D774" s="253"/>
      <c r="E774" s="253"/>
      <c r="F774" s="253"/>
      <c r="G774" s="253"/>
      <c r="H774" s="253"/>
      <c r="I774" s="253"/>
      <c r="J774" s="253"/>
      <c r="K774" s="253"/>
      <c r="L774" s="253"/>
      <c r="M774" s="253"/>
      <c r="N774" s="253"/>
      <c r="O774" s="253"/>
      <c r="P774" s="253"/>
      <c r="Q774" s="253"/>
    </row>
    <row r="775" spans="1:17">
      <c r="A775" s="253"/>
      <c r="B775" s="253"/>
      <c r="C775" s="253"/>
      <c r="D775" s="253"/>
      <c r="E775" s="253"/>
      <c r="F775" s="253"/>
      <c r="G775" s="253"/>
      <c r="H775" s="253"/>
      <c r="I775" s="253"/>
      <c r="J775" s="253"/>
      <c r="K775" s="253"/>
      <c r="L775" s="253"/>
      <c r="M775" s="253"/>
      <c r="N775" s="253"/>
      <c r="O775" s="253"/>
      <c r="P775" s="253"/>
      <c r="Q775" s="253"/>
    </row>
    <row r="776" spans="1:17">
      <c r="A776" s="253"/>
      <c r="B776" s="253"/>
      <c r="C776" s="253"/>
      <c r="D776" s="253"/>
      <c r="E776" s="253"/>
      <c r="F776" s="253"/>
      <c r="G776" s="253"/>
      <c r="H776" s="253"/>
      <c r="I776" s="253"/>
      <c r="J776" s="253"/>
      <c r="K776" s="253"/>
      <c r="L776" s="253"/>
      <c r="M776" s="253"/>
      <c r="N776" s="253"/>
      <c r="O776" s="253"/>
      <c r="P776" s="253"/>
      <c r="Q776" s="253"/>
    </row>
    <row r="777" spans="1:17">
      <c r="A777" s="253"/>
      <c r="B777" s="253"/>
      <c r="C777" s="253"/>
      <c r="D777" s="253"/>
      <c r="E777" s="253"/>
      <c r="F777" s="253"/>
      <c r="G777" s="253"/>
      <c r="H777" s="253"/>
      <c r="I777" s="253"/>
      <c r="J777" s="253"/>
      <c r="K777" s="253"/>
      <c r="L777" s="253"/>
      <c r="M777" s="253"/>
      <c r="N777" s="253"/>
      <c r="O777" s="253"/>
      <c r="P777" s="253"/>
      <c r="Q777" s="253"/>
    </row>
    <row r="778" spans="1:17">
      <c r="A778" s="253"/>
      <c r="B778" s="253"/>
      <c r="C778" s="253"/>
      <c r="D778" s="253"/>
      <c r="E778" s="253"/>
      <c r="F778" s="253"/>
      <c r="G778" s="253"/>
      <c r="H778" s="253"/>
      <c r="I778" s="253"/>
      <c r="J778" s="253"/>
      <c r="K778" s="253"/>
      <c r="L778" s="253"/>
      <c r="M778" s="253"/>
      <c r="N778" s="253"/>
      <c r="O778" s="253"/>
      <c r="P778" s="253"/>
      <c r="Q778" s="253"/>
    </row>
    <row r="779" spans="1:17">
      <c r="A779" s="253"/>
      <c r="B779" s="253"/>
      <c r="C779" s="253"/>
      <c r="D779" s="253"/>
      <c r="E779" s="253"/>
      <c r="F779" s="253"/>
      <c r="G779" s="253"/>
      <c r="H779" s="253"/>
      <c r="I779" s="253"/>
      <c r="J779" s="253"/>
      <c r="K779" s="253"/>
      <c r="L779" s="253"/>
      <c r="M779" s="253"/>
      <c r="N779" s="253"/>
      <c r="O779" s="253"/>
      <c r="P779" s="253"/>
      <c r="Q779" s="253"/>
    </row>
    <row r="780" spans="1:17">
      <c r="A780" s="253"/>
      <c r="B780" s="253"/>
      <c r="C780" s="253"/>
      <c r="D780" s="253"/>
      <c r="E780" s="253"/>
      <c r="F780" s="253"/>
      <c r="G780" s="253"/>
      <c r="H780" s="253"/>
      <c r="I780" s="253"/>
      <c r="J780" s="253"/>
      <c r="K780" s="253"/>
      <c r="L780" s="253"/>
      <c r="M780" s="253"/>
      <c r="N780" s="253"/>
      <c r="O780" s="253"/>
      <c r="P780" s="253"/>
      <c r="Q780" s="253"/>
    </row>
    <row r="781" spans="1:17">
      <c r="A781" s="253"/>
      <c r="B781" s="253"/>
      <c r="C781" s="253"/>
      <c r="D781" s="253"/>
      <c r="E781" s="253"/>
      <c r="F781" s="253"/>
      <c r="G781" s="253"/>
      <c r="H781" s="253"/>
      <c r="I781" s="253"/>
      <c r="J781" s="253"/>
      <c r="K781" s="253"/>
      <c r="L781" s="253"/>
      <c r="M781" s="253"/>
      <c r="N781" s="253"/>
      <c r="O781" s="253"/>
      <c r="P781" s="253"/>
      <c r="Q781" s="253"/>
    </row>
    <row r="782" spans="1:17">
      <c r="A782" s="253"/>
      <c r="B782" s="253"/>
      <c r="C782" s="253"/>
      <c r="D782" s="253"/>
      <c r="E782" s="253"/>
      <c r="F782" s="253"/>
      <c r="G782" s="253"/>
      <c r="H782" s="253"/>
      <c r="I782" s="253"/>
      <c r="J782" s="253"/>
      <c r="K782" s="253"/>
      <c r="L782" s="253"/>
      <c r="M782" s="253"/>
      <c r="N782" s="253"/>
      <c r="O782" s="253"/>
      <c r="P782" s="253"/>
      <c r="Q782" s="253"/>
    </row>
    <row r="783" spans="1:17">
      <c r="A783" s="253"/>
      <c r="B783" s="253"/>
      <c r="C783" s="253"/>
      <c r="D783" s="253"/>
      <c r="E783" s="253"/>
      <c r="F783" s="253"/>
      <c r="G783" s="253"/>
      <c r="H783" s="253"/>
      <c r="I783" s="253"/>
      <c r="J783" s="253"/>
      <c r="K783" s="253"/>
      <c r="L783" s="253"/>
      <c r="M783" s="253"/>
      <c r="N783" s="253"/>
      <c r="O783" s="253"/>
      <c r="P783" s="253"/>
      <c r="Q783" s="253"/>
    </row>
    <row r="784" spans="1:17">
      <c r="A784" s="253"/>
      <c r="B784" s="253"/>
      <c r="C784" s="253"/>
      <c r="D784" s="253"/>
      <c r="E784" s="253"/>
      <c r="F784" s="253"/>
      <c r="G784" s="253"/>
      <c r="H784" s="253"/>
      <c r="I784" s="253"/>
      <c r="J784" s="253"/>
      <c r="K784" s="253"/>
      <c r="L784" s="253"/>
      <c r="M784" s="253"/>
      <c r="N784" s="253"/>
      <c r="O784" s="253"/>
      <c r="P784" s="253"/>
      <c r="Q784" s="253"/>
    </row>
    <row r="785" spans="1:17">
      <c r="A785" s="253"/>
      <c r="B785" s="253"/>
      <c r="C785" s="253"/>
      <c r="D785" s="253"/>
      <c r="E785" s="253"/>
      <c r="F785" s="253"/>
      <c r="G785" s="253"/>
      <c r="H785" s="253"/>
      <c r="I785" s="253"/>
      <c r="J785" s="253"/>
      <c r="K785" s="253"/>
      <c r="L785" s="253"/>
      <c r="M785" s="253"/>
      <c r="N785" s="253"/>
      <c r="O785" s="253"/>
      <c r="P785" s="253"/>
      <c r="Q785" s="253"/>
    </row>
    <row r="786" spans="1:17">
      <c r="A786" s="253"/>
      <c r="B786" s="253"/>
      <c r="C786" s="253"/>
      <c r="D786" s="253"/>
      <c r="E786" s="253"/>
      <c r="F786" s="253"/>
      <c r="G786" s="253"/>
      <c r="H786" s="253"/>
      <c r="I786" s="253"/>
      <c r="J786" s="253"/>
      <c r="K786" s="253"/>
      <c r="L786" s="253"/>
      <c r="M786" s="253"/>
      <c r="N786" s="253"/>
      <c r="O786" s="253"/>
      <c r="P786" s="253"/>
      <c r="Q786" s="253"/>
    </row>
    <row r="787" spans="1:17">
      <c r="A787" s="253"/>
      <c r="B787" s="253"/>
      <c r="C787" s="253"/>
      <c r="D787" s="253"/>
      <c r="E787" s="253"/>
      <c r="F787" s="253"/>
      <c r="G787" s="253"/>
      <c r="H787" s="253"/>
      <c r="I787" s="253"/>
      <c r="J787" s="253"/>
      <c r="K787" s="253"/>
      <c r="L787" s="253"/>
      <c r="M787" s="253"/>
      <c r="N787" s="253"/>
      <c r="O787" s="253"/>
      <c r="P787" s="253"/>
      <c r="Q787" s="253"/>
    </row>
    <row r="788" spans="1:17">
      <c r="A788" s="253"/>
      <c r="B788" s="253"/>
      <c r="C788" s="253"/>
      <c r="D788" s="253"/>
      <c r="E788" s="253"/>
      <c r="F788" s="253"/>
      <c r="G788" s="253"/>
      <c r="H788" s="253"/>
      <c r="I788" s="253"/>
      <c r="J788" s="253"/>
      <c r="K788" s="253"/>
      <c r="L788" s="253"/>
      <c r="M788" s="253"/>
      <c r="N788" s="253"/>
      <c r="O788" s="253"/>
      <c r="P788" s="253"/>
      <c r="Q788" s="253"/>
    </row>
    <row r="789" spans="1:17">
      <c r="A789" s="253"/>
      <c r="B789" s="253"/>
      <c r="C789" s="253"/>
      <c r="D789" s="253"/>
      <c r="E789" s="253"/>
      <c r="F789" s="253"/>
      <c r="G789" s="253"/>
      <c r="H789" s="253"/>
      <c r="I789" s="253"/>
      <c r="J789" s="253"/>
      <c r="K789" s="253"/>
      <c r="L789" s="253"/>
      <c r="M789" s="253"/>
      <c r="N789" s="253"/>
      <c r="O789" s="253"/>
      <c r="P789" s="253"/>
      <c r="Q789" s="253"/>
    </row>
    <row r="790" spans="1:17">
      <c r="A790" s="253"/>
      <c r="B790" s="253"/>
      <c r="C790" s="253"/>
      <c r="D790" s="253"/>
      <c r="E790" s="253"/>
      <c r="F790" s="253"/>
      <c r="G790" s="253"/>
      <c r="H790" s="253"/>
      <c r="I790" s="253"/>
      <c r="J790" s="253"/>
      <c r="K790" s="253"/>
      <c r="L790" s="253"/>
      <c r="M790" s="253"/>
      <c r="N790" s="253"/>
      <c r="O790" s="253"/>
      <c r="P790" s="253"/>
      <c r="Q790" s="253"/>
    </row>
    <row r="791" spans="1:17">
      <c r="A791" s="253"/>
      <c r="B791" s="253"/>
      <c r="C791" s="253"/>
      <c r="D791" s="253"/>
      <c r="E791" s="253"/>
      <c r="F791" s="253"/>
      <c r="G791" s="253"/>
      <c r="H791" s="253"/>
      <c r="I791" s="253"/>
      <c r="J791" s="253"/>
      <c r="K791" s="253"/>
      <c r="L791" s="253"/>
      <c r="M791" s="253"/>
      <c r="N791" s="253"/>
      <c r="O791" s="253"/>
      <c r="P791" s="253"/>
      <c r="Q791" s="253"/>
    </row>
    <row r="792" spans="1:17">
      <c r="A792" s="253"/>
      <c r="B792" s="253"/>
      <c r="C792" s="253"/>
      <c r="D792" s="253"/>
      <c r="E792" s="253"/>
      <c r="F792" s="253"/>
      <c r="G792" s="253"/>
      <c r="H792" s="253"/>
      <c r="I792" s="253"/>
      <c r="J792" s="253"/>
      <c r="K792" s="253"/>
      <c r="L792" s="253"/>
      <c r="M792" s="253"/>
      <c r="N792" s="253"/>
      <c r="O792" s="253"/>
      <c r="P792" s="253"/>
      <c r="Q792" s="253"/>
    </row>
    <row r="793" spans="1:17">
      <c r="A793" s="253"/>
      <c r="B793" s="253"/>
      <c r="C793" s="253"/>
      <c r="D793" s="253"/>
      <c r="E793" s="253"/>
      <c r="F793" s="253"/>
      <c r="G793" s="253"/>
      <c r="H793" s="253"/>
      <c r="I793" s="253"/>
      <c r="J793" s="253"/>
      <c r="K793" s="253"/>
      <c r="L793" s="253"/>
      <c r="M793" s="253"/>
      <c r="N793" s="253"/>
      <c r="O793" s="253"/>
      <c r="P793" s="253"/>
      <c r="Q793" s="253"/>
    </row>
    <row r="794" spans="1:17">
      <c r="A794" s="253"/>
      <c r="B794" s="253"/>
      <c r="C794" s="253"/>
      <c r="D794" s="253"/>
      <c r="E794" s="253"/>
      <c r="F794" s="253"/>
      <c r="G794" s="253"/>
      <c r="H794" s="253"/>
      <c r="I794" s="253"/>
      <c r="J794" s="253"/>
      <c r="K794" s="253"/>
      <c r="L794" s="253"/>
      <c r="M794" s="253"/>
      <c r="N794" s="253"/>
      <c r="O794" s="253"/>
      <c r="P794" s="253"/>
      <c r="Q794" s="253"/>
    </row>
    <row r="795" spans="1:17">
      <c r="A795" s="253"/>
      <c r="B795" s="253"/>
      <c r="C795" s="253"/>
      <c r="D795" s="253"/>
      <c r="E795" s="253"/>
      <c r="F795" s="253"/>
      <c r="G795" s="253"/>
      <c r="H795" s="253"/>
      <c r="I795" s="253"/>
      <c r="J795" s="253"/>
      <c r="K795" s="253"/>
      <c r="L795" s="253"/>
      <c r="M795" s="253"/>
      <c r="N795" s="253"/>
      <c r="O795" s="253"/>
      <c r="P795" s="253"/>
      <c r="Q795" s="253"/>
    </row>
    <row r="796" spans="1:17">
      <c r="A796" s="253"/>
      <c r="B796" s="253"/>
      <c r="C796" s="253"/>
      <c r="D796" s="253"/>
      <c r="E796" s="253"/>
      <c r="F796" s="253"/>
      <c r="G796" s="253"/>
      <c r="H796" s="253"/>
      <c r="I796" s="253"/>
      <c r="J796" s="253"/>
      <c r="K796" s="253"/>
      <c r="L796" s="253"/>
      <c r="M796" s="253"/>
      <c r="N796" s="253"/>
      <c r="O796" s="253"/>
      <c r="P796" s="253"/>
      <c r="Q796" s="253"/>
    </row>
    <row r="797" spans="1:17">
      <c r="A797" s="253"/>
      <c r="B797" s="253"/>
      <c r="C797" s="253"/>
      <c r="D797" s="253"/>
      <c r="E797" s="253"/>
      <c r="F797" s="253"/>
      <c r="G797" s="253"/>
      <c r="H797" s="253"/>
      <c r="I797" s="253"/>
      <c r="J797" s="253"/>
      <c r="K797" s="253"/>
      <c r="L797" s="253"/>
      <c r="M797" s="253"/>
      <c r="N797" s="253"/>
      <c r="O797" s="253"/>
      <c r="P797" s="253"/>
      <c r="Q797" s="253"/>
    </row>
    <row r="798" spans="1:17">
      <c r="A798" s="253"/>
      <c r="B798" s="253"/>
      <c r="C798" s="253"/>
      <c r="D798" s="253"/>
      <c r="E798" s="253"/>
      <c r="F798" s="253"/>
      <c r="G798" s="253"/>
      <c r="H798" s="253"/>
      <c r="I798" s="253"/>
      <c r="J798" s="253"/>
      <c r="K798" s="253"/>
      <c r="L798" s="253"/>
      <c r="M798" s="253"/>
      <c r="N798" s="253"/>
      <c r="O798" s="253"/>
      <c r="P798" s="253"/>
      <c r="Q798" s="253"/>
    </row>
    <row r="799" spans="1:17">
      <c r="A799" s="253"/>
      <c r="B799" s="253"/>
      <c r="C799" s="253"/>
      <c r="D799" s="253"/>
      <c r="E799" s="253"/>
      <c r="F799" s="253"/>
      <c r="G799" s="253"/>
      <c r="H799" s="253"/>
      <c r="I799" s="253"/>
      <c r="J799" s="253"/>
      <c r="K799" s="253"/>
      <c r="L799" s="253"/>
      <c r="M799" s="253"/>
      <c r="N799" s="253"/>
      <c r="O799" s="253"/>
      <c r="P799" s="253"/>
      <c r="Q799" s="253"/>
    </row>
    <row r="800" spans="1:17">
      <c r="A800" s="253"/>
      <c r="B800" s="253"/>
      <c r="C800" s="253"/>
      <c r="D800" s="253"/>
      <c r="E800" s="253"/>
      <c r="F800" s="253"/>
      <c r="G800" s="253"/>
      <c r="H800" s="253"/>
      <c r="I800" s="253"/>
      <c r="J800" s="253"/>
      <c r="K800" s="253"/>
      <c r="L800" s="253"/>
      <c r="M800" s="253"/>
      <c r="N800" s="253"/>
      <c r="O800" s="253"/>
      <c r="P800" s="253"/>
      <c r="Q800" s="253"/>
    </row>
    <row r="801" spans="1:17">
      <c r="A801" s="253"/>
      <c r="B801" s="253"/>
      <c r="C801" s="253"/>
      <c r="D801" s="253"/>
      <c r="E801" s="253"/>
      <c r="F801" s="253"/>
      <c r="G801" s="253"/>
      <c r="H801" s="253"/>
      <c r="I801" s="253"/>
      <c r="J801" s="253"/>
      <c r="K801" s="253"/>
      <c r="L801" s="253"/>
      <c r="M801" s="253"/>
      <c r="N801" s="253"/>
      <c r="O801" s="253"/>
      <c r="P801" s="253"/>
      <c r="Q801" s="253"/>
    </row>
    <row r="802" spans="1:17">
      <c r="A802" s="253"/>
      <c r="B802" s="253"/>
      <c r="C802" s="253"/>
      <c r="D802" s="253"/>
      <c r="E802" s="253"/>
      <c r="F802" s="253"/>
      <c r="G802" s="253"/>
      <c r="H802" s="253"/>
      <c r="I802" s="253"/>
      <c r="J802" s="253"/>
      <c r="K802" s="253"/>
      <c r="L802" s="253"/>
      <c r="M802" s="253"/>
      <c r="N802" s="253"/>
      <c r="O802" s="253"/>
      <c r="P802" s="253"/>
      <c r="Q802" s="253"/>
    </row>
    <row r="803" spans="1:17">
      <c r="A803" s="253"/>
      <c r="B803" s="253"/>
      <c r="C803" s="253"/>
      <c r="D803" s="253"/>
      <c r="E803" s="253"/>
      <c r="F803" s="253"/>
      <c r="G803" s="253"/>
      <c r="H803" s="253"/>
      <c r="I803" s="253"/>
      <c r="J803" s="253"/>
      <c r="K803" s="253"/>
      <c r="L803" s="253"/>
      <c r="M803" s="253"/>
      <c r="N803" s="253"/>
      <c r="O803" s="253"/>
      <c r="P803" s="253"/>
      <c r="Q803" s="253"/>
    </row>
    <row r="804" spans="1:17">
      <c r="A804" s="253"/>
      <c r="B804" s="253"/>
      <c r="C804" s="253"/>
      <c r="D804" s="253"/>
      <c r="E804" s="253"/>
      <c r="F804" s="253"/>
      <c r="G804" s="253"/>
      <c r="H804" s="253"/>
      <c r="I804" s="253"/>
      <c r="J804" s="253"/>
      <c r="K804" s="253"/>
      <c r="L804" s="253"/>
      <c r="M804" s="253"/>
      <c r="N804" s="253"/>
      <c r="O804" s="253"/>
      <c r="P804" s="253"/>
      <c r="Q804" s="253"/>
    </row>
    <row r="805" spans="1:17">
      <c r="A805" s="253"/>
      <c r="B805" s="253"/>
      <c r="C805" s="253"/>
      <c r="D805" s="253"/>
      <c r="E805" s="253"/>
      <c r="F805" s="253"/>
      <c r="G805" s="253"/>
      <c r="H805" s="253"/>
      <c r="I805" s="253"/>
      <c r="J805" s="253"/>
      <c r="K805" s="253"/>
      <c r="L805" s="253"/>
      <c r="M805" s="253"/>
      <c r="N805" s="253"/>
      <c r="O805" s="253"/>
      <c r="P805" s="253"/>
      <c r="Q805" s="253"/>
    </row>
    <row r="806" spans="1:17">
      <c r="A806" s="253"/>
      <c r="B806" s="253"/>
      <c r="C806" s="253"/>
      <c r="D806" s="253"/>
      <c r="E806" s="253"/>
      <c r="F806" s="253"/>
      <c r="G806" s="253"/>
      <c r="H806" s="253"/>
      <c r="I806" s="253"/>
      <c r="J806" s="253"/>
      <c r="K806" s="253"/>
      <c r="L806" s="253"/>
      <c r="M806" s="253"/>
      <c r="N806" s="253"/>
      <c r="O806" s="253"/>
      <c r="P806" s="253"/>
      <c r="Q806" s="253"/>
    </row>
    <row r="807" spans="1:17">
      <c r="A807" s="253"/>
      <c r="B807" s="253"/>
      <c r="C807" s="253"/>
      <c r="D807" s="253"/>
      <c r="E807" s="253"/>
      <c r="F807" s="253"/>
      <c r="G807" s="253"/>
      <c r="H807" s="253"/>
      <c r="I807" s="253"/>
      <c r="J807" s="253"/>
      <c r="K807" s="253"/>
      <c r="L807" s="253"/>
      <c r="M807" s="253"/>
      <c r="N807" s="253"/>
      <c r="O807" s="253"/>
      <c r="P807" s="253"/>
      <c r="Q807" s="253"/>
    </row>
    <row r="808" spans="1:17">
      <c r="A808" s="253"/>
      <c r="B808" s="253"/>
      <c r="C808" s="253"/>
      <c r="D808" s="253"/>
      <c r="E808" s="253"/>
      <c r="F808" s="253"/>
      <c r="G808" s="253"/>
      <c r="H808" s="253"/>
      <c r="I808" s="253"/>
      <c r="J808" s="253"/>
      <c r="K808" s="253"/>
      <c r="L808" s="253"/>
      <c r="M808" s="253"/>
      <c r="N808" s="253"/>
      <c r="O808" s="253"/>
      <c r="P808" s="253"/>
      <c r="Q808" s="253"/>
    </row>
    <row r="809" spans="1:17">
      <c r="A809" s="253"/>
      <c r="B809" s="253"/>
      <c r="C809" s="253"/>
      <c r="D809" s="253"/>
      <c r="E809" s="253"/>
      <c r="F809" s="253"/>
      <c r="G809" s="253"/>
      <c r="H809" s="253"/>
      <c r="I809" s="253"/>
      <c r="J809" s="253"/>
      <c r="K809" s="253"/>
      <c r="L809" s="253"/>
      <c r="M809" s="253"/>
      <c r="N809" s="253"/>
      <c r="O809" s="253"/>
      <c r="P809" s="253"/>
      <c r="Q809" s="253"/>
    </row>
    <row r="810" spans="1:17">
      <c r="A810" s="253"/>
      <c r="B810" s="253"/>
      <c r="C810" s="253"/>
      <c r="D810" s="253"/>
      <c r="E810" s="253"/>
      <c r="F810" s="253"/>
      <c r="G810" s="253"/>
      <c r="H810" s="253"/>
      <c r="I810" s="253"/>
      <c r="J810" s="253"/>
      <c r="K810" s="253"/>
      <c r="L810" s="253"/>
      <c r="M810" s="253"/>
      <c r="N810" s="253"/>
      <c r="O810" s="253"/>
      <c r="P810" s="253"/>
      <c r="Q810" s="253"/>
    </row>
    <row r="811" spans="1:17">
      <c r="A811" s="253"/>
      <c r="B811" s="253"/>
      <c r="C811" s="253"/>
      <c r="D811" s="253"/>
      <c r="E811" s="253"/>
      <c r="F811" s="253"/>
      <c r="G811" s="253"/>
      <c r="H811" s="253"/>
      <c r="I811" s="253"/>
      <c r="J811" s="253"/>
      <c r="K811" s="253"/>
      <c r="L811" s="253"/>
      <c r="M811" s="253"/>
      <c r="N811" s="253"/>
      <c r="O811" s="253"/>
      <c r="P811" s="253"/>
      <c r="Q811" s="253"/>
    </row>
    <row r="812" spans="1:17">
      <c r="A812" s="253"/>
      <c r="B812" s="253"/>
      <c r="C812" s="253"/>
      <c r="D812" s="253"/>
      <c r="E812" s="253"/>
      <c r="F812" s="253"/>
      <c r="G812" s="253"/>
      <c r="H812" s="253"/>
      <c r="I812" s="253"/>
      <c r="J812" s="253"/>
      <c r="K812" s="253"/>
      <c r="L812" s="253"/>
      <c r="M812" s="253"/>
      <c r="N812" s="253"/>
      <c r="O812" s="253"/>
      <c r="P812" s="253"/>
      <c r="Q812" s="253"/>
    </row>
    <row r="813" spans="1:17">
      <c r="A813" s="253"/>
      <c r="B813" s="253"/>
      <c r="C813" s="253"/>
      <c r="D813" s="253"/>
      <c r="E813" s="253"/>
      <c r="F813" s="253"/>
      <c r="G813" s="253"/>
      <c r="H813" s="253"/>
      <c r="I813" s="253"/>
      <c r="J813" s="253"/>
      <c r="K813" s="253"/>
      <c r="L813" s="253"/>
      <c r="M813" s="253"/>
      <c r="N813" s="253"/>
      <c r="O813" s="253"/>
      <c r="P813" s="253"/>
      <c r="Q813" s="253"/>
    </row>
    <row r="814" spans="1:17">
      <c r="A814" s="253"/>
      <c r="B814" s="253"/>
      <c r="C814" s="253"/>
      <c r="D814" s="253"/>
      <c r="E814" s="253"/>
      <c r="F814" s="253"/>
      <c r="G814" s="253"/>
      <c r="H814" s="253"/>
      <c r="I814" s="253"/>
      <c r="J814" s="253"/>
      <c r="K814" s="253"/>
      <c r="L814" s="253"/>
      <c r="M814" s="253"/>
      <c r="N814" s="253"/>
      <c r="O814" s="253"/>
      <c r="P814" s="253"/>
      <c r="Q814" s="253"/>
    </row>
    <row r="815" spans="1:17">
      <c r="A815" s="253"/>
      <c r="B815" s="253"/>
      <c r="C815" s="253"/>
      <c r="D815" s="253"/>
      <c r="E815" s="253"/>
      <c r="F815" s="253"/>
      <c r="G815" s="253"/>
      <c r="H815" s="253"/>
      <c r="I815" s="253"/>
      <c r="J815" s="253"/>
      <c r="K815" s="253"/>
      <c r="L815" s="253"/>
      <c r="M815" s="253"/>
      <c r="N815" s="253"/>
      <c r="O815" s="253"/>
      <c r="P815" s="253"/>
      <c r="Q815" s="253"/>
    </row>
    <row r="816" spans="1:17">
      <c r="A816" s="253"/>
      <c r="B816" s="253"/>
      <c r="C816" s="253"/>
      <c r="D816" s="253"/>
      <c r="E816" s="253"/>
      <c r="F816" s="253"/>
      <c r="G816" s="253"/>
      <c r="H816" s="253"/>
      <c r="I816" s="253"/>
      <c r="J816" s="253"/>
      <c r="K816" s="253"/>
      <c r="L816" s="253"/>
      <c r="M816" s="253"/>
      <c r="N816" s="253"/>
      <c r="O816" s="253"/>
      <c r="P816" s="253"/>
      <c r="Q816" s="253"/>
    </row>
    <row r="817" spans="1:17">
      <c r="A817" s="253"/>
      <c r="B817" s="253"/>
      <c r="C817" s="253"/>
      <c r="D817" s="253"/>
      <c r="E817" s="253"/>
      <c r="F817" s="253"/>
      <c r="G817" s="253"/>
      <c r="H817" s="253"/>
      <c r="I817" s="253"/>
      <c r="J817" s="253"/>
      <c r="K817" s="253"/>
      <c r="L817" s="253"/>
      <c r="M817" s="253"/>
      <c r="N817" s="253"/>
      <c r="O817" s="253"/>
      <c r="P817" s="253"/>
      <c r="Q817" s="253"/>
    </row>
    <row r="818" spans="1:17">
      <c r="A818" s="253"/>
      <c r="B818" s="253"/>
      <c r="C818" s="253"/>
      <c r="D818" s="253"/>
      <c r="E818" s="253"/>
      <c r="F818" s="253"/>
      <c r="G818" s="253"/>
      <c r="H818" s="253"/>
      <c r="I818" s="253"/>
      <c r="J818" s="253"/>
      <c r="K818" s="253"/>
      <c r="L818" s="253"/>
      <c r="M818" s="253"/>
      <c r="N818" s="253"/>
      <c r="O818" s="253"/>
      <c r="P818" s="253"/>
      <c r="Q818" s="253"/>
    </row>
    <row r="819" spans="1:17">
      <c r="A819" s="253"/>
      <c r="B819" s="253"/>
      <c r="C819" s="253"/>
      <c r="D819" s="253"/>
      <c r="E819" s="253"/>
      <c r="F819" s="253"/>
      <c r="G819" s="253"/>
      <c r="H819" s="253"/>
      <c r="I819" s="253"/>
      <c r="J819" s="253"/>
      <c r="K819" s="253"/>
      <c r="L819" s="253"/>
      <c r="M819" s="253"/>
      <c r="N819" s="253"/>
      <c r="O819" s="253"/>
      <c r="P819" s="253"/>
      <c r="Q819" s="253"/>
    </row>
    <row r="820" spans="1:17">
      <c r="A820" s="253"/>
      <c r="B820" s="253"/>
      <c r="C820" s="253"/>
      <c r="D820" s="253"/>
      <c r="E820" s="253"/>
      <c r="F820" s="253"/>
      <c r="G820" s="253"/>
      <c r="H820" s="253"/>
      <c r="I820" s="253"/>
      <c r="J820" s="253"/>
      <c r="K820" s="253"/>
      <c r="L820" s="253"/>
      <c r="M820" s="253"/>
      <c r="N820" s="253"/>
      <c r="O820" s="253"/>
      <c r="P820" s="253"/>
      <c r="Q820" s="253"/>
    </row>
    <row r="821" spans="1:17">
      <c r="A821" s="253"/>
      <c r="B821" s="253"/>
      <c r="C821" s="253"/>
      <c r="D821" s="253"/>
      <c r="E821" s="253"/>
      <c r="F821" s="253"/>
      <c r="G821" s="253"/>
      <c r="H821" s="253"/>
      <c r="I821" s="253"/>
      <c r="J821" s="253"/>
      <c r="K821" s="253"/>
      <c r="L821" s="253"/>
      <c r="M821" s="253"/>
      <c r="N821" s="253"/>
      <c r="O821" s="253"/>
      <c r="P821" s="253"/>
      <c r="Q821" s="253"/>
    </row>
    <row r="822" spans="1:17">
      <c r="A822" s="253"/>
      <c r="B822" s="253"/>
      <c r="C822" s="253"/>
      <c r="D822" s="253"/>
      <c r="E822" s="253"/>
      <c r="F822" s="253"/>
      <c r="G822" s="253"/>
      <c r="H822" s="253"/>
      <c r="I822" s="253"/>
      <c r="J822" s="253"/>
      <c r="K822" s="253"/>
      <c r="L822" s="253"/>
      <c r="M822" s="253"/>
      <c r="N822" s="253"/>
      <c r="O822" s="253"/>
      <c r="P822" s="253"/>
      <c r="Q822" s="253"/>
    </row>
    <row r="823" spans="1:17">
      <c r="A823" s="253"/>
      <c r="B823" s="253"/>
      <c r="C823" s="253"/>
      <c r="D823" s="253"/>
      <c r="E823" s="253"/>
      <c r="F823" s="253"/>
      <c r="G823" s="253"/>
      <c r="H823" s="253"/>
      <c r="I823" s="253"/>
      <c r="J823" s="253"/>
      <c r="K823" s="253"/>
      <c r="L823" s="253"/>
      <c r="M823" s="253"/>
      <c r="N823" s="253"/>
      <c r="O823" s="253"/>
      <c r="P823" s="253"/>
      <c r="Q823" s="253"/>
    </row>
    <row r="824" spans="1:17">
      <c r="A824" s="253"/>
      <c r="B824" s="253"/>
      <c r="C824" s="253"/>
      <c r="D824" s="253"/>
      <c r="E824" s="253"/>
      <c r="F824" s="253"/>
      <c r="G824" s="253"/>
      <c r="H824" s="253"/>
      <c r="I824" s="253"/>
      <c r="J824" s="253"/>
      <c r="K824" s="253"/>
      <c r="L824" s="253"/>
      <c r="M824" s="253"/>
      <c r="N824" s="253"/>
      <c r="O824" s="253"/>
      <c r="P824" s="253"/>
      <c r="Q824" s="253"/>
    </row>
    <row r="825" spans="1:17">
      <c r="A825" s="253"/>
      <c r="B825" s="253"/>
      <c r="C825" s="253"/>
      <c r="D825" s="253"/>
      <c r="E825" s="253"/>
      <c r="F825" s="253"/>
      <c r="G825" s="253"/>
      <c r="H825" s="253"/>
      <c r="I825" s="253"/>
      <c r="J825" s="253"/>
      <c r="K825" s="253"/>
      <c r="L825" s="253"/>
      <c r="M825" s="253"/>
      <c r="N825" s="253"/>
      <c r="O825" s="253"/>
      <c r="P825" s="253"/>
      <c r="Q825" s="253"/>
    </row>
    <row r="826" spans="1:17">
      <c r="A826" s="253"/>
      <c r="B826" s="253"/>
      <c r="C826" s="253"/>
      <c r="D826" s="253"/>
      <c r="E826" s="253"/>
      <c r="F826" s="253"/>
      <c r="G826" s="253"/>
      <c r="H826" s="253"/>
      <c r="I826" s="253"/>
      <c r="J826" s="253"/>
      <c r="K826" s="253"/>
      <c r="L826" s="253"/>
      <c r="M826" s="253"/>
      <c r="N826" s="253"/>
      <c r="O826" s="253"/>
      <c r="P826" s="253"/>
      <c r="Q826" s="253"/>
    </row>
    <row r="827" spans="1:17">
      <c r="A827" s="253"/>
      <c r="B827" s="253"/>
      <c r="C827" s="253"/>
      <c r="D827" s="253"/>
      <c r="E827" s="253"/>
      <c r="F827" s="253"/>
      <c r="G827" s="253"/>
      <c r="H827" s="253"/>
      <c r="I827" s="253"/>
      <c r="J827" s="253"/>
      <c r="K827" s="253"/>
      <c r="L827" s="253"/>
      <c r="M827" s="253"/>
      <c r="N827" s="253"/>
      <c r="O827" s="253"/>
      <c r="P827" s="253"/>
      <c r="Q827" s="253"/>
    </row>
    <row r="828" spans="1:17">
      <c r="A828" s="253"/>
      <c r="B828" s="253"/>
      <c r="C828" s="253"/>
      <c r="D828" s="253"/>
      <c r="E828" s="253"/>
      <c r="F828" s="253"/>
      <c r="G828" s="253"/>
      <c r="H828" s="253"/>
      <c r="I828" s="253"/>
      <c r="J828" s="253"/>
      <c r="K828" s="253"/>
      <c r="L828" s="253"/>
      <c r="M828" s="253"/>
      <c r="N828" s="253"/>
      <c r="O828" s="253"/>
      <c r="P828" s="253"/>
      <c r="Q828" s="253"/>
    </row>
    <row r="829" spans="1:17">
      <c r="A829" s="253"/>
      <c r="B829" s="253"/>
      <c r="C829" s="253"/>
      <c r="D829" s="253"/>
      <c r="E829" s="253"/>
      <c r="F829" s="253"/>
      <c r="G829" s="253"/>
      <c r="H829" s="253"/>
      <c r="I829" s="253"/>
      <c r="J829" s="253"/>
      <c r="K829" s="253"/>
      <c r="L829" s="253"/>
      <c r="M829" s="253"/>
      <c r="N829" s="253"/>
      <c r="O829" s="253"/>
      <c r="P829" s="253"/>
      <c r="Q829" s="253"/>
    </row>
    <row r="830" spans="1:17">
      <c r="A830" s="253"/>
      <c r="B830" s="253"/>
      <c r="C830" s="253"/>
      <c r="D830" s="253"/>
      <c r="E830" s="253"/>
      <c r="F830" s="253"/>
      <c r="G830" s="253"/>
      <c r="H830" s="253"/>
      <c r="I830" s="253"/>
      <c r="J830" s="253"/>
      <c r="K830" s="253"/>
      <c r="L830" s="253"/>
      <c r="M830" s="253"/>
      <c r="N830" s="253"/>
      <c r="O830" s="253"/>
      <c r="P830" s="253"/>
      <c r="Q830" s="253"/>
    </row>
    <row r="831" spans="1:17">
      <c r="A831" s="253"/>
      <c r="B831" s="253"/>
      <c r="C831" s="253"/>
      <c r="D831" s="253"/>
      <c r="E831" s="253"/>
      <c r="F831" s="253"/>
      <c r="G831" s="253"/>
      <c r="H831" s="253"/>
      <c r="I831" s="253"/>
      <c r="J831" s="253"/>
      <c r="K831" s="253"/>
      <c r="L831" s="253"/>
      <c r="M831" s="253"/>
      <c r="N831" s="253"/>
      <c r="O831" s="253"/>
      <c r="P831" s="253"/>
      <c r="Q831" s="253"/>
    </row>
    <row r="832" spans="1:17">
      <c r="A832" s="253"/>
      <c r="B832" s="253"/>
      <c r="C832" s="253"/>
      <c r="D832" s="253"/>
      <c r="E832" s="253"/>
      <c r="F832" s="253"/>
      <c r="G832" s="253"/>
      <c r="H832" s="253"/>
      <c r="I832" s="253"/>
      <c r="J832" s="253"/>
      <c r="K832" s="253"/>
      <c r="L832" s="253"/>
      <c r="M832" s="253"/>
      <c r="N832" s="253"/>
      <c r="O832" s="253"/>
      <c r="P832" s="253"/>
      <c r="Q832" s="253"/>
    </row>
    <row r="833" spans="1:17">
      <c r="A833" s="253"/>
      <c r="B833" s="253"/>
      <c r="C833" s="253"/>
      <c r="D833" s="253"/>
      <c r="E833" s="253"/>
      <c r="F833" s="253"/>
      <c r="G833" s="253"/>
      <c r="H833" s="253"/>
      <c r="I833" s="253"/>
      <c r="J833" s="253"/>
      <c r="K833" s="253"/>
      <c r="L833" s="253"/>
      <c r="M833" s="253"/>
      <c r="N833" s="253"/>
      <c r="O833" s="253"/>
      <c r="P833" s="253"/>
      <c r="Q833" s="253"/>
    </row>
    <row r="834" spans="1:17">
      <c r="A834" s="253"/>
      <c r="B834" s="253"/>
      <c r="C834" s="253"/>
      <c r="D834" s="253"/>
      <c r="E834" s="253"/>
      <c r="F834" s="253"/>
      <c r="G834" s="253"/>
      <c r="H834" s="253"/>
      <c r="I834" s="253"/>
      <c r="J834" s="253"/>
      <c r="K834" s="253"/>
      <c r="L834" s="253"/>
      <c r="M834" s="253"/>
      <c r="N834" s="253"/>
      <c r="O834" s="253"/>
      <c r="P834" s="253"/>
      <c r="Q834" s="253"/>
    </row>
    <row r="835" spans="1:17">
      <c r="A835" s="253"/>
      <c r="B835" s="253"/>
      <c r="C835" s="253"/>
      <c r="D835" s="253"/>
      <c r="E835" s="253"/>
      <c r="F835" s="253"/>
      <c r="G835" s="253"/>
      <c r="H835" s="253"/>
      <c r="I835" s="253"/>
      <c r="J835" s="253"/>
      <c r="K835" s="253"/>
      <c r="L835" s="253"/>
      <c r="M835" s="253"/>
      <c r="N835" s="253"/>
      <c r="O835" s="253"/>
      <c r="P835" s="253"/>
      <c r="Q835" s="253"/>
    </row>
    <row r="836" spans="1:17">
      <c r="A836" s="253"/>
      <c r="B836" s="253"/>
      <c r="C836" s="253"/>
      <c r="D836" s="253"/>
      <c r="E836" s="253"/>
      <c r="F836" s="253"/>
      <c r="G836" s="253"/>
      <c r="H836" s="253"/>
      <c r="I836" s="253"/>
      <c r="J836" s="253"/>
      <c r="K836" s="253"/>
      <c r="L836" s="253"/>
      <c r="M836" s="253"/>
      <c r="N836" s="253"/>
      <c r="O836" s="253"/>
      <c r="P836" s="253"/>
      <c r="Q836" s="253"/>
    </row>
    <row r="837" spans="1:17">
      <c r="A837" s="253"/>
      <c r="B837" s="253"/>
      <c r="C837" s="253"/>
      <c r="D837" s="253"/>
      <c r="E837" s="253"/>
      <c r="F837" s="253"/>
      <c r="G837" s="253"/>
      <c r="H837" s="253"/>
      <c r="I837" s="253"/>
      <c r="J837" s="253"/>
      <c r="K837" s="253"/>
      <c r="L837" s="253"/>
      <c r="M837" s="253"/>
      <c r="N837" s="253"/>
      <c r="O837" s="253"/>
      <c r="P837" s="253"/>
      <c r="Q837" s="253"/>
    </row>
    <row r="838" spans="1:17">
      <c r="A838" s="253"/>
      <c r="B838" s="253"/>
      <c r="C838" s="253"/>
      <c r="D838" s="253"/>
      <c r="E838" s="253"/>
      <c r="F838" s="253"/>
      <c r="G838" s="253"/>
      <c r="H838" s="253"/>
      <c r="I838" s="253"/>
      <c r="J838" s="253"/>
      <c r="K838" s="253"/>
      <c r="L838" s="253"/>
      <c r="M838" s="253"/>
      <c r="N838" s="253"/>
      <c r="O838" s="253"/>
      <c r="P838" s="253"/>
      <c r="Q838" s="253"/>
    </row>
    <row r="839" spans="1:17">
      <c r="A839" s="253"/>
      <c r="B839" s="253"/>
      <c r="C839" s="253"/>
      <c r="D839" s="253"/>
      <c r="E839" s="253"/>
      <c r="F839" s="253"/>
      <c r="G839" s="253"/>
      <c r="H839" s="253"/>
      <c r="I839" s="253"/>
      <c r="J839" s="253"/>
      <c r="K839" s="253"/>
      <c r="L839" s="253"/>
      <c r="M839" s="253"/>
      <c r="N839" s="253"/>
      <c r="O839" s="253"/>
      <c r="P839" s="253"/>
      <c r="Q839" s="253"/>
    </row>
    <row r="840" spans="1:17">
      <c r="A840" s="253"/>
      <c r="B840" s="253"/>
      <c r="C840" s="253"/>
      <c r="D840" s="253"/>
      <c r="E840" s="253"/>
      <c r="F840" s="253"/>
      <c r="G840" s="253"/>
      <c r="H840" s="253"/>
      <c r="I840" s="253"/>
      <c r="J840" s="253"/>
      <c r="K840" s="253"/>
      <c r="L840" s="253"/>
      <c r="M840" s="253"/>
      <c r="N840" s="253"/>
      <c r="O840" s="253"/>
      <c r="P840" s="253"/>
      <c r="Q840" s="253"/>
    </row>
    <row r="841" spans="1:17">
      <c r="A841" s="253"/>
      <c r="B841" s="253"/>
      <c r="C841" s="253"/>
      <c r="D841" s="253"/>
      <c r="E841" s="253"/>
      <c r="F841" s="253"/>
      <c r="G841" s="253"/>
      <c r="H841" s="253"/>
      <c r="I841" s="253"/>
      <c r="J841" s="253"/>
      <c r="K841" s="253"/>
      <c r="L841" s="253"/>
      <c r="M841" s="253"/>
      <c r="N841" s="253"/>
      <c r="O841" s="253"/>
      <c r="P841" s="253"/>
      <c r="Q841" s="253"/>
    </row>
    <row r="842" spans="1:17">
      <c r="A842" s="253"/>
      <c r="B842" s="253"/>
      <c r="C842" s="253"/>
      <c r="D842" s="253"/>
      <c r="E842" s="253"/>
      <c r="F842" s="253"/>
      <c r="G842" s="253"/>
      <c r="H842" s="253"/>
      <c r="I842" s="253"/>
      <c r="J842" s="253"/>
      <c r="K842" s="253"/>
      <c r="L842" s="253"/>
      <c r="M842" s="253"/>
      <c r="N842" s="253"/>
      <c r="O842" s="253"/>
      <c r="P842" s="253"/>
      <c r="Q842" s="253"/>
    </row>
    <row r="843" spans="1:17">
      <c r="A843" s="253"/>
      <c r="B843" s="253"/>
      <c r="C843" s="253"/>
      <c r="D843" s="253"/>
      <c r="E843" s="253"/>
      <c r="F843" s="253"/>
      <c r="G843" s="253"/>
      <c r="H843" s="253"/>
      <c r="I843" s="253"/>
      <c r="J843" s="253"/>
      <c r="K843" s="253"/>
      <c r="L843" s="253"/>
      <c r="M843" s="253"/>
      <c r="N843" s="253"/>
      <c r="O843" s="253"/>
      <c r="P843" s="253"/>
      <c r="Q843" s="253"/>
    </row>
    <row r="844" spans="1:17">
      <c r="A844" s="253"/>
      <c r="B844" s="253"/>
      <c r="C844" s="253"/>
      <c r="D844" s="253"/>
      <c r="E844" s="253"/>
      <c r="F844" s="253"/>
      <c r="G844" s="253"/>
      <c r="H844" s="253"/>
      <c r="I844" s="253"/>
      <c r="J844" s="253"/>
      <c r="K844" s="253"/>
      <c r="L844" s="253"/>
      <c r="M844" s="253"/>
      <c r="N844" s="253"/>
      <c r="O844" s="253"/>
      <c r="P844" s="253"/>
      <c r="Q844" s="253"/>
    </row>
    <row r="845" spans="1:17">
      <c r="A845" s="253"/>
      <c r="B845" s="253"/>
      <c r="C845" s="253"/>
      <c r="D845" s="253"/>
      <c r="E845" s="253"/>
      <c r="F845" s="253"/>
      <c r="G845" s="253"/>
      <c r="H845" s="253"/>
      <c r="I845" s="253"/>
      <c r="J845" s="253"/>
      <c r="K845" s="253"/>
      <c r="L845" s="253"/>
      <c r="M845" s="253"/>
      <c r="N845" s="253"/>
      <c r="O845" s="253"/>
      <c r="P845" s="253"/>
      <c r="Q845" s="253"/>
    </row>
    <row r="846" spans="1:17">
      <c r="A846" s="253"/>
      <c r="B846" s="253"/>
      <c r="C846" s="253"/>
      <c r="D846" s="253"/>
      <c r="E846" s="253"/>
      <c r="F846" s="253"/>
      <c r="G846" s="253"/>
      <c r="H846" s="253"/>
      <c r="I846" s="253"/>
      <c r="J846" s="253"/>
      <c r="K846" s="253"/>
      <c r="L846" s="253"/>
      <c r="M846" s="253"/>
      <c r="N846" s="253"/>
      <c r="O846" s="253"/>
      <c r="P846" s="253"/>
      <c r="Q846" s="253"/>
    </row>
    <row r="847" spans="1:17">
      <c r="A847" s="253"/>
      <c r="B847" s="253"/>
      <c r="C847" s="253"/>
      <c r="D847" s="253"/>
      <c r="E847" s="253"/>
      <c r="F847" s="253"/>
      <c r="G847" s="253"/>
      <c r="H847" s="253"/>
      <c r="I847" s="253"/>
      <c r="J847" s="253"/>
      <c r="K847" s="253"/>
      <c r="L847" s="253"/>
      <c r="M847" s="253"/>
      <c r="N847" s="253"/>
      <c r="O847" s="253"/>
      <c r="P847" s="253"/>
      <c r="Q847" s="253"/>
    </row>
    <row r="848" spans="1:17">
      <c r="A848" s="253"/>
      <c r="B848" s="253"/>
      <c r="C848" s="253"/>
      <c r="D848" s="253"/>
      <c r="E848" s="253"/>
      <c r="F848" s="253"/>
      <c r="G848" s="253"/>
      <c r="H848" s="253"/>
      <c r="I848" s="253"/>
      <c r="J848" s="253"/>
      <c r="K848" s="253"/>
      <c r="L848" s="253"/>
      <c r="M848" s="253"/>
      <c r="N848" s="253"/>
      <c r="O848" s="253"/>
      <c r="P848" s="253"/>
      <c r="Q848" s="253"/>
    </row>
    <row r="849" spans="1:17">
      <c r="A849" s="253"/>
      <c r="B849" s="253"/>
      <c r="C849" s="253"/>
      <c r="D849" s="253"/>
      <c r="E849" s="253"/>
      <c r="F849" s="253"/>
      <c r="G849" s="253"/>
      <c r="H849" s="253"/>
      <c r="I849" s="253"/>
      <c r="J849" s="253"/>
      <c r="K849" s="253"/>
      <c r="L849" s="253"/>
      <c r="M849" s="253"/>
      <c r="N849" s="253"/>
      <c r="O849" s="253"/>
      <c r="P849" s="253"/>
      <c r="Q849" s="253"/>
    </row>
    <row r="850" spans="1:17">
      <c r="A850" s="253"/>
      <c r="B850" s="253"/>
      <c r="C850" s="253"/>
      <c r="D850" s="253"/>
      <c r="E850" s="253"/>
      <c r="F850" s="253"/>
      <c r="G850" s="253"/>
      <c r="H850" s="253"/>
      <c r="I850" s="253"/>
      <c r="J850" s="253"/>
      <c r="K850" s="253"/>
      <c r="L850" s="253"/>
      <c r="M850" s="253"/>
      <c r="N850" s="253"/>
      <c r="O850" s="253"/>
      <c r="P850" s="253"/>
      <c r="Q850" s="253"/>
    </row>
    <row r="851" spans="1:17">
      <c r="A851" s="253"/>
      <c r="B851" s="253"/>
      <c r="C851" s="253"/>
      <c r="D851" s="253"/>
      <c r="E851" s="253"/>
      <c r="F851" s="253"/>
      <c r="G851" s="253"/>
      <c r="H851" s="253"/>
      <c r="I851" s="253"/>
      <c r="J851" s="253"/>
      <c r="K851" s="253"/>
      <c r="L851" s="253"/>
      <c r="M851" s="253"/>
      <c r="N851" s="253"/>
      <c r="O851" s="253"/>
      <c r="P851" s="253"/>
      <c r="Q851" s="253"/>
    </row>
    <row r="852" spans="1:17">
      <c r="A852" s="253"/>
      <c r="B852" s="253"/>
      <c r="C852" s="253"/>
      <c r="D852" s="253"/>
      <c r="E852" s="253"/>
      <c r="F852" s="253"/>
      <c r="G852" s="253"/>
      <c r="H852" s="253"/>
      <c r="I852" s="253"/>
      <c r="J852" s="253"/>
      <c r="K852" s="253"/>
      <c r="L852" s="253"/>
      <c r="M852" s="253"/>
      <c r="N852" s="253"/>
      <c r="O852" s="253"/>
      <c r="P852" s="253"/>
      <c r="Q852" s="253"/>
    </row>
    <row r="853" spans="1:17">
      <c r="A853" s="253"/>
      <c r="B853" s="253"/>
      <c r="C853" s="253"/>
      <c r="D853" s="253"/>
      <c r="E853" s="253"/>
      <c r="F853" s="253"/>
      <c r="G853" s="253"/>
      <c r="H853" s="253"/>
      <c r="I853" s="253"/>
      <c r="J853" s="253"/>
      <c r="K853" s="253"/>
      <c r="L853" s="253"/>
      <c r="M853" s="253"/>
      <c r="N853" s="253"/>
      <c r="O853" s="253"/>
      <c r="P853" s="253"/>
      <c r="Q853" s="253"/>
    </row>
    <row r="854" spans="1:17">
      <c r="A854" s="253"/>
      <c r="B854" s="253"/>
      <c r="C854" s="253"/>
      <c r="D854" s="253"/>
      <c r="E854" s="253"/>
      <c r="F854" s="253"/>
      <c r="G854" s="253"/>
      <c r="H854" s="253"/>
      <c r="I854" s="253"/>
      <c r="J854" s="253"/>
      <c r="K854" s="253"/>
      <c r="L854" s="253"/>
      <c r="M854" s="253"/>
      <c r="N854" s="253"/>
      <c r="O854" s="253"/>
      <c r="P854" s="253"/>
      <c r="Q854" s="253"/>
    </row>
    <row r="855" spans="1:17">
      <c r="A855" s="253"/>
      <c r="B855" s="253"/>
      <c r="C855" s="253"/>
      <c r="D855" s="253"/>
      <c r="E855" s="253"/>
      <c r="F855" s="253"/>
      <c r="G855" s="253"/>
      <c r="H855" s="253"/>
      <c r="I855" s="253"/>
      <c r="J855" s="253"/>
      <c r="K855" s="253"/>
      <c r="L855" s="253"/>
      <c r="M855" s="253"/>
      <c r="N855" s="253"/>
      <c r="O855" s="253"/>
      <c r="P855" s="253"/>
      <c r="Q855" s="253"/>
    </row>
    <row r="856" spans="1:17">
      <c r="A856" s="253"/>
      <c r="B856" s="253"/>
      <c r="C856" s="253"/>
      <c r="D856" s="253"/>
      <c r="E856" s="253"/>
      <c r="F856" s="253"/>
      <c r="G856" s="253"/>
      <c r="H856" s="253"/>
      <c r="I856" s="253"/>
      <c r="J856" s="253"/>
      <c r="K856" s="253"/>
      <c r="L856" s="253"/>
      <c r="M856" s="253"/>
      <c r="N856" s="253"/>
      <c r="O856" s="253"/>
      <c r="P856" s="253"/>
      <c r="Q856" s="253"/>
    </row>
    <row r="857" spans="1:17">
      <c r="A857" s="253"/>
      <c r="B857" s="253"/>
      <c r="C857" s="253"/>
      <c r="D857" s="253"/>
      <c r="E857" s="253"/>
      <c r="F857" s="253"/>
      <c r="G857" s="253"/>
      <c r="H857" s="253"/>
      <c r="I857" s="253"/>
      <c r="J857" s="253"/>
      <c r="K857" s="253"/>
      <c r="L857" s="253"/>
      <c r="M857" s="253"/>
      <c r="N857" s="253"/>
      <c r="O857" s="253"/>
      <c r="P857" s="253"/>
      <c r="Q857" s="253"/>
    </row>
    <row r="858" spans="1:17">
      <c r="A858" s="253"/>
      <c r="B858" s="253"/>
      <c r="C858" s="253"/>
      <c r="D858" s="253"/>
      <c r="E858" s="253"/>
      <c r="F858" s="253"/>
      <c r="G858" s="253"/>
      <c r="H858" s="253"/>
      <c r="I858" s="253"/>
      <c r="J858" s="253"/>
      <c r="K858" s="253"/>
      <c r="L858" s="253"/>
      <c r="M858" s="253"/>
      <c r="N858" s="253"/>
      <c r="O858" s="253"/>
      <c r="P858" s="253"/>
      <c r="Q858" s="253"/>
    </row>
    <row r="859" spans="1:17">
      <c r="A859" s="253"/>
      <c r="B859" s="253"/>
      <c r="C859" s="253"/>
      <c r="D859" s="253"/>
      <c r="E859" s="253"/>
      <c r="F859" s="253"/>
      <c r="G859" s="253"/>
      <c r="H859" s="253"/>
      <c r="I859" s="253"/>
      <c r="J859" s="253"/>
      <c r="K859" s="253"/>
      <c r="L859" s="253"/>
      <c r="M859" s="253"/>
      <c r="N859" s="253"/>
      <c r="O859" s="253"/>
      <c r="P859" s="253"/>
      <c r="Q859" s="253"/>
    </row>
    <row r="860" spans="1:17">
      <c r="A860" s="253"/>
      <c r="B860" s="253"/>
      <c r="C860" s="253"/>
      <c r="D860" s="253"/>
      <c r="E860" s="253"/>
      <c r="F860" s="253"/>
      <c r="G860" s="253"/>
      <c r="H860" s="253"/>
      <c r="I860" s="253"/>
      <c r="J860" s="253"/>
      <c r="K860" s="253"/>
      <c r="L860" s="253"/>
      <c r="M860" s="253"/>
      <c r="N860" s="253"/>
      <c r="O860" s="253"/>
      <c r="P860" s="253"/>
      <c r="Q860" s="253"/>
    </row>
    <row r="861" spans="1:17">
      <c r="A861" s="253"/>
      <c r="B861" s="253"/>
      <c r="C861" s="253"/>
      <c r="D861" s="253"/>
      <c r="E861" s="253"/>
      <c r="F861" s="253"/>
      <c r="G861" s="253"/>
      <c r="H861" s="253"/>
      <c r="I861" s="253"/>
      <c r="J861" s="253"/>
      <c r="K861" s="253"/>
      <c r="L861" s="253"/>
      <c r="M861" s="253"/>
      <c r="N861" s="253"/>
      <c r="O861" s="253"/>
      <c r="P861" s="253"/>
      <c r="Q861" s="253"/>
    </row>
    <row r="862" spans="1:17">
      <c r="A862" s="253"/>
      <c r="B862" s="253"/>
      <c r="C862" s="253"/>
      <c r="D862" s="253"/>
      <c r="E862" s="253"/>
      <c r="F862" s="253"/>
      <c r="G862" s="253"/>
      <c r="H862" s="253"/>
      <c r="I862" s="253"/>
      <c r="J862" s="253"/>
      <c r="K862" s="253"/>
      <c r="L862" s="253"/>
      <c r="M862" s="253"/>
      <c r="N862" s="253"/>
      <c r="O862" s="253"/>
      <c r="P862" s="253"/>
      <c r="Q862" s="253"/>
    </row>
    <row r="863" spans="1:17">
      <c r="A863" s="253"/>
      <c r="B863" s="253"/>
      <c r="C863" s="253"/>
      <c r="D863" s="253"/>
      <c r="E863" s="253"/>
      <c r="F863" s="253"/>
      <c r="G863" s="253"/>
      <c r="H863" s="253"/>
      <c r="I863" s="253"/>
      <c r="J863" s="253"/>
      <c r="K863" s="253"/>
      <c r="L863" s="253"/>
      <c r="M863" s="253"/>
      <c r="N863" s="253"/>
      <c r="O863" s="253"/>
      <c r="P863" s="253"/>
      <c r="Q863" s="253"/>
    </row>
    <row r="864" spans="1:17">
      <c r="A864" s="253"/>
      <c r="B864" s="253"/>
      <c r="C864" s="253"/>
      <c r="D864" s="253"/>
      <c r="E864" s="253"/>
      <c r="F864" s="253"/>
      <c r="G864" s="253"/>
      <c r="H864" s="253"/>
      <c r="I864" s="253"/>
      <c r="J864" s="253"/>
      <c r="K864" s="253"/>
      <c r="L864" s="253"/>
      <c r="M864" s="253"/>
      <c r="N864" s="253"/>
      <c r="O864" s="253"/>
      <c r="P864" s="253"/>
      <c r="Q864" s="253"/>
    </row>
    <row r="865" spans="1:17">
      <c r="A865" s="253"/>
      <c r="B865" s="253"/>
      <c r="C865" s="253"/>
      <c r="D865" s="253"/>
      <c r="E865" s="253"/>
      <c r="F865" s="253"/>
      <c r="G865" s="253"/>
      <c r="H865" s="253"/>
      <c r="I865" s="253"/>
      <c r="J865" s="253"/>
      <c r="K865" s="253"/>
      <c r="L865" s="253"/>
      <c r="M865" s="253"/>
      <c r="N865" s="253"/>
      <c r="O865" s="253"/>
      <c r="P865" s="253"/>
      <c r="Q865" s="253"/>
    </row>
    <row r="866" spans="1:17">
      <c r="A866" s="253"/>
      <c r="B866" s="253"/>
      <c r="C866" s="253"/>
      <c r="D866" s="253"/>
      <c r="E866" s="253"/>
      <c r="F866" s="253"/>
      <c r="G866" s="253"/>
      <c r="H866" s="253"/>
      <c r="I866" s="253"/>
      <c r="J866" s="253"/>
      <c r="K866" s="253"/>
      <c r="L866" s="253"/>
      <c r="M866" s="253"/>
      <c r="N866" s="253"/>
      <c r="O866" s="253"/>
      <c r="P866" s="253"/>
      <c r="Q866" s="253"/>
    </row>
    <row r="867" spans="1:17">
      <c r="A867" s="253"/>
      <c r="B867" s="253"/>
      <c r="C867" s="253"/>
      <c r="D867" s="253"/>
      <c r="E867" s="253"/>
      <c r="F867" s="253"/>
      <c r="G867" s="253"/>
      <c r="H867" s="253"/>
      <c r="I867" s="253"/>
      <c r="J867" s="253"/>
      <c r="K867" s="253"/>
      <c r="L867" s="253"/>
      <c r="M867" s="253"/>
      <c r="N867" s="253"/>
      <c r="O867" s="253"/>
      <c r="P867" s="253"/>
      <c r="Q867" s="253"/>
    </row>
    <row r="868" spans="1:17">
      <c r="A868" s="253"/>
      <c r="B868" s="253"/>
      <c r="C868" s="253"/>
      <c r="D868" s="253"/>
      <c r="E868" s="253"/>
      <c r="F868" s="253"/>
      <c r="G868" s="253"/>
      <c r="H868" s="253"/>
      <c r="I868" s="253"/>
      <c r="J868" s="253"/>
      <c r="K868" s="253"/>
      <c r="L868" s="253"/>
      <c r="M868" s="253"/>
      <c r="N868" s="253"/>
      <c r="O868" s="253"/>
      <c r="P868" s="253"/>
      <c r="Q868" s="253"/>
    </row>
    <row r="869" spans="1:17">
      <c r="A869" s="253"/>
      <c r="B869" s="253"/>
      <c r="C869" s="253"/>
      <c r="D869" s="253"/>
      <c r="E869" s="253"/>
      <c r="F869" s="253"/>
      <c r="G869" s="253"/>
      <c r="H869" s="253"/>
      <c r="I869" s="253"/>
      <c r="J869" s="253"/>
      <c r="K869" s="253"/>
      <c r="L869" s="253"/>
      <c r="M869" s="253"/>
      <c r="N869" s="253"/>
      <c r="O869" s="253"/>
      <c r="P869" s="253"/>
      <c r="Q869" s="253"/>
    </row>
    <row r="870" spans="1:17">
      <c r="A870" s="253"/>
      <c r="B870" s="253"/>
      <c r="C870" s="253"/>
      <c r="D870" s="253"/>
      <c r="E870" s="253"/>
      <c r="F870" s="253"/>
      <c r="G870" s="253"/>
      <c r="H870" s="253"/>
      <c r="I870" s="253"/>
      <c r="J870" s="253"/>
      <c r="K870" s="253"/>
      <c r="L870" s="253"/>
      <c r="M870" s="253"/>
      <c r="N870" s="253"/>
      <c r="O870" s="253"/>
      <c r="P870" s="253"/>
      <c r="Q870" s="253"/>
    </row>
    <row r="871" spans="1:17">
      <c r="A871" s="253"/>
      <c r="B871" s="253"/>
      <c r="C871" s="253"/>
      <c r="D871" s="253"/>
      <c r="E871" s="253"/>
      <c r="F871" s="253"/>
      <c r="G871" s="253"/>
      <c r="H871" s="253"/>
      <c r="I871" s="253"/>
      <c r="J871" s="253"/>
      <c r="K871" s="253"/>
      <c r="L871" s="253"/>
      <c r="M871" s="253"/>
      <c r="N871" s="253"/>
      <c r="O871" s="253"/>
      <c r="P871" s="253"/>
      <c r="Q871" s="253"/>
    </row>
    <row r="872" spans="1:17">
      <c r="A872" s="253"/>
      <c r="B872" s="253"/>
      <c r="C872" s="253"/>
      <c r="D872" s="253"/>
      <c r="E872" s="253"/>
      <c r="F872" s="253"/>
      <c r="G872" s="253"/>
      <c r="H872" s="253"/>
      <c r="I872" s="253"/>
      <c r="J872" s="253"/>
      <c r="K872" s="253"/>
      <c r="L872" s="253"/>
      <c r="M872" s="253"/>
      <c r="N872" s="253"/>
      <c r="O872" s="253"/>
      <c r="P872" s="253"/>
      <c r="Q872" s="253"/>
    </row>
    <row r="873" spans="1:17">
      <c r="A873" s="253"/>
      <c r="B873" s="253"/>
      <c r="C873" s="253"/>
      <c r="D873" s="253"/>
      <c r="E873" s="253"/>
      <c r="F873" s="253"/>
      <c r="G873" s="253"/>
      <c r="H873" s="253"/>
      <c r="I873" s="253"/>
      <c r="J873" s="253"/>
      <c r="K873" s="253"/>
      <c r="L873" s="253"/>
      <c r="M873" s="253"/>
      <c r="N873" s="253"/>
      <c r="O873" s="253"/>
      <c r="P873" s="253"/>
      <c r="Q873" s="253"/>
    </row>
    <row r="874" spans="1:17">
      <c r="A874" s="253"/>
      <c r="B874" s="253"/>
      <c r="C874" s="253"/>
      <c r="D874" s="253"/>
      <c r="E874" s="253"/>
      <c r="F874" s="253"/>
      <c r="G874" s="253"/>
      <c r="H874" s="253"/>
      <c r="I874" s="253"/>
      <c r="J874" s="253"/>
      <c r="K874" s="253"/>
      <c r="L874" s="253"/>
      <c r="M874" s="253"/>
      <c r="N874" s="253"/>
      <c r="O874" s="253"/>
      <c r="P874" s="253"/>
      <c r="Q874" s="253"/>
    </row>
    <row r="875" spans="1:17">
      <c r="A875" s="253"/>
      <c r="B875" s="253"/>
      <c r="C875" s="253"/>
      <c r="D875" s="253"/>
      <c r="E875" s="253"/>
      <c r="F875" s="253"/>
      <c r="G875" s="253"/>
      <c r="H875" s="253"/>
      <c r="I875" s="253"/>
      <c r="J875" s="253"/>
      <c r="K875" s="253"/>
      <c r="L875" s="253"/>
      <c r="M875" s="253"/>
      <c r="N875" s="253"/>
      <c r="O875" s="253"/>
      <c r="P875" s="253"/>
      <c r="Q875" s="253"/>
    </row>
    <row r="876" spans="1:17">
      <c r="A876" s="253"/>
      <c r="B876" s="253"/>
      <c r="C876" s="253"/>
      <c r="D876" s="253"/>
      <c r="E876" s="253"/>
      <c r="F876" s="253"/>
      <c r="G876" s="253"/>
      <c r="H876" s="253"/>
      <c r="I876" s="253"/>
      <c r="J876" s="253"/>
      <c r="K876" s="253"/>
      <c r="L876" s="253"/>
      <c r="M876" s="253"/>
      <c r="N876" s="253"/>
      <c r="O876" s="253"/>
      <c r="P876" s="253"/>
      <c r="Q876" s="253"/>
    </row>
    <row r="877" spans="1:17">
      <c r="A877" s="253"/>
      <c r="B877" s="253"/>
      <c r="C877" s="253"/>
      <c r="D877" s="253"/>
      <c r="E877" s="253"/>
      <c r="F877" s="253"/>
      <c r="G877" s="253"/>
      <c r="H877" s="253"/>
      <c r="I877" s="253"/>
      <c r="J877" s="253"/>
      <c r="K877" s="253"/>
      <c r="L877" s="253"/>
      <c r="M877" s="253"/>
      <c r="N877" s="253"/>
      <c r="O877" s="253"/>
      <c r="P877" s="253"/>
      <c r="Q877" s="253"/>
    </row>
    <row r="878" spans="1:17">
      <c r="A878" s="253"/>
      <c r="B878" s="253"/>
      <c r="C878" s="253"/>
      <c r="D878" s="253"/>
      <c r="E878" s="253"/>
      <c r="F878" s="253"/>
      <c r="G878" s="253"/>
      <c r="H878" s="253"/>
      <c r="I878" s="253"/>
      <c r="J878" s="253"/>
      <c r="K878" s="253"/>
      <c r="L878" s="253"/>
      <c r="M878" s="253"/>
      <c r="N878" s="253"/>
      <c r="O878" s="253"/>
      <c r="P878" s="253"/>
      <c r="Q878" s="253"/>
    </row>
    <row r="879" spans="1:17">
      <c r="A879" s="253"/>
      <c r="B879" s="253"/>
      <c r="C879" s="253"/>
      <c r="D879" s="253"/>
      <c r="E879" s="253"/>
      <c r="F879" s="253"/>
      <c r="G879" s="253"/>
      <c r="H879" s="253"/>
      <c r="I879" s="253"/>
      <c r="J879" s="253"/>
      <c r="K879" s="253"/>
      <c r="L879" s="253"/>
      <c r="M879" s="253"/>
      <c r="N879" s="253"/>
      <c r="O879" s="253"/>
      <c r="P879" s="253"/>
      <c r="Q879" s="253"/>
    </row>
    <row r="880" spans="1:17">
      <c r="A880" s="253"/>
      <c r="B880" s="253"/>
      <c r="C880" s="253"/>
      <c r="D880" s="253"/>
      <c r="E880" s="253"/>
      <c r="F880" s="253"/>
      <c r="G880" s="253"/>
      <c r="H880" s="253"/>
      <c r="I880" s="253"/>
      <c r="J880" s="253"/>
      <c r="K880" s="253"/>
      <c r="L880" s="253"/>
      <c r="M880" s="253"/>
      <c r="N880" s="253"/>
      <c r="O880" s="253"/>
      <c r="P880" s="253"/>
      <c r="Q880" s="253"/>
    </row>
    <row r="881" spans="1:17">
      <c r="A881" s="253"/>
      <c r="B881" s="253"/>
      <c r="C881" s="253"/>
      <c r="D881" s="253"/>
      <c r="E881" s="253"/>
      <c r="F881" s="253"/>
      <c r="G881" s="253"/>
      <c r="H881" s="253"/>
      <c r="I881" s="253"/>
      <c r="J881" s="253"/>
      <c r="K881" s="253"/>
      <c r="L881" s="253"/>
      <c r="M881" s="253"/>
      <c r="N881" s="253"/>
      <c r="O881" s="253"/>
      <c r="P881" s="253"/>
      <c r="Q881" s="253"/>
    </row>
    <row r="882" spans="1:17">
      <c r="A882" s="253"/>
      <c r="B882" s="253"/>
      <c r="C882" s="253"/>
      <c r="D882" s="253"/>
      <c r="E882" s="253"/>
      <c r="F882" s="253"/>
      <c r="G882" s="253"/>
      <c r="H882" s="253"/>
      <c r="I882" s="253"/>
      <c r="J882" s="253"/>
      <c r="K882" s="253"/>
      <c r="L882" s="253"/>
      <c r="M882" s="253"/>
      <c r="N882" s="253"/>
      <c r="O882" s="253"/>
      <c r="P882" s="253"/>
      <c r="Q882" s="253"/>
    </row>
    <row r="883" spans="1:17">
      <c r="A883" s="253"/>
      <c r="B883" s="253"/>
      <c r="C883" s="253"/>
      <c r="D883" s="253"/>
      <c r="E883" s="253"/>
      <c r="F883" s="253"/>
      <c r="G883" s="253"/>
      <c r="H883" s="253"/>
      <c r="I883" s="253"/>
      <c r="J883" s="253"/>
      <c r="K883" s="253"/>
      <c r="L883" s="253"/>
      <c r="M883" s="253"/>
      <c r="N883" s="253"/>
      <c r="O883" s="253"/>
      <c r="P883" s="253"/>
      <c r="Q883" s="253"/>
    </row>
    <row r="884" spans="1:17">
      <c r="A884" s="253"/>
      <c r="B884" s="253"/>
      <c r="C884" s="253"/>
      <c r="D884" s="253"/>
      <c r="E884" s="253"/>
      <c r="F884" s="253"/>
      <c r="G884" s="253"/>
      <c r="H884" s="253"/>
      <c r="I884" s="253"/>
      <c r="J884" s="253"/>
      <c r="K884" s="253"/>
      <c r="L884" s="253"/>
      <c r="M884" s="253"/>
      <c r="N884" s="253"/>
      <c r="O884" s="253"/>
      <c r="P884" s="253"/>
      <c r="Q884" s="253"/>
    </row>
    <row r="885" spans="1:17">
      <c r="A885" s="253"/>
      <c r="B885" s="253"/>
      <c r="C885" s="253"/>
      <c r="D885" s="253"/>
      <c r="E885" s="253"/>
      <c r="F885" s="253"/>
      <c r="G885" s="253"/>
      <c r="H885" s="253"/>
      <c r="I885" s="253"/>
      <c r="J885" s="253"/>
      <c r="K885" s="253"/>
      <c r="L885" s="253"/>
      <c r="M885" s="253"/>
      <c r="N885" s="253"/>
      <c r="O885" s="253"/>
      <c r="P885" s="253"/>
      <c r="Q885" s="253"/>
    </row>
    <row r="886" spans="1:17">
      <c r="A886" s="253"/>
      <c r="B886" s="253"/>
      <c r="C886" s="253"/>
      <c r="D886" s="253"/>
      <c r="E886" s="253"/>
      <c r="F886" s="253"/>
      <c r="G886" s="253"/>
      <c r="H886" s="253"/>
      <c r="I886" s="253"/>
      <c r="J886" s="253"/>
      <c r="K886" s="253"/>
      <c r="L886" s="253"/>
      <c r="M886" s="253"/>
      <c r="N886" s="253"/>
      <c r="O886" s="253"/>
      <c r="P886" s="253"/>
      <c r="Q886" s="253"/>
    </row>
    <row r="887" spans="1:17">
      <c r="A887" s="253"/>
      <c r="B887" s="253"/>
      <c r="C887" s="253"/>
      <c r="D887" s="253"/>
      <c r="E887" s="253"/>
      <c r="F887" s="253"/>
      <c r="G887" s="253"/>
      <c r="H887" s="253"/>
      <c r="I887" s="253"/>
      <c r="J887" s="253"/>
      <c r="K887" s="253"/>
      <c r="L887" s="253"/>
      <c r="M887" s="253"/>
      <c r="N887" s="253"/>
      <c r="O887" s="253"/>
      <c r="P887" s="253"/>
      <c r="Q887" s="253"/>
    </row>
    <row r="888" spans="1:17">
      <c r="A888" s="253"/>
      <c r="B888" s="253"/>
      <c r="C888" s="253"/>
      <c r="D888" s="253"/>
      <c r="E888" s="253"/>
      <c r="F888" s="253"/>
      <c r="G888" s="253"/>
      <c r="H888" s="253"/>
      <c r="I888" s="253"/>
      <c r="J888" s="253"/>
      <c r="K888" s="253"/>
      <c r="L888" s="253"/>
      <c r="M888" s="253"/>
      <c r="N888" s="253"/>
      <c r="O888" s="253"/>
      <c r="P888" s="253"/>
      <c r="Q888" s="253"/>
    </row>
    <row r="889" spans="1:17">
      <c r="A889" s="253"/>
      <c r="B889" s="253"/>
      <c r="C889" s="253"/>
      <c r="D889" s="253"/>
      <c r="E889" s="253"/>
      <c r="F889" s="253"/>
      <c r="G889" s="253"/>
      <c r="H889" s="253"/>
      <c r="I889" s="253"/>
      <c r="J889" s="253"/>
      <c r="K889" s="253"/>
      <c r="L889" s="253"/>
      <c r="M889" s="253"/>
      <c r="N889" s="253"/>
      <c r="O889" s="253"/>
      <c r="P889" s="253"/>
      <c r="Q889" s="253"/>
    </row>
    <row r="890" spans="1:17">
      <c r="A890" s="253"/>
      <c r="B890" s="253"/>
      <c r="C890" s="253"/>
      <c r="D890" s="253"/>
      <c r="E890" s="253"/>
      <c r="F890" s="253"/>
      <c r="G890" s="253"/>
      <c r="H890" s="253"/>
      <c r="I890" s="253"/>
      <c r="J890" s="253"/>
      <c r="K890" s="253"/>
      <c r="L890" s="253"/>
      <c r="M890" s="253"/>
      <c r="N890" s="253"/>
      <c r="O890" s="253"/>
      <c r="P890" s="253"/>
      <c r="Q890" s="253"/>
    </row>
    <row r="891" spans="1:17">
      <c r="A891" s="253"/>
      <c r="B891" s="253"/>
      <c r="C891" s="253"/>
      <c r="D891" s="253"/>
      <c r="E891" s="253"/>
      <c r="F891" s="253"/>
      <c r="G891" s="253"/>
      <c r="H891" s="253"/>
      <c r="I891" s="253"/>
      <c r="J891" s="253"/>
      <c r="K891" s="253"/>
      <c r="L891" s="253"/>
      <c r="M891" s="253"/>
      <c r="N891" s="253"/>
      <c r="O891" s="253"/>
      <c r="P891" s="253"/>
      <c r="Q891" s="253"/>
    </row>
    <row r="892" spans="1:17">
      <c r="A892" s="253"/>
      <c r="B892" s="253"/>
      <c r="C892" s="253"/>
      <c r="D892" s="253"/>
      <c r="E892" s="253"/>
      <c r="F892" s="253"/>
      <c r="G892" s="253"/>
      <c r="H892" s="253"/>
      <c r="I892" s="253"/>
      <c r="J892" s="253"/>
      <c r="K892" s="253"/>
      <c r="L892" s="253"/>
      <c r="M892" s="253"/>
      <c r="N892" s="253"/>
      <c r="O892" s="253"/>
      <c r="P892" s="253"/>
      <c r="Q892" s="253"/>
    </row>
    <row r="893" spans="1:17">
      <c r="A893" s="253"/>
      <c r="B893" s="253"/>
      <c r="C893" s="253"/>
      <c r="D893" s="253"/>
      <c r="E893" s="253"/>
      <c r="F893" s="253"/>
      <c r="G893" s="253"/>
      <c r="H893" s="253"/>
      <c r="I893" s="253"/>
      <c r="J893" s="253"/>
      <c r="K893" s="253"/>
      <c r="L893" s="253"/>
      <c r="M893" s="253"/>
      <c r="N893" s="253"/>
      <c r="O893" s="253"/>
      <c r="P893" s="253"/>
      <c r="Q893" s="253"/>
    </row>
    <row r="894" spans="1:17">
      <c r="A894" s="253"/>
      <c r="B894" s="253"/>
      <c r="C894" s="253"/>
      <c r="D894" s="253"/>
      <c r="E894" s="253"/>
      <c r="F894" s="253"/>
      <c r="G894" s="253"/>
      <c r="H894" s="253"/>
      <c r="I894" s="253"/>
      <c r="J894" s="253"/>
      <c r="K894" s="253"/>
      <c r="L894" s="253"/>
      <c r="M894" s="253"/>
      <c r="N894" s="253"/>
      <c r="O894" s="253"/>
      <c r="P894" s="253"/>
      <c r="Q894" s="253"/>
    </row>
    <row r="895" spans="1:17">
      <c r="A895" s="253"/>
      <c r="B895" s="253"/>
      <c r="C895" s="253"/>
      <c r="D895" s="253"/>
      <c r="E895" s="253"/>
      <c r="F895" s="253"/>
      <c r="G895" s="253"/>
      <c r="H895" s="253"/>
      <c r="I895" s="253"/>
      <c r="J895" s="253"/>
      <c r="K895" s="253"/>
      <c r="L895" s="253"/>
      <c r="M895" s="253"/>
      <c r="N895" s="253"/>
      <c r="O895" s="253"/>
      <c r="P895" s="253"/>
      <c r="Q895" s="253"/>
    </row>
    <row r="896" spans="1:17">
      <c r="A896" s="253"/>
      <c r="B896" s="253"/>
      <c r="C896" s="253"/>
      <c r="D896" s="253"/>
      <c r="E896" s="253"/>
      <c r="F896" s="253"/>
      <c r="G896" s="253"/>
      <c r="H896" s="253"/>
      <c r="I896" s="253"/>
      <c r="J896" s="253"/>
      <c r="K896" s="253"/>
      <c r="L896" s="253"/>
      <c r="M896" s="253"/>
      <c r="N896" s="253"/>
      <c r="O896" s="253"/>
      <c r="P896" s="253"/>
      <c r="Q896" s="253"/>
    </row>
    <row r="897" spans="1:17">
      <c r="A897" s="253"/>
      <c r="B897" s="253"/>
      <c r="C897" s="253"/>
      <c r="D897" s="253"/>
      <c r="E897" s="253"/>
      <c r="F897" s="253"/>
      <c r="G897" s="253"/>
      <c r="H897" s="253"/>
      <c r="I897" s="253"/>
      <c r="J897" s="253"/>
      <c r="K897" s="253"/>
      <c r="L897" s="253"/>
      <c r="M897" s="253"/>
      <c r="N897" s="253"/>
      <c r="O897" s="253"/>
      <c r="P897" s="253"/>
      <c r="Q897" s="253"/>
    </row>
    <row r="898" spans="1:17">
      <c r="A898" s="253"/>
      <c r="B898" s="253"/>
      <c r="C898" s="253"/>
      <c r="D898" s="253"/>
      <c r="E898" s="253"/>
      <c r="F898" s="253"/>
      <c r="G898" s="253"/>
      <c r="H898" s="253"/>
      <c r="I898" s="253"/>
      <c r="J898" s="253"/>
      <c r="K898" s="253"/>
      <c r="L898" s="253"/>
      <c r="M898" s="253"/>
      <c r="N898" s="253"/>
      <c r="O898" s="253"/>
      <c r="P898" s="253"/>
      <c r="Q898" s="253"/>
    </row>
    <row r="899" spans="1:17">
      <c r="A899" s="253"/>
      <c r="B899" s="253"/>
      <c r="C899" s="253"/>
      <c r="D899" s="253"/>
      <c r="E899" s="253"/>
      <c r="F899" s="253"/>
      <c r="G899" s="253"/>
      <c r="H899" s="253"/>
      <c r="I899" s="253"/>
      <c r="J899" s="253"/>
      <c r="K899" s="253"/>
      <c r="L899" s="253"/>
      <c r="M899" s="253"/>
      <c r="N899" s="253"/>
      <c r="O899" s="253"/>
      <c r="P899" s="253"/>
      <c r="Q899" s="253"/>
    </row>
    <row r="900" spans="1:17">
      <c r="A900" s="253"/>
      <c r="B900" s="253"/>
      <c r="C900" s="253"/>
      <c r="D900" s="253"/>
      <c r="E900" s="253"/>
      <c r="F900" s="253"/>
      <c r="G900" s="253"/>
      <c r="H900" s="253"/>
      <c r="I900" s="253"/>
      <c r="J900" s="253"/>
      <c r="K900" s="253"/>
      <c r="L900" s="253"/>
      <c r="M900" s="253"/>
      <c r="N900" s="253"/>
      <c r="O900" s="253"/>
      <c r="P900" s="253"/>
      <c r="Q900" s="253"/>
    </row>
    <row r="901" spans="1:17">
      <c r="A901" s="253"/>
      <c r="B901" s="253"/>
      <c r="C901" s="253"/>
      <c r="D901" s="253"/>
      <c r="E901" s="253"/>
      <c r="F901" s="253"/>
      <c r="G901" s="253"/>
      <c r="H901" s="253"/>
      <c r="I901" s="253"/>
      <c r="J901" s="253"/>
      <c r="K901" s="253"/>
      <c r="L901" s="253"/>
      <c r="M901" s="253"/>
      <c r="N901" s="253"/>
      <c r="O901" s="253"/>
      <c r="P901" s="253"/>
      <c r="Q901" s="253"/>
    </row>
    <row r="902" spans="1:17">
      <c r="A902" s="253"/>
      <c r="B902" s="253"/>
      <c r="C902" s="253"/>
      <c r="D902" s="253"/>
      <c r="E902" s="253"/>
      <c r="F902" s="253"/>
      <c r="G902" s="253"/>
      <c r="H902" s="253"/>
      <c r="I902" s="253"/>
      <c r="J902" s="253"/>
      <c r="K902" s="253"/>
      <c r="L902" s="253"/>
      <c r="M902" s="253"/>
      <c r="N902" s="253"/>
      <c r="O902" s="253"/>
      <c r="P902" s="253"/>
      <c r="Q902" s="253"/>
    </row>
    <row r="903" spans="1:17">
      <c r="A903" s="253"/>
      <c r="B903" s="253"/>
      <c r="C903" s="253"/>
      <c r="D903" s="253"/>
      <c r="E903" s="253"/>
      <c r="F903" s="253"/>
      <c r="G903" s="253"/>
      <c r="H903" s="253"/>
      <c r="I903" s="253"/>
      <c r="J903" s="253"/>
      <c r="K903" s="253"/>
      <c r="L903" s="253"/>
      <c r="M903" s="253"/>
      <c r="N903" s="253"/>
      <c r="O903" s="253"/>
      <c r="P903" s="253"/>
      <c r="Q903" s="253"/>
    </row>
    <row r="904" spans="1:17">
      <c r="A904" s="253"/>
      <c r="B904" s="253"/>
      <c r="C904" s="253"/>
      <c r="D904" s="253"/>
      <c r="E904" s="253"/>
      <c r="F904" s="253"/>
      <c r="G904" s="253"/>
      <c r="H904" s="253"/>
      <c r="I904" s="253"/>
      <c r="J904" s="253"/>
      <c r="K904" s="253"/>
      <c r="L904" s="253"/>
      <c r="M904" s="253"/>
      <c r="N904" s="253"/>
      <c r="O904" s="253"/>
      <c r="P904" s="253"/>
      <c r="Q904" s="253"/>
    </row>
    <row r="905" spans="1:17">
      <c r="A905" s="253"/>
      <c r="B905" s="253"/>
      <c r="C905" s="253"/>
      <c r="D905" s="253"/>
      <c r="E905" s="253"/>
      <c r="F905" s="253"/>
      <c r="G905" s="253"/>
      <c r="H905" s="253"/>
      <c r="I905" s="253"/>
      <c r="J905" s="253"/>
      <c r="K905" s="253"/>
      <c r="L905" s="253"/>
      <c r="M905" s="253"/>
      <c r="N905" s="253"/>
      <c r="O905" s="253"/>
      <c r="P905" s="253"/>
      <c r="Q905" s="253"/>
    </row>
    <row r="906" spans="1:17">
      <c r="A906" s="253"/>
      <c r="B906" s="253"/>
      <c r="C906" s="253"/>
      <c r="D906" s="253"/>
      <c r="E906" s="253"/>
      <c r="F906" s="253"/>
      <c r="G906" s="253"/>
      <c r="H906" s="253"/>
      <c r="I906" s="253"/>
      <c r="J906" s="253"/>
      <c r="K906" s="253"/>
      <c r="L906" s="253"/>
      <c r="M906" s="253"/>
      <c r="N906" s="253"/>
      <c r="O906" s="253"/>
      <c r="P906" s="253"/>
      <c r="Q906" s="253"/>
    </row>
    <row r="907" spans="1:17">
      <c r="A907" s="253"/>
      <c r="B907" s="253"/>
      <c r="C907" s="253"/>
      <c r="D907" s="253"/>
      <c r="E907" s="253"/>
      <c r="F907" s="253"/>
      <c r="G907" s="253"/>
      <c r="H907" s="253"/>
      <c r="I907" s="253"/>
      <c r="J907" s="253"/>
      <c r="K907" s="253"/>
      <c r="L907" s="253"/>
      <c r="M907" s="253"/>
      <c r="N907" s="253"/>
      <c r="O907" s="253"/>
      <c r="P907" s="253"/>
      <c r="Q907" s="253"/>
    </row>
    <row r="908" spans="1:17">
      <c r="A908" s="253"/>
      <c r="B908" s="253"/>
      <c r="C908" s="253"/>
      <c r="D908" s="253"/>
      <c r="E908" s="253"/>
      <c r="F908" s="253"/>
      <c r="G908" s="253"/>
      <c r="H908" s="253"/>
      <c r="I908" s="253"/>
      <c r="J908" s="253"/>
      <c r="K908" s="253"/>
      <c r="L908" s="253"/>
      <c r="M908" s="253"/>
      <c r="N908" s="253"/>
      <c r="O908" s="253"/>
      <c r="P908" s="253"/>
      <c r="Q908" s="253"/>
    </row>
    <row r="909" spans="1:17">
      <c r="A909" s="253"/>
      <c r="B909" s="253"/>
      <c r="C909" s="253"/>
      <c r="D909" s="253"/>
      <c r="E909" s="253"/>
      <c r="F909" s="253"/>
      <c r="G909" s="253"/>
      <c r="H909" s="253"/>
      <c r="I909" s="253"/>
      <c r="J909" s="253"/>
      <c r="K909" s="253"/>
      <c r="L909" s="253"/>
      <c r="M909" s="253"/>
      <c r="N909" s="253"/>
      <c r="O909" s="253"/>
      <c r="P909" s="253"/>
      <c r="Q909" s="253"/>
    </row>
    <row r="910" spans="1:17">
      <c r="A910" s="253"/>
      <c r="B910" s="253"/>
      <c r="C910" s="253"/>
      <c r="D910" s="253"/>
      <c r="E910" s="253"/>
      <c r="F910" s="253"/>
      <c r="G910" s="253"/>
      <c r="H910" s="253"/>
      <c r="I910" s="253"/>
      <c r="J910" s="253"/>
      <c r="K910" s="253"/>
      <c r="L910" s="253"/>
      <c r="M910" s="253"/>
      <c r="N910" s="253"/>
      <c r="O910" s="253"/>
      <c r="P910" s="253"/>
      <c r="Q910" s="253"/>
    </row>
    <row r="911" spans="1:17">
      <c r="A911" s="253"/>
      <c r="B911" s="253"/>
      <c r="C911" s="253"/>
      <c r="D911" s="253"/>
      <c r="E911" s="253"/>
      <c r="F911" s="253"/>
      <c r="G911" s="253"/>
      <c r="H911" s="253"/>
      <c r="I911" s="253"/>
      <c r="J911" s="253"/>
      <c r="K911" s="253"/>
      <c r="L911" s="253"/>
      <c r="M911" s="253"/>
      <c r="N911" s="253"/>
      <c r="O911" s="253"/>
      <c r="P911" s="253"/>
      <c r="Q911" s="253"/>
    </row>
    <row r="912" spans="1:17">
      <c r="A912" s="253"/>
      <c r="B912" s="253"/>
      <c r="C912" s="253"/>
      <c r="D912" s="253"/>
      <c r="E912" s="253"/>
      <c r="F912" s="253"/>
      <c r="G912" s="253"/>
      <c r="H912" s="253"/>
      <c r="I912" s="253"/>
      <c r="J912" s="253"/>
      <c r="K912" s="253"/>
      <c r="L912" s="253"/>
      <c r="M912" s="253"/>
      <c r="N912" s="253"/>
      <c r="O912" s="253"/>
      <c r="P912" s="253"/>
      <c r="Q912" s="253"/>
    </row>
    <row r="913" spans="1:17">
      <c r="A913" s="253"/>
      <c r="B913" s="253"/>
      <c r="C913" s="253"/>
      <c r="D913" s="253"/>
      <c r="E913" s="253"/>
      <c r="F913" s="253"/>
      <c r="G913" s="253"/>
      <c r="H913" s="253"/>
      <c r="I913" s="253"/>
      <c r="J913" s="253"/>
      <c r="K913" s="253"/>
      <c r="L913" s="253"/>
      <c r="M913" s="253"/>
      <c r="N913" s="253"/>
      <c r="O913" s="253"/>
      <c r="P913" s="253"/>
      <c r="Q913" s="253"/>
    </row>
    <row r="914" spans="1:17">
      <c r="A914" s="253"/>
      <c r="B914" s="253"/>
      <c r="C914" s="253"/>
      <c r="D914" s="253"/>
      <c r="E914" s="253"/>
      <c r="F914" s="253"/>
      <c r="G914" s="253"/>
      <c r="H914" s="253"/>
      <c r="I914" s="253"/>
      <c r="J914" s="253"/>
      <c r="K914" s="253"/>
      <c r="L914" s="253"/>
      <c r="M914" s="253"/>
      <c r="N914" s="253"/>
      <c r="O914" s="253"/>
      <c r="P914" s="253"/>
      <c r="Q914" s="253"/>
    </row>
    <row r="915" spans="1:17">
      <c r="A915" s="253"/>
      <c r="B915" s="253"/>
      <c r="C915" s="253"/>
      <c r="D915" s="253"/>
      <c r="E915" s="253"/>
      <c r="F915" s="253"/>
      <c r="G915" s="253"/>
      <c r="H915" s="253"/>
      <c r="I915" s="253"/>
      <c r="J915" s="253"/>
      <c r="K915" s="253"/>
      <c r="L915" s="253"/>
      <c r="M915" s="253"/>
      <c r="N915" s="253"/>
      <c r="O915" s="253"/>
      <c r="P915" s="253"/>
      <c r="Q915" s="253"/>
    </row>
    <row r="916" spans="1:17">
      <c r="A916" s="253"/>
      <c r="B916" s="253"/>
      <c r="C916" s="253"/>
      <c r="D916" s="253"/>
      <c r="E916" s="253"/>
      <c r="F916" s="253"/>
      <c r="G916" s="253"/>
      <c r="H916" s="253"/>
      <c r="I916" s="253"/>
      <c r="J916" s="253"/>
      <c r="K916" s="253"/>
      <c r="L916" s="253"/>
      <c r="M916" s="253"/>
      <c r="N916" s="253"/>
      <c r="O916" s="253"/>
      <c r="P916" s="253"/>
      <c r="Q916" s="253"/>
    </row>
    <row r="917" spans="1:17">
      <c r="A917" s="253"/>
      <c r="B917" s="253"/>
      <c r="C917" s="253"/>
      <c r="D917" s="253"/>
      <c r="E917" s="253"/>
      <c r="F917" s="253"/>
      <c r="G917" s="253"/>
      <c r="H917" s="253"/>
      <c r="I917" s="253"/>
      <c r="J917" s="253"/>
      <c r="K917" s="253"/>
      <c r="L917" s="253"/>
      <c r="M917" s="253"/>
      <c r="N917" s="253"/>
      <c r="O917" s="253"/>
      <c r="P917" s="253"/>
      <c r="Q917" s="253"/>
    </row>
    <row r="918" spans="1:17">
      <c r="A918" s="253"/>
      <c r="B918" s="253"/>
      <c r="C918" s="253"/>
      <c r="D918" s="253"/>
      <c r="E918" s="253"/>
      <c r="F918" s="253"/>
      <c r="G918" s="253"/>
      <c r="H918" s="253"/>
      <c r="I918" s="253"/>
      <c r="J918" s="253"/>
      <c r="K918" s="253"/>
      <c r="L918" s="253"/>
      <c r="M918" s="253"/>
      <c r="N918" s="253"/>
      <c r="O918" s="253"/>
      <c r="P918" s="253"/>
      <c r="Q918" s="253"/>
    </row>
    <row r="919" spans="1:17">
      <c r="A919" s="253"/>
      <c r="B919" s="253"/>
      <c r="C919" s="253"/>
      <c r="D919" s="253"/>
      <c r="E919" s="253"/>
      <c r="F919" s="253"/>
      <c r="G919" s="253"/>
      <c r="H919" s="253"/>
      <c r="I919" s="253"/>
      <c r="J919" s="253"/>
      <c r="K919" s="253"/>
      <c r="L919" s="253"/>
      <c r="M919" s="253"/>
      <c r="N919" s="253"/>
      <c r="O919" s="253"/>
      <c r="P919" s="253"/>
      <c r="Q919" s="253"/>
    </row>
    <row r="920" spans="1:17">
      <c r="A920" s="253"/>
      <c r="B920" s="253"/>
      <c r="C920" s="253"/>
      <c r="D920" s="253"/>
      <c r="E920" s="253"/>
      <c r="F920" s="253"/>
      <c r="G920" s="253"/>
      <c r="H920" s="253"/>
      <c r="I920" s="253"/>
      <c r="J920" s="253"/>
      <c r="K920" s="253"/>
      <c r="L920" s="253"/>
      <c r="M920" s="253"/>
      <c r="N920" s="253"/>
      <c r="O920" s="253"/>
      <c r="P920" s="253"/>
      <c r="Q920" s="253"/>
    </row>
    <row r="921" spans="1:17">
      <c r="A921" s="253"/>
      <c r="B921" s="253"/>
      <c r="C921" s="253"/>
      <c r="D921" s="253"/>
      <c r="E921" s="253"/>
      <c r="F921" s="253"/>
      <c r="G921" s="253"/>
      <c r="H921" s="253"/>
      <c r="I921" s="253"/>
      <c r="J921" s="253"/>
      <c r="K921" s="253"/>
      <c r="L921" s="253"/>
      <c r="M921" s="253"/>
      <c r="N921" s="253"/>
      <c r="O921" s="253"/>
      <c r="P921" s="253"/>
      <c r="Q921" s="253"/>
    </row>
    <row r="922" spans="1:17">
      <c r="A922" s="253"/>
      <c r="B922" s="253"/>
      <c r="C922" s="253"/>
      <c r="D922" s="253"/>
      <c r="E922" s="253"/>
      <c r="F922" s="253"/>
      <c r="G922" s="253"/>
      <c r="H922" s="253"/>
      <c r="I922" s="253"/>
      <c r="J922" s="253"/>
      <c r="K922" s="253"/>
      <c r="L922" s="253"/>
      <c r="M922" s="253"/>
      <c r="N922" s="253"/>
      <c r="O922" s="253"/>
      <c r="P922" s="253"/>
      <c r="Q922" s="253"/>
    </row>
    <row r="923" spans="1:17">
      <c r="A923" s="253"/>
      <c r="B923" s="253"/>
      <c r="C923" s="253"/>
      <c r="D923" s="253"/>
      <c r="E923" s="253"/>
      <c r="F923" s="253"/>
      <c r="G923" s="253"/>
      <c r="H923" s="253"/>
      <c r="I923" s="253"/>
      <c r="J923" s="253"/>
      <c r="K923" s="253"/>
      <c r="L923" s="253"/>
      <c r="M923" s="253"/>
      <c r="N923" s="253"/>
      <c r="O923" s="253"/>
      <c r="P923" s="253"/>
      <c r="Q923" s="253"/>
    </row>
    <row r="924" spans="1:17">
      <c r="A924" s="253"/>
      <c r="B924" s="253"/>
      <c r="C924" s="253"/>
      <c r="D924" s="253"/>
      <c r="E924" s="253"/>
      <c r="F924" s="253"/>
      <c r="G924" s="253"/>
      <c r="H924" s="253"/>
      <c r="I924" s="253"/>
      <c r="J924" s="253"/>
      <c r="K924" s="253"/>
      <c r="L924" s="253"/>
      <c r="M924" s="253"/>
      <c r="N924" s="253"/>
      <c r="O924" s="253"/>
      <c r="P924" s="253"/>
      <c r="Q924" s="253"/>
    </row>
    <row r="925" spans="1:17">
      <c r="A925" s="253"/>
      <c r="B925" s="253"/>
      <c r="C925" s="253"/>
      <c r="D925" s="253"/>
      <c r="E925" s="253"/>
      <c r="F925" s="253"/>
      <c r="G925" s="253"/>
      <c r="H925" s="253"/>
      <c r="I925" s="253"/>
      <c r="J925" s="253"/>
      <c r="K925" s="253"/>
      <c r="L925" s="253"/>
      <c r="M925" s="253"/>
      <c r="N925" s="253"/>
      <c r="O925" s="253"/>
      <c r="P925" s="253"/>
      <c r="Q925" s="253"/>
    </row>
    <row r="926" spans="1:17">
      <c r="A926" s="253"/>
      <c r="B926" s="253"/>
      <c r="C926" s="253"/>
      <c r="D926" s="253"/>
      <c r="E926" s="253"/>
      <c r="F926" s="253"/>
      <c r="G926" s="253"/>
      <c r="H926" s="253"/>
      <c r="I926" s="253"/>
      <c r="J926" s="253"/>
      <c r="K926" s="253"/>
      <c r="L926" s="253"/>
      <c r="M926" s="253"/>
      <c r="N926" s="253"/>
      <c r="O926" s="253"/>
      <c r="P926" s="253"/>
      <c r="Q926" s="253"/>
    </row>
    <row r="927" spans="1:17">
      <c r="A927" s="253"/>
      <c r="B927" s="253"/>
      <c r="C927" s="253"/>
      <c r="D927" s="253"/>
      <c r="E927" s="253"/>
      <c r="F927" s="253"/>
      <c r="G927" s="253"/>
      <c r="H927" s="253"/>
      <c r="I927" s="253"/>
      <c r="J927" s="253"/>
      <c r="K927" s="253"/>
      <c r="L927" s="253"/>
      <c r="M927" s="253"/>
      <c r="N927" s="253"/>
      <c r="O927" s="253"/>
      <c r="P927" s="253"/>
      <c r="Q927" s="253"/>
    </row>
    <row r="928" spans="1:17">
      <c r="A928" s="253"/>
      <c r="B928" s="253"/>
      <c r="C928" s="253"/>
      <c r="D928" s="253"/>
      <c r="E928" s="253"/>
      <c r="F928" s="253"/>
      <c r="G928" s="253"/>
      <c r="H928" s="253"/>
      <c r="I928" s="253"/>
      <c r="J928" s="253"/>
      <c r="K928" s="253"/>
      <c r="L928" s="253"/>
      <c r="M928" s="253"/>
      <c r="N928" s="253"/>
      <c r="O928" s="253"/>
      <c r="P928" s="253"/>
      <c r="Q928" s="253"/>
    </row>
    <row r="929" spans="1:17">
      <c r="A929" s="253"/>
      <c r="B929" s="253"/>
      <c r="C929" s="253"/>
      <c r="D929" s="253"/>
      <c r="E929" s="253"/>
      <c r="F929" s="253"/>
      <c r="G929" s="253"/>
      <c r="H929" s="253"/>
      <c r="I929" s="253"/>
      <c r="J929" s="253"/>
      <c r="K929" s="253"/>
      <c r="L929" s="253"/>
      <c r="M929" s="253"/>
      <c r="N929" s="253"/>
      <c r="O929" s="253"/>
      <c r="P929" s="253"/>
      <c r="Q929" s="253"/>
    </row>
    <row r="930" spans="1:17">
      <c r="A930" s="253"/>
      <c r="B930" s="253"/>
      <c r="C930" s="253"/>
      <c r="D930" s="253"/>
      <c r="E930" s="253"/>
      <c r="F930" s="253"/>
      <c r="G930" s="253"/>
      <c r="H930" s="253"/>
      <c r="I930" s="253"/>
      <c r="J930" s="253"/>
      <c r="K930" s="253"/>
      <c r="L930" s="253"/>
      <c r="M930" s="253"/>
      <c r="N930" s="253"/>
      <c r="O930" s="253"/>
      <c r="P930" s="253"/>
      <c r="Q930" s="253"/>
    </row>
    <row r="931" spans="1:17">
      <c r="A931" s="253"/>
      <c r="B931" s="253"/>
      <c r="C931" s="253"/>
      <c r="D931" s="253"/>
      <c r="E931" s="253"/>
      <c r="F931" s="253"/>
      <c r="G931" s="253"/>
      <c r="H931" s="253"/>
      <c r="I931" s="253"/>
      <c r="J931" s="253"/>
      <c r="K931" s="253"/>
      <c r="L931" s="253"/>
      <c r="M931" s="253"/>
      <c r="N931" s="253"/>
      <c r="O931" s="253"/>
      <c r="P931" s="253"/>
      <c r="Q931" s="253"/>
    </row>
    <row r="932" spans="1:17">
      <c r="A932" s="253"/>
      <c r="B932" s="253"/>
      <c r="C932" s="253"/>
      <c r="D932" s="253"/>
      <c r="E932" s="253"/>
      <c r="F932" s="253"/>
      <c r="G932" s="253"/>
      <c r="H932" s="253"/>
      <c r="I932" s="253"/>
      <c r="J932" s="253"/>
      <c r="K932" s="253"/>
      <c r="L932" s="253"/>
      <c r="M932" s="253"/>
      <c r="N932" s="253"/>
      <c r="O932" s="253"/>
      <c r="P932" s="253"/>
      <c r="Q932" s="253"/>
    </row>
    <row r="933" spans="1:17">
      <c r="A933" s="253"/>
      <c r="B933" s="253"/>
      <c r="C933" s="253"/>
      <c r="D933" s="253"/>
      <c r="E933" s="253"/>
      <c r="F933" s="253"/>
      <c r="G933" s="253"/>
      <c r="H933" s="253"/>
      <c r="I933" s="253"/>
      <c r="J933" s="253"/>
      <c r="K933" s="253"/>
      <c r="L933" s="253"/>
      <c r="M933" s="253"/>
      <c r="N933" s="253"/>
      <c r="O933" s="253"/>
      <c r="P933" s="253"/>
      <c r="Q933" s="253"/>
    </row>
    <row r="934" spans="1:17">
      <c r="A934" s="253"/>
      <c r="B934" s="253"/>
      <c r="C934" s="253"/>
      <c r="D934" s="253"/>
      <c r="E934" s="253"/>
      <c r="F934" s="253"/>
      <c r="G934" s="253"/>
      <c r="H934" s="253"/>
      <c r="I934" s="253"/>
      <c r="J934" s="253"/>
      <c r="K934" s="253"/>
      <c r="L934" s="253"/>
      <c r="M934" s="253"/>
      <c r="N934" s="253"/>
      <c r="O934" s="253"/>
      <c r="P934" s="253"/>
      <c r="Q934" s="253"/>
    </row>
    <row r="935" spans="1:17">
      <c r="A935" s="253"/>
      <c r="B935" s="253"/>
      <c r="C935" s="253"/>
      <c r="D935" s="253"/>
      <c r="E935" s="253"/>
      <c r="F935" s="253"/>
      <c r="G935" s="253"/>
      <c r="H935" s="253"/>
      <c r="I935" s="253"/>
      <c r="J935" s="253"/>
      <c r="K935" s="253"/>
      <c r="L935" s="253"/>
      <c r="M935" s="253"/>
      <c r="N935" s="253"/>
      <c r="O935" s="253"/>
      <c r="P935" s="253"/>
      <c r="Q935" s="253"/>
    </row>
    <row r="936" spans="1:17">
      <c r="A936" s="253"/>
      <c r="B936" s="253"/>
      <c r="C936" s="253"/>
      <c r="D936" s="253"/>
      <c r="E936" s="253"/>
      <c r="F936" s="253"/>
      <c r="G936" s="253"/>
      <c r="H936" s="253"/>
      <c r="I936" s="253"/>
      <c r="J936" s="253"/>
      <c r="K936" s="253"/>
      <c r="L936" s="253"/>
      <c r="M936" s="253"/>
      <c r="N936" s="253"/>
      <c r="O936" s="253"/>
      <c r="P936" s="253"/>
      <c r="Q936" s="253"/>
    </row>
    <row r="937" spans="1:17">
      <c r="A937" s="253"/>
      <c r="B937" s="253"/>
      <c r="C937" s="253"/>
      <c r="D937" s="253"/>
      <c r="E937" s="253"/>
      <c r="F937" s="253"/>
      <c r="G937" s="253"/>
      <c r="H937" s="253"/>
      <c r="I937" s="253"/>
      <c r="J937" s="253"/>
      <c r="K937" s="253"/>
      <c r="L937" s="253"/>
      <c r="M937" s="253"/>
      <c r="N937" s="253"/>
      <c r="O937" s="253"/>
      <c r="P937" s="253"/>
      <c r="Q937" s="253"/>
    </row>
    <row r="938" spans="1:17">
      <c r="A938" s="253"/>
      <c r="B938" s="253"/>
      <c r="C938" s="253"/>
      <c r="D938" s="253"/>
      <c r="E938" s="253"/>
      <c r="F938" s="253"/>
      <c r="G938" s="253"/>
      <c r="H938" s="253"/>
      <c r="I938" s="253"/>
      <c r="J938" s="253"/>
      <c r="K938" s="253"/>
      <c r="L938" s="253"/>
      <c r="M938" s="253"/>
      <c r="N938" s="253"/>
      <c r="O938" s="253"/>
      <c r="P938" s="253"/>
      <c r="Q938" s="253"/>
    </row>
    <row r="939" spans="1:17">
      <c r="A939" s="253"/>
      <c r="B939" s="253"/>
      <c r="C939" s="253"/>
      <c r="D939" s="253"/>
      <c r="E939" s="253"/>
      <c r="F939" s="253"/>
      <c r="G939" s="253"/>
      <c r="H939" s="253"/>
      <c r="I939" s="253"/>
      <c r="J939" s="253"/>
      <c r="K939" s="253"/>
      <c r="L939" s="253"/>
      <c r="M939" s="253"/>
      <c r="N939" s="253"/>
      <c r="O939" s="253"/>
      <c r="P939" s="253"/>
      <c r="Q939" s="253"/>
    </row>
    <row r="940" spans="1:17">
      <c r="A940" s="253"/>
      <c r="B940" s="253"/>
      <c r="C940" s="253"/>
      <c r="D940" s="253"/>
      <c r="E940" s="253"/>
      <c r="F940" s="253"/>
      <c r="G940" s="253"/>
      <c r="H940" s="253"/>
      <c r="I940" s="253"/>
      <c r="J940" s="253"/>
      <c r="K940" s="253"/>
      <c r="L940" s="253"/>
      <c r="M940" s="253"/>
      <c r="N940" s="253"/>
      <c r="O940" s="253"/>
      <c r="P940" s="253"/>
      <c r="Q940" s="253"/>
    </row>
    <row r="941" spans="1:17">
      <c r="A941" s="253"/>
      <c r="B941" s="253"/>
      <c r="C941" s="253"/>
      <c r="D941" s="253"/>
      <c r="E941" s="253"/>
      <c r="F941" s="253"/>
      <c r="G941" s="253"/>
      <c r="H941" s="253"/>
      <c r="I941" s="253"/>
      <c r="J941" s="253"/>
      <c r="K941" s="253"/>
      <c r="L941" s="253"/>
      <c r="M941" s="253"/>
      <c r="N941" s="253"/>
      <c r="O941" s="253"/>
      <c r="P941" s="253"/>
      <c r="Q941" s="253"/>
    </row>
    <row r="942" spans="1:17">
      <c r="A942" s="253"/>
      <c r="B942" s="253"/>
      <c r="C942" s="253"/>
      <c r="D942" s="253"/>
      <c r="E942" s="253"/>
      <c r="F942" s="253"/>
      <c r="G942" s="253"/>
      <c r="H942" s="253"/>
      <c r="I942" s="253"/>
      <c r="J942" s="253"/>
      <c r="K942" s="253"/>
      <c r="L942" s="253"/>
      <c r="M942" s="253"/>
      <c r="N942" s="253"/>
      <c r="O942" s="253"/>
      <c r="P942" s="253"/>
      <c r="Q942" s="253"/>
    </row>
    <row r="943" spans="1:17">
      <c r="A943" s="253"/>
      <c r="B943" s="253"/>
      <c r="C943" s="253"/>
      <c r="D943" s="253"/>
      <c r="E943" s="253"/>
      <c r="F943" s="253"/>
      <c r="G943" s="253"/>
      <c r="H943" s="253"/>
      <c r="I943" s="253"/>
      <c r="J943" s="253"/>
      <c r="K943" s="253"/>
      <c r="L943" s="253"/>
      <c r="M943" s="253"/>
      <c r="N943" s="253"/>
      <c r="O943" s="253"/>
      <c r="P943" s="253"/>
      <c r="Q943" s="253"/>
    </row>
    <row r="944" spans="1:17">
      <c r="A944" s="253"/>
      <c r="B944" s="253"/>
      <c r="C944" s="253"/>
      <c r="D944" s="253"/>
      <c r="E944" s="253"/>
      <c r="F944" s="253"/>
      <c r="G944" s="253"/>
      <c r="H944" s="253"/>
      <c r="I944" s="253"/>
      <c r="J944" s="253"/>
      <c r="K944" s="253"/>
      <c r="L944" s="253"/>
      <c r="M944" s="253"/>
      <c r="N944" s="253"/>
      <c r="O944" s="253"/>
      <c r="P944" s="253"/>
      <c r="Q944" s="253"/>
    </row>
    <row r="945" spans="1:17">
      <c r="A945" s="253"/>
      <c r="B945" s="253"/>
      <c r="C945" s="253"/>
      <c r="D945" s="253"/>
      <c r="E945" s="253"/>
      <c r="F945" s="253"/>
      <c r="G945" s="253"/>
      <c r="H945" s="253"/>
      <c r="I945" s="253"/>
      <c r="J945" s="253"/>
      <c r="K945" s="253"/>
      <c r="L945" s="253"/>
      <c r="M945" s="253"/>
      <c r="N945" s="253"/>
      <c r="O945" s="253"/>
      <c r="P945" s="253"/>
      <c r="Q945" s="253"/>
    </row>
    <row r="946" spans="1:17">
      <c r="A946" s="253"/>
      <c r="B946" s="253"/>
      <c r="C946" s="253"/>
      <c r="D946" s="253"/>
      <c r="E946" s="253"/>
      <c r="F946" s="253"/>
      <c r="G946" s="253"/>
      <c r="H946" s="253"/>
      <c r="I946" s="253"/>
      <c r="J946" s="253"/>
      <c r="K946" s="253"/>
      <c r="L946" s="253"/>
      <c r="M946" s="253"/>
      <c r="N946" s="253"/>
      <c r="O946" s="253"/>
      <c r="P946" s="253"/>
      <c r="Q946" s="253"/>
    </row>
    <row r="947" spans="1:17">
      <c r="A947" s="253"/>
      <c r="B947" s="253"/>
      <c r="C947" s="253"/>
      <c r="D947" s="253"/>
      <c r="E947" s="253"/>
      <c r="F947" s="253"/>
      <c r="G947" s="253"/>
      <c r="H947" s="253"/>
      <c r="I947" s="253"/>
      <c r="J947" s="253"/>
      <c r="K947" s="253"/>
      <c r="L947" s="253"/>
      <c r="M947" s="253"/>
      <c r="N947" s="253"/>
      <c r="O947" s="253"/>
      <c r="P947" s="253"/>
      <c r="Q947" s="253"/>
    </row>
    <row r="948" spans="1:17">
      <c r="A948" s="253"/>
      <c r="B948" s="253"/>
      <c r="C948" s="253"/>
      <c r="D948" s="253"/>
      <c r="E948" s="253"/>
      <c r="F948" s="253"/>
      <c r="G948" s="253"/>
      <c r="H948" s="253"/>
      <c r="I948" s="253"/>
      <c r="J948" s="253"/>
      <c r="K948" s="253"/>
      <c r="L948" s="253"/>
      <c r="M948" s="253"/>
      <c r="N948" s="253"/>
      <c r="O948" s="253"/>
      <c r="P948" s="253"/>
      <c r="Q948" s="253"/>
    </row>
    <row r="949" spans="1:17">
      <c r="A949" s="253"/>
      <c r="B949" s="253"/>
      <c r="C949" s="253"/>
      <c r="D949" s="253"/>
      <c r="E949" s="253"/>
      <c r="F949" s="253"/>
      <c r="G949" s="253"/>
      <c r="H949" s="253"/>
      <c r="I949" s="253"/>
      <c r="J949" s="253"/>
      <c r="K949" s="253"/>
      <c r="L949" s="253"/>
      <c r="M949" s="253"/>
      <c r="N949" s="253"/>
      <c r="O949" s="253"/>
      <c r="P949" s="253"/>
      <c r="Q949" s="253"/>
    </row>
    <row r="950" spans="1:17">
      <c r="A950" s="253"/>
      <c r="B950" s="253"/>
      <c r="C950" s="253"/>
      <c r="D950" s="253"/>
      <c r="E950" s="253"/>
      <c r="F950" s="253"/>
      <c r="G950" s="253"/>
      <c r="H950" s="253"/>
      <c r="I950" s="253"/>
      <c r="J950" s="253"/>
      <c r="K950" s="253"/>
      <c r="L950" s="253"/>
      <c r="M950" s="253"/>
      <c r="N950" s="253"/>
      <c r="O950" s="253"/>
      <c r="P950" s="253"/>
      <c r="Q950" s="253"/>
    </row>
    <row r="951" spans="1:17">
      <c r="A951" s="253"/>
      <c r="B951" s="253"/>
      <c r="C951" s="253"/>
      <c r="D951" s="253"/>
      <c r="E951" s="253"/>
      <c r="F951" s="253"/>
      <c r="G951" s="253"/>
      <c r="H951" s="253"/>
      <c r="I951" s="253"/>
      <c r="J951" s="253"/>
      <c r="K951" s="253"/>
      <c r="L951" s="253"/>
      <c r="M951" s="253"/>
      <c r="N951" s="253"/>
      <c r="O951" s="253"/>
      <c r="P951" s="253"/>
      <c r="Q951" s="253"/>
    </row>
    <row r="952" spans="1:17">
      <c r="A952" s="253"/>
      <c r="B952" s="253"/>
      <c r="C952" s="253"/>
      <c r="D952" s="253"/>
      <c r="E952" s="253"/>
      <c r="F952" s="253"/>
      <c r="G952" s="253"/>
      <c r="H952" s="253"/>
      <c r="I952" s="253"/>
      <c r="J952" s="253"/>
      <c r="K952" s="253"/>
      <c r="L952" s="253"/>
      <c r="M952" s="253"/>
      <c r="N952" s="253"/>
      <c r="O952" s="253"/>
      <c r="P952" s="253"/>
      <c r="Q952" s="253"/>
    </row>
    <row r="953" spans="1:17">
      <c r="A953" s="253"/>
      <c r="B953" s="253"/>
      <c r="C953" s="253"/>
      <c r="D953" s="253"/>
      <c r="E953" s="253"/>
      <c r="F953" s="253"/>
      <c r="G953" s="253"/>
      <c r="H953" s="253"/>
      <c r="I953" s="253"/>
      <c r="J953" s="253"/>
      <c r="K953" s="253"/>
      <c r="L953" s="253"/>
      <c r="M953" s="253"/>
      <c r="N953" s="253"/>
      <c r="O953" s="253"/>
      <c r="P953" s="253"/>
      <c r="Q953" s="253"/>
    </row>
    <row r="954" spans="1:17">
      <c r="A954" s="253"/>
      <c r="B954" s="253"/>
      <c r="C954" s="253"/>
      <c r="D954" s="253"/>
      <c r="E954" s="253"/>
      <c r="F954" s="253"/>
      <c r="G954" s="253"/>
      <c r="H954" s="253"/>
      <c r="I954" s="253"/>
      <c r="J954" s="253"/>
      <c r="K954" s="253"/>
      <c r="L954" s="253"/>
      <c r="M954" s="253"/>
      <c r="N954" s="253"/>
      <c r="O954" s="253"/>
      <c r="P954" s="253"/>
      <c r="Q954" s="253"/>
    </row>
    <row r="955" spans="1:17">
      <c r="A955" s="253"/>
      <c r="B955" s="253"/>
      <c r="C955" s="253"/>
      <c r="D955" s="253"/>
      <c r="E955" s="253"/>
      <c r="F955" s="253"/>
      <c r="G955" s="253"/>
      <c r="H955" s="253"/>
      <c r="I955" s="253"/>
      <c r="J955" s="253"/>
      <c r="K955" s="253"/>
      <c r="L955" s="253"/>
      <c r="M955" s="253"/>
      <c r="N955" s="253"/>
      <c r="O955" s="253"/>
      <c r="P955" s="253"/>
      <c r="Q955" s="253"/>
    </row>
    <row r="956" spans="1:17">
      <c r="A956" s="253"/>
      <c r="B956" s="253"/>
      <c r="C956" s="253"/>
      <c r="D956" s="253"/>
      <c r="E956" s="253"/>
      <c r="F956" s="253"/>
      <c r="G956" s="253"/>
      <c r="H956" s="253"/>
      <c r="I956" s="253"/>
      <c r="J956" s="253"/>
      <c r="K956" s="253"/>
      <c r="L956" s="253"/>
      <c r="M956" s="253"/>
      <c r="N956" s="253"/>
      <c r="O956" s="253"/>
      <c r="P956" s="253"/>
      <c r="Q956" s="253"/>
    </row>
    <row r="957" spans="1:17">
      <c r="A957" s="253"/>
      <c r="B957" s="253"/>
      <c r="C957" s="253"/>
      <c r="D957" s="253"/>
      <c r="E957" s="253"/>
      <c r="F957" s="253"/>
      <c r="G957" s="253"/>
      <c r="H957" s="253"/>
      <c r="I957" s="253"/>
      <c r="J957" s="253"/>
      <c r="K957" s="253"/>
      <c r="L957" s="253"/>
      <c r="M957" s="253"/>
      <c r="N957" s="253"/>
      <c r="O957" s="253"/>
      <c r="P957" s="253"/>
      <c r="Q957" s="253"/>
    </row>
    <row r="958" spans="1:17">
      <c r="A958" s="253"/>
      <c r="B958" s="253"/>
      <c r="C958" s="253"/>
      <c r="D958" s="253"/>
      <c r="E958" s="253"/>
      <c r="F958" s="253"/>
      <c r="G958" s="253"/>
      <c r="H958" s="253"/>
      <c r="I958" s="253"/>
      <c r="J958" s="253"/>
      <c r="K958" s="253"/>
      <c r="L958" s="253"/>
      <c r="M958" s="253"/>
      <c r="N958" s="253"/>
      <c r="O958" s="253"/>
      <c r="P958" s="253"/>
      <c r="Q958" s="253"/>
    </row>
    <row r="959" spans="1:17">
      <c r="A959" s="253"/>
      <c r="B959" s="253"/>
      <c r="C959" s="253"/>
      <c r="D959" s="253"/>
      <c r="E959" s="253"/>
      <c r="F959" s="253"/>
      <c r="G959" s="253"/>
      <c r="H959" s="253"/>
      <c r="I959" s="253"/>
      <c r="J959" s="253"/>
      <c r="K959" s="253"/>
      <c r="L959" s="253"/>
      <c r="M959" s="253"/>
      <c r="N959" s="253"/>
      <c r="O959" s="253"/>
      <c r="P959" s="253"/>
      <c r="Q959" s="253"/>
    </row>
    <row r="960" spans="1:17">
      <c r="A960" s="253"/>
      <c r="B960" s="253"/>
      <c r="C960" s="253"/>
      <c r="D960" s="253"/>
      <c r="E960" s="253"/>
      <c r="F960" s="253"/>
      <c r="G960" s="253"/>
      <c r="H960" s="253"/>
      <c r="I960" s="253"/>
      <c r="J960" s="253"/>
      <c r="K960" s="253"/>
      <c r="L960" s="253"/>
      <c r="M960" s="253"/>
      <c r="N960" s="253"/>
      <c r="O960" s="253"/>
      <c r="P960" s="253"/>
      <c r="Q960" s="253"/>
    </row>
    <row r="961" spans="1:17">
      <c r="A961" s="253"/>
      <c r="B961" s="253"/>
      <c r="C961" s="253"/>
      <c r="D961" s="253"/>
      <c r="E961" s="253"/>
      <c r="F961" s="253"/>
      <c r="G961" s="253"/>
      <c r="H961" s="253"/>
      <c r="I961" s="253"/>
      <c r="J961" s="253"/>
      <c r="K961" s="253"/>
      <c r="L961" s="253"/>
      <c r="M961" s="253"/>
      <c r="N961" s="253"/>
      <c r="O961" s="253"/>
      <c r="P961" s="253"/>
      <c r="Q961" s="253"/>
    </row>
    <row r="962" spans="1:17">
      <c r="A962" s="253"/>
      <c r="B962" s="253"/>
      <c r="C962" s="253"/>
      <c r="D962" s="253"/>
      <c r="E962" s="253"/>
      <c r="F962" s="253"/>
      <c r="G962" s="253"/>
      <c r="H962" s="253"/>
      <c r="I962" s="253"/>
      <c r="J962" s="253"/>
      <c r="K962" s="253"/>
      <c r="L962" s="253"/>
      <c r="M962" s="253"/>
      <c r="N962" s="253"/>
      <c r="O962" s="253"/>
      <c r="P962" s="253"/>
      <c r="Q962" s="253"/>
    </row>
    <row r="963" spans="1:17">
      <c r="A963" s="253"/>
      <c r="B963" s="253"/>
      <c r="C963" s="253"/>
      <c r="D963" s="253"/>
      <c r="E963" s="253"/>
      <c r="F963" s="253"/>
      <c r="G963" s="253"/>
      <c r="H963" s="253"/>
      <c r="I963" s="253"/>
      <c r="J963" s="253"/>
      <c r="K963" s="253"/>
      <c r="L963" s="253"/>
      <c r="M963" s="253"/>
      <c r="N963" s="253"/>
      <c r="O963" s="253"/>
      <c r="P963" s="253"/>
      <c r="Q963" s="253"/>
    </row>
    <row r="964" spans="1:17">
      <c r="A964" s="253"/>
      <c r="B964" s="253"/>
      <c r="C964" s="253"/>
      <c r="D964" s="253"/>
      <c r="E964" s="253"/>
      <c r="F964" s="253"/>
      <c r="G964" s="253"/>
      <c r="H964" s="253"/>
      <c r="I964" s="253"/>
      <c r="J964" s="253"/>
      <c r="K964" s="253"/>
      <c r="L964" s="253"/>
      <c r="M964" s="253"/>
      <c r="N964" s="253"/>
      <c r="O964" s="253"/>
      <c r="P964" s="253"/>
      <c r="Q964" s="253"/>
    </row>
    <row r="965" spans="1:17">
      <c r="A965" s="253"/>
      <c r="B965" s="253"/>
      <c r="C965" s="253"/>
      <c r="D965" s="253"/>
      <c r="E965" s="253"/>
      <c r="F965" s="253"/>
      <c r="G965" s="253"/>
      <c r="H965" s="253"/>
      <c r="I965" s="253"/>
      <c r="J965" s="253"/>
      <c r="K965" s="253"/>
      <c r="L965" s="253"/>
      <c r="M965" s="253"/>
      <c r="N965" s="253"/>
      <c r="O965" s="253"/>
      <c r="P965" s="253"/>
      <c r="Q965" s="253"/>
    </row>
    <row r="966" spans="1:17">
      <c r="A966" s="253"/>
      <c r="B966" s="253"/>
      <c r="C966" s="253"/>
      <c r="D966" s="253"/>
      <c r="E966" s="253"/>
      <c r="F966" s="253"/>
      <c r="G966" s="253"/>
      <c r="H966" s="253"/>
      <c r="I966" s="253"/>
      <c r="J966" s="253"/>
      <c r="K966" s="253"/>
      <c r="L966" s="253"/>
      <c r="M966" s="253"/>
      <c r="N966" s="253"/>
      <c r="O966" s="253"/>
      <c r="P966" s="253"/>
      <c r="Q966" s="253"/>
    </row>
    <row r="967" spans="1:17">
      <c r="A967" s="253"/>
      <c r="B967" s="253"/>
      <c r="C967" s="253"/>
      <c r="D967" s="253"/>
      <c r="E967" s="253"/>
      <c r="F967" s="253"/>
      <c r="G967" s="253"/>
      <c r="H967" s="253"/>
      <c r="I967" s="253"/>
      <c r="J967" s="253"/>
      <c r="K967" s="253"/>
      <c r="L967" s="253"/>
      <c r="M967" s="253"/>
      <c r="N967" s="253"/>
      <c r="O967" s="253"/>
      <c r="P967" s="253"/>
      <c r="Q967" s="253"/>
    </row>
    <row r="968" spans="1:17">
      <c r="A968" s="253"/>
      <c r="B968" s="253"/>
      <c r="C968" s="253"/>
      <c r="D968" s="253"/>
      <c r="E968" s="253"/>
      <c r="F968" s="253"/>
      <c r="G968" s="253"/>
      <c r="H968" s="253"/>
      <c r="I968" s="253"/>
      <c r="J968" s="253"/>
      <c r="K968" s="253"/>
      <c r="L968" s="253"/>
      <c r="M968" s="253"/>
      <c r="N968" s="253"/>
      <c r="O968" s="253"/>
      <c r="P968" s="253"/>
      <c r="Q968" s="253"/>
    </row>
    <row r="969" spans="1:17">
      <c r="A969" s="253"/>
      <c r="B969" s="253"/>
      <c r="C969" s="253"/>
      <c r="D969" s="253"/>
      <c r="E969" s="253"/>
      <c r="F969" s="253"/>
      <c r="G969" s="253"/>
      <c r="H969" s="253"/>
      <c r="I969" s="253"/>
      <c r="J969" s="253"/>
      <c r="K969" s="253"/>
      <c r="L969" s="253"/>
      <c r="M969" s="253"/>
      <c r="N969" s="253"/>
      <c r="O969" s="253"/>
      <c r="P969" s="253"/>
      <c r="Q969" s="253"/>
    </row>
    <row r="970" spans="1:17">
      <c r="A970" s="253"/>
      <c r="B970" s="253"/>
      <c r="C970" s="253"/>
      <c r="D970" s="253"/>
      <c r="E970" s="253"/>
      <c r="F970" s="253"/>
      <c r="G970" s="253"/>
      <c r="H970" s="253"/>
      <c r="I970" s="253"/>
      <c r="J970" s="253"/>
      <c r="K970" s="253"/>
      <c r="L970" s="253"/>
      <c r="M970" s="253"/>
      <c r="N970" s="253"/>
      <c r="O970" s="253"/>
      <c r="P970" s="253"/>
      <c r="Q970" s="253"/>
    </row>
    <row r="971" spans="1:17">
      <c r="A971" s="253"/>
      <c r="B971" s="253"/>
      <c r="C971" s="253"/>
      <c r="D971" s="253"/>
      <c r="E971" s="253"/>
      <c r="F971" s="253"/>
      <c r="G971" s="253"/>
      <c r="H971" s="253"/>
      <c r="I971" s="253"/>
      <c r="J971" s="253"/>
      <c r="K971" s="253"/>
      <c r="L971" s="253"/>
      <c r="M971" s="253"/>
      <c r="N971" s="253"/>
      <c r="O971" s="253"/>
      <c r="P971" s="253"/>
      <c r="Q971" s="253"/>
    </row>
    <row r="972" spans="1:17">
      <c r="A972" s="253"/>
      <c r="B972" s="253"/>
      <c r="C972" s="253"/>
      <c r="D972" s="253"/>
      <c r="E972" s="253"/>
      <c r="F972" s="253"/>
      <c r="G972" s="253"/>
      <c r="H972" s="253"/>
      <c r="I972" s="253"/>
      <c r="J972" s="253"/>
      <c r="K972" s="253"/>
      <c r="L972" s="253"/>
      <c r="M972" s="253"/>
      <c r="N972" s="253"/>
      <c r="O972" s="253"/>
      <c r="P972" s="253"/>
      <c r="Q972" s="253"/>
    </row>
    <row r="973" spans="1:17">
      <c r="A973" s="253"/>
      <c r="B973" s="253"/>
      <c r="C973" s="253"/>
      <c r="D973" s="253"/>
      <c r="E973" s="253"/>
      <c r="F973" s="253"/>
      <c r="G973" s="253"/>
      <c r="H973" s="253"/>
      <c r="I973" s="253"/>
      <c r="J973" s="253"/>
      <c r="K973" s="253"/>
      <c r="L973" s="253"/>
      <c r="M973" s="253"/>
      <c r="N973" s="253"/>
      <c r="O973" s="253"/>
      <c r="P973" s="253"/>
      <c r="Q973" s="253"/>
    </row>
    <row r="974" spans="1:17">
      <c r="A974" s="253"/>
      <c r="B974" s="253"/>
      <c r="C974" s="253"/>
      <c r="D974" s="253"/>
      <c r="E974" s="253"/>
      <c r="F974" s="253"/>
      <c r="G974" s="253"/>
      <c r="H974" s="253"/>
      <c r="I974" s="253"/>
      <c r="J974" s="253"/>
      <c r="K974" s="253"/>
      <c r="L974" s="253"/>
      <c r="M974" s="253"/>
      <c r="N974" s="253"/>
      <c r="O974" s="253"/>
      <c r="P974" s="253"/>
      <c r="Q974" s="253"/>
    </row>
    <row r="975" spans="1:17">
      <c r="A975" s="253"/>
      <c r="B975" s="253"/>
      <c r="C975" s="253"/>
      <c r="D975" s="253"/>
      <c r="E975" s="253"/>
      <c r="F975" s="253"/>
      <c r="G975" s="253"/>
      <c r="H975" s="253"/>
      <c r="I975" s="253"/>
      <c r="J975" s="253"/>
      <c r="K975" s="253"/>
      <c r="L975" s="253"/>
      <c r="M975" s="253"/>
      <c r="N975" s="253"/>
      <c r="O975" s="253"/>
      <c r="P975" s="253"/>
      <c r="Q975" s="253"/>
    </row>
    <row r="976" spans="1:17">
      <c r="A976" s="253"/>
      <c r="B976" s="253"/>
      <c r="C976" s="253"/>
      <c r="D976" s="253"/>
      <c r="E976" s="253"/>
      <c r="F976" s="253"/>
      <c r="G976" s="253"/>
      <c r="H976" s="253"/>
      <c r="I976" s="253"/>
      <c r="J976" s="253"/>
      <c r="K976" s="253"/>
      <c r="L976" s="253"/>
      <c r="M976" s="253"/>
      <c r="N976" s="253"/>
      <c r="O976" s="253"/>
      <c r="P976" s="253"/>
      <c r="Q976" s="253"/>
    </row>
    <row r="977" spans="1:17">
      <c r="A977" s="253"/>
      <c r="B977" s="253"/>
      <c r="C977" s="253"/>
      <c r="D977" s="253"/>
      <c r="E977" s="253"/>
      <c r="F977" s="253"/>
      <c r="G977" s="253"/>
      <c r="H977" s="253"/>
      <c r="I977" s="253"/>
      <c r="J977" s="253"/>
      <c r="K977" s="253"/>
      <c r="L977" s="253"/>
      <c r="M977" s="253"/>
      <c r="N977" s="253"/>
      <c r="O977" s="253"/>
      <c r="P977" s="253"/>
      <c r="Q977" s="253"/>
    </row>
    <row r="978" spans="1:17">
      <c r="A978" s="253"/>
      <c r="B978" s="253"/>
      <c r="C978" s="253"/>
      <c r="D978" s="253"/>
      <c r="E978" s="253"/>
      <c r="F978" s="253"/>
      <c r="G978" s="253"/>
      <c r="H978" s="253"/>
      <c r="I978" s="253"/>
      <c r="J978" s="253"/>
      <c r="K978" s="253"/>
      <c r="L978" s="253"/>
      <c r="M978" s="253"/>
      <c r="N978" s="253"/>
      <c r="O978" s="253"/>
      <c r="P978" s="253"/>
      <c r="Q978" s="253"/>
    </row>
    <row r="979" spans="1:17">
      <c r="A979" s="253"/>
      <c r="B979" s="253"/>
      <c r="C979" s="253"/>
      <c r="D979" s="253"/>
      <c r="E979" s="253"/>
      <c r="F979" s="253"/>
      <c r="G979" s="253"/>
      <c r="H979" s="253"/>
      <c r="I979" s="253"/>
      <c r="J979" s="253"/>
      <c r="K979" s="253"/>
      <c r="L979" s="253"/>
      <c r="M979" s="253"/>
      <c r="N979" s="253"/>
      <c r="O979" s="253"/>
      <c r="P979" s="253"/>
      <c r="Q979" s="253"/>
    </row>
    <row r="980" spans="1:17">
      <c r="A980" s="253"/>
      <c r="B980" s="253"/>
      <c r="C980" s="253"/>
      <c r="D980" s="253"/>
      <c r="E980" s="253"/>
      <c r="F980" s="253"/>
      <c r="G980" s="253"/>
      <c r="H980" s="253"/>
      <c r="I980" s="253"/>
      <c r="J980" s="253"/>
      <c r="K980" s="253"/>
      <c r="L980" s="253"/>
      <c r="M980" s="253"/>
      <c r="N980" s="253"/>
      <c r="O980" s="253"/>
      <c r="P980" s="253"/>
      <c r="Q980" s="253"/>
    </row>
    <row r="981" spans="1:17">
      <c r="A981" s="253"/>
      <c r="B981" s="253"/>
      <c r="C981" s="253"/>
      <c r="D981" s="253"/>
      <c r="E981" s="253"/>
      <c r="F981" s="253"/>
      <c r="G981" s="253"/>
      <c r="H981" s="253"/>
      <c r="I981" s="253"/>
      <c r="J981" s="253"/>
      <c r="K981" s="253"/>
      <c r="L981" s="253"/>
      <c r="M981" s="253"/>
      <c r="N981" s="253"/>
      <c r="O981" s="253"/>
      <c r="P981" s="253"/>
      <c r="Q981" s="253"/>
    </row>
    <row r="982" spans="1:17">
      <c r="A982" s="253"/>
      <c r="B982" s="253"/>
      <c r="C982" s="253"/>
      <c r="D982" s="253"/>
      <c r="E982" s="253"/>
      <c r="F982" s="253"/>
      <c r="G982" s="253"/>
      <c r="H982" s="253"/>
      <c r="I982" s="253"/>
      <c r="J982" s="253"/>
      <c r="K982" s="253"/>
      <c r="L982" s="253"/>
      <c r="M982" s="253"/>
      <c r="N982" s="253"/>
      <c r="O982" s="253"/>
      <c r="P982" s="253"/>
      <c r="Q982" s="253"/>
    </row>
    <row r="983" spans="1:17">
      <c r="A983" s="253"/>
      <c r="B983" s="253"/>
      <c r="C983" s="253"/>
      <c r="D983" s="253"/>
      <c r="E983" s="253"/>
      <c r="F983" s="253"/>
      <c r="G983" s="253"/>
      <c r="H983" s="253"/>
      <c r="I983" s="253"/>
      <c r="J983" s="253"/>
      <c r="K983" s="253"/>
      <c r="L983" s="253"/>
      <c r="M983" s="253"/>
      <c r="N983" s="253"/>
      <c r="O983" s="253"/>
      <c r="P983" s="253"/>
      <c r="Q983" s="253"/>
    </row>
    <row r="984" spans="1:17">
      <c r="A984" s="253"/>
      <c r="B984" s="253"/>
      <c r="C984" s="253"/>
      <c r="D984" s="253"/>
      <c r="E984" s="253"/>
      <c r="F984" s="253"/>
      <c r="G984" s="253"/>
      <c r="H984" s="253"/>
      <c r="I984" s="253"/>
      <c r="J984" s="253"/>
      <c r="K984" s="253"/>
      <c r="L984" s="253"/>
      <c r="M984" s="253"/>
      <c r="N984" s="253"/>
      <c r="O984" s="253"/>
      <c r="P984" s="253"/>
      <c r="Q984" s="253"/>
    </row>
    <row r="985" spans="1:17">
      <c r="A985" s="253"/>
      <c r="B985" s="253"/>
      <c r="C985" s="253"/>
      <c r="D985" s="253"/>
      <c r="E985" s="253"/>
      <c r="F985" s="253"/>
      <c r="G985" s="253"/>
      <c r="H985" s="253"/>
      <c r="I985" s="253"/>
      <c r="J985" s="253"/>
      <c r="K985" s="253"/>
      <c r="L985" s="253"/>
      <c r="M985" s="253"/>
      <c r="N985" s="253"/>
      <c r="O985" s="253"/>
      <c r="P985" s="253"/>
      <c r="Q985" s="253"/>
    </row>
    <row r="986" spans="1:17">
      <c r="A986" s="253"/>
      <c r="B986" s="253"/>
      <c r="C986" s="253"/>
      <c r="D986" s="253"/>
      <c r="E986" s="253"/>
      <c r="F986" s="253"/>
      <c r="G986" s="253"/>
      <c r="H986" s="253"/>
      <c r="I986" s="253"/>
      <c r="J986" s="253"/>
      <c r="K986" s="253"/>
      <c r="L986" s="253"/>
      <c r="M986" s="253"/>
      <c r="N986" s="253"/>
      <c r="O986" s="253"/>
      <c r="P986" s="253"/>
      <c r="Q986" s="253"/>
    </row>
    <row r="987" spans="1:17">
      <c r="A987" s="253"/>
      <c r="B987" s="253"/>
      <c r="C987" s="253"/>
      <c r="D987" s="253"/>
      <c r="E987" s="253"/>
      <c r="F987" s="253"/>
      <c r="G987" s="253"/>
      <c r="H987" s="253"/>
      <c r="I987" s="253"/>
      <c r="J987" s="253"/>
      <c r="K987" s="253"/>
      <c r="L987" s="253"/>
      <c r="M987" s="253"/>
      <c r="N987" s="253"/>
      <c r="O987" s="253"/>
      <c r="P987" s="253"/>
      <c r="Q987" s="253"/>
    </row>
    <row r="988" spans="1:17">
      <c r="A988" s="253"/>
      <c r="B988" s="253"/>
      <c r="C988" s="253"/>
      <c r="D988" s="253"/>
      <c r="E988" s="253"/>
      <c r="F988" s="253"/>
      <c r="G988" s="253"/>
      <c r="H988" s="253"/>
      <c r="I988" s="253"/>
      <c r="J988" s="253"/>
      <c r="K988" s="253"/>
      <c r="L988" s="253"/>
      <c r="M988" s="253"/>
      <c r="N988" s="253"/>
      <c r="O988" s="253"/>
      <c r="P988" s="253"/>
      <c r="Q988" s="253"/>
    </row>
    <row r="989" spans="1:17">
      <c r="A989" s="253"/>
      <c r="B989" s="253"/>
      <c r="C989" s="253"/>
      <c r="D989" s="253"/>
      <c r="E989" s="253"/>
      <c r="F989" s="253"/>
      <c r="G989" s="253"/>
      <c r="H989" s="253"/>
      <c r="I989" s="253"/>
      <c r="J989" s="253"/>
      <c r="K989" s="253"/>
      <c r="L989" s="253"/>
      <c r="M989" s="253"/>
      <c r="N989" s="253"/>
      <c r="O989" s="253"/>
      <c r="P989" s="253"/>
      <c r="Q989" s="253"/>
    </row>
    <row r="990" spans="1:17">
      <c r="A990" s="253"/>
      <c r="B990" s="253"/>
      <c r="C990" s="253"/>
      <c r="D990" s="253"/>
      <c r="E990" s="253"/>
      <c r="F990" s="253"/>
      <c r="G990" s="253"/>
      <c r="H990" s="253"/>
      <c r="I990" s="253"/>
      <c r="J990" s="253"/>
      <c r="K990" s="253"/>
      <c r="L990" s="253"/>
      <c r="M990" s="253"/>
      <c r="N990" s="253"/>
      <c r="O990" s="253"/>
      <c r="P990" s="253"/>
      <c r="Q990" s="253"/>
    </row>
    <row r="991" spans="1:17">
      <c r="A991" s="253"/>
      <c r="B991" s="253"/>
      <c r="C991" s="253"/>
      <c r="D991" s="253"/>
      <c r="E991" s="253"/>
      <c r="F991" s="253"/>
      <c r="G991" s="253"/>
      <c r="H991" s="253"/>
      <c r="I991" s="253"/>
      <c r="J991" s="253"/>
      <c r="K991" s="253"/>
      <c r="L991" s="253"/>
      <c r="M991" s="253"/>
      <c r="N991" s="253"/>
      <c r="O991" s="253"/>
      <c r="P991" s="253"/>
      <c r="Q991" s="253"/>
    </row>
    <row r="992" spans="1:17">
      <c r="A992" s="253"/>
      <c r="B992" s="253"/>
      <c r="C992" s="253"/>
      <c r="D992" s="253"/>
      <c r="E992" s="253"/>
      <c r="F992" s="253"/>
      <c r="G992" s="253"/>
      <c r="H992" s="253"/>
      <c r="I992" s="253"/>
      <c r="J992" s="253"/>
      <c r="K992" s="253"/>
      <c r="L992" s="253"/>
      <c r="M992" s="253"/>
      <c r="N992" s="253"/>
      <c r="O992" s="253"/>
      <c r="P992" s="253"/>
      <c r="Q992" s="253"/>
    </row>
    <row r="993" spans="1:17">
      <c r="A993" s="253"/>
      <c r="B993" s="253"/>
      <c r="C993" s="253"/>
      <c r="D993" s="253"/>
      <c r="E993" s="253"/>
      <c r="F993" s="253"/>
      <c r="G993" s="253"/>
      <c r="H993" s="253"/>
      <c r="I993" s="253"/>
      <c r="J993" s="253"/>
      <c r="K993" s="253"/>
      <c r="L993" s="253"/>
      <c r="M993" s="253"/>
      <c r="N993" s="253"/>
      <c r="O993" s="253"/>
      <c r="P993" s="253"/>
      <c r="Q993" s="253"/>
    </row>
    <row r="994" spans="1:17">
      <c r="A994" s="253"/>
      <c r="B994" s="253"/>
      <c r="C994" s="253"/>
      <c r="D994" s="253"/>
      <c r="E994" s="253"/>
      <c r="F994" s="253"/>
      <c r="G994" s="253"/>
      <c r="H994" s="253"/>
      <c r="I994" s="253"/>
      <c r="J994" s="253"/>
      <c r="K994" s="253"/>
      <c r="L994" s="253"/>
      <c r="M994" s="253"/>
      <c r="N994" s="253"/>
      <c r="O994" s="253"/>
      <c r="P994" s="253"/>
      <c r="Q994" s="253"/>
    </row>
    <row r="995" spans="1:17">
      <c r="A995" s="253"/>
      <c r="B995" s="253"/>
      <c r="C995" s="253"/>
      <c r="D995" s="253"/>
      <c r="E995" s="253"/>
      <c r="F995" s="253"/>
      <c r="G995" s="253"/>
      <c r="H995" s="253"/>
      <c r="I995" s="253"/>
      <c r="J995" s="253"/>
      <c r="K995" s="253"/>
      <c r="L995" s="253"/>
      <c r="M995" s="253"/>
      <c r="N995" s="253"/>
      <c r="O995" s="253"/>
      <c r="P995" s="253"/>
      <c r="Q995" s="253"/>
    </row>
    <row r="996" spans="1:17">
      <c r="A996" s="253"/>
      <c r="B996" s="253"/>
      <c r="C996" s="253"/>
      <c r="D996" s="253"/>
      <c r="E996" s="253"/>
      <c r="F996" s="253"/>
      <c r="G996" s="253"/>
      <c r="H996" s="253"/>
      <c r="I996" s="253"/>
      <c r="J996" s="253"/>
      <c r="K996" s="253"/>
      <c r="L996" s="253"/>
      <c r="M996" s="253"/>
      <c r="N996" s="253"/>
      <c r="O996" s="253"/>
      <c r="P996" s="253"/>
      <c r="Q996" s="253"/>
    </row>
    <row r="997" spans="1:17">
      <c r="A997" s="253"/>
      <c r="B997" s="253"/>
      <c r="C997" s="253"/>
      <c r="D997" s="253"/>
      <c r="E997" s="253"/>
      <c r="F997" s="253"/>
      <c r="G997" s="253"/>
      <c r="H997" s="253"/>
      <c r="I997" s="253"/>
      <c r="J997" s="253"/>
      <c r="K997" s="253"/>
      <c r="L997" s="253"/>
      <c r="M997" s="253"/>
      <c r="N997" s="253"/>
      <c r="O997" s="253"/>
      <c r="P997" s="253"/>
      <c r="Q997" s="253"/>
    </row>
    <row r="998" spans="1:17">
      <c r="A998" s="253"/>
      <c r="B998" s="253"/>
      <c r="C998" s="253"/>
      <c r="D998" s="253"/>
      <c r="E998" s="253"/>
      <c r="F998" s="253"/>
      <c r="G998" s="253"/>
      <c r="H998" s="253"/>
      <c r="I998" s="253"/>
      <c r="J998" s="253"/>
      <c r="K998" s="253"/>
      <c r="L998" s="253"/>
      <c r="M998" s="253"/>
      <c r="N998" s="253"/>
      <c r="O998" s="253"/>
      <c r="P998" s="253"/>
      <c r="Q998" s="253"/>
    </row>
    <row r="999" spans="1:17">
      <c r="A999" s="253"/>
      <c r="B999" s="253"/>
      <c r="C999" s="253"/>
      <c r="D999" s="253"/>
      <c r="E999" s="253"/>
      <c r="F999" s="253"/>
      <c r="G999" s="253"/>
      <c r="H999" s="253"/>
      <c r="I999" s="253"/>
      <c r="J999" s="253"/>
      <c r="K999" s="253"/>
      <c r="L999" s="253"/>
      <c r="M999" s="253"/>
      <c r="N999" s="253"/>
      <c r="O999" s="253"/>
      <c r="P999" s="253"/>
      <c r="Q999" s="253"/>
    </row>
    <row r="1000" spans="1:17">
      <c r="A1000" s="253"/>
      <c r="B1000" s="253"/>
      <c r="C1000" s="253"/>
      <c r="D1000" s="253"/>
      <c r="E1000" s="253"/>
      <c r="F1000" s="253"/>
      <c r="G1000" s="253"/>
      <c r="H1000" s="253"/>
      <c r="I1000" s="253"/>
      <c r="J1000" s="253"/>
      <c r="K1000" s="253"/>
      <c r="L1000" s="253"/>
      <c r="M1000" s="253"/>
      <c r="N1000" s="253"/>
      <c r="O1000" s="253"/>
      <c r="P1000" s="253"/>
      <c r="Q1000" s="253"/>
    </row>
    <row r="1001" spans="1:17">
      <c r="A1001" s="253"/>
      <c r="B1001" s="253"/>
      <c r="C1001" s="253"/>
      <c r="D1001" s="253"/>
      <c r="E1001" s="253"/>
      <c r="F1001" s="253"/>
      <c r="G1001" s="253"/>
      <c r="H1001" s="253"/>
      <c r="I1001" s="253"/>
      <c r="J1001" s="253"/>
      <c r="K1001" s="253"/>
      <c r="L1001" s="253"/>
      <c r="M1001" s="253"/>
      <c r="N1001" s="253"/>
      <c r="O1001" s="253"/>
      <c r="P1001" s="253"/>
      <c r="Q1001" s="253"/>
    </row>
    <row r="1002" spans="1:17">
      <c r="A1002" s="253"/>
      <c r="B1002" s="253"/>
      <c r="C1002" s="253"/>
      <c r="D1002" s="253"/>
      <c r="E1002" s="253"/>
      <c r="F1002" s="253"/>
      <c r="G1002" s="253"/>
      <c r="H1002" s="253"/>
      <c r="I1002" s="253"/>
      <c r="J1002" s="253"/>
      <c r="K1002" s="253"/>
      <c r="L1002" s="253"/>
      <c r="M1002" s="253"/>
      <c r="N1002" s="253"/>
      <c r="O1002" s="253"/>
      <c r="P1002" s="253"/>
      <c r="Q1002" s="253"/>
    </row>
    <row r="1003" spans="1:17">
      <c r="A1003" s="253"/>
      <c r="B1003" s="253"/>
      <c r="C1003" s="253"/>
      <c r="D1003" s="253"/>
      <c r="E1003" s="253"/>
      <c r="F1003" s="253"/>
      <c r="G1003" s="253"/>
      <c r="H1003" s="253"/>
      <c r="I1003" s="253"/>
      <c r="J1003" s="253"/>
      <c r="K1003" s="253"/>
      <c r="L1003" s="253"/>
      <c r="M1003" s="253"/>
      <c r="N1003" s="253"/>
      <c r="O1003" s="253"/>
      <c r="P1003" s="253"/>
      <c r="Q1003" s="253"/>
    </row>
    <row r="1004" spans="1:17">
      <c r="A1004" s="253"/>
      <c r="B1004" s="253"/>
      <c r="C1004" s="253"/>
      <c r="D1004" s="253"/>
      <c r="E1004" s="253"/>
      <c r="F1004" s="253"/>
      <c r="G1004" s="253"/>
      <c r="H1004" s="253"/>
      <c r="I1004" s="253"/>
      <c r="J1004" s="253"/>
      <c r="K1004" s="253"/>
      <c r="L1004" s="253"/>
      <c r="M1004" s="253"/>
      <c r="N1004" s="253"/>
      <c r="O1004" s="253"/>
      <c r="P1004" s="253"/>
      <c r="Q1004" s="253"/>
    </row>
    <row r="1005" spans="1:17">
      <c r="A1005" s="253"/>
      <c r="B1005" s="253"/>
      <c r="C1005" s="253"/>
      <c r="D1005" s="253"/>
      <c r="E1005" s="253"/>
      <c r="F1005" s="253"/>
      <c r="G1005" s="253"/>
      <c r="H1005" s="253"/>
      <c r="I1005" s="253"/>
      <c r="J1005" s="253"/>
      <c r="K1005" s="253"/>
      <c r="L1005" s="253"/>
      <c r="M1005" s="253"/>
      <c r="N1005" s="253"/>
      <c r="O1005" s="253"/>
      <c r="P1005" s="253"/>
      <c r="Q1005" s="253"/>
    </row>
    <row r="1006" spans="1:17">
      <c r="A1006" s="253"/>
      <c r="B1006" s="253"/>
      <c r="C1006" s="253"/>
      <c r="D1006" s="253"/>
      <c r="E1006" s="253"/>
      <c r="F1006" s="253"/>
      <c r="G1006" s="253"/>
      <c r="H1006" s="253"/>
      <c r="I1006" s="253"/>
      <c r="J1006" s="253"/>
      <c r="K1006" s="253"/>
      <c r="L1006" s="253"/>
      <c r="M1006" s="253"/>
      <c r="N1006" s="253"/>
      <c r="O1006" s="253"/>
      <c r="P1006" s="253"/>
      <c r="Q1006" s="253"/>
    </row>
    <row r="1007" spans="1:17">
      <c r="A1007" s="253"/>
      <c r="B1007" s="253"/>
      <c r="C1007" s="253"/>
      <c r="D1007" s="253"/>
      <c r="E1007" s="253"/>
      <c r="F1007" s="253"/>
      <c r="G1007" s="253"/>
      <c r="H1007" s="253"/>
      <c r="I1007" s="253"/>
      <c r="J1007" s="253"/>
      <c r="K1007" s="253"/>
      <c r="L1007" s="253"/>
      <c r="M1007" s="253"/>
      <c r="N1007" s="253"/>
      <c r="O1007" s="253"/>
      <c r="P1007" s="253"/>
      <c r="Q1007" s="253"/>
    </row>
    <row r="1008" spans="1:17">
      <c r="A1008" s="253"/>
      <c r="B1008" s="253"/>
      <c r="C1008" s="253"/>
      <c r="D1008" s="253"/>
      <c r="E1008" s="253"/>
      <c r="F1008" s="253"/>
      <c r="G1008" s="253"/>
      <c r="H1008" s="253"/>
      <c r="I1008" s="253"/>
      <c r="J1008" s="253"/>
      <c r="K1008" s="253"/>
      <c r="L1008" s="253"/>
      <c r="M1008" s="253"/>
      <c r="N1008" s="253"/>
      <c r="O1008" s="253"/>
      <c r="P1008" s="253"/>
      <c r="Q1008" s="253"/>
    </row>
    <row r="1009" spans="1:17">
      <c r="A1009" s="253"/>
      <c r="B1009" s="253"/>
      <c r="C1009" s="253"/>
      <c r="D1009" s="253"/>
      <c r="E1009" s="253"/>
      <c r="F1009" s="253"/>
      <c r="G1009" s="253"/>
      <c r="H1009" s="253"/>
      <c r="I1009" s="253"/>
      <c r="J1009" s="253"/>
      <c r="K1009" s="253"/>
      <c r="L1009" s="253"/>
      <c r="M1009" s="253"/>
      <c r="N1009" s="253"/>
      <c r="O1009" s="253"/>
      <c r="P1009" s="253"/>
      <c r="Q1009" s="253"/>
    </row>
    <row r="1010" spans="1:17">
      <c r="A1010" s="253"/>
      <c r="B1010" s="253"/>
      <c r="C1010" s="253"/>
      <c r="D1010" s="253"/>
      <c r="E1010" s="253"/>
      <c r="F1010" s="253"/>
      <c r="G1010" s="253"/>
      <c r="H1010" s="253"/>
      <c r="I1010" s="253"/>
      <c r="J1010" s="253"/>
      <c r="K1010" s="253"/>
      <c r="L1010" s="253"/>
      <c r="M1010" s="253"/>
      <c r="N1010" s="253"/>
      <c r="O1010" s="253"/>
      <c r="P1010" s="253"/>
      <c r="Q1010" s="253"/>
    </row>
    <row r="1011" spans="1:17">
      <c r="A1011" s="253"/>
      <c r="B1011" s="253"/>
      <c r="C1011" s="253"/>
      <c r="D1011" s="253"/>
      <c r="E1011" s="253"/>
      <c r="F1011" s="253"/>
      <c r="G1011" s="253"/>
      <c r="H1011" s="253"/>
      <c r="I1011" s="253"/>
      <c r="J1011" s="253"/>
      <c r="K1011" s="253"/>
      <c r="L1011" s="253"/>
      <c r="M1011" s="253"/>
      <c r="N1011" s="253"/>
      <c r="O1011" s="253"/>
      <c r="P1011" s="253"/>
      <c r="Q1011" s="253"/>
    </row>
    <row r="1012" spans="1:17">
      <c r="A1012" s="253"/>
      <c r="B1012" s="253"/>
      <c r="C1012" s="253"/>
      <c r="D1012" s="253"/>
      <c r="E1012" s="253"/>
      <c r="F1012" s="253"/>
      <c r="G1012" s="253"/>
      <c r="H1012" s="253"/>
      <c r="I1012" s="253"/>
      <c r="J1012" s="253"/>
      <c r="K1012" s="253"/>
      <c r="L1012" s="253"/>
      <c r="M1012" s="253"/>
      <c r="N1012" s="253"/>
      <c r="O1012" s="253"/>
      <c r="P1012" s="253"/>
      <c r="Q1012" s="253"/>
    </row>
    <row r="1013" spans="1:17">
      <c r="A1013" s="253"/>
      <c r="B1013" s="253"/>
      <c r="C1013" s="253"/>
      <c r="D1013" s="253"/>
      <c r="E1013" s="253"/>
      <c r="F1013" s="253"/>
      <c r="G1013" s="253"/>
      <c r="H1013" s="253"/>
      <c r="I1013" s="253"/>
      <c r="J1013" s="253"/>
      <c r="K1013" s="253"/>
      <c r="L1013" s="253"/>
      <c r="M1013" s="253"/>
      <c r="N1013" s="253"/>
      <c r="O1013" s="253"/>
      <c r="P1013" s="253"/>
      <c r="Q1013" s="253"/>
    </row>
    <row r="1014" spans="1:17">
      <c r="A1014" s="253"/>
      <c r="B1014" s="253"/>
      <c r="C1014" s="253"/>
      <c r="D1014" s="253"/>
      <c r="E1014" s="253"/>
      <c r="F1014" s="253"/>
      <c r="G1014" s="253"/>
      <c r="H1014" s="253"/>
      <c r="I1014" s="253"/>
      <c r="J1014" s="253"/>
      <c r="K1014" s="253"/>
      <c r="L1014" s="253"/>
      <c r="M1014" s="253"/>
      <c r="N1014" s="253"/>
      <c r="O1014" s="253"/>
      <c r="P1014" s="253"/>
      <c r="Q1014" s="253"/>
    </row>
    <row r="1015" spans="1:17">
      <c r="A1015" s="253"/>
      <c r="B1015" s="253"/>
      <c r="C1015" s="253"/>
      <c r="D1015" s="253"/>
      <c r="E1015" s="253"/>
      <c r="F1015" s="253"/>
      <c r="G1015" s="253"/>
      <c r="H1015" s="253"/>
      <c r="I1015" s="253"/>
      <c r="J1015" s="253"/>
      <c r="K1015" s="253"/>
      <c r="L1015" s="253"/>
      <c r="M1015" s="253"/>
      <c r="N1015" s="253"/>
      <c r="O1015" s="253"/>
      <c r="P1015" s="253"/>
      <c r="Q1015" s="253"/>
    </row>
    <row r="1016" spans="1:17">
      <c r="A1016" s="253"/>
      <c r="B1016" s="253"/>
      <c r="C1016" s="253"/>
      <c r="D1016" s="253"/>
      <c r="E1016" s="253"/>
      <c r="F1016" s="253"/>
      <c r="G1016" s="253"/>
      <c r="H1016" s="253"/>
      <c r="I1016" s="253"/>
      <c r="J1016" s="253"/>
      <c r="K1016" s="253"/>
      <c r="L1016" s="253"/>
      <c r="M1016" s="253"/>
      <c r="N1016" s="253"/>
      <c r="O1016" s="253"/>
      <c r="P1016" s="253"/>
      <c r="Q1016" s="253"/>
    </row>
    <row r="1017" spans="1:17">
      <c r="A1017" s="253"/>
      <c r="B1017" s="253"/>
      <c r="C1017" s="253"/>
      <c r="D1017" s="253"/>
      <c r="E1017" s="253"/>
      <c r="F1017" s="253"/>
      <c r="G1017" s="253"/>
      <c r="H1017" s="253"/>
      <c r="I1017" s="253"/>
      <c r="J1017" s="253"/>
      <c r="K1017" s="253"/>
      <c r="L1017" s="253"/>
      <c r="M1017" s="253"/>
      <c r="N1017" s="253"/>
      <c r="O1017" s="253"/>
      <c r="P1017" s="253"/>
      <c r="Q1017" s="253"/>
    </row>
    <row r="1018" spans="1:17">
      <c r="A1018" s="253"/>
      <c r="B1018" s="253"/>
      <c r="C1018" s="253"/>
      <c r="D1018" s="253"/>
      <c r="E1018" s="253"/>
      <c r="F1018" s="253"/>
      <c r="G1018" s="253"/>
      <c r="H1018" s="253"/>
      <c r="I1018" s="253"/>
      <c r="J1018" s="253"/>
      <c r="K1018" s="253"/>
      <c r="L1018" s="253"/>
      <c r="M1018" s="253"/>
      <c r="N1018" s="253"/>
      <c r="O1018" s="253"/>
      <c r="P1018" s="253"/>
      <c r="Q1018" s="253"/>
    </row>
    <row r="1019" spans="1:17">
      <c r="A1019" s="253"/>
      <c r="B1019" s="253"/>
      <c r="C1019" s="253"/>
      <c r="D1019" s="253"/>
      <c r="E1019" s="253"/>
      <c r="F1019" s="253"/>
      <c r="G1019" s="253"/>
      <c r="H1019" s="253"/>
      <c r="I1019" s="253"/>
      <c r="J1019" s="253"/>
      <c r="K1019" s="253"/>
      <c r="L1019" s="253"/>
      <c r="M1019" s="253"/>
      <c r="N1019" s="253"/>
      <c r="O1019" s="253"/>
      <c r="P1019" s="253"/>
      <c r="Q1019" s="253"/>
    </row>
    <row r="1020" spans="1:17">
      <c r="A1020" s="253"/>
      <c r="B1020" s="253"/>
      <c r="C1020" s="253"/>
      <c r="D1020" s="253"/>
      <c r="E1020" s="253"/>
      <c r="F1020" s="253"/>
      <c r="G1020" s="253"/>
      <c r="H1020" s="253"/>
      <c r="I1020" s="253"/>
      <c r="J1020" s="253"/>
      <c r="K1020" s="253"/>
      <c r="L1020" s="253"/>
      <c r="M1020" s="253"/>
      <c r="N1020" s="253"/>
      <c r="O1020" s="253"/>
      <c r="P1020" s="253"/>
      <c r="Q1020" s="253"/>
    </row>
    <row r="1021" spans="1:17">
      <c r="A1021" s="253"/>
      <c r="B1021" s="253"/>
      <c r="C1021" s="253"/>
      <c r="D1021" s="253"/>
      <c r="E1021" s="253"/>
      <c r="F1021" s="253"/>
      <c r="G1021" s="253"/>
      <c r="H1021" s="253"/>
      <c r="I1021" s="253"/>
      <c r="J1021" s="253"/>
      <c r="K1021" s="253"/>
      <c r="L1021" s="253"/>
      <c r="M1021" s="253"/>
      <c r="N1021" s="253"/>
      <c r="O1021" s="253"/>
      <c r="P1021" s="253"/>
      <c r="Q1021" s="253"/>
    </row>
    <row r="1022" spans="1:17">
      <c r="A1022" s="253"/>
      <c r="B1022" s="253"/>
      <c r="C1022" s="253"/>
      <c r="D1022" s="253"/>
      <c r="E1022" s="253"/>
      <c r="F1022" s="253"/>
      <c r="G1022" s="253"/>
      <c r="H1022" s="253"/>
      <c r="I1022" s="253"/>
      <c r="J1022" s="253"/>
      <c r="K1022" s="253"/>
      <c r="L1022" s="253"/>
      <c r="M1022" s="253"/>
      <c r="N1022" s="253"/>
      <c r="O1022" s="253"/>
      <c r="P1022" s="253"/>
      <c r="Q1022" s="253"/>
    </row>
    <row r="1023" spans="1:17">
      <c r="A1023" s="253"/>
      <c r="B1023" s="253"/>
      <c r="C1023" s="253"/>
      <c r="D1023" s="253"/>
      <c r="E1023" s="253"/>
      <c r="F1023" s="253"/>
      <c r="G1023" s="253"/>
      <c r="H1023" s="253"/>
      <c r="I1023" s="253"/>
      <c r="J1023" s="253"/>
      <c r="K1023" s="253"/>
      <c r="L1023" s="253"/>
      <c r="M1023" s="253"/>
      <c r="N1023" s="253"/>
      <c r="O1023" s="253"/>
      <c r="P1023" s="253"/>
      <c r="Q1023" s="253"/>
    </row>
    <row r="1024" spans="1:17">
      <c r="A1024" s="253"/>
      <c r="B1024" s="253"/>
      <c r="C1024" s="253"/>
      <c r="D1024" s="253"/>
      <c r="E1024" s="253"/>
      <c r="F1024" s="253"/>
      <c r="G1024" s="253"/>
      <c r="H1024" s="253"/>
      <c r="I1024" s="253"/>
      <c r="J1024" s="253"/>
      <c r="K1024" s="253"/>
      <c r="L1024" s="253"/>
      <c r="M1024" s="253"/>
      <c r="N1024" s="253"/>
      <c r="O1024" s="253"/>
      <c r="P1024" s="253"/>
      <c r="Q1024" s="253"/>
    </row>
    <row r="1025" spans="1:17">
      <c r="A1025" s="253"/>
      <c r="B1025" s="253"/>
      <c r="C1025" s="253"/>
      <c r="D1025" s="253"/>
      <c r="E1025" s="253"/>
      <c r="F1025" s="253"/>
      <c r="G1025" s="253"/>
      <c r="H1025" s="253"/>
      <c r="I1025" s="253"/>
      <c r="J1025" s="253"/>
      <c r="K1025" s="253"/>
      <c r="L1025" s="253"/>
      <c r="M1025" s="253"/>
      <c r="N1025" s="253"/>
      <c r="O1025" s="253"/>
      <c r="P1025" s="253"/>
      <c r="Q1025" s="253"/>
    </row>
    <row r="1026" spans="1:17">
      <c r="A1026" s="253"/>
      <c r="B1026" s="253"/>
      <c r="C1026" s="253"/>
      <c r="D1026" s="253"/>
      <c r="E1026" s="253"/>
      <c r="F1026" s="253"/>
      <c r="G1026" s="253"/>
      <c r="H1026" s="253"/>
      <c r="I1026" s="253"/>
      <c r="J1026" s="253"/>
      <c r="K1026" s="253"/>
      <c r="L1026" s="253"/>
      <c r="M1026" s="253"/>
      <c r="N1026" s="253"/>
      <c r="O1026" s="253"/>
      <c r="P1026" s="253"/>
      <c r="Q1026" s="253"/>
    </row>
    <row r="1027" spans="1:17">
      <c r="A1027" s="253"/>
      <c r="B1027" s="253"/>
      <c r="C1027" s="253"/>
      <c r="D1027" s="253"/>
      <c r="E1027" s="253"/>
      <c r="F1027" s="253"/>
      <c r="G1027" s="253"/>
      <c r="H1027" s="253"/>
      <c r="I1027" s="253"/>
      <c r="J1027" s="253"/>
      <c r="K1027" s="253"/>
      <c r="L1027" s="253"/>
      <c r="M1027" s="253"/>
      <c r="N1027" s="253"/>
      <c r="O1027" s="253"/>
      <c r="P1027" s="253"/>
      <c r="Q1027" s="253"/>
    </row>
    <row r="1028" spans="1:17">
      <c r="A1028" s="253"/>
      <c r="B1028" s="253"/>
      <c r="C1028" s="253"/>
      <c r="D1028" s="253"/>
      <c r="E1028" s="253"/>
      <c r="F1028" s="253"/>
      <c r="G1028" s="253"/>
      <c r="H1028" s="253"/>
      <c r="I1028" s="253"/>
      <c r="J1028" s="253"/>
      <c r="K1028" s="253"/>
      <c r="L1028" s="253"/>
      <c r="M1028" s="253"/>
      <c r="N1028" s="253"/>
      <c r="O1028" s="253"/>
      <c r="P1028" s="253"/>
      <c r="Q1028" s="253"/>
    </row>
    <row r="1029" spans="1:17">
      <c r="A1029" s="253"/>
      <c r="B1029" s="253"/>
      <c r="C1029" s="253"/>
      <c r="D1029" s="253"/>
      <c r="E1029" s="253"/>
      <c r="F1029" s="253"/>
      <c r="G1029" s="253"/>
      <c r="H1029" s="253"/>
      <c r="I1029" s="253"/>
      <c r="J1029" s="253"/>
      <c r="K1029" s="253"/>
      <c r="L1029" s="253"/>
      <c r="M1029" s="253"/>
      <c r="N1029" s="253"/>
      <c r="O1029" s="253"/>
      <c r="P1029" s="253"/>
      <c r="Q1029" s="253"/>
    </row>
    <row r="1030" spans="1:17">
      <c r="A1030" s="253"/>
      <c r="B1030" s="253"/>
      <c r="C1030" s="253"/>
      <c r="D1030" s="253"/>
      <c r="E1030" s="253"/>
      <c r="F1030" s="253"/>
      <c r="G1030" s="253"/>
      <c r="H1030" s="253"/>
      <c r="I1030" s="253"/>
      <c r="J1030" s="253"/>
      <c r="K1030" s="253"/>
      <c r="L1030" s="253"/>
      <c r="M1030" s="253"/>
      <c r="N1030" s="253"/>
      <c r="O1030" s="253"/>
      <c r="P1030" s="253"/>
      <c r="Q1030" s="253"/>
    </row>
    <row r="1031" spans="1:17">
      <c r="A1031" s="253"/>
      <c r="B1031" s="253"/>
      <c r="C1031" s="253"/>
      <c r="D1031" s="253"/>
      <c r="E1031" s="253"/>
      <c r="F1031" s="253"/>
      <c r="G1031" s="253"/>
      <c r="H1031" s="253"/>
      <c r="I1031" s="253"/>
      <c r="J1031" s="253"/>
      <c r="K1031" s="253"/>
      <c r="L1031" s="253"/>
      <c r="M1031" s="253"/>
      <c r="N1031" s="253"/>
      <c r="O1031" s="253"/>
      <c r="P1031" s="253"/>
      <c r="Q1031" s="253"/>
    </row>
    <row r="1032" spans="1:17">
      <c r="A1032" s="253"/>
      <c r="B1032" s="253"/>
      <c r="C1032" s="253"/>
      <c r="D1032" s="253"/>
      <c r="E1032" s="253"/>
      <c r="F1032" s="253"/>
      <c r="G1032" s="253"/>
      <c r="H1032" s="253"/>
      <c r="I1032" s="253"/>
      <c r="J1032" s="253"/>
      <c r="K1032" s="253"/>
      <c r="L1032" s="253"/>
      <c r="M1032" s="253"/>
      <c r="N1032" s="253"/>
      <c r="O1032" s="253"/>
      <c r="P1032" s="253"/>
      <c r="Q1032" s="253"/>
    </row>
    <row r="1033" spans="1:17">
      <c r="A1033" s="253"/>
      <c r="B1033" s="253"/>
      <c r="C1033" s="253"/>
      <c r="D1033" s="253"/>
      <c r="E1033" s="253"/>
      <c r="F1033" s="253"/>
      <c r="G1033" s="253"/>
      <c r="H1033" s="253"/>
      <c r="I1033" s="253"/>
      <c r="J1033" s="253"/>
      <c r="K1033" s="253"/>
      <c r="L1033" s="253"/>
      <c r="M1033" s="253"/>
      <c r="N1033" s="253"/>
      <c r="O1033" s="253"/>
      <c r="P1033" s="253"/>
      <c r="Q1033" s="253"/>
    </row>
    <row r="1034" spans="1:17">
      <c r="A1034" s="253"/>
      <c r="B1034" s="253"/>
      <c r="C1034" s="253"/>
      <c r="D1034" s="253"/>
      <c r="E1034" s="253"/>
      <c r="F1034" s="253"/>
      <c r="G1034" s="253"/>
      <c r="H1034" s="253"/>
      <c r="I1034" s="253"/>
      <c r="J1034" s="253"/>
      <c r="K1034" s="253"/>
      <c r="L1034" s="253"/>
      <c r="M1034" s="253"/>
      <c r="N1034" s="253"/>
      <c r="O1034" s="253"/>
      <c r="P1034" s="253"/>
      <c r="Q1034" s="253"/>
    </row>
    <row r="1035" spans="1:17">
      <c r="A1035" s="253"/>
      <c r="B1035" s="253"/>
      <c r="C1035" s="253"/>
      <c r="D1035" s="253"/>
      <c r="E1035" s="253"/>
      <c r="F1035" s="253"/>
      <c r="G1035" s="253"/>
      <c r="H1035" s="253"/>
      <c r="I1035" s="253"/>
      <c r="J1035" s="253"/>
      <c r="K1035" s="253"/>
      <c r="L1035" s="253"/>
      <c r="M1035" s="253"/>
      <c r="N1035" s="253"/>
      <c r="O1035" s="253"/>
      <c r="P1035" s="253"/>
      <c r="Q1035" s="253"/>
    </row>
    <row r="1036" spans="1:17">
      <c r="A1036" s="253"/>
      <c r="B1036" s="253"/>
      <c r="C1036" s="253"/>
      <c r="D1036" s="253"/>
      <c r="E1036" s="253"/>
      <c r="F1036" s="253"/>
      <c r="G1036" s="253"/>
      <c r="H1036" s="253"/>
      <c r="I1036" s="253"/>
      <c r="J1036" s="253"/>
      <c r="K1036" s="253"/>
      <c r="L1036" s="253"/>
      <c r="M1036" s="253"/>
      <c r="N1036" s="253"/>
      <c r="O1036" s="253"/>
      <c r="P1036" s="253"/>
      <c r="Q1036" s="253"/>
    </row>
    <row r="1037" spans="1:17">
      <c r="A1037" s="253"/>
      <c r="B1037" s="253"/>
      <c r="C1037" s="253"/>
      <c r="D1037" s="253"/>
      <c r="E1037" s="253"/>
      <c r="F1037" s="253"/>
      <c r="G1037" s="253"/>
      <c r="H1037" s="253"/>
      <c r="I1037" s="253"/>
      <c r="J1037" s="253"/>
      <c r="K1037" s="253"/>
      <c r="L1037" s="253"/>
      <c r="M1037" s="253"/>
      <c r="N1037" s="253"/>
      <c r="O1037" s="253"/>
      <c r="P1037" s="253"/>
      <c r="Q1037" s="253"/>
    </row>
    <row r="1038" spans="1:17">
      <c r="A1038" s="253"/>
      <c r="B1038" s="253"/>
      <c r="C1038" s="253"/>
      <c r="D1038" s="253"/>
      <c r="E1038" s="253"/>
      <c r="F1038" s="253"/>
      <c r="G1038" s="253"/>
      <c r="H1038" s="253"/>
      <c r="I1038" s="253"/>
      <c r="J1038" s="253"/>
      <c r="K1038" s="253"/>
      <c r="L1038" s="253"/>
      <c r="M1038" s="253"/>
      <c r="N1038" s="253"/>
      <c r="O1038" s="253"/>
      <c r="P1038" s="253"/>
      <c r="Q1038" s="253"/>
    </row>
    <row r="1039" spans="1:17">
      <c r="A1039" s="253"/>
      <c r="B1039" s="253"/>
      <c r="C1039" s="253"/>
      <c r="D1039" s="253"/>
      <c r="E1039" s="253"/>
      <c r="F1039" s="253"/>
      <c r="G1039" s="253"/>
      <c r="H1039" s="253"/>
      <c r="I1039" s="253"/>
      <c r="J1039" s="253"/>
      <c r="K1039" s="253"/>
      <c r="L1039" s="253"/>
      <c r="M1039" s="253"/>
      <c r="N1039" s="253"/>
      <c r="O1039" s="253"/>
      <c r="P1039" s="253"/>
      <c r="Q1039" s="253"/>
    </row>
    <row r="1040" spans="1:17">
      <c r="A1040" s="253"/>
      <c r="B1040" s="253"/>
      <c r="C1040" s="253"/>
      <c r="D1040" s="253"/>
      <c r="E1040" s="253"/>
      <c r="F1040" s="253"/>
      <c r="G1040" s="253"/>
      <c r="H1040" s="253"/>
      <c r="I1040" s="253"/>
      <c r="J1040" s="253"/>
      <c r="K1040" s="253"/>
      <c r="L1040" s="253"/>
      <c r="M1040" s="253"/>
      <c r="N1040" s="253"/>
      <c r="O1040" s="253"/>
      <c r="P1040" s="253"/>
      <c r="Q1040" s="253"/>
    </row>
    <row r="1041" spans="1:17">
      <c r="A1041" s="253"/>
      <c r="B1041" s="253"/>
      <c r="C1041" s="253"/>
      <c r="D1041" s="253"/>
      <c r="E1041" s="253"/>
      <c r="F1041" s="253"/>
      <c r="G1041" s="253"/>
      <c r="H1041" s="253"/>
      <c r="I1041" s="253"/>
      <c r="J1041" s="253"/>
      <c r="K1041" s="253"/>
      <c r="L1041" s="253"/>
      <c r="M1041" s="253"/>
      <c r="N1041" s="253"/>
      <c r="O1041" s="253"/>
      <c r="P1041" s="253"/>
      <c r="Q1041" s="253"/>
    </row>
    <row r="1042" spans="1:17">
      <c r="A1042" s="253"/>
      <c r="B1042" s="253"/>
      <c r="C1042" s="253"/>
      <c r="D1042" s="253"/>
      <c r="E1042" s="253"/>
      <c r="F1042" s="253"/>
      <c r="G1042" s="253"/>
      <c r="H1042" s="253"/>
      <c r="I1042" s="253"/>
      <c r="J1042" s="253"/>
      <c r="K1042" s="253"/>
      <c r="L1042" s="253"/>
      <c r="M1042" s="253"/>
      <c r="N1042" s="253"/>
      <c r="O1042" s="253"/>
      <c r="P1042" s="253"/>
      <c r="Q1042" s="253"/>
    </row>
    <row r="1043" spans="1:17">
      <c r="A1043" s="253"/>
      <c r="B1043" s="253"/>
      <c r="C1043" s="253"/>
      <c r="D1043" s="253"/>
      <c r="E1043" s="253"/>
      <c r="F1043" s="253"/>
      <c r="G1043" s="253"/>
      <c r="H1043" s="253"/>
      <c r="I1043" s="253"/>
      <c r="J1043" s="253"/>
      <c r="K1043" s="253"/>
      <c r="L1043" s="253"/>
      <c r="M1043" s="253"/>
      <c r="N1043" s="253"/>
      <c r="O1043" s="253"/>
      <c r="P1043" s="253"/>
      <c r="Q1043" s="253"/>
    </row>
    <row r="1044" spans="1:17">
      <c r="A1044" s="253"/>
      <c r="B1044" s="253"/>
      <c r="C1044" s="253"/>
      <c r="D1044" s="253"/>
      <c r="E1044" s="253"/>
      <c r="F1044" s="253"/>
      <c r="G1044" s="253"/>
      <c r="H1044" s="253"/>
      <c r="I1044" s="253"/>
      <c r="J1044" s="253"/>
      <c r="K1044" s="253"/>
      <c r="L1044" s="253"/>
      <c r="M1044" s="253"/>
      <c r="N1044" s="253"/>
      <c r="O1044" s="253"/>
      <c r="P1044" s="253"/>
      <c r="Q1044" s="253"/>
    </row>
    <row r="1045" spans="1:17">
      <c r="A1045" s="253"/>
      <c r="B1045" s="253"/>
      <c r="C1045" s="253"/>
      <c r="D1045" s="253"/>
      <c r="E1045" s="253"/>
      <c r="F1045" s="253"/>
      <c r="G1045" s="253"/>
      <c r="H1045" s="253"/>
      <c r="I1045" s="253"/>
      <c r="J1045" s="253"/>
      <c r="K1045" s="253"/>
      <c r="L1045" s="253"/>
      <c r="M1045" s="253"/>
      <c r="N1045" s="253"/>
      <c r="O1045" s="253"/>
      <c r="P1045" s="253"/>
      <c r="Q1045" s="253"/>
    </row>
    <row r="1046" spans="1:17">
      <c r="A1046" s="253"/>
      <c r="B1046" s="253"/>
      <c r="C1046" s="253"/>
      <c r="D1046" s="253"/>
      <c r="E1046" s="253"/>
      <c r="F1046" s="253"/>
      <c r="G1046" s="253"/>
      <c r="H1046" s="253"/>
      <c r="I1046" s="253"/>
      <c r="J1046" s="253"/>
      <c r="K1046" s="253"/>
      <c r="L1046" s="253"/>
      <c r="M1046" s="253"/>
      <c r="N1046" s="253"/>
      <c r="O1046" s="253"/>
      <c r="P1046" s="253"/>
      <c r="Q1046" s="253"/>
    </row>
    <row r="1047" spans="1:17">
      <c r="A1047" s="253"/>
      <c r="B1047" s="253"/>
      <c r="C1047" s="253"/>
      <c r="D1047" s="253"/>
      <c r="E1047" s="253"/>
      <c r="F1047" s="253"/>
      <c r="G1047" s="253"/>
      <c r="H1047" s="253"/>
      <c r="I1047" s="253"/>
      <c r="J1047" s="253"/>
      <c r="K1047" s="253"/>
      <c r="L1047" s="253"/>
      <c r="M1047" s="253"/>
      <c r="N1047" s="253"/>
      <c r="O1047" s="253"/>
      <c r="P1047" s="253"/>
      <c r="Q1047" s="253"/>
    </row>
    <row r="1048" spans="1:17">
      <c r="A1048" s="253"/>
      <c r="B1048" s="253"/>
      <c r="C1048" s="253"/>
      <c r="D1048" s="253"/>
      <c r="E1048" s="253"/>
      <c r="F1048" s="253"/>
      <c r="G1048" s="253"/>
      <c r="H1048" s="253"/>
      <c r="I1048" s="253"/>
      <c r="J1048" s="253"/>
      <c r="K1048" s="253"/>
      <c r="L1048" s="253"/>
      <c r="M1048" s="253"/>
      <c r="N1048" s="253"/>
      <c r="O1048" s="253"/>
      <c r="P1048" s="253"/>
      <c r="Q1048" s="253"/>
    </row>
    <row r="1049" spans="1:17">
      <c r="A1049" s="253"/>
      <c r="B1049" s="253"/>
      <c r="C1049" s="253"/>
      <c r="D1049" s="253"/>
      <c r="E1049" s="253"/>
      <c r="F1049" s="253"/>
      <c r="G1049" s="253"/>
      <c r="H1049" s="253"/>
      <c r="I1049" s="253"/>
      <c r="J1049" s="253"/>
      <c r="K1049" s="253"/>
      <c r="L1049" s="253"/>
      <c r="M1049" s="253"/>
      <c r="N1049" s="253"/>
      <c r="O1049" s="253"/>
      <c r="P1049" s="253"/>
      <c r="Q1049" s="253"/>
    </row>
    <row r="1050" spans="1:17">
      <c r="A1050" s="253"/>
      <c r="B1050" s="253"/>
      <c r="C1050" s="253"/>
      <c r="D1050" s="253"/>
      <c r="E1050" s="253"/>
      <c r="F1050" s="253"/>
      <c r="G1050" s="253"/>
      <c r="H1050" s="253"/>
      <c r="I1050" s="253"/>
      <c r="J1050" s="253"/>
      <c r="K1050" s="253"/>
      <c r="L1050" s="253"/>
      <c r="M1050" s="253"/>
      <c r="N1050" s="253"/>
      <c r="O1050" s="253"/>
      <c r="P1050" s="253"/>
      <c r="Q1050" s="253"/>
    </row>
    <row r="1051" spans="1:17">
      <c r="A1051" s="253"/>
      <c r="B1051" s="253"/>
      <c r="C1051" s="253"/>
      <c r="D1051" s="253"/>
      <c r="E1051" s="253"/>
      <c r="F1051" s="253"/>
      <c r="G1051" s="253"/>
      <c r="H1051" s="253"/>
      <c r="I1051" s="253"/>
      <c r="J1051" s="253"/>
      <c r="K1051" s="253"/>
      <c r="L1051" s="253"/>
      <c r="M1051" s="253"/>
      <c r="N1051" s="253"/>
      <c r="O1051" s="253"/>
      <c r="P1051" s="253"/>
      <c r="Q1051" s="253"/>
    </row>
    <row r="1052" spans="1:17">
      <c r="A1052" s="253"/>
      <c r="B1052" s="253"/>
      <c r="C1052" s="253"/>
      <c r="D1052" s="253"/>
      <c r="E1052" s="253"/>
      <c r="F1052" s="253"/>
      <c r="G1052" s="253"/>
      <c r="H1052" s="253"/>
      <c r="I1052" s="253"/>
      <c r="J1052" s="253"/>
      <c r="K1052" s="253"/>
      <c r="L1052" s="253"/>
      <c r="M1052" s="253"/>
      <c r="N1052" s="253"/>
      <c r="O1052" s="253"/>
      <c r="P1052" s="253"/>
      <c r="Q1052" s="253"/>
    </row>
    <row r="1053" spans="1:17">
      <c r="A1053" s="253"/>
      <c r="B1053" s="253"/>
      <c r="C1053" s="253"/>
      <c r="D1053" s="253"/>
      <c r="E1053" s="253"/>
      <c r="F1053" s="253"/>
      <c r="G1053" s="253"/>
      <c r="H1053" s="253"/>
      <c r="I1053" s="253"/>
      <c r="J1053" s="253"/>
      <c r="K1053" s="253"/>
      <c r="L1053" s="253"/>
      <c r="M1053" s="253"/>
      <c r="N1053" s="253"/>
      <c r="O1053" s="253"/>
      <c r="P1053" s="253"/>
      <c r="Q1053" s="253"/>
    </row>
    <row r="1054" spans="1:17">
      <c r="A1054" s="253"/>
      <c r="B1054" s="253"/>
      <c r="C1054" s="253"/>
      <c r="D1054" s="253"/>
      <c r="E1054" s="253"/>
      <c r="F1054" s="253"/>
      <c r="G1054" s="253"/>
      <c r="H1054" s="253"/>
      <c r="I1054" s="253"/>
      <c r="J1054" s="253"/>
      <c r="K1054" s="253"/>
      <c r="L1054" s="253"/>
      <c r="M1054" s="253"/>
      <c r="N1054" s="253"/>
      <c r="O1054" s="253"/>
      <c r="P1054" s="253"/>
      <c r="Q1054" s="253"/>
    </row>
    <row r="1055" spans="1:17">
      <c r="A1055" s="253"/>
      <c r="B1055" s="253"/>
      <c r="C1055" s="253"/>
      <c r="D1055" s="253"/>
      <c r="E1055" s="253"/>
      <c r="F1055" s="253"/>
      <c r="G1055" s="253"/>
      <c r="H1055" s="253"/>
      <c r="I1055" s="253"/>
      <c r="J1055" s="253"/>
      <c r="K1055" s="253"/>
      <c r="L1055" s="253"/>
      <c r="M1055" s="253"/>
      <c r="N1055" s="253"/>
      <c r="O1055" s="253"/>
      <c r="P1055" s="253"/>
      <c r="Q1055" s="253"/>
    </row>
    <row r="1056" spans="1:17">
      <c r="A1056" s="253"/>
      <c r="B1056" s="253"/>
      <c r="C1056" s="253"/>
      <c r="D1056" s="253"/>
      <c r="E1056" s="253"/>
      <c r="F1056" s="253"/>
      <c r="G1056" s="253"/>
      <c r="H1056" s="253"/>
      <c r="I1056" s="253"/>
      <c r="J1056" s="253"/>
      <c r="K1056" s="253"/>
      <c r="L1056" s="253"/>
      <c r="M1056" s="253"/>
      <c r="N1056" s="253"/>
      <c r="O1056" s="253"/>
      <c r="P1056" s="253"/>
      <c r="Q1056" s="253"/>
    </row>
    <row r="1057" spans="1:17">
      <c r="A1057" s="253"/>
      <c r="B1057" s="253"/>
      <c r="C1057" s="253"/>
      <c r="D1057" s="253"/>
      <c r="E1057" s="253"/>
      <c r="F1057" s="253"/>
      <c r="G1057" s="253"/>
      <c r="H1057" s="253"/>
      <c r="I1057" s="253"/>
      <c r="J1057" s="253"/>
      <c r="K1057" s="253"/>
      <c r="L1057" s="253"/>
      <c r="M1057" s="253"/>
      <c r="N1057" s="253"/>
      <c r="O1057" s="253"/>
      <c r="P1057" s="253"/>
      <c r="Q1057" s="253"/>
    </row>
    <row r="1058" spans="1:17">
      <c r="A1058" s="253"/>
      <c r="B1058" s="253"/>
      <c r="C1058" s="253"/>
      <c r="D1058" s="253"/>
      <c r="E1058" s="253"/>
      <c r="F1058" s="253"/>
      <c r="G1058" s="253"/>
      <c r="H1058" s="253"/>
      <c r="I1058" s="253"/>
      <c r="J1058" s="253"/>
      <c r="K1058" s="253"/>
      <c r="L1058" s="253"/>
      <c r="M1058" s="253"/>
      <c r="N1058" s="253"/>
      <c r="O1058" s="253"/>
      <c r="P1058" s="253"/>
      <c r="Q1058" s="253"/>
    </row>
    <row r="1059" spans="1:17">
      <c r="A1059" s="253"/>
      <c r="B1059" s="253"/>
      <c r="C1059" s="253"/>
      <c r="D1059" s="253"/>
      <c r="E1059" s="253"/>
      <c r="F1059" s="253"/>
      <c r="G1059" s="253"/>
      <c r="H1059" s="253"/>
      <c r="I1059" s="253"/>
      <c r="J1059" s="253"/>
      <c r="K1059" s="253"/>
      <c r="L1059" s="253"/>
      <c r="M1059" s="253"/>
      <c r="N1059" s="253"/>
      <c r="O1059" s="253"/>
      <c r="P1059" s="253"/>
      <c r="Q1059" s="253"/>
    </row>
    <row r="1060" spans="1:17">
      <c r="A1060" s="253"/>
      <c r="B1060" s="253"/>
      <c r="C1060" s="253"/>
      <c r="D1060" s="253"/>
      <c r="E1060" s="253"/>
      <c r="F1060" s="253"/>
      <c r="G1060" s="253"/>
      <c r="H1060" s="253"/>
      <c r="I1060" s="253"/>
      <c r="J1060" s="253"/>
      <c r="K1060" s="253"/>
      <c r="L1060" s="253"/>
      <c r="M1060" s="253"/>
      <c r="N1060" s="253"/>
      <c r="O1060" s="253"/>
      <c r="P1060" s="253"/>
      <c r="Q1060" s="253"/>
    </row>
    <row r="1061" spans="1:17">
      <c r="A1061" s="253"/>
      <c r="B1061" s="253"/>
      <c r="C1061" s="253"/>
      <c r="D1061" s="253"/>
      <c r="E1061" s="253"/>
      <c r="F1061" s="253"/>
      <c r="G1061" s="253"/>
      <c r="H1061" s="253"/>
      <c r="I1061" s="253"/>
      <c r="J1061" s="253"/>
      <c r="K1061" s="253"/>
      <c r="L1061" s="253"/>
      <c r="M1061" s="253"/>
      <c r="N1061" s="253"/>
      <c r="O1061" s="253"/>
      <c r="P1061" s="253"/>
      <c r="Q1061" s="253"/>
    </row>
    <row r="1062" spans="1:17">
      <c r="A1062" s="253"/>
      <c r="B1062" s="253"/>
      <c r="C1062" s="253"/>
      <c r="D1062" s="253"/>
      <c r="E1062" s="253"/>
      <c r="F1062" s="253"/>
      <c r="G1062" s="253"/>
      <c r="H1062" s="253"/>
      <c r="I1062" s="253"/>
      <c r="J1062" s="253"/>
      <c r="K1062" s="253"/>
      <c r="L1062" s="253"/>
      <c r="M1062" s="253"/>
      <c r="N1062" s="253"/>
      <c r="O1062" s="253"/>
      <c r="P1062" s="253"/>
      <c r="Q1062" s="253"/>
    </row>
    <row r="1063" spans="1:17">
      <c r="A1063" s="253"/>
      <c r="B1063" s="253"/>
      <c r="C1063" s="253"/>
      <c r="D1063" s="253"/>
      <c r="E1063" s="253"/>
      <c r="F1063" s="253"/>
      <c r="G1063" s="253"/>
      <c r="H1063" s="253"/>
      <c r="I1063" s="253"/>
      <c r="J1063" s="253"/>
      <c r="K1063" s="253"/>
      <c r="L1063" s="253"/>
      <c r="M1063" s="253"/>
      <c r="N1063" s="253"/>
      <c r="O1063" s="253"/>
      <c r="P1063" s="253"/>
      <c r="Q1063" s="253"/>
    </row>
    <row r="1064" spans="1:17">
      <c r="A1064" s="253"/>
      <c r="B1064" s="253"/>
      <c r="C1064" s="253"/>
      <c r="D1064" s="253"/>
      <c r="E1064" s="253"/>
      <c r="F1064" s="253"/>
      <c r="G1064" s="253"/>
      <c r="H1064" s="253"/>
      <c r="I1064" s="253"/>
      <c r="J1064" s="253"/>
      <c r="K1064" s="253"/>
      <c r="L1064" s="253"/>
      <c r="M1064" s="253"/>
      <c r="N1064" s="253"/>
      <c r="O1064" s="253"/>
      <c r="P1064" s="253"/>
      <c r="Q1064" s="253"/>
    </row>
    <row r="1065" spans="1:17">
      <c r="A1065" s="253"/>
      <c r="B1065" s="253"/>
      <c r="C1065" s="253"/>
      <c r="D1065" s="253"/>
      <c r="E1065" s="253"/>
      <c r="F1065" s="253"/>
      <c r="G1065" s="253"/>
      <c r="H1065" s="253"/>
      <c r="I1065" s="253"/>
      <c r="J1065" s="253"/>
      <c r="K1065" s="253"/>
      <c r="L1065" s="253"/>
      <c r="M1065" s="253"/>
      <c r="N1065" s="253"/>
      <c r="O1065" s="253"/>
      <c r="P1065" s="253"/>
      <c r="Q1065" s="253"/>
    </row>
    <row r="1066" spans="1:17">
      <c r="A1066" s="253"/>
      <c r="B1066" s="253"/>
      <c r="C1066" s="253"/>
      <c r="D1066" s="253"/>
      <c r="E1066" s="253"/>
      <c r="F1066" s="253"/>
      <c r="G1066" s="253"/>
      <c r="H1066" s="253"/>
      <c r="I1066" s="253"/>
      <c r="J1066" s="253"/>
      <c r="K1066" s="253"/>
      <c r="L1066" s="253"/>
      <c r="M1066" s="253"/>
      <c r="N1066" s="253"/>
      <c r="O1066" s="253"/>
      <c r="P1066" s="253"/>
      <c r="Q1066" s="253"/>
    </row>
    <row r="1067" spans="1:17">
      <c r="A1067" s="253"/>
      <c r="B1067" s="253"/>
      <c r="C1067" s="253"/>
      <c r="D1067" s="253"/>
      <c r="E1067" s="253"/>
      <c r="F1067" s="253"/>
      <c r="G1067" s="253"/>
      <c r="H1067" s="253"/>
      <c r="I1067" s="253"/>
      <c r="J1067" s="253"/>
      <c r="K1067" s="253"/>
      <c r="L1067" s="253"/>
      <c r="M1067" s="253"/>
      <c r="N1067" s="253"/>
      <c r="O1067" s="253"/>
      <c r="P1067" s="253"/>
      <c r="Q1067" s="253"/>
    </row>
    <row r="1068" spans="1:17">
      <c r="A1068" s="253"/>
      <c r="B1068" s="253"/>
      <c r="C1068" s="253"/>
      <c r="D1068" s="253"/>
      <c r="E1068" s="253"/>
      <c r="F1068" s="253"/>
      <c r="G1068" s="253"/>
      <c r="H1068" s="253"/>
      <c r="I1068" s="253"/>
      <c r="J1068" s="253"/>
      <c r="K1068" s="253"/>
      <c r="L1068" s="253"/>
      <c r="M1068" s="253"/>
      <c r="N1068" s="253"/>
      <c r="O1068" s="253"/>
      <c r="P1068" s="253"/>
      <c r="Q1068" s="253"/>
    </row>
    <row r="1069" spans="1:17">
      <c r="A1069" s="253"/>
      <c r="B1069" s="253"/>
      <c r="C1069" s="253"/>
      <c r="D1069" s="253"/>
      <c r="E1069" s="253"/>
      <c r="F1069" s="253"/>
      <c r="G1069" s="253"/>
      <c r="H1069" s="253"/>
      <c r="I1069" s="253"/>
      <c r="J1069" s="253"/>
      <c r="K1069" s="253"/>
      <c r="L1069" s="253"/>
      <c r="M1069" s="253"/>
      <c r="N1069" s="253"/>
      <c r="O1069" s="253"/>
      <c r="P1069" s="253"/>
      <c r="Q1069" s="253"/>
    </row>
    <row r="1070" spans="1:17">
      <c r="A1070" s="253"/>
      <c r="B1070" s="253"/>
      <c r="C1070" s="253"/>
      <c r="D1070" s="253"/>
      <c r="E1070" s="253"/>
      <c r="F1070" s="253"/>
      <c r="G1070" s="253"/>
      <c r="H1070" s="253"/>
      <c r="I1070" s="253"/>
      <c r="J1070" s="253"/>
      <c r="K1070" s="253"/>
      <c r="L1070" s="253"/>
      <c r="M1070" s="253"/>
      <c r="N1070" s="253"/>
      <c r="O1070" s="253"/>
      <c r="P1070" s="253"/>
      <c r="Q1070" s="253"/>
    </row>
    <row r="1071" spans="1:17">
      <c r="A1071" s="253"/>
      <c r="B1071" s="253"/>
      <c r="C1071" s="253"/>
      <c r="D1071" s="253"/>
      <c r="E1071" s="253"/>
      <c r="F1071" s="253"/>
      <c r="G1071" s="253"/>
      <c r="H1071" s="253"/>
      <c r="I1071" s="253"/>
      <c r="J1071" s="253"/>
      <c r="K1071" s="253"/>
      <c r="L1071" s="253"/>
      <c r="M1071" s="253"/>
      <c r="N1071" s="253"/>
      <c r="O1071" s="253"/>
      <c r="P1071" s="253"/>
      <c r="Q1071" s="253"/>
    </row>
    <row r="1072" spans="1:17">
      <c r="A1072" s="253"/>
      <c r="B1072" s="253"/>
      <c r="C1072" s="253"/>
      <c r="D1072" s="253"/>
      <c r="E1072" s="253"/>
      <c r="F1072" s="253"/>
      <c r="G1072" s="253"/>
      <c r="H1072" s="253"/>
      <c r="I1072" s="253"/>
      <c r="J1072" s="253"/>
      <c r="K1072" s="253"/>
      <c r="L1072" s="253"/>
      <c r="M1072" s="253"/>
      <c r="N1072" s="253"/>
      <c r="O1072" s="253"/>
      <c r="P1072" s="253"/>
      <c r="Q1072" s="253"/>
    </row>
    <row r="1073" spans="1:17">
      <c r="A1073" s="253"/>
      <c r="B1073" s="253"/>
      <c r="C1073" s="253"/>
      <c r="D1073" s="253"/>
      <c r="E1073" s="253"/>
      <c r="F1073" s="253"/>
      <c r="G1073" s="253"/>
      <c r="H1073" s="253"/>
      <c r="I1073" s="253"/>
      <c r="J1073" s="253"/>
      <c r="K1073" s="253"/>
      <c r="L1073" s="253"/>
      <c r="M1073" s="253"/>
      <c r="N1073" s="253"/>
      <c r="O1073" s="253"/>
      <c r="P1073" s="253"/>
      <c r="Q1073" s="253"/>
    </row>
    <row r="1074" spans="1:17">
      <c r="A1074" s="253"/>
      <c r="B1074" s="253"/>
      <c r="C1074" s="253"/>
      <c r="D1074" s="253"/>
      <c r="E1074" s="253"/>
      <c r="F1074" s="253"/>
      <c r="G1074" s="253"/>
      <c r="H1074" s="253"/>
      <c r="I1074" s="253"/>
      <c r="J1074" s="253"/>
      <c r="K1074" s="253"/>
      <c r="L1074" s="253"/>
      <c r="M1074" s="253"/>
      <c r="N1074" s="253"/>
      <c r="O1074" s="253"/>
      <c r="P1074" s="253"/>
      <c r="Q1074" s="253"/>
    </row>
    <row r="1075" spans="1:17">
      <c r="A1075" s="253"/>
      <c r="B1075" s="253"/>
      <c r="C1075" s="253"/>
      <c r="D1075" s="253"/>
      <c r="E1075" s="253"/>
      <c r="F1075" s="253"/>
      <c r="G1075" s="253"/>
      <c r="H1075" s="253"/>
      <c r="I1075" s="253"/>
      <c r="J1075" s="253"/>
      <c r="K1075" s="253"/>
      <c r="L1075" s="253"/>
      <c r="M1075" s="253"/>
      <c r="N1075" s="253"/>
      <c r="O1075" s="253"/>
      <c r="P1075" s="253"/>
      <c r="Q1075" s="253"/>
    </row>
    <row r="1076" spans="1:17">
      <c r="A1076" s="253"/>
      <c r="B1076" s="253"/>
      <c r="C1076" s="253"/>
      <c r="D1076" s="253"/>
      <c r="E1076" s="253"/>
      <c r="F1076" s="253"/>
      <c r="G1076" s="253"/>
      <c r="H1076" s="253"/>
      <c r="I1076" s="253"/>
      <c r="J1076" s="253"/>
      <c r="K1076" s="253"/>
      <c r="L1076" s="253"/>
      <c r="M1076" s="253"/>
      <c r="N1076" s="253"/>
      <c r="O1076" s="253"/>
      <c r="P1076" s="253"/>
      <c r="Q1076" s="253"/>
    </row>
    <row r="1077" spans="1:17">
      <c r="A1077" s="253"/>
      <c r="B1077" s="253"/>
      <c r="C1077" s="253"/>
      <c r="D1077" s="253"/>
      <c r="E1077" s="253"/>
      <c r="F1077" s="253"/>
      <c r="G1077" s="253"/>
      <c r="H1077" s="253"/>
      <c r="I1077" s="253"/>
      <c r="J1077" s="253"/>
      <c r="K1077" s="253"/>
      <c r="L1077" s="253"/>
      <c r="M1077" s="253"/>
      <c r="N1077" s="253"/>
      <c r="O1077" s="253"/>
      <c r="P1077" s="253"/>
      <c r="Q1077" s="253"/>
    </row>
    <row r="1078" spans="1:17">
      <c r="A1078" s="253"/>
      <c r="B1078" s="253"/>
      <c r="C1078" s="253"/>
      <c r="D1078" s="253"/>
      <c r="E1078" s="253"/>
      <c r="F1078" s="253"/>
      <c r="G1078" s="253"/>
      <c r="H1078" s="253"/>
      <c r="I1078" s="253"/>
      <c r="J1078" s="253"/>
      <c r="K1078" s="253"/>
      <c r="L1078" s="253"/>
      <c r="M1078" s="253"/>
      <c r="N1078" s="253"/>
      <c r="O1078" s="253"/>
      <c r="P1078" s="253"/>
      <c r="Q1078" s="253"/>
    </row>
    <row r="1079" spans="1:17">
      <c r="A1079" s="253"/>
      <c r="B1079" s="253"/>
      <c r="C1079" s="253"/>
      <c r="D1079" s="253"/>
      <c r="E1079" s="253"/>
      <c r="F1079" s="253"/>
      <c r="G1079" s="253"/>
      <c r="H1079" s="253"/>
      <c r="I1079" s="253"/>
      <c r="J1079" s="253"/>
      <c r="K1079" s="253"/>
      <c r="L1079" s="253"/>
      <c r="M1079" s="253"/>
      <c r="N1079" s="253"/>
      <c r="O1079" s="253"/>
      <c r="P1079" s="253"/>
      <c r="Q1079" s="253"/>
    </row>
    <row r="1080" spans="1:17">
      <c r="A1080" s="253"/>
      <c r="B1080" s="253"/>
      <c r="C1080" s="253"/>
      <c r="D1080" s="253"/>
      <c r="E1080" s="253"/>
      <c r="F1080" s="253"/>
      <c r="G1080" s="253"/>
      <c r="H1080" s="253"/>
      <c r="I1080" s="253"/>
      <c r="J1080" s="253"/>
      <c r="K1080" s="253"/>
      <c r="L1080" s="253"/>
      <c r="M1080" s="253"/>
      <c r="N1080" s="253"/>
      <c r="O1080" s="253"/>
      <c r="P1080" s="253"/>
      <c r="Q1080" s="253"/>
    </row>
    <row r="1081" spans="1:17">
      <c r="A1081" s="253"/>
      <c r="B1081" s="253"/>
      <c r="C1081" s="253"/>
      <c r="D1081" s="253"/>
      <c r="E1081" s="253"/>
      <c r="F1081" s="253"/>
      <c r="G1081" s="253"/>
      <c r="H1081" s="253"/>
      <c r="I1081" s="253"/>
      <c r="J1081" s="253"/>
      <c r="K1081" s="253"/>
      <c r="L1081" s="253"/>
      <c r="M1081" s="253"/>
      <c r="N1081" s="253"/>
      <c r="O1081" s="253"/>
      <c r="P1081" s="253"/>
      <c r="Q1081" s="253"/>
    </row>
    <row r="1082" spans="1:17">
      <c r="A1082" s="253"/>
      <c r="B1082" s="253"/>
      <c r="C1082" s="253"/>
      <c r="D1082" s="253"/>
      <c r="E1082" s="253"/>
      <c r="F1082" s="253"/>
      <c r="G1082" s="253"/>
      <c r="H1082" s="253"/>
      <c r="I1082" s="253"/>
      <c r="J1082" s="253"/>
      <c r="K1082" s="253"/>
      <c r="L1082" s="253"/>
      <c r="M1082" s="253"/>
      <c r="N1082" s="253"/>
      <c r="O1082" s="253"/>
      <c r="P1082" s="253"/>
      <c r="Q1082" s="253"/>
    </row>
    <row r="1083" spans="1:17">
      <c r="A1083" s="253"/>
      <c r="B1083" s="253"/>
      <c r="C1083" s="253"/>
      <c r="D1083" s="253"/>
      <c r="E1083" s="253"/>
      <c r="F1083" s="253"/>
      <c r="G1083" s="253"/>
      <c r="H1083" s="253"/>
      <c r="I1083" s="253"/>
      <c r="J1083" s="253"/>
      <c r="K1083" s="253"/>
      <c r="L1083" s="253"/>
      <c r="M1083" s="253"/>
      <c r="N1083" s="253"/>
      <c r="O1083" s="253"/>
      <c r="P1083" s="253"/>
      <c r="Q1083" s="253"/>
    </row>
    <row r="1084" spans="1:17">
      <c r="A1084" s="253"/>
      <c r="B1084" s="253"/>
      <c r="C1084" s="253"/>
      <c r="D1084" s="253"/>
      <c r="E1084" s="253"/>
      <c r="F1084" s="253"/>
      <c r="G1084" s="253"/>
      <c r="H1084" s="253"/>
      <c r="I1084" s="253"/>
      <c r="J1084" s="253"/>
      <c r="K1084" s="253"/>
      <c r="L1084" s="253"/>
      <c r="M1084" s="253"/>
      <c r="N1084" s="253"/>
      <c r="O1084" s="253"/>
      <c r="P1084" s="253"/>
      <c r="Q1084" s="253"/>
    </row>
    <row r="1085" spans="1:17">
      <c r="A1085" s="253"/>
      <c r="B1085" s="253"/>
      <c r="C1085" s="253"/>
      <c r="D1085" s="253"/>
      <c r="E1085" s="253"/>
      <c r="F1085" s="253"/>
      <c r="G1085" s="253"/>
      <c r="H1085" s="253"/>
      <c r="I1085" s="253"/>
      <c r="J1085" s="253"/>
      <c r="K1085" s="253"/>
      <c r="L1085" s="253"/>
      <c r="M1085" s="253"/>
      <c r="N1085" s="253"/>
      <c r="O1085" s="253"/>
      <c r="P1085" s="253"/>
      <c r="Q1085" s="253"/>
    </row>
    <row r="1086" spans="1:17">
      <c r="A1086" s="253"/>
      <c r="B1086" s="253"/>
      <c r="C1086" s="253"/>
      <c r="D1086" s="253"/>
      <c r="E1086" s="253"/>
      <c r="F1086" s="253"/>
      <c r="G1086" s="253"/>
      <c r="H1086" s="253"/>
      <c r="I1086" s="253"/>
      <c r="J1086" s="253"/>
      <c r="K1086" s="253"/>
      <c r="L1086" s="253"/>
      <c r="M1086" s="253"/>
      <c r="N1086" s="253"/>
      <c r="O1086" s="253"/>
      <c r="P1086" s="253"/>
      <c r="Q1086" s="253"/>
    </row>
    <row r="1087" spans="1:17">
      <c r="A1087" s="253"/>
      <c r="B1087" s="253"/>
      <c r="C1087" s="253"/>
      <c r="D1087" s="253"/>
      <c r="E1087" s="253"/>
      <c r="F1087" s="253"/>
      <c r="G1087" s="253"/>
      <c r="H1087" s="253"/>
      <c r="I1087" s="253"/>
      <c r="J1087" s="253"/>
      <c r="K1087" s="253"/>
      <c r="L1087" s="253"/>
      <c r="M1087" s="253"/>
      <c r="N1087" s="253"/>
      <c r="O1087" s="253"/>
      <c r="P1087" s="253"/>
      <c r="Q1087" s="253"/>
    </row>
    <row r="1088" spans="1:17">
      <c r="A1088" s="253"/>
      <c r="B1088" s="253"/>
      <c r="C1088" s="253"/>
      <c r="D1088" s="253"/>
      <c r="E1088" s="253"/>
      <c r="F1088" s="253"/>
      <c r="G1088" s="253"/>
      <c r="H1088" s="253"/>
      <c r="I1088" s="253"/>
      <c r="J1088" s="253"/>
      <c r="K1088" s="253"/>
      <c r="L1088" s="253"/>
      <c r="M1088" s="253"/>
      <c r="N1088" s="253"/>
      <c r="O1088" s="253"/>
      <c r="P1088" s="253"/>
      <c r="Q1088" s="253"/>
    </row>
    <row r="1089" spans="1:17">
      <c r="A1089" s="253"/>
      <c r="B1089" s="253"/>
      <c r="C1089" s="253"/>
      <c r="D1089" s="253"/>
      <c r="E1089" s="253"/>
      <c r="F1089" s="253"/>
      <c r="G1089" s="253"/>
      <c r="H1089" s="253"/>
      <c r="I1089" s="253"/>
      <c r="J1089" s="253"/>
      <c r="K1089" s="253"/>
      <c r="L1089" s="253"/>
      <c r="M1089" s="253"/>
      <c r="N1089" s="253"/>
      <c r="O1089" s="253"/>
      <c r="P1089" s="253"/>
      <c r="Q1089" s="253"/>
    </row>
    <row r="1090" spans="1:17">
      <c r="A1090" s="253"/>
      <c r="B1090" s="253"/>
      <c r="C1090" s="253"/>
      <c r="D1090" s="253"/>
      <c r="E1090" s="253"/>
      <c r="F1090" s="253"/>
      <c r="G1090" s="253"/>
      <c r="H1090" s="253"/>
      <c r="I1090" s="253"/>
      <c r="J1090" s="253"/>
      <c r="K1090" s="253"/>
      <c r="L1090" s="253"/>
      <c r="M1090" s="253"/>
      <c r="N1090" s="253"/>
      <c r="O1090" s="253"/>
      <c r="P1090" s="253"/>
      <c r="Q1090" s="253"/>
    </row>
    <row r="1091" spans="1:17">
      <c r="A1091" s="253"/>
      <c r="B1091" s="253"/>
      <c r="C1091" s="253"/>
      <c r="D1091" s="253"/>
      <c r="E1091" s="253"/>
      <c r="F1091" s="253"/>
      <c r="G1091" s="253"/>
      <c r="H1091" s="253"/>
      <c r="I1091" s="253"/>
      <c r="J1091" s="253"/>
      <c r="K1091" s="253"/>
      <c r="L1091" s="253"/>
      <c r="M1091" s="253"/>
      <c r="N1091" s="253"/>
      <c r="O1091" s="253"/>
      <c r="P1091" s="253"/>
      <c r="Q1091" s="253"/>
    </row>
    <row r="1092" spans="1:17">
      <c r="A1092" s="253"/>
      <c r="B1092" s="253"/>
      <c r="C1092" s="253"/>
      <c r="D1092" s="253"/>
      <c r="E1092" s="253"/>
      <c r="F1092" s="253"/>
      <c r="G1092" s="253"/>
      <c r="H1092" s="253"/>
      <c r="I1092" s="253"/>
      <c r="J1092" s="253"/>
      <c r="K1092" s="253"/>
      <c r="L1092" s="253"/>
      <c r="M1092" s="253"/>
      <c r="N1092" s="253"/>
      <c r="O1092" s="253"/>
      <c r="P1092" s="253"/>
      <c r="Q1092" s="253"/>
    </row>
    <row r="1093" spans="1:17">
      <c r="A1093" s="253"/>
      <c r="B1093" s="253"/>
      <c r="C1093" s="253"/>
      <c r="D1093" s="253"/>
      <c r="E1093" s="253"/>
      <c r="F1093" s="253"/>
      <c r="G1093" s="253"/>
      <c r="H1093" s="253"/>
      <c r="I1093" s="253"/>
      <c r="J1093" s="253"/>
      <c r="K1093" s="253"/>
      <c r="L1093" s="253"/>
      <c r="M1093" s="253"/>
      <c r="N1093" s="253"/>
      <c r="O1093" s="253"/>
      <c r="P1093" s="253"/>
      <c r="Q1093" s="253"/>
    </row>
    <row r="1094" spans="1:17">
      <c r="A1094" s="253"/>
      <c r="B1094" s="253"/>
      <c r="C1094" s="253"/>
      <c r="D1094" s="253"/>
      <c r="E1094" s="253"/>
      <c r="F1094" s="253"/>
      <c r="G1094" s="253"/>
      <c r="H1094" s="253"/>
      <c r="I1094" s="253"/>
      <c r="J1094" s="253"/>
      <c r="K1094" s="253"/>
      <c r="L1094" s="253"/>
      <c r="M1094" s="253"/>
      <c r="N1094" s="253"/>
      <c r="O1094" s="253"/>
      <c r="P1094" s="253"/>
      <c r="Q1094" s="253"/>
    </row>
    <row r="1095" spans="1:17">
      <c r="A1095" s="253"/>
      <c r="B1095" s="253"/>
      <c r="C1095" s="253"/>
      <c r="D1095" s="253"/>
      <c r="E1095" s="253"/>
      <c r="F1095" s="253"/>
      <c r="G1095" s="253"/>
      <c r="H1095" s="253"/>
      <c r="I1095" s="253"/>
      <c r="J1095" s="253"/>
      <c r="K1095" s="253"/>
      <c r="L1095" s="253"/>
      <c r="M1095" s="253"/>
      <c r="N1095" s="253"/>
      <c r="O1095" s="253"/>
      <c r="P1095" s="253"/>
      <c r="Q1095" s="253"/>
    </row>
    <row r="1096" spans="1:17">
      <c r="A1096" s="253"/>
      <c r="B1096" s="253"/>
      <c r="C1096" s="253"/>
      <c r="D1096" s="253"/>
      <c r="E1096" s="253"/>
      <c r="F1096" s="253"/>
      <c r="G1096" s="253"/>
      <c r="H1096" s="253"/>
      <c r="I1096" s="253"/>
      <c r="J1096" s="253"/>
      <c r="K1096" s="253"/>
      <c r="L1096" s="253"/>
      <c r="M1096" s="253"/>
      <c r="N1096" s="253"/>
      <c r="O1096" s="253"/>
      <c r="P1096" s="253"/>
      <c r="Q1096" s="253"/>
    </row>
    <row r="1097" spans="1:17">
      <c r="A1097" s="253"/>
      <c r="B1097" s="253"/>
      <c r="C1097" s="253"/>
      <c r="D1097" s="253"/>
      <c r="E1097" s="253"/>
      <c r="F1097" s="253"/>
      <c r="G1097" s="253"/>
      <c r="H1097" s="253"/>
      <c r="I1097" s="253"/>
      <c r="J1097" s="253"/>
      <c r="K1097" s="253"/>
      <c r="L1097" s="253"/>
      <c r="M1097" s="253"/>
      <c r="N1097" s="253"/>
      <c r="O1097" s="253"/>
      <c r="P1097" s="253"/>
      <c r="Q1097" s="253"/>
    </row>
    <row r="1098" spans="1:17">
      <c r="A1098" s="253"/>
      <c r="B1098" s="253"/>
      <c r="C1098" s="253"/>
      <c r="D1098" s="253"/>
      <c r="E1098" s="253"/>
      <c r="F1098" s="253"/>
      <c r="G1098" s="253"/>
      <c r="H1098" s="253"/>
      <c r="I1098" s="253"/>
      <c r="J1098" s="253"/>
      <c r="K1098" s="253"/>
      <c r="L1098" s="253"/>
      <c r="M1098" s="253"/>
      <c r="N1098" s="253"/>
      <c r="O1098" s="253"/>
      <c r="P1098" s="253"/>
      <c r="Q1098" s="253"/>
    </row>
    <row r="1099" spans="1:17">
      <c r="A1099" s="253"/>
      <c r="B1099" s="253"/>
      <c r="C1099" s="253"/>
      <c r="D1099" s="253"/>
      <c r="E1099" s="253"/>
      <c r="F1099" s="253"/>
      <c r="G1099" s="253"/>
      <c r="H1099" s="253"/>
      <c r="I1099" s="253"/>
      <c r="J1099" s="253"/>
      <c r="K1099" s="253"/>
      <c r="L1099" s="253"/>
      <c r="M1099" s="253"/>
      <c r="N1099" s="253"/>
      <c r="O1099" s="253"/>
      <c r="P1099" s="253"/>
      <c r="Q1099" s="253"/>
    </row>
    <row r="1100" spans="1:17">
      <c r="A1100" s="253"/>
      <c r="B1100" s="253"/>
      <c r="C1100" s="253"/>
      <c r="D1100" s="253"/>
      <c r="E1100" s="253"/>
      <c r="F1100" s="253"/>
      <c r="G1100" s="253"/>
      <c r="H1100" s="253"/>
      <c r="I1100" s="253"/>
      <c r="J1100" s="253"/>
      <c r="K1100" s="253"/>
      <c r="L1100" s="253"/>
      <c r="M1100" s="253"/>
      <c r="N1100" s="253"/>
      <c r="O1100" s="253"/>
      <c r="P1100" s="253"/>
      <c r="Q1100" s="253"/>
    </row>
    <row r="1101" spans="1:17">
      <c r="A1101" s="253"/>
      <c r="B1101" s="253"/>
      <c r="C1101" s="253"/>
      <c r="D1101" s="253"/>
      <c r="E1101" s="253"/>
      <c r="F1101" s="253"/>
      <c r="G1101" s="253"/>
      <c r="H1101" s="253"/>
      <c r="I1101" s="253"/>
      <c r="J1101" s="253"/>
      <c r="K1101" s="253"/>
      <c r="L1101" s="253"/>
      <c r="M1101" s="253"/>
      <c r="N1101" s="253"/>
      <c r="O1101" s="253"/>
      <c r="P1101" s="253"/>
      <c r="Q1101" s="253"/>
    </row>
    <row r="1102" spans="1:17">
      <c r="A1102" s="253"/>
      <c r="B1102" s="253"/>
      <c r="C1102" s="253"/>
      <c r="D1102" s="253"/>
      <c r="E1102" s="253"/>
      <c r="F1102" s="253"/>
      <c r="G1102" s="253"/>
      <c r="H1102" s="253"/>
      <c r="I1102" s="253"/>
      <c r="J1102" s="253"/>
      <c r="K1102" s="253"/>
      <c r="L1102" s="253"/>
      <c r="M1102" s="253"/>
      <c r="N1102" s="253"/>
      <c r="O1102" s="253"/>
      <c r="P1102" s="253"/>
      <c r="Q1102" s="253"/>
    </row>
    <row r="1103" spans="1:17">
      <c r="A1103" s="253"/>
      <c r="B1103" s="253"/>
      <c r="C1103" s="253"/>
      <c r="D1103" s="253"/>
      <c r="E1103" s="253"/>
      <c r="F1103" s="253"/>
      <c r="G1103" s="253"/>
      <c r="H1103" s="253"/>
      <c r="I1103" s="253"/>
      <c r="J1103" s="253"/>
      <c r="K1103" s="253"/>
      <c r="L1103" s="253"/>
      <c r="M1103" s="253"/>
      <c r="N1103" s="253"/>
      <c r="O1103" s="253"/>
      <c r="P1103" s="253"/>
      <c r="Q1103" s="253"/>
    </row>
    <row r="1104" spans="1:17">
      <c r="A1104" s="253"/>
      <c r="B1104" s="253"/>
      <c r="C1104" s="253"/>
      <c r="D1104" s="253"/>
      <c r="E1104" s="253"/>
      <c r="F1104" s="253"/>
      <c r="G1104" s="253"/>
      <c r="H1104" s="253"/>
      <c r="I1104" s="253"/>
      <c r="J1104" s="253"/>
      <c r="K1104" s="253"/>
      <c r="L1104" s="253"/>
      <c r="M1104" s="253"/>
      <c r="N1104" s="253"/>
      <c r="O1104" s="253"/>
      <c r="P1104" s="253"/>
      <c r="Q1104" s="253"/>
    </row>
    <row r="1105" spans="1:17">
      <c r="A1105" s="253"/>
      <c r="B1105" s="253"/>
      <c r="C1105" s="253"/>
      <c r="D1105" s="253"/>
      <c r="E1105" s="253"/>
      <c r="F1105" s="253"/>
      <c r="G1105" s="253"/>
      <c r="H1105" s="253"/>
      <c r="I1105" s="253"/>
      <c r="J1105" s="253"/>
      <c r="K1105" s="253"/>
      <c r="L1105" s="253"/>
      <c r="M1105" s="253"/>
      <c r="N1105" s="253"/>
      <c r="O1105" s="253"/>
      <c r="P1105" s="253"/>
      <c r="Q1105" s="253"/>
    </row>
    <row r="1106" spans="1:17">
      <c r="A1106" s="253"/>
      <c r="B1106" s="253"/>
      <c r="C1106" s="253"/>
      <c r="D1106" s="253"/>
      <c r="E1106" s="253"/>
      <c r="F1106" s="253"/>
      <c r="G1106" s="253"/>
      <c r="H1106" s="253"/>
      <c r="I1106" s="253"/>
      <c r="J1106" s="253"/>
      <c r="K1106" s="253"/>
      <c r="L1106" s="253"/>
      <c r="M1106" s="253"/>
      <c r="N1106" s="253"/>
      <c r="O1106" s="253"/>
      <c r="P1106" s="253"/>
      <c r="Q1106" s="253"/>
    </row>
    <row r="1107" spans="1:17">
      <c r="A1107" s="253"/>
      <c r="B1107" s="253"/>
      <c r="C1107" s="253"/>
      <c r="D1107" s="253"/>
      <c r="E1107" s="253"/>
      <c r="F1107" s="253"/>
      <c r="G1107" s="253"/>
      <c r="H1107" s="253"/>
      <c r="I1107" s="253"/>
      <c r="J1107" s="253"/>
      <c r="K1107" s="253"/>
      <c r="L1107" s="253"/>
      <c r="M1107" s="253"/>
      <c r="N1107" s="253"/>
      <c r="O1107" s="253"/>
      <c r="P1107" s="253"/>
      <c r="Q1107" s="253"/>
    </row>
    <row r="1108" spans="1:17">
      <c r="A1108" s="253"/>
      <c r="B1108" s="253"/>
      <c r="C1108" s="253"/>
      <c r="D1108" s="253"/>
      <c r="E1108" s="253"/>
      <c r="F1108" s="253"/>
      <c r="G1108" s="253"/>
      <c r="H1108" s="253"/>
      <c r="I1108" s="253"/>
      <c r="J1108" s="253"/>
      <c r="K1108" s="253"/>
      <c r="L1108" s="253"/>
      <c r="M1108" s="253"/>
      <c r="N1108" s="253"/>
      <c r="O1108" s="253"/>
      <c r="P1108" s="253"/>
      <c r="Q1108" s="253"/>
    </row>
    <row r="1109" spans="1:17">
      <c r="A1109" s="253"/>
      <c r="B1109" s="253"/>
      <c r="C1109" s="253"/>
      <c r="D1109" s="253"/>
      <c r="E1109" s="253"/>
      <c r="F1109" s="253"/>
      <c r="G1109" s="253"/>
      <c r="H1109" s="253"/>
      <c r="I1109" s="253"/>
      <c r="J1109" s="253"/>
      <c r="K1109" s="253"/>
      <c r="L1109" s="253"/>
      <c r="M1109" s="253"/>
      <c r="N1109" s="253"/>
      <c r="O1109" s="253"/>
      <c r="P1109" s="253"/>
      <c r="Q1109" s="253"/>
    </row>
    <row r="1110" spans="1:17">
      <c r="A1110" s="253"/>
      <c r="B1110" s="253"/>
      <c r="C1110" s="253"/>
      <c r="D1110" s="253"/>
      <c r="E1110" s="253"/>
      <c r="F1110" s="253"/>
      <c r="G1110" s="253"/>
      <c r="H1110" s="253"/>
      <c r="I1110" s="253"/>
      <c r="J1110" s="253"/>
      <c r="K1110" s="253"/>
      <c r="L1110" s="253"/>
      <c r="M1110" s="253"/>
      <c r="N1110" s="253"/>
      <c r="O1110" s="253"/>
      <c r="P1110" s="253"/>
      <c r="Q1110" s="253"/>
    </row>
    <row r="1111" spans="1:17">
      <c r="A1111" s="253"/>
      <c r="B1111" s="253"/>
      <c r="C1111" s="253"/>
      <c r="D1111" s="253"/>
      <c r="E1111" s="253"/>
      <c r="F1111" s="253"/>
      <c r="G1111" s="253"/>
      <c r="H1111" s="253"/>
      <c r="I1111" s="253"/>
      <c r="J1111" s="253"/>
      <c r="K1111" s="253"/>
      <c r="L1111" s="253"/>
      <c r="M1111" s="253"/>
      <c r="N1111" s="253"/>
      <c r="O1111" s="253"/>
      <c r="P1111" s="253"/>
      <c r="Q1111" s="253"/>
    </row>
    <row r="1112" spans="1:17">
      <c r="A1112" s="253"/>
      <c r="B1112" s="253"/>
      <c r="C1112" s="253"/>
      <c r="D1112" s="253"/>
      <c r="E1112" s="253"/>
      <c r="F1112" s="253"/>
      <c r="G1112" s="253"/>
      <c r="H1112" s="253"/>
      <c r="I1112" s="253"/>
      <c r="J1112" s="253"/>
      <c r="K1112" s="253"/>
      <c r="L1112" s="253"/>
      <c r="M1112" s="253"/>
      <c r="N1112" s="253"/>
      <c r="O1112" s="253"/>
      <c r="P1112" s="253"/>
      <c r="Q1112" s="253"/>
    </row>
    <row r="1113" spans="1:17">
      <c r="A1113" s="253"/>
      <c r="B1113" s="253"/>
      <c r="C1113" s="253"/>
      <c r="D1113" s="253"/>
      <c r="E1113" s="253"/>
      <c r="F1113" s="253"/>
      <c r="G1113" s="253"/>
      <c r="H1113" s="253"/>
      <c r="I1113" s="253"/>
      <c r="J1113" s="253"/>
      <c r="K1113" s="253"/>
      <c r="L1113" s="253"/>
      <c r="M1113" s="253"/>
      <c r="N1113" s="253"/>
      <c r="O1113" s="253"/>
      <c r="P1113" s="253"/>
      <c r="Q1113" s="253"/>
    </row>
    <row r="1114" spans="1:17">
      <c r="A1114" s="253"/>
      <c r="B1114" s="253"/>
      <c r="C1114" s="253"/>
      <c r="D1114" s="253"/>
      <c r="E1114" s="253"/>
      <c r="F1114" s="253"/>
      <c r="G1114" s="253"/>
      <c r="H1114" s="253"/>
      <c r="I1114" s="253"/>
      <c r="J1114" s="253"/>
      <c r="K1114" s="253"/>
      <c r="L1114" s="253"/>
      <c r="M1114" s="253"/>
      <c r="N1114" s="253"/>
      <c r="O1114" s="253"/>
      <c r="P1114" s="253"/>
      <c r="Q1114" s="253"/>
    </row>
    <row r="1115" spans="1:17">
      <c r="A1115" s="253"/>
      <c r="B1115" s="253"/>
      <c r="C1115" s="253"/>
      <c r="D1115" s="253"/>
      <c r="E1115" s="253"/>
      <c r="F1115" s="253"/>
      <c r="G1115" s="253"/>
      <c r="H1115" s="253"/>
      <c r="I1115" s="253"/>
      <c r="J1115" s="253"/>
      <c r="K1115" s="253"/>
      <c r="L1115" s="253"/>
      <c r="M1115" s="253"/>
      <c r="N1115" s="253"/>
      <c r="O1115" s="253"/>
      <c r="P1115" s="253"/>
      <c r="Q1115" s="253"/>
    </row>
    <row r="1116" spans="1:17">
      <c r="A1116" s="253"/>
      <c r="B1116" s="253"/>
      <c r="C1116" s="253"/>
      <c r="D1116" s="253"/>
      <c r="E1116" s="253"/>
      <c r="F1116" s="253"/>
      <c r="G1116" s="253"/>
      <c r="H1116" s="253"/>
      <c r="I1116" s="253"/>
      <c r="J1116" s="253"/>
      <c r="K1116" s="253"/>
      <c r="L1116" s="253"/>
      <c r="M1116" s="253"/>
      <c r="N1116" s="253"/>
      <c r="O1116" s="253"/>
      <c r="P1116" s="253"/>
      <c r="Q1116" s="253"/>
    </row>
    <row r="1117" spans="1:17">
      <c r="A1117" s="253"/>
      <c r="B1117" s="253"/>
      <c r="C1117" s="253"/>
      <c r="D1117" s="253"/>
      <c r="E1117" s="253"/>
      <c r="F1117" s="253"/>
      <c r="G1117" s="253"/>
      <c r="H1117" s="253"/>
      <c r="I1117" s="253"/>
      <c r="J1117" s="253"/>
      <c r="K1117" s="253"/>
      <c r="L1117" s="253"/>
      <c r="M1117" s="253"/>
      <c r="N1117" s="253"/>
      <c r="O1117" s="253"/>
      <c r="P1117" s="253"/>
      <c r="Q1117" s="253"/>
    </row>
    <row r="1118" spans="1:17">
      <c r="A1118" s="253"/>
      <c r="B1118" s="253"/>
      <c r="C1118" s="253"/>
      <c r="D1118" s="253"/>
      <c r="E1118" s="253"/>
      <c r="F1118" s="253"/>
      <c r="G1118" s="253"/>
      <c r="H1118" s="253"/>
      <c r="I1118" s="253"/>
      <c r="J1118" s="253"/>
      <c r="K1118" s="253"/>
      <c r="L1118" s="253"/>
      <c r="M1118" s="253"/>
      <c r="N1118" s="253"/>
      <c r="O1118" s="253"/>
      <c r="P1118" s="253"/>
      <c r="Q1118" s="253"/>
    </row>
    <row r="1119" spans="1:17">
      <c r="A1119" s="253"/>
      <c r="B1119" s="253"/>
      <c r="C1119" s="253"/>
      <c r="D1119" s="253"/>
      <c r="E1119" s="253"/>
      <c r="F1119" s="253"/>
      <c r="G1119" s="253"/>
      <c r="H1119" s="253"/>
      <c r="I1119" s="253"/>
      <c r="J1119" s="253"/>
      <c r="K1119" s="253"/>
      <c r="L1119" s="253"/>
      <c r="M1119" s="253"/>
      <c r="N1119" s="253"/>
      <c r="O1119" s="253"/>
      <c r="P1119" s="253"/>
      <c r="Q1119" s="253"/>
    </row>
    <row r="1120" spans="1:17">
      <c r="A1120" s="253"/>
      <c r="B1120" s="253"/>
      <c r="C1120" s="253"/>
      <c r="D1120" s="253"/>
      <c r="E1120" s="253"/>
      <c r="F1120" s="253"/>
      <c r="G1120" s="253"/>
      <c r="H1120" s="253"/>
      <c r="I1120" s="253"/>
      <c r="J1120" s="253"/>
      <c r="K1120" s="253"/>
      <c r="L1120" s="253"/>
      <c r="M1120" s="253"/>
      <c r="N1120" s="253"/>
      <c r="O1120" s="253"/>
      <c r="P1120" s="253"/>
      <c r="Q1120" s="253"/>
    </row>
    <row r="1121" spans="1:17">
      <c r="A1121" s="253"/>
      <c r="B1121" s="253"/>
      <c r="C1121" s="253"/>
      <c r="D1121" s="253"/>
      <c r="E1121" s="253"/>
      <c r="F1121" s="253"/>
      <c r="G1121" s="253"/>
      <c r="H1121" s="253"/>
      <c r="I1121" s="253"/>
      <c r="J1121" s="253"/>
      <c r="K1121" s="253"/>
      <c r="L1121" s="253"/>
      <c r="M1121" s="253"/>
      <c r="N1121" s="253"/>
      <c r="O1121" s="253"/>
      <c r="P1121" s="253"/>
      <c r="Q1121" s="253"/>
    </row>
    <row r="1122" spans="1:17">
      <c r="A1122" s="253"/>
      <c r="B1122" s="253"/>
      <c r="C1122" s="253"/>
      <c r="D1122" s="253"/>
      <c r="E1122" s="253"/>
      <c r="F1122" s="253"/>
      <c r="G1122" s="253"/>
      <c r="H1122" s="253"/>
      <c r="I1122" s="253"/>
      <c r="J1122" s="253"/>
      <c r="K1122" s="253"/>
      <c r="L1122" s="253"/>
      <c r="M1122" s="253"/>
      <c r="N1122" s="253"/>
      <c r="O1122" s="253"/>
      <c r="P1122" s="253"/>
      <c r="Q1122" s="253"/>
    </row>
    <row r="1123" spans="1:17">
      <c r="A1123" s="253"/>
      <c r="B1123" s="253"/>
      <c r="C1123" s="253"/>
      <c r="D1123" s="253"/>
      <c r="E1123" s="253"/>
      <c r="F1123" s="253"/>
      <c r="G1123" s="253"/>
      <c r="H1123" s="253"/>
      <c r="I1123" s="253"/>
      <c r="J1123" s="253"/>
      <c r="K1123" s="253"/>
      <c r="L1123" s="253"/>
      <c r="M1123" s="253"/>
      <c r="N1123" s="253"/>
      <c r="O1123" s="253"/>
      <c r="P1123" s="253"/>
      <c r="Q1123" s="253"/>
    </row>
    <row r="1124" spans="1:17">
      <c r="A1124" s="253"/>
      <c r="B1124" s="253"/>
      <c r="C1124" s="253"/>
      <c r="D1124" s="253"/>
      <c r="E1124" s="253"/>
      <c r="F1124" s="253"/>
      <c r="G1124" s="253"/>
      <c r="H1124" s="253"/>
      <c r="I1124" s="253"/>
      <c r="J1124" s="253"/>
      <c r="K1124" s="253"/>
      <c r="L1124" s="253"/>
      <c r="M1124" s="253"/>
      <c r="N1124" s="253"/>
      <c r="O1124" s="253"/>
      <c r="P1124" s="253"/>
      <c r="Q1124" s="253"/>
    </row>
    <row r="1125" spans="1:17">
      <c r="A1125" s="253"/>
      <c r="B1125" s="253"/>
      <c r="C1125" s="253"/>
      <c r="D1125" s="253"/>
      <c r="E1125" s="253"/>
      <c r="F1125" s="253"/>
      <c r="G1125" s="253"/>
      <c r="H1125" s="253"/>
      <c r="I1125" s="253"/>
      <c r="J1125" s="253"/>
      <c r="K1125" s="253"/>
      <c r="L1125" s="253"/>
      <c r="M1125" s="253"/>
      <c r="N1125" s="253"/>
      <c r="O1125" s="253"/>
      <c r="P1125" s="253"/>
      <c r="Q1125" s="253"/>
    </row>
    <row r="1126" spans="1:17">
      <c r="A1126" s="253"/>
      <c r="B1126" s="253"/>
      <c r="C1126" s="253"/>
      <c r="D1126" s="253"/>
      <c r="E1126" s="253"/>
      <c r="F1126" s="253"/>
      <c r="G1126" s="253"/>
      <c r="H1126" s="253"/>
      <c r="I1126" s="253"/>
      <c r="J1126" s="253"/>
      <c r="K1126" s="253"/>
      <c r="L1126" s="253"/>
      <c r="M1126" s="253"/>
      <c r="N1126" s="253"/>
      <c r="O1126" s="253"/>
      <c r="P1126" s="253"/>
      <c r="Q1126" s="253"/>
    </row>
    <row r="1127" spans="1:17">
      <c r="A1127" s="253"/>
      <c r="B1127" s="253"/>
      <c r="C1127" s="253"/>
      <c r="D1127" s="253"/>
      <c r="E1127" s="253"/>
      <c r="F1127" s="253"/>
      <c r="G1127" s="253"/>
      <c r="H1127" s="253"/>
      <c r="I1127" s="253"/>
      <c r="J1127" s="253"/>
      <c r="K1127" s="253"/>
      <c r="L1127" s="253"/>
      <c r="M1127" s="253"/>
      <c r="N1127" s="253"/>
      <c r="O1127" s="253"/>
      <c r="P1127" s="253"/>
      <c r="Q1127" s="253"/>
    </row>
    <row r="1128" spans="1:17">
      <c r="A1128" s="253"/>
      <c r="B1128" s="253"/>
      <c r="C1128" s="253"/>
      <c r="D1128" s="253"/>
      <c r="E1128" s="253"/>
      <c r="F1128" s="253"/>
      <c r="G1128" s="253"/>
      <c r="H1128" s="253"/>
      <c r="I1128" s="253"/>
      <c r="J1128" s="253"/>
      <c r="K1128" s="253"/>
      <c r="L1128" s="253"/>
      <c r="M1128" s="253"/>
      <c r="N1128" s="253"/>
      <c r="O1128" s="253"/>
      <c r="P1128" s="253"/>
      <c r="Q1128" s="253"/>
    </row>
    <row r="1129" spans="1:17">
      <c r="A1129" s="253"/>
      <c r="B1129" s="253"/>
      <c r="C1129" s="253"/>
      <c r="D1129" s="253"/>
      <c r="E1129" s="253"/>
      <c r="F1129" s="253"/>
      <c r="G1129" s="253"/>
      <c r="H1129" s="253"/>
      <c r="I1129" s="253"/>
      <c r="J1129" s="253"/>
      <c r="K1129" s="253"/>
      <c r="L1129" s="253"/>
      <c r="M1129" s="253"/>
      <c r="N1129" s="253"/>
      <c r="O1129" s="253"/>
      <c r="P1129" s="253"/>
      <c r="Q1129" s="253"/>
    </row>
    <row r="1130" spans="1:17">
      <c r="A1130" s="253"/>
      <c r="B1130" s="253"/>
      <c r="C1130" s="253"/>
      <c r="D1130" s="253"/>
      <c r="E1130" s="253"/>
      <c r="F1130" s="253"/>
      <c r="G1130" s="253"/>
      <c r="H1130" s="253"/>
      <c r="I1130" s="253"/>
      <c r="J1130" s="253"/>
      <c r="K1130" s="253"/>
      <c r="L1130" s="253"/>
      <c r="M1130" s="253"/>
      <c r="N1130" s="253"/>
      <c r="O1130" s="253"/>
      <c r="P1130" s="253"/>
      <c r="Q1130" s="253"/>
    </row>
    <row r="1131" spans="1:17">
      <c r="A1131" s="253"/>
      <c r="B1131" s="253"/>
      <c r="C1131" s="253"/>
      <c r="D1131" s="253"/>
      <c r="E1131" s="253"/>
      <c r="F1131" s="253"/>
      <c r="G1131" s="253"/>
      <c r="H1131" s="253"/>
      <c r="I1131" s="253"/>
      <c r="J1131" s="253"/>
      <c r="K1131" s="253"/>
      <c r="L1131" s="253"/>
      <c r="M1131" s="253"/>
      <c r="N1131" s="253"/>
      <c r="O1131" s="253"/>
      <c r="P1131" s="253"/>
      <c r="Q1131" s="253"/>
    </row>
    <row r="1132" spans="1:17">
      <c r="A1132" s="253"/>
      <c r="B1132" s="253"/>
      <c r="C1132" s="253"/>
      <c r="D1132" s="253"/>
      <c r="E1132" s="253"/>
      <c r="F1132" s="253"/>
      <c r="G1132" s="253"/>
      <c r="H1132" s="253"/>
      <c r="I1132" s="253"/>
      <c r="J1132" s="253"/>
      <c r="K1132" s="253"/>
      <c r="L1132" s="253"/>
      <c r="M1132" s="253"/>
      <c r="N1132" s="253"/>
      <c r="O1132" s="253"/>
      <c r="P1132" s="253"/>
      <c r="Q1132" s="253"/>
    </row>
    <row r="1133" spans="1:17">
      <c r="A1133" s="253"/>
      <c r="B1133" s="253"/>
      <c r="C1133" s="253"/>
      <c r="D1133" s="253"/>
      <c r="E1133" s="253"/>
      <c r="F1133" s="253"/>
      <c r="G1133" s="253"/>
      <c r="H1133" s="253"/>
      <c r="I1133" s="253"/>
      <c r="J1133" s="253"/>
      <c r="K1133" s="253"/>
      <c r="L1133" s="253"/>
      <c r="M1133" s="253"/>
      <c r="N1133" s="253"/>
      <c r="O1133" s="253"/>
      <c r="P1133" s="253"/>
      <c r="Q1133" s="253"/>
    </row>
    <row r="1134" spans="1:17">
      <c r="A1134" s="253"/>
      <c r="B1134" s="253"/>
      <c r="C1134" s="253"/>
      <c r="D1134" s="253"/>
      <c r="E1134" s="253"/>
      <c r="F1134" s="253"/>
      <c r="G1134" s="253"/>
      <c r="H1134" s="253"/>
      <c r="I1134" s="253"/>
      <c r="J1134" s="253"/>
      <c r="K1134" s="253"/>
      <c r="L1134" s="253"/>
      <c r="M1134" s="253"/>
      <c r="N1134" s="253"/>
      <c r="O1134" s="253"/>
      <c r="P1134" s="253"/>
      <c r="Q1134" s="253"/>
    </row>
    <row r="1135" spans="1:17">
      <c r="A1135" s="253"/>
      <c r="B1135" s="253"/>
      <c r="C1135" s="253"/>
      <c r="D1135" s="253"/>
      <c r="E1135" s="253"/>
      <c r="F1135" s="253"/>
      <c r="G1135" s="253"/>
      <c r="H1135" s="253"/>
      <c r="I1135" s="253"/>
      <c r="J1135" s="253"/>
      <c r="K1135" s="253"/>
      <c r="L1135" s="253"/>
      <c r="M1135" s="253"/>
      <c r="N1135" s="253"/>
      <c r="O1135" s="253"/>
      <c r="P1135" s="253"/>
      <c r="Q1135" s="253"/>
    </row>
    <row r="1136" spans="1:17">
      <c r="A1136" s="253"/>
      <c r="B1136" s="253"/>
      <c r="C1136" s="253"/>
      <c r="D1136" s="253"/>
      <c r="E1136" s="253"/>
      <c r="F1136" s="253"/>
      <c r="G1136" s="253"/>
      <c r="H1136" s="253"/>
      <c r="I1136" s="253"/>
      <c r="J1136" s="253"/>
      <c r="K1136" s="253"/>
      <c r="L1136" s="253"/>
      <c r="M1136" s="253"/>
      <c r="N1136" s="253"/>
      <c r="O1136" s="253"/>
      <c r="P1136" s="253"/>
      <c r="Q1136" s="253"/>
    </row>
    <row r="1137" spans="1:17">
      <c r="A1137" s="253"/>
      <c r="B1137" s="253"/>
      <c r="C1137" s="253"/>
      <c r="D1137" s="253"/>
      <c r="E1137" s="253"/>
      <c r="F1137" s="253"/>
      <c r="G1137" s="253"/>
      <c r="H1137" s="253"/>
      <c r="I1137" s="253"/>
      <c r="J1137" s="253"/>
      <c r="K1137" s="253"/>
      <c r="L1137" s="253"/>
      <c r="M1137" s="253"/>
      <c r="N1137" s="253"/>
      <c r="O1137" s="253"/>
      <c r="P1137" s="253"/>
      <c r="Q1137" s="253"/>
    </row>
    <row r="1138" spans="1:17">
      <c r="A1138" s="253"/>
      <c r="B1138" s="253"/>
      <c r="C1138" s="253"/>
      <c r="D1138" s="253"/>
      <c r="E1138" s="253"/>
      <c r="F1138" s="253"/>
      <c r="G1138" s="253"/>
      <c r="H1138" s="253"/>
      <c r="I1138" s="253"/>
      <c r="J1138" s="253"/>
      <c r="K1138" s="253"/>
      <c r="L1138" s="253"/>
      <c r="M1138" s="253"/>
      <c r="N1138" s="253"/>
      <c r="O1138" s="253"/>
      <c r="P1138" s="253"/>
      <c r="Q1138" s="253"/>
    </row>
    <row r="1139" spans="1:17">
      <c r="A1139" s="253"/>
      <c r="B1139" s="253"/>
      <c r="C1139" s="253"/>
      <c r="D1139" s="253"/>
      <c r="E1139" s="253"/>
      <c r="F1139" s="253"/>
      <c r="G1139" s="253"/>
      <c r="H1139" s="253"/>
      <c r="I1139" s="253"/>
      <c r="J1139" s="253"/>
      <c r="K1139" s="253"/>
      <c r="L1139" s="253"/>
      <c r="M1139" s="253"/>
      <c r="N1139" s="253"/>
      <c r="O1139" s="253"/>
      <c r="P1139" s="253"/>
      <c r="Q1139" s="253"/>
    </row>
    <row r="1140" spans="1:17">
      <c r="A1140" s="253"/>
      <c r="B1140" s="253"/>
      <c r="C1140" s="253"/>
      <c r="D1140" s="253"/>
      <c r="E1140" s="253"/>
      <c r="F1140" s="253"/>
      <c r="G1140" s="253"/>
      <c r="H1140" s="253"/>
      <c r="I1140" s="253"/>
      <c r="J1140" s="253"/>
      <c r="K1140" s="253"/>
      <c r="L1140" s="253"/>
      <c r="M1140" s="253"/>
      <c r="N1140" s="253"/>
      <c r="O1140" s="253"/>
      <c r="P1140" s="253"/>
      <c r="Q1140" s="253"/>
    </row>
    <row r="1141" spans="1:17">
      <c r="A1141" s="253"/>
      <c r="B1141" s="253"/>
      <c r="C1141" s="253"/>
      <c r="D1141" s="253"/>
      <c r="E1141" s="253"/>
      <c r="F1141" s="253"/>
      <c r="G1141" s="253"/>
      <c r="H1141" s="253"/>
      <c r="I1141" s="253"/>
      <c r="J1141" s="253"/>
      <c r="K1141" s="253"/>
      <c r="L1141" s="253"/>
      <c r="M1141" s="253"/>
      <c r="N1141" s="253"/>
      <c r="O1141" s="253"/>
      <c r="P1141" s="253"/>
      <c r="Q1141" s="253"/>
    </row>
    <row r="1142" spans="1:17">
      <c r="A1142" s="253"/>
      <c r="B1142" s="253"/>
      <c r="C1142" s="253"/>
      <c r="D1142" s="253"/>
      <c r="E1142" s="253"/>
      <c r="F1142" s="253"/>
      <c r="G1142" s="253"/>
      <c r="H1142" s="253"/>
      <c r="I1142" s="253"/>
      <c r="J1142" s="253"/>
      <c r="K1142" s="253"/>
      <c r="L1142" s="253"/>
      <c r="M1142" s="253"/>
      <c r="N1142" s="253"/>
      <c r="O1142" s="253"/>
      <c r="P1142" s="253"/>
      <c r="Q1142" s="253"/>
    </row>
    <row r="1143" spans="1:17">
      <c r="A1143" s="253"/>
      <c r="B1143" s="253"/>
      <c r="C1143" s="253"/>
      <c r="D1143" s="253"/>
      <c r="E1143" s="253"/>
      <c r="F1143" s="253"/>
      <c r="G1143" s="253"/>
      <c r="H1143" s="253"/>
      <c r="I1143" s="253"/>
      <c r="J1143" s="253"/>
      <c r="K1143" s="253"/>
      <c r="L1143" s="253"/>
      <c r="M1143" s="253"/>
      <c r="N1143" s="253"/>
      <c r="O1143" s="253"/>
      <c r="P1143" s="253"/>
      <c r="Q1143" s="253"/>
    </row>
    <row r="1144" spans="1:17">
      <c r="A1144" s="253"/>
      <c r="B1144" s="253"/>
      <c r="C1144" s="253"/>
      <c r="D1144" s="253"/>
      <c r="E1144" s="253"/>
      <c r="F1144" s="253"/>
      <c r="G1144" s="253"/>
      <c r="H1144" s="253"/>
      <c r="I1144" s="253"/>
      <c r="J1144" s="253"/>
      <c r="K1144" s="253"/>
      <c r="L1144" s="253"/>
      <c r="M1144" s="253"/>
      <c r="N1144" s="253"/>
      <c r="O1144" s="253"/>
      <c r="P1144" s="253"/>
      <c r="Q1144" s="253"/>
    </row>
    <row r="1145" spans="1:17">
      <c r="A1145" s="253"/>
      <c r="B1145" s="253"/>
      <c r="C1145" s="253"/>
      <c r="D1145" s="253"/>
      <c r="E1145" s="253"/>
      <c r="F1145" s="253"/>
      <c r="G1145" s="253"/>
      <c r="H1145" s="253"/>
      <c r="I1145" s="253"/>
      <c r="J1145" s="253"/>
      <c r="K1145" s="253"/>
      <c r="L1145" s="253"/>
      <c r="M1145" s="253"/>
      <c r="N1145" s="253"/>
      <c r="O1145" s="253"/>
      <c r="P1145" s="253"/>
      <c r="Q1145" s="253"/>
    </row>
    <row r="1146" spans="1:17">
      <c r="A1146" s="253"/>
      <c r="B1146" s="253"/>
      <c r="C1146" s="253"/>
      <c r="D1146" s="253"/>
      <c r="E1146" s="253"/>
      <c r="F1146" s="253"/>
      <c r="G1146" s="253"/>
      <c r="H1146" s="253"/>
      <c r="I1146" s="253"/>
      <c r="J1146" s="253"/>
      <c r="K1146" s="253"/>
      <c r="L1146" s="253"/>
      <c r="M1146" s="253"/>
      <c r="N1146" s="253"/>
      <c r="O1146" s="253"/>
      <c r="P1146" s="253"/>
      <c r="Q1146" s="253"/>
    </row>
    <row r="1147" spans="1:17">
      <c r="A1147" s="253"/>
      <c r="B1147" s="253"/>
      <c r="C1147" s="253"/>
      <c r="D1147" s="253"/>
      <c r="E1147" s="253"/>
      <c r="F1147" s="253"/>
      <c r="G1147" s="253"/>
      <c r="H1147" s="253"/>
      <c r="I1147" s="253"/>
      <c r="J1147" s="253"/>
      <c r="K1147" s="253"/>
      <c r="L1147" s="253"/>
      <c r="M1147" s="253"/>
      <c r="N1147" s="253"/>
      <c r="O1147" s="253"/>
      <c r="P1147" s="253"/>
      <c r="Q1147" s="253"/>
    </row>
    <row r="1148" spans="1:17">
      <c r="A1148" s="253"/>
      <c r="B1148" s="253"/>
      <c r="C1148" s="253"/>
      <c r="D1148" s="253"/>
      <c r="E1148" s="253"/>
      <c r="F1148" s="253"/>
      <c r="G1148" s="253"/>
      <c r="H1148" s="253"/>
      <c r="I1148" s="253"/>
      <c r="J1148" s="253"/>
      <c r="K1148" s="253"/>
      <c r="L1148" s="253"/>
      <c r="M1148" s="253"/>
      <c r="N1148" s="253"/>
      <c r="O1148" s="253"/>
      <c r="P1148" s="253"/>
      <c r="Q1148" s="253"/>
    </row>
    <row r="1149" spans="1:17">
      <c r="A1149" s="253"/>
      <c r="B1149" s="253"/>
      <c r="C1149" s="253"/>
      <c r="D1149" s="253"/>
      <c r="E1149" s="253"/>
      <c r="F1149" s="253"/>
      <c r="G1149" s="253"/>
      <c r="H1149" s="253"/>
      <c r="I1149" s="253"/>
      <c r="J1149" s="253"/>
      <c r="K1149" s="253"/>
      <c r="L1149" s="253"/>
      <c r="M1149" s="253"/>
      <c r="N1149" s="253"/>
      <c r="O1149" s="253"/>
      <c r="P1149" s="253"/>
      <c r="Q1149" s="253"/>
    </row>
    <row r="1150" spans="1:17">
      <c r="A1150" s="253"/>
      <c r="B1150" s="253"/>
      <c r="C1150" s="253"/>
      <c r="D1150" s="253"/>
      <c r="E1150" s="253"/>
      <c r="F1150" s="253"/>
      <c r="G1150" s="253"/>
      <c r="H1150" s="253"/>
      <c r="I1150" s="253"/>
      <c r="J1150" s="253"/>
      <c r="K1150" s="253"/>
      <c r="L1150" s="253"/>
      <c r="M1150" s="253"/>
      <c r="N1150" s="253"/>
      <c r="O1150" s="253"/>
      <c r="P1150" s="253"/>
      <c r="Q1150" s="253"/>
    </row>
    <row r="1151" spans="1:17">
      <c r="A1151" s="253"/>
      <c r="B1151" s="253"/>
      <c r="C1151" s="253"/>
      <c r="D1151" s="253"/>
      <c r="E1151" s="253"/>
      <c r="F1151" s="253"/>
      <c r="G1151" s="253"/>
      <c r="H1151" s="253"/>
      <c r="I1151" s="253"/>
      <c r="J1151" s="253"/>
      <c r="K1151" s="253"/>
      <c r="L1151" s="253"/>
      <c r="M1151" s="253"/>
      <c r="N1151" s="253"/>
      <c r="O1151" s="253"/>
      <c r="P1151" s="253"/>
      <c r="Q1151" s="253"/>
    </row>
    <row r="1152" spans="1:17">
      <c r="A1152" s="253"/>
      <c r="B1152" s="253"/>
      <c r="C1152" s="253"/>
      <c r="D1152" s="253"/>
      <c r="E1152" s="253"/>
      <c r="F1152" s="253"/>
      <c r="G1152" s="253"/>
      <c r="H1152" s="253"/>
      <c r="I1152" s="253"/>
      <c r="J1152" s="253"/>
      <c r="K1152" s="253"/>
      <c r="L1152" s="253"/>
      <c r="M1152" s="253"/>
      <c r="N1152" s="253"/>
      <c r="O1152" s="253"/>
      <c r="P1152" s="253"/>
      <c r="Q1152" s="253"/>
    </row>
    <row r="1153" spans="1:17">
      <c r="A1153" s="253"/>
      <c r="B1153" s="253"/>
      <c r="C1153" s="253"/>
      <c r="D1153" s="253"/>
      <c r="E1153" s="253"/>
      <c r="F1153" s="253"/>
      <c r="G1153" s="253"/>
      <c r="H1153" s="253"/>
      <c r="I1153" s="253"/>
      <c r="J1153" s="253"/>
      <c r="K1153" s="253"/>
      <c r="L1153" s="253"/>
      <c r="M1153" s="253"/>
      <c r="N1153" s="253"/>
      <c r="O1153" s="253"/>
      <c r="P1153" s="253"/>
      <c r="Q1153" s="253"/>
    </row>
    <row r="1154" spans="1:17">
      <c r="A1154" s="253"/>
      <c r="B1154" s="253"/>
      <c r="C1154" s="253"/>
      <c r="D1154" s="253"/>
      <c r="E1154" s="253"/>
      <c r="F1154" s="253"/>
      <c r="G1154" s="253"/>
      <c r="H1154" s="253"/>
      <c r="I1154" s="253"/>
      <c r="J1154" s="253"/>
      <c r="K1154" s="253"/>
      <c r="L1154" s="253"/>
      <c r="M1154" s="253"/>
      <c r="N1154" s="253"/>
      <c r="O1154" s="253"/>
      <c r="P1154" s="253"/>
      <c r="Q1154" s="253"/>
    </row>
    <row r="1155" spans="1:17">
      <c r="A1155" s="253"/>
      <c r="B1155" s="253"/>
      <c r="C1155" s="253"/>
      <c r="D1155" s="253"/>
      <c r="E1155" s="253"/>
      <c r="F1155" s="253"/>
      <c r="G1155" s="253"/>
      <c r="H1155" s="253"/>
      <c r="I1155" s="253"/>
      <c r="J1155" s="253"/>
      <c r="K1155" s="253"/>
      <c r="L1155" s="253"/>
      <c r="M1155" s="253"/>
      <c r="N1155" s="253"/>
      <c r="O1155" s="253"/>
      <c r="P1155" s="253"/>
      <c r="Q1155" s="253"/>
    </row>
    <row r="1156" spans="1:17">
      <c r="A1156" s="253"/>
      <c r="B1156" s="253"/>
      <c r="C1156" s="253"/>
      <c r="D1156" s="253"/>
      <c r="E1156" s="253"/>
      <c r="F1156" s="253"/>
      <c r="G1156" s="253"/>
      <c r="H1156" s="253"/>
      <c r="I1156" s="253"/>
      <c r="J1156" s="253"/>
      <c r="K1156" s="253"/>
      <c r="L1156" s="253"/>
      <c r="M1156" s="253"/>
      <c r="N1156" s="253"/>
      <c r="O1156" s="253"/>
      <c r="P1156" s="253"/>
      <c r="Q1156" s="253"/>
    </row>
    <row r="1157" spans="1:17">
      <c r="A1157" s="253"/>
      <c r="B1157" s="253"/>
      <c r="C1157" s="253"/>
      <c r="D1157" s="253"/>
      <c r="E1157" s="253"/>
      <c r="F1157" s="253"/>
      <c r="G1157" s="253"/>
      <c r="H1157" s="253"/>
      <c r="I1157" s="253"/>
      <c r="J1157" s="253"/>
      <c r="K1157" s="253"/>
      <c r="L1157" s="253"/>
      <c r="M1157" s="253"/>
      <c r="N1157" s="253"/>
      <c r="O1157" s="253"/>
      <c r="P1157" s="253"/>
      <c r="Q1157" s="253"/>
    </row>
    <row r="1158" spans="1:17">
      <c r="A1158" s="253"/>
      <c r="B1158" s="253"/>
      <c r="C1158" s="253"/>
      <c r="D1158" s="253"/>
      <c r="E1158" s="253"/>
      <c r="F1158" s="253"/>
      <c r="G1158" s="253"/>
      <c r="H1158" s="253"/>
      <c r="I1158" s="253"/>
      <c r="J1158" s="253"/>
      <c r="K1158" s="253"/>
      <c r="L1158" s="253"/>
      <c r="M1158" s="253"/>
      <c r="N1158" s="253"/>
      <c r="O1158" s="253"/>
      <c r="P1158" s="253"/>
      <c r="Q1158" s="253"/>
    </row>
    <row r="1159" spans="1:17">
      <c r="A1159" s="253"/>
      <c r="B1159" s="253"/>
      <c r="C1159" s="253"/>
      <c r="D1159" s="253"/>
      <c r="E1159" s="253"/>
      <c r="F1159" s="253"/>
      <c r="G1159" s="253"/>
      <c r="H1159" s="253"/>
      <c r="I1159" s="253"/>
      <c r="J1159" s="253"/>
      <c r="K1159" s="253"/>
      <c r="L1159" s="253"/>
      <c r="M1159" s="253"/>
      <c r="N1159" s="253"/>
      <c r="O1159" s="253"/>
      <c r="P1159" s="253"/>
      <c r="Q1159" s="253"/>
    </row>
    <row r="1160" spans="1:17">
      <c r="A1160" s="253"/>
      <c r="B1160" s="253"/>
      <c r="C1160" s="253"/>
      <c r="D1160" s="253"/>
      <c r="E1160" s="253"/>
      <c r="F1160" s="253"/>
      <c r="G1160" s="253"/>
      <c r="H1160" s="253"/>
      <c r="I1160" s="253"/>
      <c r="J1160" s="253"/>
      <c r="K1160" s="253"/>
      <c r="L1160" s="253"/>
      <c r="M1160" s="253"/>
      <c r="N1160" s="253"/>
      <c r="O1160" s="253"/>
      <c r="P1160" s="253"/>
      <c r="Q1160" s="253"/>
    </row>
    <row r="1161" spans="1:17">
      <c r="A1161" s="253"/>
      <c r="B1161" s="253"/>
      <c r="C1161" s="253"/>
      <c r="D1161" s="253"/>
      <c r="E1161" s="253"/>
      <c r="F1161" s="253"/>
      <c r="G1161" s="253"/>
      <c r="H1161" s="253"/>
      <c r="I1161" s="253"/>
      <c r="J1161" s="253"/>
      <c r="K1161" s="253"/>
      <c r="L1161" s="253"/>
      <c r="M1161" s="253"/>
      <c r="N1161" s="253"/>
      <c r="O1161" s="253"/>
      <c r="P1161" s="253"/>
      <c r="Q1161" s="253"/>
    </row>
    <row r="1162" spans="1:17">
      <c r="A1162" s="253"/>
      <c r="B1162" s="253"/>
      <c r="C1162" s="253"/>
      <c r="D1162" s="253"/>
      <c r="E1162" s="253"/>
      <c r="F1162" s="253"/>
      <c r="G1162" s="253"/>
      <c r="H1162" s="253"/>
      <c r="I1162" s="253"/>
      <c r="J1162" s="253"/>
      <c r="K1162" s="253"/>
      <c r="L1162" s="253"/>
      <c r="M1162" s="253"/>
      <c r="N1162" s="253"/>
      <c r="O1162" s="253"/>
      <c r="P1162" s="253"/>
      <c r="Q1162" s="253"/>
    </row>
    <row r="1163" spans="1:17">
      <c r="A1163" s="253"/>
      <c r="B1163" s="253"/>
      <c r="C1163" s="253"/>
      <c r="D1163" s="253"/>
      <c r="E1163" s="253"/>
      <c r="F1163" s="253"/>
      <c r="G1163" s="253"/>
      <c r="H1163" s="253"/>
      <c r="I1163" s="253"/>
      <c r="J1163" s="253"/>
      <c r="K1163" s="253"/>
      <c r="L1163" s="253"/>
      <c r="M1163" s="253"/>
      <c r="N1163" s="253"/>
      <c r="O1163" s="253"/>
      <c r="P1163" s="253"/>
      <c r="Q1163" s="253"/>
    </row>
    <row r="1164" spans="1:17">
      <c r="A1164" s="253"/>
      <c r="B1164" s="253"/>
      <c r="C1164" s="253"/>
      <c r="D1164" s="253"/>
      <c r="E1164" s="253"/>
      <c r="F1164" s="253"/>
      <c r="G1164" s="253"/>
      <c r="H1164" s="253"/>
      <c r="I1164" s="253"/>
      <c r="J1164" s="253"/>
      <c r="K1164" s="253"/>
      <c r="L1164" s="253"/>
      <c r="M1164" s="253"/>
      <c r="N1164" s="253"/>
      <c r="O1164" s="253"/>
      <c r="P1164" s="253"/>
      <c r="Q1164" s="253"/>
    </row>
    <row r="1165" spans="1:17">
      <c r="A1165" s="253"/>
      <c r="B1165" s="253"/>
      <c r="C1165" s="253"/>
      <c r="D1165" s="253"/>
      <c r="E1165" s="253"/>
      <c r="F1165" s="253"/>
      <c r="G1165" s="253"/>
      <c r="H1165" s="253"/>
      <c r="I1165" s="253"/>
      <c r="J1165" s="253"/>
      <c r="K1165" s="253"/>
      <c r="L1165" s="253"/>
      <c r="M1165" s="253"/>
      <c r="N1165" s="253"/>
      <c r="O1165" s="253"/>
      <c r="P1165" s="253"/>
      <c r="Q1165" s="253"/>
    </row>
    <row r="1166" spans="1:17">
      <c r="A1166" s="253"/>
      <c r="B1166" s="253"/>
      <c r="C1166" s="253"/>
      <c r="D1166" s="253"/>
      <c r="E1166" s="253"/>
      <c r="F1166" s="253"/>
      <c r="G1166" s="253"/>
      <c r="H1166" s="253"/>
      <c r="I1166" s="253"/>
      <c r="J1166" s="253"/>
      <c r="K1166" s="253"/>
      <c r="L1166" s="253"/>
      <c r="M1166" s="253"/>
      <c r="N1166" s="253"/>
      <c r="O1166" s="253"/>
      <c r="P1166" s="253"/>
      <c r="Q1166" s="253"/>
    </row>
    <row r="1167" spans="1:17">
      <c r="A1167" s="253"/>
      <c r="B1167" s="253"/>
      <c r="C1167" s="253"/>
      <c r="D1167" s="253"/>
      <c r="E1167" s="253"/>
      <c r="F1167" s="253"/>
      <c r="G1167" s="253"/>
      <c r="H1167" s="253"/>
      <c r="I1167" s="253"/>
      <c r="J1167" s="253"/>
      <c r="K1167" s="253"/>
      <c r="L1167" s="253"/>
      <c r="M1167" s="253"/>
      <c r="N1167" s="253"/>
      <c r="O1167" s="253"/>
      <c r="P1167" s="253"/>
      <c r="Q1167" s="253"/>
    </row>
    <row r="1168" spans="1:17">
      <c r="A1168" s="253"/>
      <c r="B1168" s="253"/>
      <c r="C1168" s="253"/>
      <c r="D1168" s="253"/>
      <c r="E1168" s="253"/>
      <c r="F1168" s="253"/>
      <c r="G1168" s="253"/>
      <c r="H1168" s="253"/>
      <c r="I1168" s="253"/>
      <c r="J1168" s="253"/>
      <c r="K1168" s="253"/>
      <c r="L1168" s="253"/>
      <c r="M1168" s="253"/>
      <c r="N1168" s="253"/>
      <c r="O1168" s="253"/>
      <c r="P1168" s="253"/>
      <c r="Q1168" s="253"/>
    </row>
    <row r="1169" spans="1:17">
      <c r="A1169" s="253"/>
      <c r="B1169" s="253"/>
      <c r="C1169" s="253"/>
      <c r="D1169" s="253"/>
      <c r="E1169" s="253"/>
      <c r="F1169" s="253"/>
      <c r="G1169" s="253"/>
      <c r="H1169" s="253"/>
      <c r="I1169" s="253"/>
      <c r="J1169" s="253"/>
      <c r="K1169" s="253"/>
      <c r="L1169" s="253"/>
      <c r="M1169" s="253"/>
      <c r="N1169" s="253"/>
      <c r="O1169" s="253"/>
      <c r="P1169" s="253"/>
      <c r="Q1169" s="253"/>
    </row>
    <row r="1170" spans="1:17">
      <c r="A1170" s="253"/>
      <c r="B1170" s="253"/>
      <c r="C1170" s="253"/>
      <c r="D1170" s="253"/>
      <c r="E1170" s="253"/>
      <c r="F1170" s="253"/>
      <c r="G1170" s="253"/>
      <c r="H1170" s="253"/>
      <c r="I1170" s="253"/>
      <c r="J1170" s="253"/>
      <c r="K1170" s="253"/>
      <c r="L1170" s="253"/>
      <c r="M1170" s="253"/>
      <c r="N1170" s="253"/>
      <c r="O1170" s="253"/>
      <c r="P1170" s="253"/>
      <c r="Q1170" s="253"/>
    </row>
    <row r="1171" spans="1:17">
      <c r="A1171" s="253"/>
      <c r="B1171" s="253"/>
      <c r="C1171" s="253"/>
      <c r="D1171" s="253"/>
      <c r="E1171" s="253"/>
      <c r="F1171" s="253"/>
      <c r="G1171" s="253"/>
      <c r="H1171" s="253"/>
      <c r="I1171" s="253"/>
      <c r="J1171" s="253"/>
      <c r="K1171" s="253"/>
      <c r="L1171" s="253"/>
      <c r="M1171" s="253"/>
      <c r="N1171" s="253"/>
      <c r="O1171" s="253"/>
      <c r="P1171" s="253"/>
      <c r="Q1171" s="253"/>
    </row>
    <row r="1172" spans="1:17">
      <c r="A1172" s="253"/>
      <c r="B1172" s="253"/>
      <c r="C1172" s="253"/>
      <c r="D1172" s="253"/>
      <c r="E1172" s="253"/>
      <c r="F1172" s="253"/>
      <c r="G1172" s="253"/>
      <c r="H1172" s="253"/>
      <c r="I1172" s="253"/>
      <c r="J1172" s="253"/>
      <c r="K1172" s="253"/>
      <c r="L1172" s="253"/>
      <c r="M1172" s="253"/>
      <c r="N1172" s="253"/>
      <c r="O1172" s="253"/>
      <c r="P1172" s="253"/>
      <c r="Q1172" s="253"/>
    </row>
    <row r="1173" spans="1:17">
      <c r="A1173" s="253"/>
      <c r="B1173" s="253"/>
      <c r="C1173" s="253"/>
      <c r="D1173" s="253"/>
      <c r="E1173" s="253"/>
      <c r="F1173" s="253"/>
      <c r="G1173" s="253"/>
      <c r="H1173" s="253"/>
      <c r="I1173" s="253"/>
      <c r="J1173" s="253"/>
      <c r="K1173" s="253"/>
      <c r="L1173" s="253"/>
      <c r="M1173" s="253"/>
      <c r="N1173" s="253"/>
      <c r="O1173" s="253"/>
      <c r="P1173" s="253"/>
      <c r="Q1173" s="253"/>
    </row>
    <row r="1174" spans="1:17">
      <c r="A1174" s="253"/>
      <c r="B1174" s="253"/>
      <c r="C1174" s="253"/>
      <c r="D1174" s="253"/>
      <c r="E1174" s="253"/>
      <c r="F1174" s="253"/>
      <c r="G1174" s="253"/>
      <c r="H1174" s="253"/>
      <c r="I1174" s="253"/>
      <c r="J1174" s="253"/>
      <c r="K1174" s="253"/>
      <c r="L1174" s="253"/>
      <c r="M1174" s="253"/>
      <c r="N1174" s="253"/>
      <c r="O1174" s="253"/>
      <c r="P1174" s="253"/>
      <c r="Q1174" s="253"/>
    </row>
    <row r="1175" spans="1:17">
      <c r="A1175" s="253"/>
      <c r="B1175" s="253"/>
      <c r="C1175" s="253"/>
      <c r="D1175" s="253"/>
      <c r="E1175" s="253"/>
      <c r="F1175" s="253"/>
      <c r="G1175" s="253"/>
      <c r="H1175" s="253"/>
      <c r="I1175" s="253"/>
      <c r="J1175" s="253"/>
      <c r="K1175" s="253"/>
      <c r="L1175" s="253"/>
      <c r="M1175" s="253"/>
      <c r="N1175" s="253"/>
      <c r="O1175" s="253"/>
      <c r="P1175" s="253"/>
      <c r="Q1175" s="253"/>
    </row>
    <row r="1176" spans="1:17">
      <c r="A1176" s="253"/>
      <c r="B1176" s="253"/>
      <c r="C1176" s="253"/>
      <c r="D1176" s="253"/>
      <c r="E1176" s="253"/>
      <c r="F1176" s="253"/>
      <c r="G1176" s="253"/>
      <c r="H1176" s="253"/>
      <c r="I1176" s="253"/>
      <c r="J1176" s="253"/>
      <c r="K1176" s="253"/>
      <c r="L1176" s="253"/>
      <c r="M1176" s="253"/>
      <c r="N1176" s="253"/>
      <c r="O1176" s="253"/>
      <c r="P1176" s="253"/>
      <c r="Q1176" s="253"/>
    </row>
    <row r="1177" spans="1:17">
      <c r="A1177" s="253"/>
      <c r="B1177" s="253"/>
      <c r="C1177" s="253"/>
      <c r="D1177" s="253"/>
      <c r="E1177" s="253"/>
      <c r="F1177" s="253"/>
      <c r="G1177" s="253"/>
      <c r="H1177" s="253"/>
      <c r="I1177" s="253"/>
      <c r="J1177" s="253"/>
      <c r="K1177" s="253"/>
      <c r="L1177" s="253"/>
      <c r="M1177" s="253"/>
      <c r="N1177" s="253"/>
      <c r="O1177" s="253"/>
      <c r="P1177" s="253"/>
      <c r="Q1177" s="253"/>
    </row>
    <row r="1178" spans="1:17">
      <c r="A1178" s="253"/>
      <c r="B1178" s="253"/>
      <c r="C1178" s="253"/>
      <c r="D1178" s="253"/>
      <c r="E1178" s="253"/>
      <c r="F1178" s="253"/>
      <c r="G1178" s="253"/>
      <c r="H1178" s="253"/>
      <c r="I1178" s="253"/>
      <c r="J1178" s="253"/>
      <c r="K1178" s="253"/>
      <c r="L1178" s="253"/>
      <c r="M1178" s="253"/>
      <c r="N1178" s="253"/>
      <c r="O1178" s="253"/>
      <c r="P1178" s="253"/>
      <c r="Q1178" s="253"/>
    </row>
    <row r="1179" spans="1:17">
      <c r="A1179" s="253"/>
      <c r="B1179" s="253"/>
      <c r="C1179" s="253"/>
      <c r="D1179" s="253"/>
      <c r="E1179" s="253"/>
      <c r="F1179" s="253"/>
      <c r="G1179" s="253"/>
      <c r="H1179" s="253"/>
      <c r="I1179" s="253"/>
      <c r="J1179" s="253"/>
      <c r="K1179" s="253"/>
      <c r="L1179" s="253"/>
      <c r="M1179" s="253"/>
      <c r="N1179" s="253"/>
      <c r="O1179" s="253"/>
      <c r="P1179" s="253"/>
      <c r="Q1179" s="253"/>
    </row>
    <row r="1180" spans="1:17">
      <c r="A1180" s="253"/>
      <c r="B1180" s="253"/>
      <c r="C1180" s="253"/>
      <c r="D1180" s="253"/>
      <c r="E1180" s="253"/>
      <c r="F1180" s="253"/>
      <c r="G1180" s="253"/>
      <c r="H1180" s="253"/>
      <c r="I1180" s="253"/>
      <c r="J1180" s="253"/>
      <c r="K1180" s="253"/>
      <c r="L1180" s="253"/>
      <c r="M1180" s="253"/>
      <c r="N1180" s="253"/>
      <c r="O1180" s="253"/>
      <c r="P1180" s="253"/>
      <c r="Q1180" s="253"/>
    </row>
    <row r="1181" spans="1:17">
      <c r="A1181" s="253"/>
      <c r="B1181" s="253"/>
      <c r="C1181" s="253"/>
      <c r="D1181" s="253"/>
      <c r="E1181" s="253"/>
      <c r="F1181" s="253"/>
      <c r="G1181" s="253"/>
      <c r="H1181" s="253"/>
      <c r="I1181" s="253"/>
      <c r="J1181" s="253"/>
      <c r="K1181" s="253"/>
      <c r="L1181" s="253"/>
      <c r="M1181" s="253"/>
      <c r="N1181" s="253"/>
      <c r="O1181" s="253"/>
      <c r="P1181" s="253"/>
      <c r="Q1181" s="253"/>
    </row>
    <row r="1182" spans="1:17">
      <c r="A1182" s="253"/>
      <c r="B1182" s="253"/>
      <c r="C1182" s="253"/>
      <c r="D1182" s="253"/>
      <c r="E1182" s="253"/>
      <c r="F1182" s="253"/>
      <c r="G1182" s="253"/>
      <c r="H1182" s="253"/>
      <c r="I1182" s="253"/>
      <c r="J1182" s="253"/>
      <c r="K1182" s="253"/>
      <c r="L1182" s="253"/>
      <c r="M1182" s="253"/>
      <c r="N1182" s="253"/>
      <c r="O1182" s="253"/>
      <c r="P1182" s="253"/>
      <c r="Q1182" s="253"/>
    </row>
    <row r="1183" spans="1:17">
      <c r="A1183" s="253"/>
      <c r="B1183" s="253"/>
      <c r="C1183" s="253"/>
      <c r="D1183" s="253"/>
      <c r="E1183" s="253"/>
      <c r="F1183" s="253"/>
      <c r="G1183" s="253"/>
      <c r="H1183" s="253"/>
      <c r="I1183" s="253"/>
      <c r="J1183" s="253"/>
      <c r="K1183" s="253"/>
      <c r="L1183" s="253"/>
      <c r="M1183" s="253"/>
      <c r="N1183" s="253"/>
      <c r="O1183" s="253"/>
      <c r="P1183" s="253"/>
      <c r="Q1183" s="253"/>
    </row>
    <row r="1184" spans="1:17">
      <c r="A1184" s="253"/>
      <c r="B1184" s="253"/>
      <c r="C1184" s="253"/>
      <c r="D1184" s="253"/>
      <c r="E1184" s="253"/>
      <c r="F1184" s="253"/>
      <c r="G1184" s="253"/>
      <c r="H1184" s="253"/>
      <c r="I1184" s="253"/>
      <c r="J1184" s="253"/>
      <c r="K1184" s="253"/>
      <c r="L1184" s="253"/>
      <c r="M1184" s="253"/>
      <c r="N1184" s="253"/>
      <c r="O1184" s="253"/>
      <c r="P1184" s="253"/>
      <c r="Q1184" s="253"/>
    </row>
    <row r="1185" spans="1:17">
      <c r="A1185" s="253"/>
      <c r="B1185" s="253"/>
      <c r="C1185" s="253"/>
      <c r="D1185" s="253"/>
      <c r="E1185" s="253"/>
      <c r="F1185" s="253"/>
      <c r="G1185" s="253"/>
      <c r="H1185" s="253"/>
      <c r="I1185" s="253"/>
      <c r="J1185" s="253"/>
      <c r="K1185" s="253"/>
      <c r="L1185" s="253"/>
      <c r="M1185" s="253"/>
      <c r="N1185" s="253"/>
      <c r="O1185" s="253"/>
      <c r="P1185" s="253"/>
      <c r="Q1185" s="253"/>
    </row>
    <row r="1186" spans="1:17">
      <c r="A1186" s="253"/>
      <c r="B1186" s="253"/>
      <c r="C1186" s="253"/>
      <c r="D1186" s="253"/>
      <c r="E1186" s="253"/>
      <c r="F1186" s="253"/>
      <c r="G1186" s="253"/>
      <c r="H1186" s="253"/>
      <c r="I1186" s="253"/>
      <c r="J1186" s="253"/>
      <c r="K1186" s="253"/>
      <c r="L1186" s="253"/>
      <c r="M1186" s="253"/>
      <c r="N1186" s="253"/>
      <c r="O1186" s="253"/>
      <c r="P1186" s="253"/>
      <c r="Q1186" s="253"/>
    </row>
    <row r="1187" spans="1:17">
      <c r="A1187" s="253"/>
      <c r="B1187" s="253"/>
      <c r="C1187" s="253"/>
      <c r="D1187" s="253"/>
      <c r="E1187" s="253"/>
      <c r="F1187" s="253"/>
      <c r="G1187" s="253"/>
      <c r="H1187" s="253"/>
      <c r="I1187" s="253"/>
      <c r="J1187" s="253"/>
      <c r="K1187" s="253"/>
      <c r="L1187" s="253"/>
      <c r="M1187" s="253"/>
      <c r="N1187" s="253"/>
      <c r="O1187" s="253"/>
      <c r="P1187" s="253"/>
      <c r="Q1187" s="253"/>
    </row>
    <row r="1188" spans="1:17">
      <c r="A1188" s="253"/>
      <c r="B1188" s="253"/>
      <c r="C1188" s="253"/>
      <c r="D1188" s="253"/>
      <c r="E1188" s="253"/>
      <c r="F1188" s="253"/>
      <c r="G1188" s="253"/>
      <c r="H1188" s="253"/>
      <c r="I1188" s="253"/>
      <c r="J1188" s="253"/>
      <c r="K1188" s="253"/>
      <c r="L1188" s="253"/>
      <c r="M1188" s="253"/>
      <c r="N1188" s="253"/>
      <c r="O1188" s="253"/>
      <c r="P1188" s="253"/>
      <c r="Q1188" s="253"/>
    </row>
    <row r="1189" spans="1:17">
      <c r="A1189" s="253"/>
      <c r="B1189" s="253"/>
      <c r="C1189" s="253"/>
      <c r="D1189" s="253"/>
      <c r="E1189" s="253"/>
      <c r="F1189" s="253"/>
      <c r="G1189" s="253"/>
      <c r="H1189" s="253"/>
      <c r="I1189" s="253"/>
      <c r="J1189" s="253"/>
      <c r="K1189" s="253"/>
      <c r="L1189" s="253"/>
      <c r="M1189" s="253"/>
      <c r="N1189" s="253"/>
      <c r="O1189" s="253"/>
      <c r="P1189" s="253"/>
      <c r="Q1189" s="253"/>
    </row>
    <row r="1190" spans="1:17">
      <c r="A1190" s="253"/>
      <c r="B1190" s="253"/>
      <c r="C1190" s="253"/>
      <c r="D1190" s="253"/>
      <c r="E1190" s="253"/>
      <c r="F1190" s="253"/>
      <c r="G1190" s="253"/>
      <c r="H1190" s="253"/>
      <c r="I1190" s="253"/>
      <c r="J1190" s="253"/>
      <c r="K1190" s="253"/>
      <c r="L1190" s="253"/>
      <c r="M1190" s="253"/>
      <c r="N1190" s="253"/>
      <c r="O1190" s="253"/>
      <c r="P1190" s="253"/>
      <c r="Q1190" s="253"/>
    </row>
    <row r="1191" spans="1:17">
      <c r="A1191" s="253"/>
      <c r="B1191" s="253"/>
      <c r="C1191" s="253"/>
      <c r="D1191" s="253"/>
      <c r="E1191" s="253"/>
      <c r="F1191" s="253"/>
      <c r="G1191" s="253"/>
      <c r="H1191" s="253"/>
      <c r="I1191" s="253"/>
      <c r="J1191" s="253"/>
      <c r="K1191" s="253"/>
      <c r="L1191" s="253"/>
      <c r="M1191" s="253"/>
      <c r="N1191" s="253"/>
      <c r="O1191" s="253"/>
      <c r="P1191" s="253"/>
      <c r="Q1191" s="253"/>
    </row>
    <row r="1192" spans="1:17">
      <c r="A1192" s="253"/>
      <c r="B1192" s="253"/>
      <c r="C1192" s="253"/>
      <c r="D1192" s="253"/>
      <c r="E1192" s="253"/>
      <c r="F1192" s="253"/>
      <c r="G1192" s="253"/>
      <c r="H1192" s="253"/>
      <c r="I1192" s="253"/>
      <c r="J1192" s="253"/>
      <c r="K1192" s="253"/>
      <c r="L1192" s="253"/>
      <c r="M1192" s="253"/>
      <c r="N1192" s="253"/>
      <c r="O1192" s="253"/>
      <c r="P1192" s="253"/>
      <c r="Q1192" s="253"/>
    </row>
    <row r="1193" spans="1:17">
      <c r="A1193" s="253"/>
      <c r="B1193" s="253"/>
      <c r="C1193" s="253"/>
      <c r="D1193" s="253"/>
      <c r="E1193" s="253"/>
      <c r="F1193" s="253"/>
      <c r="G1193" s="253"/>
      <c r="H1193" s="253"/>
      <c r="I1193" s="253"/>
      <c r="J1193" s="253"/>
      <c r="K1193" s="253"/>
      <c r="L1193" s="253"/>
      <c r="M1193" s="253"/>
      <c r="N1193" s="253"/>
      <c r="O1193" s="253"/>
      <c r="P1193" s="253"/>
      <c r="Q1193" s="253"/>
    </row>
    <row r="1194" spans="1:17">
      <c r="A1194" s="253"/>
      <c r="B1194" s="253"/>
      <c r="C1194" s="253"/>
      <c r="D1194" s="253"/>
      <c r="E1194" s="253"/>
      <c r="F1194" s="253"/>
      <c r="G1194" s="253"/>
      <c r="H1194" s="253"/>
      <c r="I1194" s="253"/>
      <c r="J1194" s="253"/>
      <c r="K1194" s="253"/>
      <c r="L1194" s="253"/>
      <c r="M1194" s="253"/>
      <c r="N1194" s="253"/>
      <c r="O1194" s="253"/>
      <c r="P1194" s="253"/>
      <c r="Q1194" s="253"/>
    </row>
    <row r="1195" spans="1:17">
      <c r="A1195" s="253"/>
      <c r="B1195" s="253"/>
      <c r="C1195" s="253"/>
      <c r="D1195" s="253"/>
      <c r="E1195" s="253"/>
      <c r="F1195" s="253"/>
      <c r="G1195" s="253"/>
      <c r="H1195" s="253"/>
      <c r="I1195" s="253"/>
      <c r="J1195" s="253"/>
      <c r="K1195" s="253"/>
      <c r="L1195" s="253"/>
      <c r="M1195" s="253"/>
      <c r="N1195" s="253"/>
      <c r="O1195" s="253"/>
      <c r="P1195" s="253"/>
      <c r="Q1195" s="253"/>
    </row>
    <row r="1196" spans="1:17">
      <c r="A1196" s="253"/>
      <c r="B1196" s="253"/>
      <c r="C1196" s="253"/>
      <c r="D1196" s="253"/>
      <c r="E1196" s="253"/>
      <c r="F1196" s="253"/>
      <c r="G1196" s="253"/>
      <c r="H1196" s="253"/>
      <c r="I1196" s="253"/>
      <c r="J1196" s="253"/>
      <c r="K1196" s="253"/>
      <c r="L1196" s="253"/>
      <c r="M1196" s="253"/>
      <c r="N1196" s="253"/>
      <c r="O1196" s="253"/>
      <c r="P1196" s="253"/>
      <c r="Q1196" s="253"/>
    </row>
    <row r="1197" spans="1:17">
      <c r="A1197" s="253"/>
      <c r="B1197" s="253"/>
      <c r="C1197" s="253"/>
      <c r="D1197" s="253"/>
      <c r="E1197" s="253"/>
      <c r="F1197" s="253"/>
      <c r="G1197" s="253"/>
      <c r="H1197" s="253"/>
      <c r="I1197" s="253"/>
      <c r="J1197" s="253"/>
      <c r="K1197" s="253"/>
      <c r="L1197" s="253"/>
      <c r="M1197" s="253"/>
      <c r="N1197" s="253"/>
      <c r="O1197" s="253"/>
      <c r="P1197" s="253"/>
      <c r="Q1197" s="253"/>
    </row>
    <row r="1198" spans="1:17">
      <c r="A1198" s="253"/>
      <c r="B1198" s="253"/>
      <c r="C1198" s="253"/>
      <c r="D1198" s="253"/>
      <c r="E1198" s="253"/>
      <c r="F1198" s="253"/>
      <c r="G1198" s="253"/>
      <c r="H1198" s="253"/>
      <c r="I1198" s="253"/>
      <c r="J1198" s="253"/>
      <c r="K1198" s="253"/>
      <c r="L1198" s="253"/>
      <c r="M1198" s="253"/>
      <c r="N1198" s="253"/>
      <c r="O1198" s="253"/>
      <c r="P1198" s="253"/>
      <c r="Q1198" s="253"/>
    </row>
    <row r="1199" spans="1:17">
      <c r="A1199" s="253"/>
      <c r="B1199" s="253"/>
      <c r="C1199" s="253"/>
      <c r="D1199" s="253"/>
      <c r="E1199" s="253"/>
      <c r="F1199" s="253"/>
      <c r="G1199" s="253"/>
      <c r="H1199" s="253"/>
      <c r="I1199" s="253"/>
      <c r="J1199" s="253"/>
      <c r="K1199" s="253"/>
      <c r="L1199" s="253"/>
      <c r="M1199" s="253"/>
      <c r="N1199" s="253"/>
      <c r="O1199" s="253"/>
      <c r="P1199" s="253"/>
      <c r="Q1199" s="253"/>
    </row>
    <row r="1200" spans="1:17">
      <c r="A1200" s="253"/>
      <c r="B1200" s="253"/>
      <c r="C1200" s="253"/>
      <c r="D1200" s="253"/>
      <c r="E1200" s="253"/>
      <c r="F1200" s="253"/>
      <c r="G1200" s="253"/>
      <c r="H1200" s="253"/>
      <c r="I1200" s="253"/>
      <c r="J1200" s="253"/>
      <c r="K1200" s="253"/>
      <c r="L1200" s="253"/>
      <c r="M1200" s="253"/>
      <c r="N1200" s="253"/>
      <c r="O1200" s="253"/>
      <c r="P1200" s="253"/>
      <c r="Q1200" s="253"/>
    </row>
    <row r="1201" spans="1:17">
      <c r="A1201" s="253"/>
      <c r="B1201" s="253"/>
      <c r="C1201" s="253"/>
      <c r="D1201" s="253"/>
      <c r="E1201" s="253"/>
      <c r="F1201" s="253"/>
      <c r="G1201" s="253"/>
      <c r="H1201" s="253"/>
      <c r="I1201" s="253"/>
      <c r="J1201" s="253"/>
      <c r="K1201" s="253"/>
      <c r="L1201" s="253"/>
      <c r="M1201" s="253"/>
      <c r="N1201" s="253"/>
      <c r="O1201" s="253"/>
      <c r="P1201" s="253"/>
      <c r="Q1201" s="253"/>
    </row>
    <row r="1202" spans="1:17">
      <c r="A1202" s="253"/>
      <c r="B1202" s="253"/>
      <c r="C1202" s="253"/>
      <c r="D1202" s="253"/>
      <c r="E1202" s="253"/>
      <c r="F1202" s="253"/>
      <c r="G1202" s="253"/>
      <c r="H1202" s="253"/>
      <c r="I1202" s="253"/>
      <c r="J1202" s="253"/>
      <c r="K1202" s="253"/>
      <c r="L1202" s="253"/>
      <c r="M1202" s="253"/>
      <c r="N1202" s="253"/>
      <c r="O1202" s="253"/>
      <c r="P1202" s="253"/>
      <c r="Q1202" s="253"/>
    </row>
    <row r="1203" spans="1:17">
      <c r="A1203" s="253"/>
      <c r="B1203" s="253"/>
      <c r="C1203" s="253"/>
      <c r="D1203" s="253"/>
      <c r="E1203" s="253"/>
      <c r="F1203" s="253"/>
      <c r="G1203" s="253"/>
      <c r="H1203" s="253"/>
      <c r="I1203" s="253"/>
      <c r="J1203" s="253"/>
      <c r="K1203" s="253"/>
      <c r="L1203" s="253"/>
      <c r="M1203" s="253"/>
      <c r="N1203" s="253"/>
      <c r="O1203" s="253"/>
      <c r="P1203" s="253"/>
      <c r="Q1203" s="253"/>
    </row>
    <row r="1204" spans="1:17">
      <c r="A1204" s="253"/>
      <c r="B1204" s="253"/>
      <c r="C1204" s="253"/>
      <c r="D1204" s="253"/>
      <c r="E1204" s="253"/>
      <c r="F1204" s="253"/>
      <c r="G1204" s="253"/>
      <c r="H1204" s="253"/>
      <c r="I1204" s="253"/>
      <c r="J1204" s="253"/>
      <c r="K1204" s="253"/>
      <c r="L1204" s="253"/>
      <c r="M1204" s="253"/>
      <c r="N1204" s="253"/>
      <c r="O1204" s="253"/>
      <c r="P1204" s="253"/>
      <c r="Q1204" s="253"/>
    </row>
    <row r="1205" spans="1:17">
      <c r="A1205" s="253"/>
      <c r="B1205" s="253"/>
      <c r="C1205" s="253"/>
      <c r="D1205" s="253"/>
      <c r="E1205" s="253"/>
      <c r="F1205" s="253"/>
      <c r="G1205" s="253"/>
      <c r="H1205" s="253"/>
      <c r="I1205" s="253"/>
      <c r="J1205" s="253"/>
      <c r="K1205" s="253"/>
      <c r="L1205" s="253"/>
      <c r="M1205" s="253"/>
      <c r="N1205" s="253"/>
      <c r="O1205" s="253"/>
      <c r="P1205" s="253"/>
      <c r="Q1205" s="253"/>
    </row>
    <row r="1206" spans="1:17">
      <c r="A1206" s="253"/>
      <c r="B1206" s="253"/>
      <c r="C1206" s="253"/>
      <c r="D1206" s="253"/>
      <c r="E1206" s="253"/>
      <c r="F1206" s="253"/>
      <c r="G1206" s="253"/>
      <c r="H1206" s="253"/>
      <c r="I1206" s="253"/>
      <c r="J1206" s="253"/>
      <c r="K1206" s="253"/>
      <c r="L1206" s="253"/>
      <c r="M1206" s="253"/>
      <c r="N1206" s="253"/>
      <c r="O1206" s="253"/>
      <c r="P1206" s="253"/>
      <c r="Q1206" s="253"/>
    </row>
    <row r="1207" spans="1:17">
      <c r="A1207" s="253"/>
      <c r="B1207" s="253"/>
      <c r="C1207" s="253"/>
      <c r="D1207" s="253"/>
      <c r="E1207" s="253"/>
      <c r="F1207" s="253"/>
      <c r="G1207" s="253"/>
      <c r="H1207" s="253"/>
      <c r="I1207" s="253"/>
      <c r="J1207" s="253"/>
      <c r="K1207" s="253"/>
      <c r="L1207" s="253"/>
      <c r="M1207" s="253"/>
      <c r="N1207" s="253"/>
      <c r="O1207" s="253"/>
      <c r="P1207" s="253"/>
      <c r="Q1207" s="253"/>
    </row>
    <row r="1208" spans="1:17">
      <c r="A1208" s="253"/>
      <c r="B1208" s="253"/>
      <c r="C1208" s="253"/>
      <c r="D1208" s="253"/>
      <c r="E1208" s="253"/>
      <c r="F1208" s="253"/>
      <c r="G1208" s="253"/>
      <c r="H1208" s="253"/>
      <c r="I1208" s="253"/>
      <c r="J1208" s="253"/>
      <c r="K1208" s="253"/>
      <c r="L1208" s="253"/>
      <c r="M1208" s="253"/>
      <c r="N1208" s="253"/>
      <c r="O1208" s="253"/>
      <c r="P1208" s="253"/>
      <c r="Q1208" s="253"/>
    </row>
    <row r="1209" spans="1:17">
      <c r="A1209" s="253"/>
      <c r="B1209" s="253"/>
      <c r="C1209" s="253"/>
      <c r="D1209" s="253"/>
      <c r="E1209" s="253"/>
      <c r="F1209" s="253"/>
      <c r="G1209" s="253"/>
      <c r="H1209" s="253"/>
      <c r="I1209" s="253"/>
      <c r="J1209" s="253"/>
      <c r="K1209" s="253"/>
      <c r="L1209" s="253"/>
      <c r="M1209" s="253"/>
      <c r="N1209" s="253"/>
      <c r="O1209" s="253"/>
      <c r="P1209" s="253"/>
      <c r="Q1209" s="253"/>
    </row>
    <row r="1210" spans="1:17">
      <c r="A1210" s="253"/>
      <c r="B1210" s="253"/>
      <c r="C1210" s="253"/>
      <c r="D1210" s="253"/>
      <c r="E1210" s="253"/>
      <c r="F1210" s="253"/>
      <c r="G1210" s="253"/>
      <c r="H1210" s="253"/>
      <c r="I1210" s="253"/>
      <c r="J1210" s="253"/>
      <c r="K1210" s="253"/>
      <c r="L1210" s="253"/>
      <c r="M1210" s="253"/>
      <c r="N1210" s="253"/>
      <c r="O1210" s="253"/>
      <c r="P1210" s="253"/>
      <c r="Q1210" s="253"/>
    </row>
    <row r="1211" spans="1:17">
      <c r="A1211" s="253"/>
      <c r="B1211" s="253"/>
      <c r="C1211" s="253"/>
      <c r="D1211" s="253"/>
      <c r="E1211" s="253"/>
      <c r="F1211" s="253"/>
      <c r="G1211" s="253"/>
      <c r="H1211" s="253"/>
      <c r="I1211" s="253"/>
      <c r="J1211" s="253"/>
      <c r="K1211" s="253"/>
      <c r="L1211" s="253"/>
      <c r="M1211" s="253"/>
      <c r="N1211" s="253"/>
      <c r="O1211" s="253"/>
      <c r="P1211" s="253"/>
      <c r="Q1211" s="253"/>
    </row>
    <row r="1212" spans="1:17">
      <c r="A1212" s="253"/>
      <c r="B1212" s="253"/>
      <c r="C1212" s="253"/>
      <c r="D1212" s="253"/>
      <c r="E1212" s="253"/>
      <c r="F1212" s="253"/>
      <c r="G1212" s="253"/>
      <c r="H1212" s="253"/>
      <c r="I1212" s="253"/>
      <c r="J1212" s="253"/>
      <c r="K1212" s="253"/>
      <c r="L1212" s="253"/>
      <c r="M1212" s="253"/>
      <c r="N1212" s="253"/>
      <c r="O1212" s="253"/>
      <c r="P1212" s="253"/>
      <c r="Q1212" s="253"/>
    </row>
    <row r="1213" spans="1:17">
      <c r="A1213" s="253"/>
      <c r="B1213" s="253"/>
      <c r="C1213" s="253"/>
      <c r="D1213" s="253"/>
      <c r="E1213" s="253"/>
      <c r="F1213" s="253"/>
      <c r="G1213" s="253"/>
      <c r="H1213" s="253"/>
      <c r="I1213" s="253"/>
      <c r="J1213" s="253"/>
      <c r="K1213" s="253"/>
      <c r="L1213" s="253"/>
      <c r="M1213" s="253"/>
      <c r="N1213" s="253"/>
      <c r="O1213" s="253"/>
      <c r="P1213" s="253"/>
      <c r="Q1213" s="253"/>
    </row>
    <row r="1214" spans="1:17">
      <c r="A1214" s="253"/>
      <c r="B1214" s="253"/>
      <c r="C1214" s="253"/>
      <c r="D1214" s="253"/>
      <c r="E1214" s="253"/>
      <c r="F1214" s="253"/>
      <c r="G1214" s="253"/>
      <c r="H1214" s="253"/>
      <c r="I1214" s="253"/>
      <c r="J1214" s="253"/>
      <c r="K1214" s="253"/>
      <c r="L1214" s="253"/>
      <c r="M1214" s="253"/>
      <c r="N1214" s="253"/>
      <c r="O1214" s="253"/>
      <c r="P1214" s="253"/>
      <c r="Q1214" s="253"/>
    </row>
    <row r="1215" spans="1:17">
      <c r="A1215" s="253"/>
      <c r="B1215" s="253"/>
      <c r="C1215" s="253"/>
      <c r="D1215" s="253"/>
      <c r="E1215" s="253"/>
      <c r="F1215" s="253"/>
      <c r="G1215" s="253"/>
      <c r="H1215" s="253"/>
      <c r="I1215" s="253"/>
      <c r="J1215" s="253"/>
      <c r="K1215" s="253"/>
      <c r="L1215" s="253"/>
      <c r="M1215" s="253"/>
      <c r="N1215" s="253"/>
      <c r="O1215" s="253"/>
      <c r="P1215" s="253"/>
      <c r="Q1215" s="253"/>
    </row>
    <row r="1216" spans="1:17">
      <c r="A1216" s="253"/>
      <c r="B1216" s="253"/>
      <c r="C1216" s="253"/>
      <c r="D1216" s="253"/>
      <c r="E1216" s="253"/>
      <c r="F1216" s="253"/>
      <c r="G1216" s="253"/>
      <c r="H1216" s="253"/>
      <c r="I1216" s="253"/>
      <c r="J1216" s="253"/>
      <c r="K1216" s="253"/>
      <c r="L1216" s="253"/>
      <c r="M1216" s="253"/>
      <c r="N1216" s="253"/>
      <c r="O1216" s="253"/>
      <c r="P1216" s="253"/>
      <c r="Q1216" s="253"/>
    </row>
    <row r="1217" spans="1:17">
      <c r="A1217" s="253"/>
      <c r="B1217" s="253"/>
      <c r="C1217" s="253"/>
      <c r="D1217" s="253"/>
      <c r="E1217" s="253"/>
      <c r="F1217" s="253"/>
      <c r="G1217" s="253"/>
      <c r="H1217" s="253"/>
      <c r="I1217" s="253"/>
      <c r="J1217" s="253"/>
      <c r="K1217" s="253"/>
      <c r="L1217" s="253"/>
      <c r="M1217" s="253"/>
      <c r="N1217" s="253"/>
      <c r="O1217" s="253"/>
      <c r="P1217" s="253"/>
      <c r="Q1217" s="253"/>
    </row>
    <row r="1218" spans="1:17">
      <c r="A1218" s="253"/>
      <c r="B1218" s="253"/>
      <c r="C1218" s="253"/>
      <c r="D1218" s="253"/>
      <c r="E1218" s="253"/>
      <c r="F1218" s="253"/>
      <c r="G1218" s="253"/>
      <c r="H1218" s="253"/>
      <c r="I1218" s="253"/>
      <c r="J1218" s="253"/>
      <c r="K1218" s="253"/>
      <c r="L1218" s="253"/>
      <c r="M1218" s="253"/>
      <c r="N1218" s="253"/>
      <c r="O1218" s="253"/>
      <c r="P1218" s="253"/>
      <c r="Q1218" s="253"/>
    </row>
    <row r="1219" spans="1:17">
      <c r="A1219" s="253"/>
      <c r="B1219" s="253"/>
      <c r="C1219" s="253"/>
      <c r="D1219" s="253"/>
      <c r="E1219" s="253"/>
      <c r="F1219" s="253"/>
      <c r="G1219" s="253"/>
      <c r="H1219" s="253"/>
      <c r="I1219" s="253"/>
      <c r="J1219" s="253"/>
      <c r="K1219" s="253"/>
      <c r="L1219" s="253"/>
      <c r="M1219" s="253"/>
      <c r="N1219" s="253"/>
      <c r="O1219" s="253"/>
      <c r="P1219" s="253"/>
      <c r="Q1219" s="253"/>
    </row>
    <row r="1220" spans="1:17">
      <c r="A1220" s="253"/>
      <c r="B1220" s="253"/>
      <c r="C1220" s="253"/>
      <c r="D1220" s="253"/>
      <c r="E1220" s="253"/>
      <c r="F1220" s="253"/>
      <c r="G1220" s="253"/>
      <c r="H1220" s="253"/>
      <c r="I1220" s="253"/>
      <c r="J1220" s="253"/>
      <c r="K1220" s="253"/>
      <c r="L1220" s="253"/>
      <c r="M1220" s="253"/>
      <c r="N1220" s="253"/>
      <c r="O1220" s="253"/>
      <c r="P1220" s="253"/>
      <c r="Q1220" s="253"/>
    </row>
    <row r="1221" spans="1:17">
      <c r="A1221" s="253"/>
      <c r="B1221" s="253"/>
      <c r="C1221" s="253"/>
      <c r="D1221" s="253"/>
      <c r="E1221" s="253"/>
      <c r="F1221" s="253"/>
      <c r="G1221" s="253"/>
      <c r="H1221" s="253"/>
      <c r="I1221" s="253"/>
      <c r="J1221" s="253"/>
      <c r="K1221" s="253"/>
      <c r="L1221" s="253"/>
      <c r="M1221" s="253"/>
      <c r="N1221" s="253"/>
      <c r="O1221" s="253"/>
      <c r="P1221" s="253"/>
      <c r="Q1221" s="253"/>
    </row>
    <row r="1222" spans="1:17">
      <c r="A1222" s="253"/>
      <c r="B1222" s="253"/>
      <c r="C1222" s="253"/>
      <c r="D1222" s="253"/>
      <c r="E1222" s="253"/>
      <c r="F1222" s="253"/>
      <c r="G1222" s="253"/>
      <c r="H1222" s="253"/>
      <c r="I1222" s="253"/>
      <c r="J1222" s="253"/>
      <c r="K1222" s="253"/>
      <c r="L1222" s="253"/>
      <c r="M1222" s="253"/>
      <c r="N1222" s="253"/>
      <c r="O1222" s="253"/>
      <c r="P1222" s="253"/>
      <c r="Q1222" s="253"/>
    </row>
    <row r="1223" spans="1:17">
      <c r="A1223" s="253"/>
      <c r="B1223" s="253"/>
      <c r="C1223" s="253"/>
      <c r="D1223" s="253"/>
      <c r="E1223" s="253"/>
      <c r="F1223" s="253"/>
      <c r="G1223" s="253"/>
      <c r="H1223" s="253"/>
      <c r="I1223" s="253"/>
      <c r="J1223" s="253"/>
      <c r="K1223" s="253"/>
      <c r="L1223" s="253"/>
      <c r="M1223" s="253"/>
      <c r="N1223" s="253"/>
      <c r="O1223" s="253"/>
      <c r="P1223" s="253"/>
      <c r="Q1223" s="253"/>
    </row>
    <row r="1224" spans="1:17">
      <c r="A1224" s="253"/>
      <c r="B1224" s="253"/>
      <c r="C1224" s="253"/>
      <c r="D1224" s="253"/>
      <c r="E1224" s="253"/>
      <c r="F1224" s="253"/>
      <c r="G1224" s="253"/>
      <c r="H1224" s="253"/>
      <c r="I1224" s="253"/>
      <c r="J1224" s="253"/>
      <c r="K1224" s="253"/>
      <c r="L1224" s="253"/>
      <c r="M1224" s="253"/>
      <c r="N1224" s="253"/>
      <c r="O1224" s="253"/>
      <c r="P1224" s="253"/>
      <c r="Q1224" s="253"/>
    </row>
    <row r="1225" spans="1:17">
      <c r="A1225" s="253"/>
      <c r="B1225" s="253"/>
      <c r="C1225" s="253"/>
      <c r="D1225" s="253"/>
      <c r="E1225" s="253"/>
      <c r="F1225" s="253"/>
      <c r="G1225" s="253"/>
      <c r="H1225" s="253"/>
      <c r="I1225" s="253"/>
      <c r="J1225" s="253"/>
      <c r="K1225" s="253"/>
      <c r="L1225" s="253"/>
      <c r="M1225" s="253"/>
      <c r="N1225" s="253"/>
      <c r="O1225" s="253"/>
      <c r="P1225" s="253"/>
      <c r="Q1225" s="253"/>
    </row>
    <row r="1226" spans="1:17">
      <c r="A1226" s="253"/>
      <c r="B1226" s="253"/>
      <c r="C1226" s="253"/>
      <c r="D1226" s="253"/>
      <c r="E1226" s="253"/>
      <c r="F1226" s="253"/>
      <c r="G1226" s="253"/>
      <c r="H1226" s="253"/>
      <c r="I1226" s="253"/>
      <c r="J1226" s="253"/>
      <c r="K1226" s="253"/>
      <c r="L1226" s="253"/>
      <c r="M1226" s="253"/>
      <c r="N1226" s="253"/>
      <c r="O1226" s="253"/>
      <c r="P1226" s="253"/>
      <c r="Q1226" s="253"/>
    </row>
    <row r="1227" spans="1:17">
      <c r="A1227" s="253"/>
      <c r="B1227" s="253"/>
      <c r="C1227" s="253"/>
      <c r="D1227" s="253"/>
      <c r="E1227" s="253"/>
      <c r="F1227" s="253"/>
      <c r="G1227" s="253"/>
      <c r="H1227" s="253"/>
      <c r="I1227" s="253"/>
      <c r="J1227" s="253"/>
      <c r="K1227" s="253"/>
      <c r="L1227" s="253"/>
      <c r="M1227" s="253"/>
      <c r="N1227" s="253"/>
      <c r="O1227" s="253"/>
      <c r="P1227" s="253"/>
      <c r="Q1227" s="253"/>
    </row>
    <row r="1228" spans="1:17">
      <c r="A1228" s="253"/>
      <c r="B1228" s="253"/>
      <c r="C1228" s="253"/>
      <c r="D1228" s="253"/>
      <c r="E1228" s="253"/>
      <c r="F1228" s="253"/>
      <c r="G1228" s="253"/>
      <c r="H1228" s="253"/>
      <c r="I1228" s="253"/>
      <c r="J1228" s="253"/>
      <c r="K1228" s="253"/>
      <c r="L1228" s="253"/>
      <c r="M1228" s="253"/>
      <c r="N1228" s="253"/>
      <c r="O1228" s="253"/>
      <c r="P1228" s="253"/>
      <c r="Q1228" s="253"/>
    </row>
    <row r="1229" spans="1:17">
      <c r="A1229" s="253"/>
      <c r="B1229" s="253"/>
      <c r="C1229" s="253"/>
      <c r="D1229" s="253"/>
      <c r="E1229" s="253"/>
      <c r="F1229" s="253"/>
      <c r="G1229" s="253"/>
      <c r="H1229" s="253"/>
      <c r="I1229" s="253"/>
      <c r="J1229" s="253"/>
      <c r="K1229" s="253"/>
      <c r="L1229" s="253"/>
      <c r="M1229" s="253"/>
      <c r="N1229" s="253"/>
      <c r="O1229" s="253"/>
      <c r="P1229" s="253"/>
      <c r="Q1229" s="253"/>
    </row>
    <row r="1230" spans="1:17">
      <c r="A1230" s="253"/>
      <c r="B1230" s="253"/>
      <c r="C1230" s="253"/>
      <c r="D1230" s="253"/>
      <c r="E1230" s="253"/>
      <c r="F1230" s="253"/>
      <c r="G1230" s="253"/>
      <c r="H1230" s="253"/>
      <c r="I1230" s="253"/>
      <c r="J1230" s="253"/>
      <c r="K1230" s="253"/>
      <c r="L1230" s="253"/>
      <c r="M1230" s="253"/>
      <c r="N1230" s="253"/>
      <c r="O1230" s="253"/>
      <c r="P1230" s="253"/>
      <c r="Q1230" s="253"/>
    </row>
    <row r="1231" spans="1:17">
      <c r="A1231" s="253"/>
      <c r="B1231" s="253"/>
      <c r="C1231" s="253"/>
      <c r="D1231" s="253"/>
      <c r="E1231" s="253"/>
      <c r="F1231" s="253"/>
      <c r="G1231" s="253"/>
      <c r="H1231" s="253"/>
      <c r="I1231" s="253"/>
      <c r="J1231" s="253"/>
      <c r="K1231" s="253"/>
      <c r="L1231" s="253"/>
      <c r="M1231" s="253"/>
      <c r="N1231" s="253"/>
      <c r="O1231" s="253"/>
      <c r="P1231" s="253"/>
      <c r="Q1231" s="253"/>
    </row>
    <row r="1232" spans="1:17">
      <c r="A1232" s="253"/>
      <c r="B1232" s="253"/>
      <c r="C1232" s="253"/>
      <c r="D1232" s="253"/>
      <c r="E1232" s="253"/>
      <c r="F1232" s="253"/>
      <c r="G1232" s="253"/>
      <c r="H1232" s="253"/>
      <c r="I1232" s="253"/>
      <c r="J1232" s="253"/>
      <c r="K1232" s="253"/>
      <c r="L1232" s="253"/>
      <c r="M1232" s="253"/>
      <c r="N1232" s="253"/>
      <c r="O1232" s="253"/>
      <c r="P1232" s="253"/>
      <c r="Q1232" s="253"/>
    </row>
    <row r="1233" spans="1:17">
      <c r="A1233" s="253"/>
      <c r="B1233" s="253"/>
      <c r="C1233" s="253"/>
      <c r="D1233" s="253"/>
      <c r="E1233" s="253"/>
      <c r="F1233" s="253"/>
      <c r="G1233" s="253"/>
      <c r="H1233" s="253"/>
      <c r="I1233" s="253"/>
      <c r="J1233" s="253"/>
      <c r="K1233" s="253"/>
      <c r="L1233" s="253"/>
      <c r="M1233" s="253"/>
      <c r="N1233" s="253"/>
      <c r="O1233" s="253"/>
      <c r="P1233" s="253"/>
      <c r="Q1233" s="253"/>
    </row>
    <row r="1234" spans="1:17">
      <c r="A1234" s="253"/>
      <c r="B1234" s="253"/>
      <c r="C1234" s="253"/>
      <c r="D1234" s="253"/>
      <c r="E1234" s="253"/>
      <c r="F1234" s="253"/>
      <c r="G1234" s="253"/>
      <c r="H1234" s="253"/>
      <c r="I1234" s="253"/>
      <c r="J1234" s="253"/>
      <c r="K1234" s="253"/>
      <c r="L1234" s="253"/>
      <c r="M1234" s="253"/>
      <c r="N1234" s="253"/>
      <c r="O1234" s="253"/>
      <c r="P1234" s="253"/>
      <c r="Q1234" s="253"/>
    </row>
    <row r="1235" spans="1:17">
      <c r="A1235" s="253"/>
      <c r="B1235" s="253"/>
      <c r="C1235" s="253"/>
      <c r="D1235" s="253"/>
      <c r="E1235" s="253"/>
      <c r="F1235" s="253"/>
      <c r="G1235" s="253"/>
      <c r="H1235" s="253"/>
      <c r="I1235" s="253"/>
      <c r="J1235" s="253"/>
      <c r="K1235" s="253"/>
      <c r="L1235" s="253"/>
      <c r="M1235" s="253"/>
      <c r="N1235" s="253"/>
      <c r="O1235" s="253"/>
      <c r="P1235" s="253"/>
      <c r="Q1235" s="253"/>
    </row>
    <row r="1236" spans="1:17">
      <c r="A1236" s="253"/>
      <c r="B1236" s="253"/>
      <c r="C1236" s="253"/>
      <c r="D1236" s="253"/>
      <c r="E1236" s="253"/>
      <c r="F1236" s="253"/>
      <c r="G1236" s="253"/>
      <c r="H1236" s="253"/>
      <c r="I1236" s="253"/>
      <c r="J1236" s="253"/>
      <c r="K1236" s="253"/>
      <c r="L1236" s="253"/>
      <c r="M1236" s="253"/>
      <c r="N1236" s="253"/>
      <c r="O1236" s="253"/>
      <c r="P1236" s="253"/>
      <c r="Q1236" s="253"/>
    </row>
    <row r="1237" spans="1:17">
      <c r="A1237" s="253"/>
      <c r="B1237" s="253"/>
      <c r="C1237" s="253"/>
      <c r="D1237" s="253"/>
      <c r="E1237" s="253"/>
      <c r="F1237" s="253"/>
      <c r="G1237" s="253"/>
      <c r="H1237" s="253"/>
      <c r="I1237" s="253"/>
      <c r="J1237" s="253"/>
      <c r="K1237" s="253"/>
      <c r="L1237" s="253"/>
      <c r="M1237" s="253"/>
      <c r="N1237" s="253"/>
      <c r="O1237" s="253"/>
      <c r="P1237" s="253"/>
      <c r="Q1237" s="253"/>
    </row>
    <row r="1238" spans="1:17">
      <c r="A1238" s="253"/>
      <c r="B1238" s="253"/>
      <c r="C1238" s="253"/>
      <c r="D1238" s="253"/>
      <c r="E1238" s="253"/>
      <c r="F1238" s="253"/>
      <c r="G1238" s="253"/>
      <c r="H1238" s="253"/>
      <c r="I1238" s="253"/>
      <c r="J1238" s="253"/>
      <c r="K1238" s="253"/>
      <c r="L1238" s="253"/>
      <c r="M1238" s="253"/>
      <c r="N1238" s="253"/>
      <c r="O1238" s="253"/>
      <c r="P1238" s="253"/>
      <c r="Q1238" s="253"/>
    </row>
    <row r="1239" spans="1:17">
      <c r="A1239" s="253"/>
      <c r="B1239" s="253"/>
      <c r="C1239" s="253"/>
      <c r="D1239" s="253"/>
      <c r="E1239" s="253"/>
      <c r="F1239" s="253"/>
      <c r="G1239" s="253"/>
      <c r="H1239" s="253"/>
      <c r="I1239" s="253"/>
      <c r="J1239" s="253"/>
      <c r="K1239" s="253"/>
      <c r="L1239" s="253"/>
      <c r="M1239" s="253"/>
      <c r="N1239" s="253"/>
      <c r="O1239" s="253"/>
      <c r="P1239" s="253"/>
      <c r="Q1239" s="253"/>
    </row>
    <row r="1240" spans="1:17">
      <c r="A1240" s="253"/>
      <c r="B1240" s="253"/>
      <c r="C1240" s="253"/>
      <c r="D1240" s="253"/>
      <c r="E1240" s="253"/>
      <c r="F1240" s="253"/>
      <c r="G1240" s="253"/>
      <c r="H1240" s="253"/>
      <c r="I1240" s="253"/>
      <c r="J1240" s="253"/>
      <c r="K1240" s="253"/>
      <c r="L1240" s="253"/>
      <c r="M1240" s="253"/>
      <c r="N1240" s="253"/>
      <c r="O1240" s="253"/>
      <c r="P1240" s="253"/>
      <c r="Q1240" s="253"/>
    </row>
    <row r="1241" spans="1:17">
      <c r="A1241" s="253"/>
      <c r="B1241" s="253"/>
      <c r="C1241" s="253"/>
      <c r="D1241" s="253"/>
      <c r="E1241" s="253"/>
      <c r="F1241" s="253"/>
      <c r="G1241" s="253"/>
      <c r="H1241" s="253"/>
      <c r="I1241" s="253"/>
      <c r="J1241" s="253"/>
      <c r="K1241" s="253"/>
      <c r="L1241" s="253"/>
      <c r="M1241" s="253"/>
      <c r="N1241" s="253"/>
      <c r="O1241" s="253"/>
      <c r="P1241" s="253"/>
      <c r="Q1241" s="253"/>
    </row>
    <row r="1242" spans="1:17">
      <c r="A1242" s="253"/>
      <c r="B1242" s="253"/>
      <c r="C1242" s="253"/>
      <c r="D1242" s="253"/>
      <c r="E1242" s="253"/>
      <c r="F1242" s="253"/>
      <c r="G1242" s="253"/>
      <c r="H1242" s="253"/>
      <c r="I1242" s="253"/>
      <c r="J1242" s="253"/>
      <c r="K1242" s="253"/>
      <c r="L1242" s="253"/>
      <c r="M1242" s="253"/>
      <c r="N1242" s="253"/>
      <c r="O1242" s="253"/>
      <c r="P1242" s="253"/>
      <c r="Q1242" s="253"/>
    </row>
    <row r="1243" spans="1:17">
      <c r="A1243" s="253"/>
      <c r="B1243" s="253"/>
      <c r="C1243" s="253"/>
      <c r="D1243" s="253"/>
      <c r="E1243" s="253"/>
      <c r="F1243" s="253"/>
      <c r="G1243" s="253"/>
      <c r="H1243" s="253"/>
      <c r="I1243" s="253"/>
      <c r="J1243" s="253"/>
      <c r="K1243" s="253"/>
      <c r="L1243" s="253"/>
      <c r="M1243" s="253"/>
      <c r="N1243" s="253"/>
      <c r="O1243" s="253"/>
      <c r="P1243" s="253"/>
      <c r="Q1243" s="253"/>
    </row>
    <row r="1244" spans="1:17">
      <c r="A1244" s="253"/>
      <c r="B1244" s="253"/>
      <c r="C1244" s="253"/>
      <c r="D1244" s="253"/>
      <c r="E1244" s="253"/>
      <c r="F1244" s="253"/>
      <c r="G1244" s="253"/>
      <c r="H1244" s="253"/>
      <c r="I1244" s="253"/>
      <c r="J1244" s="253"/>
      <c r="K1244" s="253"/>
      <c r="L1244" s="253"/>
      <c r="M1244" s="253"/>
      <c r="N1244" s="253"/>
      <c r="O1244" s="253"/>
      <c r="P1244" s="253"/>
      <c r="Q1244" s="253"/>
    </row>
    <row r="1245" spans="1:17">
      <c r="A1245" s="253"/>
      <c r="B1245" s="253"/>
      <c r="C1245" s="253"/>
      <c r="D1245" s="253"/>
      <c r="E1245" s="253"/>
      <c r="F1245" s="253"/>
      <c r="G1245" s="253"/>
      <c r="H1245" s="253"/>
      <c r="I1245" s="253"/>
      <c r="J1245" s="253"/>
      <c r="K1245" s="253"/>
      <c r="L1245" s="253"/>
      <c r="M1245" s="253"/>
      <c r="N1245" s="253"/>
      <c r="O1245" s="253"/>
      <c r="P1245" s="253"/>
      <c r="Q1245" s="253"/>
    </row>
    <row r="1246" spans="1:17">
      <c r="A1246" s="253"/>
      <c r="B1246" s="253"/>
      <c r="C1246" s="253"/>
      <c r="D1246" s="253"/>
      <c r="E1246" s="253"/>
      <c r="F1246" s="253"/>
      <c r="G1246" s="253"/>
      <c r="H1246" s="253"/>
      <c r="I1246" s="253"/>
      <c r="J1246" s="253"/>
      <c r="K1246" s="253"/>
      <c r="L1246" s="253"/>
      <c r="M1246" s="253"/>
      <c r="N1246" s="253"/>
      <c r="O1246" s="253"/>
      <c r="P1246" s="253"/>
      <c r="Q1246" s="253"/>
    </row>
    <row r="1247" spans="1:17">
      <c r="A1247" s="253"/>
      <c r="B1247" s="253"/>
      <c r="C1247" s="253"/>
      <c r="D1247" s="253"/>
      <c r="E1247" s="253"/>
      <c r="F1247" s="253"/>
      <c r="G1247" s="253"/>
      <c r="H1247" s="253"/>
      <c r="I1247" s="253"/>
      <c r="J1247" s="253"/>
      <c r="K1247" s="253"/>
      <c r="L1247" s="253"/>
      <c r="M1247" s="253"/>
      <c r="N1247" s="253"/>
      <c r="O1247" s="253"/>
      <c r="P1247" s="253"/>
      <c r="Q1247" s="253"/>
    </row>
    <row r="1248" spans="1:17">
      <c r="A1248" s="253"/>
      <c r="B1248" s="253"/>
      <c r="C1248" s="253"/>
      <c r="D1248" s="253"/>
      <c r="E1248" s="253"/>
      <c r="F1248" s="253"/>
      <c r="G1248" s="253"/>
      <c r="H1248" s="253"/>
      <c r="I1248" s="253"/>
      <c r="J1248" s="253"/>
      <c r="K1248" s="253"/>
      <c r="L1248" s="253"/>
      <c r="M1248" s="253"/>
      <c r="N1248" s="253"/>
      <c r="O1248" s="253"/>
      <c r="P1248" s="253"/>
      <c r="Q1248" s="253"/>
    </row>
    <row r="1249" spans="1:17">
      <c r="A1249" s="253"/>
      <c r="B1249" s="253"/>
      <c r="C1249" s="253"/>
      <c r="D1249" s="253"/>
      <c r="E1249" s="253"/>
      <c r="F1249" s="253"/>
      <c r="G1249" s="253"/>
      <c r="H1249" s="253"/>
      <c r="I1249" s="253"/>
      <c r="J1249" s="253"/>
      <c r="K1249" s="253"/>
      <c r="L1249" s="253"/>
      <c r="M1249" s="253"/>
      <c r="N1249" s="253"/>
      <c r="O1249" s="253"/>
      <c r="P1249" s="253"/>
      <c r="Q1249" s="253"/>
    </row>
    <row r="1250" spans="1:17">
      <c r="A1250" s="253"/>
      <c r="B1250" s="253"/>
      <c r="C1250" s="253"/>
      <c r="D1250" s="253"/>
      <c r="E1250" s="253"/>
      <c r="F1250" s="253"/>
      <c r="G1250" s="253"/>
      <c r="H1250" s="253"/>
      <c r="I1250" s="253"/>
      <c r="J1250" s="253"/>
      <c r="K1250" s="253"/>
      <c r="L1250" s="253"/>
      <c r="M1250" s="253"/>
      <c r="N1250" s="253"/>
      <c r="O1250" s="253"/>
      <c r="P1250" s="253"/>
      <c r="Q1250" s="253"/>
    </row>
    <row r="1251" spans="1:17">
      <c r="A1251" s="253"/>
      <c r="B1251" s="253"/>
      <c r="C1251" s="253"/>
      <c r="D1251" s="253"/>
      <c r="E1251" s="253"/>
      <c r="F1251" s="253"/>
      <c r="G1251" s="253"/>
      <c r="H1251" s="253"/>
      <c r="I1251" s="253"/>
      <c r="J1251" s="253"/>
      <c r="K1251" s="253"/>
      <c r="L1251" s="253"/>
      <c r="M1251" s="253"/>
      <c r="N1251" s="253"/>
      <c r="O1251" s="253"/>
      <c r="P1251" s="253"/>
      <c r="Q1251" s="253"/>
    </row>
    <row r="1252" spans="1:17">
      <c r="A1252" s="253"/>
      <c r="B1252" s="253"/>
      <c r="C1252" s="253"/>
      <c r="D1252" s="253"/>
      <c r="E1252" s="253"/>
      <c r="F1252" s="253"/>
      <c r="G1252" s="253"/>
      <c r="H1252" s="253"/>
      <c r="I1252" s="253"/>
      <c r="J1252" s="253"/>
      <c r="K1252" s="253"/>
      <c r="L1252" s="253"/>
      <c r="M1252" s="253"/>
      <c r="N1252" s="253"/>
      <c r="O1252" s="253"/>
      <c r="P1252" s="253"/>
      <c r="Q1252" s="253"/>
    </row>
    <row r="1253" spans="1:17">
      <c r="A1253" s="253"/>
      <c r="B1253" s="253"/>
      <c r="C1253" s="253"/>
      <c r="D1253" s="253"/>
      <c r="E1253" s="253"/>
      <c r="F1253" s="253"/>
      <c r="G1253" s="253"/>
      <c r="H1253" s="253"/>
      <c r="I1253" s="253"/>
      <c r="J1253" s="253"/>
      <c r="K1253" s="253"/>
      <c r="L1253" s="253"/>
      <c r="M1253" s="253"/>
      <c r="N1253" s="253"/>
      <c r="O1253" s="253"/>
      <c r="P1253" s="253"/>
      <c r="Q1253" s="253"/>
    </row>
    <row r="1254" spans="1:17">
      <c r="A1254" s="253"/>
      <c r="B1254" s="253"/>
      <c r="C1254" s="253"/>
      <c r="D1254" s="253"/>
      <c r="E1254" s="253"/>
      <c r="F1254" s="253"/>
      <c r="G1254" s="253"/>
      <c r="H1254" s="253"/>
      <c r="I1254" s="253"/>
      <c r="J1254" s="253"/>
      <c r="K1254" s="253"/>
      <c r="L1254" s="253"/>
      <c r="M1254" s="253"/>
      <c r="N1254" s="253"/>
      <c r="O1254" s="253"/>
      <c r="P1254" s="253"/>
      <c r="Q1254" s="253"/>
    </row>
    <row r="1255" spans="1:17">
      <c r="A1255" s="253"/>
      <c r="B1255" s="253"/>
      <c r="C1255" s="253"/>
      <c r="D1255" s="253"/>
      <c r="E1255" s="253"/>
      <c r="F1255" s="253"/>
      <c r="G1255" s="253"/>
      <c r="H1255" s="253"/>
      <c r="I1255" s="253"/>
      <c r="J1255" s="253"/>
      <c r="K1255" s="253"/>
      <c r="L1255" s="253"/>
      <c r="M1255" s="253"/>
      <c r="N1255" s="253"/>
      <c r="O1255" s="253"/>
      <c r="P1255" s="253"/>
      <c r="Q1255" s="253"/>
    </row>
    <row r="1256" spans="1:17">
      <c r="A1256" s="253"/>
      <c r="B1256" s="253"/>
      <c r="C1256" s="253"/>
      <c r="D1256" s="253"/>
      <c r="E1256" s="253"/>
      <c r="F1256" s="253"/>
      <c r="G1256" s="253"/>
      <c r="H1256" s="253"/>
      <c r="I1256" s="253"/>
      <c r="J1256" s="253"/>
      <c r="K1256" s="253"/>
      <c r="L1256" s="253"/>
      <c r="M1256" s="253"/>
      <c r="N1256" s="253"/>
      <c r="O1256" s="253"/>
      <c r="P1256" s="253"/>
      <c r="Q1256" s="253"/>
    </row>
    <row r="1257" spans="1:17">
      <c r="A1257" s="253"/>
      <c r="B1257" s="253"/>
      <c r="C1257" s="253"/>
      <c r="D1257" s="253"/>
      <c r="E1257" s="253"/>
      <c r="F1257" s="253"/>
      <c r="G1257" s="253"/>
      <c r="H1257" s="253"/>
      <c r="I1257" s="253"/>
      <c r="J1257" s="253"/>
      <c r="K1257" s="253"/>
      <c r="L1257" s="253"/>
      <c r="M1257" s="253"/>
      <c r="N1257" s="253"/>
      <c r="O1257" s="253"/>
      <c r="P1257" s="253"/>
      <c r="Q1257" s="253"/>
    </row>
    <row r="1258" spans="1:17">
      <c r="A1258" s="253"/>
      <c r="B1258" s="253"/>
      <c r="C1258" s="253"/>
      <c r="D1258" s="253"/>
      <c r="E1258" s="253"/>
      <c r="F1258" s="253"/>
      <c r="G1258" s="253"/>
      <c r="H1258" s="253"/>
      <c r="I1258" s="253"/>
      <c r="J1258" s="253"/>
      <c r="K1258" s="253"/>
      <c r="L1258" s="253"/>
      <c r="M1258" s="253"/>
      <c r="N1258" s="253"/>
      <c r="O1258" s="253"/>
      <c r="P1258" s="253"/>
      <c r="Q1258" s="253"/>
    </row>
    <row r="1259" spans="1:17">
      <c r="A1259" s="253"/>
      <c r="B1259" s="253"/>
      <c r="C1259" s="253"/>
      <c r="D1259" s="253"/>
      <c r="E1259" s="253"/>
      <c r="F1259" s="253"/>
      <c r="G1259" s="253"/>
      <c r="H1259" s="253"/>
      <c r="I1259" s="253"/>
      <c r="J1259" s="253"/>
      <c r="K1259" s="253"/>
      <c r="L1259" s="253"/>
      <c r="M1259" s="253"/>
      <c r="N1259" s="253"/>
      <c r="O1259" s="253"/>
      <c r="P1259" s="253"/>
      <c r="Q1259" s="253"/>
    </row>
    <row r="1260" spans="1:17">
      <c r="A1260" s="253"/>
      <c r="B1260" s="253"/>
      <c r="C1260" s="253"/>
      <c r="D1260" s="253"/>
      <c r="E1260" s="253"/>
      <c r="F1260" s="253"/>
      <c r="G1260" s="253"/>
      <c r="H1260" s="253"/>
      <c r="I1260" s="253"/>
      <c r="J1260" s="253"/>
      <c r="K1260" s="253"/>
      <c r="L1260" s="253"/>
      <c r="M1260" s="253"/>
      <c r="N1260" s="253"/>
      <c r="O1260" s="253"/>
      <c r="P1260" s="253"/>
      <c r="Q1260" s="253"/>
    </row>
    <row r="1261" spans="1:17">
      <c r="A1261" s="253"/>
      <c r="B1261" s="253"/>
      <c r="C1261" s="253"/>
      <c r="D1261" s="253"/>
      <c r="E1261" s="253"/>
      <c r="F1261" s="253"/>
      <c r="G1261" s="253"/>
      <c r="H1261" s="253"/>
      <c r="I1261" s="253"/>
      <c r="J1261" s="253"/>
      <c r="K1261" s="253"/>
      <c r="L1261" s="253"/>
      <c r="M1261" s="253"/>
      <c r="N1261" s="253"/>
      <c r="O1261" s="253"/>
      <c r="P1261" s="253"/>
      <c r="Q1261" s="253"/>
    </row>
    <row r="1262" spans="1:17">
      <c r="A1262" s="253"/>
      <c r="B1262" s="253"/>
      <c r="C1262" s="253"/>
      <c r="D1262" s="253"/>
      <c r="E1262" s="253"/>
      <c r="F1262" s="253"/>
      <c r="G1262" s="253"/>
      <c r="H1262" s="253"/>
      <c r="I1262" s="253"/>
      <c r="J1262" s="253"/>
      <c r="K1262" s="253"/>
      <c r="L1262" s="253"/>
      <c r="M1262" s="253"/>
      <c r="N1262" s="253"/>
      <c r="O1262" s="253"/>
      <c r="P1262" s="253"/>
      <c r="Q1262" s="253"/>
    </row>
    <row r="1263" spans="1:17">
      <c r="A1263" s="253"/>
      <c r="B1263" s="253"/>
      <c r="C1263" s="253"/>
      <c r="D1263" s="253"/>
      <c r="E1263" s="253"/>
      <c r="F1263" s="253"/>
      <c r="G1263" s="253"/>
      <c r="H1263" s="253"/>
      <c r="I1263" s="253"/>
      <c r="J1263" s="253"/>
      <c r="K1263" s="253"/>
      <c r="L1263" s="253"/>
      <c r="M1263" s="253"/>
      <c r="N1263" s="253"/>
      <c r="O1263" s="253"/>
      <c r="P1263" s="253"/>
      <c r="Q1263" s="253"/>
    </row>
    <row r="1264" spans="1:17">
      <c r="A1264" s="253"/>
      <c r="B1264" s="253"/>
      <c r="C1264" s="253"/>
      <c r="D1264" s="253"/>
      <c r="E1264" s="253"/>
      <c r="F1264" s="253"/>
      <c r="G1264" s="253"/>
      <c r="H1264" s="253"/>
      <c r="I1264" s="253"/>
      <c r="J1264" s="253"/>
      <c r="K1264" s="253"/>
      <c r="L1264" s="253"/>
      <c r="M1264" s="253"/>
      <c r="N1264" s="253"/>
      <c r="O1264" s="253"/>
      <c r="P1264" s="253"/>
      <c r="Q1264" s="253"/>
    </row>
    <row r="1265" spans="1:17">
      <c r="A1265" s="253"/>
      <c r="B1265" s="253"/>
      <c r="C1265" s="253"/>
      <c r="D1265" s="253"/>
      <c r="E1265" s="253"/>
      <c r="F1265" s="253"/>
      <c r="G1265" s="253"/>
      <c r="H1265" s="253"/>
      <c r="I1265" s="253"/>
      <c r="J1265" s="253"/>
      <c r="K1265" s="253"/>
      <c r="L1265" s="253"/>
      <c r="M1265" s="253"/>
      <c r="N1265" s="253"/>
      <c r="O1265" s="253"/>
      <c r="P1265" s="253"/>
      <c r="Q1265" s="253"/>
    </row>
    <row r="1266" spans="1:17">
      <c r="A1266" s="253"/>
      <c r="B1266" s="253"/>
      <c r="C1266" s="253"/>
      <c r="D1266" s="253"/>
      <c r="E1266" s="253"/>
      <c r="F1266" s="253"/>
      <c r="G1266" s="253"/>
      <c r="H1266" s="253"/>
      <c r="I1266" s="253"/>
      <c r="J1266" s="253"/>
      <c r="K1266" s="253"/>
      <c r="L1266" s="253"/>
      <c r="M1266" s="253"/>
      <c r="N1266" s="253"/>
      <c r="O1266" s="253"/>
      <c r="P1266" s="253"/>
      <c r="Q1266" s="253"/>
    </row>
    <row r="1267" spans="1:17">
      <c r="A1267" s="253"/>
      <c r="B1267" s="253"/>
      <c r="C1267" s="253"/>
      <c r="D1267" s="253"/>
      <c r="E1267" s="253"/>
      <c r="F1267" s="253"/>
      <c r="G1267" s="253"/>
      <c r="H1267" s="253"/>
      <c r="I1267" s="253"/>
      <c r="J1267" s="253"/>
      <c r="K1267" s="253"/>
      <c r="L1267" s="253"/>
      <c r="M1267" s="253"/>
      <c r="N1267" s="253"/>
      <c r="O1267" s="253"/>
      <c r="P1267" s="253"/>
      <c r="Q1267" s="253"/>
    </row>
    <row r="1268" spans="1:17">
      <c r="A1268" s="253"/>
      <c r="B1268" s="253"/>
      <c r="C1268" s="253"/>
      <c r="D1268" s="253"/>
      <c r="E1268" s="253"/>
      <c r="F1268" s="253"/>
      <c r="G1268" s="253"/>
      <c r="H1268" s="253"/>
      <c r="I1268" s="253"/>
      <c r="J1268" s="253"/>
      <c r="K1268" s="253"/>
      <c r="L1268" s="253"/>
      <c r="M1268" s="253"/>
      <c r="N1268" s="253"/>
      <c r="O1268" s="253"/>
      <c r="P1268" s="253"/>
      <c r="Q1268" s="253"/>
    </row>
    <row r="1269" spans="1:17">
      <c r="A1269" s="253"/>
      <c r="B1269" s="253"/>
      <c r="C1269" s="253"/>
      <c r="D1269" s="253"/>
      <c r="E1269" s="253"/>
      <c r="F1269" s="253"/>
      <c r="G1269" s="253"/>
      <c r="H1269" s="253"/>
      <c r="I1269" s="253"/>
      <c r="J1269" s="253"/>
      <c r="K1269" s="253"/>
      <c r="L1269" s="253"/>
      <c r="M1269" s="253"/>
      <c r="N1269" s="253"/>
      <c r="O1269" s="253"/>
      <c r="P1269" s="253"/>
      <c r="Q1269" s="253"/>
    </row>
    <row r="1270" spans="1:17">
      <c r="A1270" s="253"/>
      <c r="B1270" s="253"/>
      <c r="C1270" s="253"/>
      <c r="D1270" s="253"/>
      <c r="E1270" s="253"/>
      <c r="F1270" s="253"/>
      <c r="G1270" s="253"/>
      <c r="H1270" s="253"/>
      <c r="I1270" s="253"/>
      <c r="J1270" s="253"/>
      <c r="K1270" s="253"/>
      <c r="L1270" s="253"/>
      <c r="M1270" s="253"/>
      <c r="N1270" s="253"/>
      <c r="O1270" s="253"/>
      <c r="P1270" s="253"/>
      <c r="Q1270" s="253"/>
    </row>
    <row r="1271" spans="1:17">
      <c r="A1271" s="253"/>
      <c r="B1271" s="253"/>
      <c r="C1271" s="253"/>
      <c r="D1271" s="253"/>
      <c r="E1271" s="253"/>
      <c r="F1271" s="253"/>
      <c r="G1271" s="253"/>
      <c r="H1271" s="253"/>
      <c r="I1271" s="253"/>
      <c r="J1271" s="253"/>
      <c r="K1271" s="253"/>
      <c r="L1271" s="253"/>
      <c r="M1271" s="253"/>
      <c r="N1271" s="253"/>
      <c r="O1271" s="253"/>
      <c r="P1271" s="253"/>
      <c r="Q1271" s="253"/>
    </row>
    <row r="1272" spans="1:17">
      <c r="A1272" s="253"/>
      <c r="B1272" s="253"/>
      <c r="C1272" s="253"/>
      <c r="D1272" s="253"/>
      <c r="E1272" s="253"/>
      <c r="F1272" s="253"/>
      <c r="G1272" s="253"/>
      <c r="H1272" s="253"/>
      <c r="I1272" s="253"/>
      <c r="J1272" s="253"/>
      <c r="K1272" s="253"/>
      <c r="L1272" s="253"/>
      <c r="M1272" s="253"/>
      <c r="N1272" s="253"/>
      <c r="O1272" s="253"/>
      <c r="P1272" s="253"/>
      <c r="Q1272" s="253"/>
    </row>
    <row r="1273" spans="1:17">
      <c r="A1273" s="253"/>
      <c r="B1273" s="253"/>
      <c r="C1273" s="253"/>
      <c r="D1273" s="253"/>
      <c r="E1273" s="253"/>
      <c r="F1273" s="253"/>
      <c r="G1273" s="253"/>
      <c r="H1273" s="253"/>
      <c r="I1273" s="253"/>
      <c r="J1273" s="253"/>
      <c r="K1273" s="253"/>
      <c r="L1273" s="253"/>
      <c r="M1273" s="253"/>
      <c r="N1273" s="253"/>
      <c r="O1273" s="253"/>
      <c r="P1273" s="253"/>
      <c r="Q1273" s="253"/>
    </row>
    <row r="1274" spans="1:17">
      <c r="A1274" s="253"/>
      <c r="B1274" s="253"/>
      <c r="C1274" s="253"/>
      <c r="D1274" s="253"/>
      <c r="E1274" s="253"/>
      <c r="F1274" s="253"/>
      <c r="G1274" s="253"/>
      <c r="H1274" s="253"/>
      <c r="I1274" s="253"/>
      <c r="J1274" s="253"/>
      <c r="K1274" s="253"/>
      <c r="L1274" s="253"/>
      <c r="M1274" s="253"/>
      <c r="N1274" s="253"/>
      <c r="O1274" s="253"/>
      <c r="P1274" s="253"/>
      <c r="Q1274" s="253"/>
    </row>
    <row r="1275" spans="1:17">
      <c r="A1275" s="253"/>
      <c r="B1275" s="253"/>
      <c r="C1275" s="253"/>
      <c r="D1275" s="253"/>
      <c r="E1275" s="253"/>
      <c r="F1275" s="253"/>
      <c r="G1275" s="253"/>
      <c r="H1275" s="253"/>
      <c r="I1275" s="253"/>
      <c r="J1275" s="253"/>
      <c r="K1275" s="253"/>
      <c r="L1275" s="253"/>
      <c r="M1275" s="253"/>
      <c r="N1275" s="253"/>
      <c r="O1275" s="253"/>
      <c r="P1275" s="253"/>
      <c r="Q1275" s="253"/>
    </row>
    <row r="1276" spans="1:17">
      <c r="A1276" s="253"/>
      <c r="B1276" s="253"/>
      <c r="C1276" s="253"/>
      <c r="D1276" s="253"/>
      <c r="E1276" s="253"/>
      <c r="F1276" s="253"/>
      <c r="G1276" s="253"/>
      <c r="H1276" s="253"/>
      <c r="I1276" s="253"/>
      <c r="J1276" s="253"/>
      <c r="K1276" s="253"/>
      <c r="L1276" s="253"/>
      <c r="M1276" s="253"/>
      <c r="N1276" s="253"/>
      <c r="O1276" s="253"/>
      <c r="P1276" s="253"/>
      <c r="Q1276" s="253"/>
    </row>
    <row r="1277" spans="1:17">
      <c r="A1277" s="253"/>
      <c r="B1277" s="253"/>
      <c r="C1277" s="253"/>
      <c r="D1277" s="253"/>
      <c r="E1277" s="253"/>
      <c r="F1277" s="253"/>
      <c r="G1277" s="253"/>
      <c r="H1277" s="253"/>
      <c r="I1277" s="253"/>
      <c r="J1277" s="253"/>
      <c r="K1277" s="253"/>
      <c r="L1277" s="253"/>
      <c r="M1277" s="253"/>
      <c r="N1277" s="253"/>
      <c r="O1277" s="253"/>
      <c r="P1277" s="253"/>
      <c r="Q1277" s="253"/>
    </row>
    <row r="1278" spans="1:17">
      <c r="A1278" s="253"/>
      <c r="B1278" s="253"/>
      <c r="C1278" s="253"/>
      <c r="D1278" s="253"/>
      <c r="E1278" s="253"/>
      <c r="F1278" s="253"/>
      <c r="G1278" s="253"/>
      <c r="H1278" s="253"/>
      <c r="I1278" s="253"/>
      <c r="J1278" s="253"/>
      <c r="K1278" s="253"/>
      <c r="L1278" s="253"/>
      <c r="M1278" s="253"/>
      <c r="N1278" s="253"/>
      <c r="O1278" s="253"/>
      <c r="P1278" s="253"/>
      <c r="Q1278" s="253"/>
    </row>
    <row r="1279" spans="1:17">
      <c r="A1279" s="253"/>
      <c r="B1279" s="253"/>
      <c r="C1279" s="253"/>
      <c r="D1279" s="253"/>
      <c r="E1279" s="253"/>
      <c r="F1279" s="253"/>
      <c r="G1279" s="253"/>
      <c r="H1279" s="253"/>
      <c r="I1279" s="253"/>
      <c r="J1279" s="253"/>
      <c r="K1279" s="253"/>
      <c r="L1279" s="253"/>
      <c r="M1279" s="253"/>
      <c r="N1279" s="253"/>
      <c r="O1279" s="253"/>
      <c r="P1279" s="253"/>
      <c r="Q1279" s="253"/>
    </row>
    <row r="1280" spans="1:17">
      <c r="A1280" s="253"/>
      <c r="B1280" s="253"/>
      <c r="C1280" s="253"/>
      <c r="D1280" s="253"/>
      <c r="E1280" s="253"/>
      <c r="F1280" s="253"/>
      <c r="G1280" s="253"/>
      <c r="H1280" s="253"/>
      <c r="I1280" s="253"/>
      <c r="J1280" s="253"/>
      <c r="K1280" s="253"/>
      <c r="L1280" s="253"/>
      <c r="M1280" s="253"/>
      <c r="N1280" s="253"/>
      <c r="O1280" s="253"/>
      <c r="P1280" s="253"/>
      <c r="Q1280" s="253"/>
    </row>
    <row r="1281" spans="1:17">
      <c r="A1281" s="253"/>
      <c r="B1281" s="253"/>
      <c r="C1281" s="253"/>
      <c r="D1281" s="253"/>
      <c r="E1281" s="253"/>
      <c r="F1281" s="253"/>
      <c r="G1281" s="253"/>
      <c r="H1281" s="253"/>
      <c r="I1281" s="253"/>
      <c r="J1281" s="253"/>
      <c r="K1281" s="253"/>
      <c r="L1281" s="253"/>
      <c r="M1281" s="253"/>
      <c r="N1281" s="253"/>
      <c r="O1281" s="253"/>
      <c r="P1281" s="253"/>
      <c r="Q1281" s="253"/>
    </row>
    <row r="1282" spans="1:17">
      <c r="A1282" s="253"/>
      <c r="B1282" s="253"/>
      <c r="C1282" s="253"/>
      <c r="D1282" s="253"/>
      <c r="E1282" s="253"/>
      <c r="F1282" s="253"/>
      <c r="G1282" s="253"/>
      <c r="H1282" s="253"/>
      <c r="I1282" s="253"/>
      <c r="J1282" s="253"/>
      <c r="K1282" s="253"/>
      <c r="L1282" s="253"/>
      <c r="M1282" s="253"/>
      <c r="N1282" s="253"/>
      <c r="O1282" s="253"/>
      <c r="P1282" s="253"/>
      <c r="Q1282" s="253"/>
    </row>
    <row r="1283" spans="1:17">
      <c r="A1283" s="253"/>
      <c r="B1283" s="253"/>
      <c r="C1283" s="253"/>
      <c r="D1283" s="253"/>
      <c r="E1283" s="253"/>
      <c r="F1283" s="253"/>
      <c r="G1283" s="253"/>
      <c r="H1283" s="253"/>
      <c r="I1283" s="253"/>
      <c r="J1283" s="253"/>
      <c r="K1283" s="253"/>
      <c r="L1283" s="253"/>
      <c r="M1283" s="253"/>
      <c r="N1283" s="253"/>
      <c r="O1283" s="253"/>
      <c r="P1283" s="253"/>
      <c r="Q1283" s="253"/>
    </row>
    <row r="1284" spans="1:17">
      <c r="A1284" s="253"/>
      <c r="B1284" s="253"/>
      <c r="C1284" s="253"/>
      <c r="D1284" s="253"/>
      <c r="E1284" s="253"/>
      <c r="F1284" s="253"/>
      <c r="G1284" s="253"/>
      <c r="H1284" s="253"/>
      <c r="I1284" s="253"/>
      <c r="J1284" s="253"/>
      <c r="K1284" s="253"/>
      <c r="L1284" s="253"/>
      <c r="M1284" s="253"/>
      <c r="N1284" s="253"/>
      <c r="O1284" s="253"/>
      <c r="P1284" s="253"/>
      <c r="Q1284" s="253"/>
    </row>
    <row r="1285" spans="1:17">
      <c r="A1285" s="253"/>
      <c r="B1285" s="253"/>
      <c r="C1285" s="253"/>
      <c r="D1285" s="253"/>
      <c r="E1285" s="253"/>
      <c r="F1285" s="253"/>
      <c r="G1285" s="253"/>
      <c r="H1285" s="253"/>
      <c r="I1285" s="253"/>
      <c r="J1285" s="253"/>
      <c r="K1285" s="253"/>
      <c r="L1285" s="253"/>
      <c r="M1285" s="253"/>
      <c r="N1285" s="253"/>
      <c r="O1285" s="253"/>
      <c r="P1285" s="253"/>
      <c r="Q1285" s="253"/>
    </row>
    <row r="1286" spans="1:17">
      <c r="A1286" s="253"/>
      <c r="B1286" s="253"/>
      <c r="C1286" s="253"/>
      <c r="D1286" s="253"/>
      <c r="E1286" s="253"/>
      <c r="F1286" s="253"/>
      <c r="G1286" s="253"/>
      <c r="H1286" s="253"/>
      <c r="I1286" s="253"/>
      <c r="J1286" s="253"/>
      <c r="K1286" s="253"/>
      <c r="L1286" s="253"/>
      <c r="M1286" s="253"/>
      <c r="N1286" s="253"/>
      <c r="O1286" s="253"/>
      <c r="P1286" s="253"/>
      <c r="Q1286" s="253"/>
    </row>
    <row r="1287" spans="1:17">
      <c r="A1287" s="253"/>
      <c r="B1287" s="253"/>
      <c r="C1287" s="253"/>
      <c r="D1287" s="253"/>
      <c r="E1287" s="253"/>
      <c r="F1287" s="253"/>
      <c r="G1287" s="253"/>
      <c r="H1287" s="253"/>
      <c r="I1287" s="253"/>
      <c r="J1287" s="253"/>
      <c r="K1287" s="253"/>
      <c r="L1287" s="253"/>
      <c r="M1287" s="253"/>
      <c r="N1287" s="253"/>
      <c r="O1287" s="253"/>
      <c r="P1287" s="253"/>
      <c r="Q1287" s="253"/>
    </row>
    <row r="1288" spans="1:17">
      <c r="A1288" s="253"/>
      <c r="B1288" s="253"/>
      <c r="C1288" s="253"/>
      <c r="D1288" s="253"/>
      <c r="E1288" s="253"/>
      <c r="F1288" s="253"/>
      <c r="G1288" s="253"/>
      <c r="H1288" s="253"/>
      <c r="I1288" s="253"/>
      <c r="J1288" s="253"/>
      <c r="K1288" s="253"/>
      <c r="L1288" s="253"/>
      <c r="M1288" s="253"/>
      <c r="N1288" s="253"/>
      <c r="O1288" s="253"/>
      <c r="P1288" s="253"/>
      <c r="Q1288" s="253"/>
    </row>
    <row r="1289" spans="1:17">
      <c r="A1289" s="253"/>
      <c r="B1289" s="253"/>
      <c r="C1289" s="253"/>
      <c r="D1289" s="253"/>
      <c r="E1289" s="253"/>
      <c r="F1289" s="253"/>
      <c r="G1289" s="253"/>
      <c r="H1289" s="253"/>
      <c r="I1289" s="253"/>
      <c r="J1289" s="253"/>
      <c r="K1289" s="253"/>
      <c r="L1289" s="253"/>
      <c r="M1289" s="253"/>
      <c r="N1289" s="253"/>
      <c r="O1289" s="253"/>
      <c r="P1289" s="253"/>
      <c r="Q1289" s="253"/>
    </row>
    <row r="1290" spans="1:17">
      <c r="A1290" s="253"/>
      <c r="B1290" s="253"/>
      <c r="C1290" s="253"/>
      <c r="D1290" s="253"/>
      <c r="E1290" s="253"/>
      <c r="F1290" s="253"/>
      <c r="G1290" s="253"/>
      <c r="H1290" s="253"/>
      <c r="I1290" s="253"/>
      <c r="J1290" s="253"/>
      <c r="K1290" s="253"/>
      <c r="L1290" s="253"/>
      <c r="M1290" s="253"/>
      <c r="N1290" s="253"/>
      <c r="O1290" s="253"/>
      <c r="P1290" s="253"/>
      <c r="Q1290" s="253"/>
    </row>
    <row r="1291" spans="1:17">
      <c r="A1291" s="253"/>
      <c r="B1291" s="253"/>
      <c r="C1291" s="253"/>
      <c r="D1291" s="253"/>
      <c r="E1291" s="253"/>
      <c r="F1291" s="253"/>
      <c r="G1291" s="253"/>
      <c r="H1291" s="253"/>
      <c r="I1291" s="253"/>
      <c r="J1291" s="253"/>
      <c r="K1291" s="253"/>
      <c r="L1291" s="253"/>
      <c r="M1291" s="253"/>
      <c r="N1291" s="253"/>
      <c r="O1291" s="253"/>
      <c r="P1291" s="253"/>
      <c r="Q1291" s="253"/>
    </row>
    <row r="1292" spans="1:17">
      <c r="A1292" s="253"/>
      <c r="B1292" s="253"/>
      <c r="C1292" s="253"/>
      <c r="D1292" s="253"/>
      <c r="E1292" s="253"/>
      <c r="F1292" s="253"/>
      <c r="G1292" s="253"/>
      <c r="H1292" s="253"/>
      <c r="I1292" s="253"/>
      <c r="J1292" s="253"/>
      <c r="K1292" s="253"/>
      <c r="L1292" s="253"/>
      <c r="M1292" s="253"/>
      <c r="N1292" s="253"/>
      <c r="O1292" s="253"/>
      <c r="P1292" s="253"/>
      <c r="Q1292" s="253"/>
    </row>
    <row r="1293" spans="1:17">
      <c r="A1293" s="253"/>
      <c r="B1293" s="253"/>
      <c r="C1293" s="253"/>
      <c r="D1293" s="253"/>
      <c r="E1293" s="253"/>
      <c r="F1293" s="253"/>
      <c r="G1293" s="253"/>
      <c r="H1293" s="253"/>
      <c r="I1293" s="253"/>
      <c r="J1293" s="253"/>
      <c r="K1293" s="253"/>
      <c r="L1293" s="253"/>
      <c r="M1293" s="253"/>
      <c r="N1293" s="253"/>
      <c r="O1293" s="253"/>
      <c r="P1293" s="253"/>
      <c r="Q1293" s="253"/>
    </row>
    <row r="1294" spans="1:17">
      <c r="A1294" s="253"/>
      <c r="B1294" s="253"/>
      <c r="C1294" s="253"/>
      <c r="D1294" s="253"/>
      <c r="E1294" s="253"/>
      <c r="F1294" s="253"/>
      <c r="G1294" s="253"/>
      <c r="H1294" s="253"/>
      <c r="I1294" s="253"/>
      <c r="J1294" s="253"/>
      <c r="K1294" s="253"/>
      <c r="L1294" s="253"/>
      <c r="M1294" s="253"/>
      <c r="N1294" s="253"/>
      <c r="O1294" s="253"/>
      <c r="P1294" s="253"/>
      <c r="Q1294" s="253"/>
    </row>
    <row r="1295" spans="1:17">
      <c r="A1295" s="253"/>
      <c r="B1295" s="253"/>
      <c r="C1295" s="253"/>
      <c r="D1295" s="253"/>
      <c r="E1295" s="253"/>
      <c r="F1295" s="253"/>
      <c r="G1295" s="253"/>
      <c r="H1295" s="253"/>
      <c r="I1295" s="253"/>
      <c r="J1295" s="253"/>
      <c r="K1295" s="253"/>
      <c r="L1295" s="253"/>
      <c r="M1295" s="253"/>
      <c r="N1295" s="253"/>
      <c r="O1295" s="253"/>
      <c r="P1295" s="253"/>
      <c r="Q1295" s="253"/>
    </row>
    <row r="1296" spans="1:17">
      <c r="A1296" s="253"/>
      <c r="B1296" s="253"/>
      <c r="C1296" s="253"/>
      <c r="D1296" s="253"/>
      <c r="E1296" s="253"/>
      <c r="F1296" s="253"/>
      <c r="G1296" s="253"/>
      <c r="H1296" s="253"/>
      <c r="I1296" s="253"/>
      <c r="J1296" s="253"/>
      <c r="K1296" s="253"/>
      <c r="L1296" s="253"/>
      <c r="M1296" s="253"/>
      <c r="N1296" s="253"/>
      <c r="O1296" s="253"/>
      <c r="P1296" s="253"/>
      <c r="Q1296" s="253"/>
    </row>
    <row r="1297" spans="1:17">
      <c r="A1297" s="253"/>
      <c r="B1297" s="253"/>
      <c r="C1297" s="253"/>
      <c r="D1297" s="253"/>
      <c r="E1297" s="253"/>
      <c r="F1297" s="253"/>
      <c r="G1297" s="253"/>
      <c r="H1297" s="253"/>
      <c r="I1297" s="253"/>
      <c r="J1297" s="253"/>
      <c r="K1297" s="253"/>
      <c r="L1297" s="253"/>
      <c r="M1297" s="253"/>
      <c r="N1297" s="253"/>
      <c r="O1297" s="253"/>
      <c r="P1297" s="253"/>
      <c r="Q1297" s="253"/>
    </row>
    <row r="1298" spans="1:17">
      <c r="A1298" s="253"/>
      <c r="B1298" s="253"/>
      <c r="C1298" s="253"/>
      <c r="D1298" s="253"/>
      <c r="E1298" s="253"/>
      <c r="F1298" s="253"/>
      <c r="G1298" s="253"/>
      <c r="H1298" s="253"/>
      <c r="I1298" s="253"/>
      <c r="J1298" s="253"/>
      <c r="K1298" s="253"/>
      <c r="L1298" s="253"/>
      <c r="M1298" s="253"/>
      <c r="N1298" s="253"/>
      <c r="O1298" s="253"/>
      <c r="P1298" s="253"/>
      <c r="Q1298" s="253"/>
    </row>
    <row r="1299" spans="1:17">
      <c r="A1299" s="253"/>
      <c r="B1299" s="253"/>
      <c r="C1299" s="253"/>
      <c r="D1299" s="253"/>
      <c r="E1299" s="253"/>
      <c r="F1299" s="253"/>
      <c r="G1299" s="253"/>
      <c r="H1299" s="253"/>
      <c r="I1299" s="253"/>
      <c r="J1299" s="253"/>
      <c r="K1299" s="253"/>
      <c r="L1299" s="253"/>
      <c r="M1299" s="253"/>
      <c r="N1299" s="253"/>
      <c r="O1299" s="253"/>
      <c r="P1299" s="253"/>
      <c r="Q1299" s="253"/>
    </row>
    <row r="1300" spans="1:17">
      <c r="A1300" s="253"/>
      <c r="B1300" s="253"/>
      <c r="C1300" s="253"/>
      <c r="D1300" s="253"/>
      <c r="E1300" s="253"/>
      <c r="F1300" s="253"/>
      <c r="G1300" s="253"/>
      <c r="H1300" s="253"/>
      <c r="I1300" s="253"/>
      <c r="J1300" s="253"/>
      <c r="K1300" s="253"/>
      <c r="L1300" s="253"/>
      <c r="M1300" s="253"/>
      <c r="N1300" s="253"/>
      <c r="O1300" s="253"/>
      <c r="P1300" s="253"/>
      <c r="Q1300" s="253"/>
    </row>
    <row r="1301" spans="1:17">
      <c r="A1301" s="253"/>
      <c r="B1301" s="253"/>
      <c r="C1301" s="253"/>
      <c r="D1301" s="253"/>
      <c r="E1301" s="253"/>
      <c r="F1301" s="253"/>
      <c r="G1301" s="253"/>
      <c r="H1301" s="253"/>
      <c r="I1301" s="253"/>
      <c r="J1301" s="253"/>
      <c r="K1301" s="253"/>
      <c r="L1301" s="253"/>
      <c r="M1301" s="253"/>
      <c r="N1301" s="253"/>
      <c r="O1301" s="253"/>
      <c r="P1301" s="253"/>
      <c r="Q1301" s="253"/>
    </row>
    <row r="1302" spans="1:17">
      <c r="A1302" s="253"/>
      <c r="B1302" s="253"/>
      <c r="C1302" s="253"/>
      <c r="D1302" s="253"/>
      <c r="E1302" s="253"/>
      <c r="F1302" s="253"/>
      <c r="G1302" s="253"/>
      <c r="H1302" s="253"/>
      <c r="I1302" s="253"/>
      <c r="J1302" s="253"/>
      <c r="K1302" s="253"/>
      <c r="L1302" s="253"/>
      <c r="M1302" s="253"/>
      <c r="N1302" s="253"/>
      <c r="O1302" s="253"/>
      <c r="P1302" s="253"/>
      <c r="Q1302" s="253"/>
    </row>
    <row r="1303" spans="1:17">
      <c r="A1303" s="253"/>
      <c r="B1303" s="253"/>
      <c r="C1303" s="253"/>
      <c r="D1303" s="253"/>
      <c r="E1303" s="253"/>
      <c r="F1303" s="253"/>
      <c r="G1303" s="253"/>
      <c r="H1303" s="253"/>
      <c r="I1303" s="253"/>
      <c r="J1303" s="253"/>
      <c r="K1303" s="253"/>
      <c r="L1303" s="253"/>
      <c r="M1303" s="253"/>
      <c r="N1303" s="253"/>
      <c r="O1303" s="253"/>
      <c r="P1303" s="253"/>
      <c r="Q1303" s="253"/>
    </row>
    <row r="1304" spans="1:17">
      <c r="A1304" s="253"/>
      <c r="B1304" s="253"/>
      <c r="C1304" s="253"/>
      <c r="D1304" s="253"/>
      <c r="E1304" s="253"/>
      <c r="F1304" s="253"/>
      <c r="G1304" s="253"/>
      <c r="H1304" s="253"/>
      <c r="I1304" s="253"/>
      <c r="J1304" s="253"/>
      <c r="K1304" s="253"/>
      <c r="L1304" s="253"/>
      <c r="M1304" s="253"/>
      <c r="N1304" s="253"/>
      <c r="O1304" s="253"/>
      <c r="P1304" s="253"/>
      <c r="Q1304" s="253"/>
    </row>
    <row r="1305" spans="1:17">
      <c r="A1305" s="253"/>
      <c r="B1305" s="253"/>
      <c r="C1305" s="253"/>
      <c r="D1305" s="253"/>
      <c r="E1305" s="253"/>
      <c r="F1305" s="253"/>
      <c r="G1305" s="253"/>
      <c r="H1305" s="253"/>
      <c r="I1305" s="253"/>
      <c r="J1305" s="253"/>
      <c r="K1305" s="253"/>
      <c r="L1305" s="253"/>
      <c r="M1305" s="253"/>
      <c r="N1305" s="253"/>
      <c r="O1305" s="253"/>
      <c r="P1305" s="253"/>
      <c r="Q1305" s="253"/>
    </row>
    <row r="1306" spans="1:17">
      <c r="A1306" s="253"/>
      <c r="B1306" s="253"/>
      <c r="C1306" s="253"/>
      <c r="D1306" s="253"/>
      <c r="E1306" s="253"/>
      <c r="F1306" s="253"/>
      <c r="G1306" s="253"/>
      <c r="H1306" s="253"/>
      <c r="I1306" s="253"/>
      <c r="J1306" s="253"/>
      <c r="K1306" s="253"/>
      <c r="L1306" s="253"/>
      <c r="M1306" s="253"/>
      <c r="N1306" s="253"/>
      <c r="O1306" s="253"/>
      <c r="P1306" s="253"/>
      <c r="Q1306" s="253"/>
    </row>
    <row r="1307" spans="1:17">
      <c r="A1307" s="253"/>
      <c r="B1307" s="253"/>
      <c r="C1307" s="253"/>
      <c r="D1307" s="253"/>
      <c r="E1307" s="253"/>
      <c r="F1307" s="253"/>
      <c r="G1307" s="253"/>
      <c r="H1307" s="253"/>
      <c r="I1307" s="253"/>
      <c r="J1307" s="253"/>
      <c r="K1307" s="253"/>
      <c r="L1307" s="253"/>
      <c r="M1307" s="253"/>
      <c r="N1307" s="253"/>
      <c r="O1307" s="253"/>
      <c r="P1307" s="253"/>
      <c r="Q1307" s="253"/>
    </row>
    <row r="1308" spans="1:17">
      <c r="A1308" s="253"/>
      <c r="B1308" s="253"/>
      <c r="C1308" s="253"/>
      <c r="D1308" s="253"/>
      <c r="E1308" s="253"/>
      <c r="F1308" s="253"/>
      <c r="G1308" s="253"/>
      <c r="H1308" s="253"/>
      <c r="I1308" s="253"/>
      <c r="J1308" s="253"/>
      <c r="K1308" s="253"/>
      <c r="L1308" s="253"/>
      <c r="M1308" s="253"/>
      <c r="N1308" s="253"/>
      <c r="O1308" s="253"/>
      <c r="P1308" s="253"/>
      <c r="Q1308" s="253"/>
    </row>
    <row r="1309" spans="1:17">
      <c r="A1309" s="253"/>
      <c r="B1309" s="253"/>
      <c r="C1309" s="253"/>
      <c r="D1309" s="253"/>
      <c r="E1309" s="253"/>
      <c r="F1309" s="253"/>
      <c r="G1309" s="253"/>
      <c r="H1309" s="253"/>
      <c r="I1309" s="253"/>
      <c r="J1309" s="253"/>
      <c r="K1309" s="253"/>
      <c r="L1309" s="253"/>
      <c r="M1309" s="253"/>
      <c r="N1309" s="253"/>
      <c r="O1309" s="253"/>
      <c r="P1309" s="253"/>
      <c r="Q1309" s="253"/>
    </row>
    <row r="1310" spans="1:17">
      <c r="A1310" s="253"/>
      <c r="B1310" s="253"/>
      <c r="C1310" s="253"/>
      <c r="D1310" s="253"/>
      <c r="E1310" s="253"/>
      <c r="F1310" s="253"/>
      <c r="G1310" s="253"/>
      <c r="H1310" s="253"/>
      <c r="I1310" s="253"/>
      <c r="J1310" s="253"/>
      <c r="K1310" s="253"/>
      <c r="L1310" s="253"/>
      <c r="M1310" s="253"/>
      <c r="N1310" s="253"/>
      <c r="O1310" s="253"/>
      <c r="P1310" s="253"/>
      <c r="Q1310" s="253"/>
    </row>
    <row r="1311" spans="1:17">
      <c r="A1311" s="253"/>
      <c r="B1311" s="253"/>
      <c r="C1311" s="253"/>
      <c r="D1311" s="253"/>
      <c r="E1311" s="253"/>
      <c r="F1311" s="253"/>
      <c r="G1311" s="253"/>
      <c r="H1311" s="253"/>
      <c r="I1311" s="253"/>
      <c r="J1311" s="253"/>
      <c r="K1311" s="253"/>
      <c r="L1311" s="253"/>
      <c r="M1311" s="253"/>
      <c r="N1311" s="253"/>
      <c r="O1311" s="253"/>
      <c r="P1311" s="253"/>
      <c r="Q1311" s="253"/>
    </row>
    <row r="1312" spans="1:17">
      <c r="A1312" s="253"/>
      <c r="B1312" s="253"/>
      <c r="C1312" s="253"/>
      <c r="D1312" s="253"/>
      <c r="E1312" s="253"/>
      <c r="F1312" s="253"/>
      <c r="G1312" s="253"/>
      <c r="H1312" s="253"/>
      <c r="I1312" s="253"/>
      <c r="J1312" s="253"/>
      <c r="K1312" s="253"/>
      <c r="L1312" s="253"/>
      <c r="M1312" s="253"/>
      <c r="N1312" s="253"/>
      <c r="O1312" s="253"/>
      <c r="P1312" s="253"/>
      <c r="Q1312" s="253"/>
    </row>
    <row r="1313" spans="1:17">
      <c r="A1313" s="253"/>
      <c r="B1313" s="253"/>
      <c r="C1313" s="253"/>
      <c r="D1313" s="253"/>
      <c r="E1313" s="253"/>
      <c r="F1313" s="253"/>
      <c r="G1313" s="253"/>
      <c r="H1313" s="253"/>
      <c r="I1313" s="253"/>
      <c r="J1313" s="253"/>
      <c r="K1313" s="253"/>
      <c r="L1313" s="253"/>
      <c r="M1313" s="253"/>
      <c r="N1313" s="253"/>
      <c r="O1313" s="253"/>
      <c r="P1313" s="253"/>
      <c r="Q1313" s="253"/>
    </row>
    <row r="1314" spans="1:17">
      <c r="A1314" s="253"/>
      <c r="B1314" s="253"/>
      <c r="C1314" s="253"/>
      <c r="D1314" s="253"/>
      <c r="E1314" s="253"/>
      <c r="F1314" s="253"/>
      <c r="G1314" s="253"/>
      <c r="H1314" s="253"/>
      <c r="I1314" s="253"/>
      <c r="J1314" s="253"/>
      <c r="K1314" s="253"/>
      <c r="L1314" s="253"/>
      <c r="M1314" s="253"/>
      <c r="N1314" s="253"/>
      <c r="O1314" s="253"/>
      <c r="P1314" s="253"/>
      <c r="Q1314" s="253"/>
    </row>
    <row r="1315" spans="1:17">
      <c r="A1315" s="253"/>
      <c r="B1315" s="253"/>
      <c r="C1315" s="253"/>
      <c r="D1315" s="253"/>
      <c r="E1315" s="253"/>
      <c r="F1315" s="253"/>
      <c r="G1315" s="253"/>
      <c r="H1315" s="253"/>
      <c r="I1315" s="253"/>
      <c r="J1315" s="253"/>
      <c r="K1315" s="253"/>
      <c r="L1315" s="253"/>
      <c r="M1315" s="253"/>
      <c r="N1315" s="253"/>
      <c r="O1315" s="253"/>
      <c r="P1315" s="253"/>
      <c r="Q1315" s="253"/>
    </row>
    <row r="1316" spans="1:17">
      <c r="A1316" s="253"/>
      <c r="B1316" s="253"/>
      <c r="C1316" s="253"/>
      <c r="D1316" s="253"/>
      <c r="E1316" s="253"/>
      <c r="F1316" s="253"/>
      <c r="G1316" s="253"/>
      <c r="H1316" s="253"/>
      <c r="I1316" s="253"/>
      <c r="J1316" s="253"/>
      <c r="K1316" s="253"/>
      <c r="L1316" s="253"/>
      <c r="M1316" s="253"/>
      <c r="N1316" s="253"/>
      <c r="O1316" s="253"/>
      <c r="P1316" s="253"/>
      <c r="Q1316" s="253"/>
    </row>
    <row r="1317" spans="1:17">
      <c r="A1317" s="253"/>
      <c r="B1317" s="253"/>
      <c r="C1317" s="253"/>
      <c r="D1317" s="253"/>
      <c r="E1317" s="253"/>
      <c r="F1317" s="253"/>
      <c r="G1317" s="253"/>
      <c r="H1317" s="253"/>
      <c r="I1317" s="253"/>
      <c r="J1317" s="253"/>
      <c r="K1317" s="253"/>
      <c r="L1317" s="253"/>
      <c r="M1317" s="253"/>
      <c r="N1317" s="253"/>
      <c r="O1317" s="253"/>
      <c r="P1317" s="253"/>
      <c r="Q1317" s="253"/>
    </row>
    <row r="1318" spans="1:17">
      <c r="A1318" s="253"/>
      <c r="B1318" s="253"/>
      <c r="C1318" s="253"/>
      <c r="D1318" s="253"/>
      <c r="E1318" s="253"/>
      <c r="F1318" s="253"/>
      <c r="G1318" s="253"/>
      <c r="H1318" s="253"/>
      <c r="I1318" s="253"/>
      <c r="J1318" s="253"/>
      <c r="K1318" s="253"/>
      <c r="L1318" s="253"/>
      <c r="M1318" s="253"/>
      <c r="N1318" s="253"/>
      <c r="O1318" s="253"/>
      <c r="P1318" s="253"/>
      <c r="Q1318" s="253"/>
    </row>
    <row r="1319" spans="1:17">
      <c r="A1319" s="253"/>
      <c r="B1319" s="253"/>
      <c r="C1319" s="253"/>
      <c r="D1319" s="253"/>
      <c r="E1319" s="253"/>
      <c r="F1319" s="253"/>
      <c r="G1319" s="253"/>
      <c r="H1319" s="253"/>
      <c r="I1319" s="253"/>
      <c r="J1319" s="253"/>
      <c r="K1319" s="253"/>
      <c r="L1319" s="253"/>
      <c r="M1319" s="253"/>
      <c r="N1319" s="253"/>
      <c r="O1319" s="253"/>
      <c r="P1319" s="253"/>
      <c r="Q1319" s="253"/>
    </row>
    <row r="1320" spans="1:17">
      <c r="A1320" s="253"/>
      <c r="B1320" s="253"/>
      <c r="C1320" s="253"/>
      <c r="D1320" s="253"/>
      <c r="E1320" s="253"/>
      <c r="F1320" s="253"/>
      <c r="G1320" s="253"/>
      <c r="H1320" s="253"/>
      <c r="I1320" s="253"/>
      <c r="J1320" s="253"/>
      <c r="K1320" s="253"/>
      <c r="L1320" s="253"/>
      <c r="M1320" s="253"/>
      <c r="N1320" s="253"/>
      <c r="O1320" s="253"/>
      <c r="P1320" s="253"/>
      <c r="Q1320" s="253"/>
    </row>
    <row r="1321" spans="1:17">
      <c r="A1321" s="253"/>
      <c r="B1321" s="253"/>
      <c r="C1321" s="253"/>
      <c r="D1321" s="253"/>
      <c r="E1321" s="253"/>
      <c r="F1321" s="253"/>
      <c r="G1321" s="253"/>
      <c r="H1321" s="253"/>
      <c r="I1321" s="253"/>
      <c r="J1321" s="253"/>
      <c r="K1321" s="253"/>
      <c r="L1321" s="253"/>
      <c r="M1321" s="253"/>
      <c r="N1321" s="253"/>
      <c r="O1321" s="253"/>
      <c r="P1321" s="253"/>
      <c r="Q1321" s="253"/>
    </row>
    <row r="1322" spans="1:17">
      <c r="A1322" s="253"/>
      <c r="B1322" s="253"/>
      <c r="C1322" s="253"/>
      <c r="D1322" s="253"/>
      <c r="E1322" s="253"/>
      <c r="F1322" s="253"/>
      <c r="G1322" s="253"/>
      <c r="H1322" s="253"/>
      <c r="I1322" s="253"/>
      <c r="J1322" s="253"/>
      <c r="K1322" s="253"/>
      <c r="L1322" s="253"/>
      <c r="M1322" s="253"/>
      <c r="N1322" s="253"/>
      <c r="O1322" s="253"/>
      <c r="P1322" s="253"/>
      <c r="Q1322" s="253"/>
    </row>
    <row r="1323" spans="1:17">
      <c r="A1323" s="253"/>
      <c r="B1323" s="253"/>
      <c r="C1323" s="253"/>
      <c r="D1323" s="253"/>
      <c r="E1323" s="253"/>
      <c r="F1323" s="253"/>
      <c r="G1323" s="253"/>
      <c r="H1323" s="253"/>
      <c r="I1323" s="253"/>
      <c r="J1323" s="253"/>
      <c r="K1323" s="253"/>
      <c r="L1323" s="253"/>
      <c r="M1323" s="253"/>
      <c r="N1323" s="253"/>
      <c r="O1323" s="253"/>
      <c r="P1323" s="253"/>
      <c r="Q1323" s="253"/>
    </row>
    <row r="1324" spans="1:17">
      <c r="A1324" s="253"/>
      <c r="B1324" s="253"/>
      <c r="C1324" s="253"/>
      <c r="D1324" s="253"/>
      <c r="E1324" s="253"/>
      <c r="F1324" s="253"/>
      <c r="G1324" s="253"/>
      <c r="H1324" s="253"/>
      <c r="I1324" s="253"/>
      <c r="J1324" s="253"/>
      <c r="K1324" s="253"/>
      <c r="L1324" s="253"/>
      <c r="M1324" s="253"/>
      <c r="N1324" s="253"/>
      <c r="O1324" s="253"/>
      <c r="P1324" s="253"/>
      <c r="Q1324" s="253"/>
    </row>
    <row r="1325" spans="1:17">
      <c r="A1325" s="253"/>
      <c r="B1325" s="253"/>
      <c r="C1325" s="253"/>
      <c r="D1325" s="253"/>
      <c r="E1325" s="253"/>
      <c r="F1325" s="253"/>
      <c r="G1325" s="253"/>
      <c r="H1325" s="253"/>
      <c r="I1325" s="253"/>
      <c r="J1325" s="253"/>
      <c r="K1325" s="253"/>
      <c r="L1325" s="253"/>
      <c r="M1325" s="253"/>
      <c r="N1325" s="253"/>
      <c r="O1325" s="253"/>
      <c r="P1325" s="253"/>
      <c r="Q1325" s="253"/>
    </row>
    <row r="1326" spans="1:17">
      <c r="A1326" s="253"/>
      <c r="B1326" s="253"/>
      <c r="C1326" s="253"/>
      <c r="D1326" s="253"/>
      <c r="E1326" s="253"/>
      <c r="F1326" s="253"/>
      <c r="G1326" s="253"/>
      <c r="H1326" s="253"/>
      <c r="I1326" s="253"/>
      <c r="J1326" s="253"/>
      <c r="K1326" s="253"/>
      <c r="L1326" s="253"/>
      <c r="M1326" s="253"/>
      <c r="N1326" s="253"/>
      <c r="O1326" s="253"/>
      <c r="P1326" s="253"/>
      <c r="Q1326" s="253"/>
    </row>
    <row r="1327" spans="1:17">
      <c r="A1327" s="253"/>
      <c r="B1327" s="253"/>
      <c r="C1327" s="253"/>
      <c r="D1327" s="253"/>
      <c r="E1327" s="253"/>
      <c r="F1327" s="253"/>
      <c r="G1327" s="253"/>
      <c r="H1327" s="253"/>
      <c r="I1327" s="253"/>
      <c r="J1327" s="253"/>
      <c r="K1327" s="253"/>
      <c r="L1327" s="253"/>
      <c r="M1327" s="253"/>
      <c r="N1327" s="253"/>
      <c r="O1327" s="253"/>
      <c r="P1327" s="253"/>
      <c r="Q1327" s="253"/>
    </row>
    <row r="1328" spans="1:17">
      <c r="A1328" s="253"/>
      <c r="B1328" s="253"/>
      <c r="C1328" s="253"/>
      <c r="D1328" s="253"/>
      <c r="E1328" s="253"/>
      <c r="F1328" s="253"/>
      <c r="G1328" s="253"/>
      <c r="H1328" s="253"/>
      <c r="I1328" s="253"/>
      <c r="J1328" s="253"/>
      <c r="K1328" s="253"/>
      <c r="L1328" s="253"/>
      <c r="M1328" s="253"/>
      <c r="N1328" s="253"/>
      <c r="O1328" s="253"/>
      <c r="P1328" s="253"/>
      <c r="Q1328" s="253"/>
    </row>
    <row r="1329" spans="1:17">
      <c r="A1329" s="253"/>
      <c r="B1329" s="253"/>
      <c r="C1329" s="253"/>
      <c r="D1329" s="253"/>
      <c r="E1329" s="253"/>
      <c r="F1329" s="253"/>
      <c r="G1329" s="253"/>
      <c r="H1329" s="253"/>
      <c r="I1329" s="253"/>
      <c r="J1329" s="253"/>
      <c r="K1329" s="253"/>
      <c r="L1329" s="253"/>
      <c r="M1329" s="253"/>
      <c r="N1329" s="253"/>
      <c r="O1329" s="253"/>
      <c r="P1329" s="253"/>
      <c r="Q1329" s="253"/>
    </row>
    <row r="1330" spans="1:17">
      <c r="A1330" s="253"/>
      <c r="B1330" s="253"/>
      <c r="C1330" s="253"/>
      <c r="D1330" s="253"/>
      <c r="E1330" s="253"/>
      <c r="F1330" s="253"/>
      <c r="G1330" s="253"/>
      <c r="H1330" s="253"/>
      <c r="I1330" s="253"/>
      <c r="J1330" s="253"/>
      <c r="K1330" s="253"/>
      <c r="L1330" s="253"/>
      <c r="M1330" s="253"/>
      <c r="N1330" s="253"/>
      <c r="O1330" s="253"/>
      <c r="P1330" s="253"/>
      <c r="Q1330" s="253"/>
    </row>
    <row r="1331" spans="1:17">
      <c r="A1331" s="253"/>
      <c r="B1331" s="253"/>
      <c r="C1331" s="253"/>
      <c r="D1331" s="253"/>
      <c r="E1331" s="253"/>
      <c r="F1331" s="253"/>
      <c r="G1331" s="253"/>
      <c r="H1331" s="253"/>
      <c r="I1331" s="253"/>
      <c r="J1331" s="253"/>
      <c r="K1331" s="253"/>
      <c r="L1331" s="253"/>
      <c r="M1331" s="253"/>
      <c r="N1331" s="253"/>
      <c r="O1331" s="253"/>
      <c r="P1331" s="253"/>
      <c r="Q1331" s="253"/>
    </row>
    <row r="1332" spans="1:17">
      <c r="A1332" s="253"/>
      <c r="B1332" s="253"/>
      <c r="C1332" s="253"/>
      <c r="D1332" s="253"/>
      <c r="E1332" s="253"/>
      <c r="F1332" s="253"/>
      <c r="G1332" s="253"/>
      <c r="H1332" s="253"/>
      <c r="I1332" s="253"/>
      <c r="J1332" s="253"/>
      <c r="K1332" s="253"/>
      <c r="L1332" s="253"/>
      <c r="M1332" s="253"/>
      <c r="N1332" s="253"/>
      <c r="O1332" s="253"/>
      <c r="P1332" s="253"/>
      <c r="Q1332" s="253"/>
    </row>
    <row r="1333" spans="1:17">
      <c r="A1333" s="253"/>
      <c r="B1333" s="253"/>
      <c r="C1333" s="253"/>
      <c r="D1333" s="253"/>
      <c r="E1333" s="253"/>
      <c r="F1333" s="253"/>
      <c r="G1333" s="253"/>
      <c r="H1333" s="253"/>
      <c r="I1333" s="253"/>
      <c r="J1333" s="253"/>
      <c r="K1333" s="253"/>
      <c r="L1333" s="253"/>
      <c r="M1333" s="253"/>
      <c r="N1333" s="253"/>
      <c r="O1333" s="253"/>
      <c r="P1333" s="253"/>
      <c r="Q1333" s="253"/>
    </row>
    <row r="1334" spans="1:17">
      <c r="A1334" s="253"/>
      <c r="B1334" s="253"/>
      <c r="C1334" s="253"/>
      <c r="D1334" s="253"/>
      <c r="E1334" s="253"/>
      <c r="F1334" s="253"/>
      <c r="G1334" s="253"/>
      <c r="H1334" s="253"/>
      <c r="I1334" s="253"/>
      <c r="J1334" s="253"/>
      <c r="K1334" s="253"/>
      <c r="L1334" s="253"/>
      <c r="M1334" s="253"/>
      <c r="N1334" s="253"/>
      <c r="O1334" s="253"/>
      <c r="P1334" s="253"/>
      <c r="Q1334" s="253"/>
    </row>
    <row r="1335" spans="1:17">
      <c r="A1335" s="253"/>
      <c r="B1335" s="253"/>
      <c r="C1335" s="253"/>
      <c r="D1335" s="253"/>
      <c r="E1335" s="253"/>
      <c r="F1335" s="253"/>
      <c r="G1335" s="253"/>
      <c r="H1335" s="253"/>
      <c r="I1335" s="253"/>
      <c r="J1335" s="253"/>
      <c r="K1335" s="253"/>
      <c r="L1335" s="253"/>
      <c r="M1335" s="253"/>
      <c r="N1335" s="253"/>
      <c r="O1335" s="253"/>
      <c r="P1335" s="253"/>
      <c r="Q1335" s="253"/>
    </row>
    <row r="1336" spans="1:17">
      <c r="A1336" s="253"/>
      <c r="B1336" s="253"/>
      <c r="C1336" s="253"/>
      <c r="D1336" s="253"/>
      <c r="E1336" s="253"/>
      <c r="F1336" s="253"/>
      <c r="G1336" s="253"/>
      <c r="H1336" s="253"/>
      <c r="I1336" s="253"/>
      <c r="J1336" s="253"/>
      <c r="K1336" s="253"/>
      <c r="L1336" s="253"/>
      <c r="M1336" s="253"/>
      <c r="N1336" s="253"/>
      <c r="O1336" s="253"/>
      <c r="P1336" s="253"/>
      <c r="Q1336" s="253"/>
    </row>
    <row r="1337" spans="1:17">
      <c r="A1337" s="253"/>
      <c r="B1337" s="253"/>
      <c r="C1337" s="253"/>
      <c r="D1337" s="253"/>
      <c r="E1337" s="253"/>
      <c r="F1337" s="253"/>
      <c r="G1337" s="253"/>
      <c r="H1337" s="253"/>
      <c r="I1337" s="253"/>
      <c r="J1337" s="253"/>
      <c r="K1337" s="253"/>
      <c r="L1337" s="253"/>
      <c r="M1337" s="253"/>
      <c r="N1337" s="253"/>
      <c r="O1337" s="253"/>
      <c r="P1337" s="253"/>
      <c r="Q1337" s="253"/>
    </row>
    <row r="1338" spans="1:17">
      <c r="A1338" s="253"/>
      <c r="B1338" s="253"/>
      <c r="C1338" s="253"/>
      <c r="D1338" s="253"/>
      <c r="E1338" s="253"/>
      <c r="F1338" s="253"/>
      <c r="G1338" s="253"/>
      <c r="H1338" s="253"/>
      <c r="I1338" s="253"/>
      <c r="J1338" s="253"/>
      <c r="K1338" s="253"/>
      <c r="L1338" s="253"/>
      <c r="M1338" s="253"/>
      <c r="N1338" s="253"/>
      <c r="O1338" s="253"/>
      <c r="P1338" s="253"/>
      <c r="Q1338" s="253"/>
    </row>
    <row r="1339" spans="1:17">
      <c r="A1339" s="253"/>
      <c r="B1339" s="253"/>
      <c r="C1339" s="253"/>
      <c r="D1339" s="253"/>
      <c r="E1339" s="253"/>
      <c r="F1339" s="253"/>
      <c r="G1339" s="253"/>
      <c r="H1339" s="253"/>
      <c r="I1339" s="253"/>
      <c r="J1339" s="253"/>
      <c r="K1339" s="253"/>
      <c r="L1339" s="253"/>
      <c r="M1339" s="253"/>
      <c r="N1339" s="253"/>
      <c r="O1339" s="253"/>
      <c r="P1339" s="253"/>
      <c r="Q1339" s="253"/>
    </row>
    <row r="1340" spans="1:17">
      <c r="A1340" s="253"/>
      <c r="B1340" s="253"/>
      <c r="C1340" s="253"/>
      <c r="D1340" s="253"/>
      <c r="E1340" s="253"/>
      <c r="F1340" s="253"/>
      <c r="G1340" s="253"/>
      <c r="H1340" s="253"/>
      <c r="I1340" s="253"/>
      <c r="J1340" s="253"/>
      <c r="K1340" s="253"/>
      <c r="L1340" s="253"/>
      <c r="M1340" s="253"/>
      <c r="N1340" s="253"/>
      <c r="O1340" s="253"/>
      <c r="P1340" s="253"/>
      <c r="Q1340" s="253"/>
    </row>
    <row r="1341" spans="1:17">
      <c r="A1341" s="253"/>
      <c r="B1341" s="253"/>
      <c r="C1341" s="253"/>
      <c r="D1341" s="253"/>
      <c r="E1341" s="253"/>
      <c r="F1341" s="253"/>
      <c r="G1341" s="253"/>
      <c r="H1341" s="253"/>
      <c r="I1341" s="253"/>
      <c r="J1341" s="253"/>
      <c r="K1341" s="253"/>
      <c r="L1341" s="253"/>
      <c r="M1341" s="253"/>
      <c r="N1341" s="253"/>
      <c r="O1341" s="253"/>
      <c r="P1341" s="253"/>
      <c r="Q1341" s="253"/>
    </row>
    <row r="1342" spans="1:17">
      <c r="A1342" s="253"/>
      <c r="B1342" s="253"/>
      <c r="C1342" s="253"/>
      <c r="D1342" s="253"/>
      <c r="E1342" s="253"/>
      <c r="F1342" s="253"/>
      <c r="G1342" s="253"/>
      <c r="H1342" s="253"/>
      <c r="I1342" s="253"/>
      <c r="J1342" s="253"/>
      <c r="K1342" s="253"/>
      <c r="L1342" s="253"/>
      <c r="M1342" s="253"/>
      <c r="N1342" s="253"/>
      <c r="O1342" s="253"/>
      <c r="P1342" s="253"/>
      <c r="Q1342" s="253"/>
    </row>
    <row r="1343" spans="1:17">
      <c r="A1343" s="253"/>
      <c r="B1343" s="253"/>
      <c r="C1343" s="253"/>
      <c r="D1343" s="253"/>
      <c r="E1343" s="253"/>
      <c r="F1343" s="253"/>
      <c r="G1343" s="253"/>
      <c r="H1343" s="253"/>
      <c r="I1343" s="253"/>
      <c r="J1343" s="253"/>
      <c r="K1343" s="253"/>
      <c r="L1343" s="253"/>
      <c r="M1343" s="253"/>
      <c r="N1343" s="253"/>
      <c r="O1343" s="253"/>
      <c r="P1343" s="253"/>
      <c r="Q1343" s="253"/>
    </row>
    <row r="1344" spans="1:17">
      <c r="A1344" s="253"/>
      <c r="B1344" s="253"/>
      <c r="C1344" s="253"/>
      <c r="D1344" s="253"/>
      <c r="E1344" s="253"/>
      <c r="F1344" s="253"/>
      <c r="G1344" s="253"/>
      <c r="H1344" s="253"/>
      <c r="I1344" s="253"/>
      <c r="J1344" s="253"/>
      <c r="K1344" s="253"/>
      <c r="L1344" s="253"/>
      <c r="M1344" s="253"/>
      <c r="N1344" s="253"/>
      <c r="O1344" s="253"/>
      <c r="P1344" s="253"/>
      <c r="Q1344" s="253"/>
    </row>
    <row r="1345" spans="1:17">
      <c r="A1345" s="253"/>
      <c r="B1345" s="253"/>
      <c r="C1345" s="253"/>
      <c r="D1345" s="253"/>
      <c r="E1345" s="253"/>
      <c r="F1345" s="253"/>
      <c r="G1345" s="253"/>
      <c r="H1345" s="253"/>
      <c r="I1345" s="253"/>
      <c r="J1345" s="253"/>
      <c r="K1345" s="253"/>
      <c r="L1345" s="253"/>
      <c r="M1345" s="253"/>
      <c r="N1345" s="253"/>
      <c r="O1345" s="253"/>
      <c r="P1345" s="253"/>
      <c r="Q1345" s="253"/>
    </row>
    <row r="1346" spans="1:17">
      <c r="A1346" s="253"/>
      <c r="B1346" s="253"/>
      <c r="C1346" s="253"/>
      <c r="D1346" s="253"/>
      <c r="E1346" s="253"/>
      <c r="F1346" s="253"/>
      <c r="G1346" s="253"/>
      <c r="H1346" s="253"/>
      <c r="I1346" s="253"/>
      <c r="J1346" s="253"/>
      <c r="K1346" s="253"/>
      <c r="L1346" s="253"/>
      <c r="M1346" s="253"/>
      <c r="N1346" s="253"/>
      <c r="O1346" s="253"/>
      <c r="P1346" s="253"/>
      <c r="Q1346" s="253"/>
    </row>
    <row r="1347" spans="1:17">
      <c r="A1347" s="253"/>
      <c r="B1347" s="253"/>
      <c r="C1347" s="253"/>
      <c r="D1347" s="253"/>
      <c r="E1347" s="253"/>
      <c r="F1347" s="253"/>
      <c r="G1347" s="253"/>
      <c r="H1347" s="253"/>
      <c r="I1347" s="253"/>
      <c r="J1347" s="253"/>
      <c r="K1347" s="253"/>
      <c r="L1347" s="253"/>
      <c r="M1347" s="253"/>
      <c r="N1347" s="253"/>
      <c r="O1347" s="253"/>
      <c r="P1347" s="253"/>
      <c r="Q1347" s="253"/>
    </row>
    <row r="1348" spans="1:17">
      <c r="A1348" s="253"/>
      <c r="B1348" s="253"/>
      <c r="C1348" s="253"/>
      <c r="D1348" s="253"/>
      <c r="E1348" s="253"/>
      <c r="F1348" s="253"/>
      <c r="G1348" s="253"/>
      <c r="H1348" s="253"/>
      <c r="I1348" s="253"/>
      <c r="J1348" s="253"/>
      <c r="K1348" s="253"/>
      <c r="L1348" s="253"/>
      <c r="M1348" s="253"/>
      <c r="N1348" s="253"/>
      <c r="O1348" s="253"/>
      <c r="P1348" s="253"/>
      <c r="Q1348" s="253"/>
    </row>
    <row r="1349" spans="1:17">
      <c r="A1349" s="253"/>
      <c r="B1349" s="253"/>
      <c r="C1349" s="253"/>
      <c r="D1349" s="253"/>
      <c r="E1349" s="253"/>
      <c r="F1349" s="253"/>
      <c r="G1349" s="253"/>
      <c r="H1349" s="253"/>
      <c r="I1349" s="253"/>
      <c r="J1349" s="253"/>
      <c r="K1349" s="253"/>
      <c r="L1349" s="253"/>
      <c r="M1349" s="253"/>
      <c r="N1349" s="253"/>
      <c r="O1349" s="253"/>
      <c r="P1349" s="253"/>
      <c r="Q1349" s="253"/>
    </row>
    <row r="1350" spans="1:17">
      <c r="A1350" s="253"/>
      <c r="B1350" s="253"/>
      <c r="C1350" s="253"/>
      <c r="D1350" s="253"/>
      <c r="E1350" s="253"/>
      <c r="F1350" s="253"/>
      <c r="G1350" s="253"/>
      <c r="H1350" s="253"/>
      <c r="I1350" s="253"/>
      <c r="J1350" s="253"/>
      <c r="K1350" s="253"/>
      <c r="L1350" s="253"/>
      <c r="M1350" s="253"/>
      <c r="N1350" s="253"/>
      <c r="O1350" s="253"/>
      <c r="P1350" s="253"/>
      <c r="Q1350" s="253"/>
    </row>
    <row r="1351" spans="1:17">
      <c r="A1351" s="253"/>
      <c r="B1351" s="253"/>
      <c r="C1351" s="253"/>
      <c r="D1351" s="253"/>
      <c r="E1351" s="253"/>
      <c r="F1351" s="253"/>
      <c r="G1351" s="253"/>
      <c r="H1351" s="253"/>
      <c r="I1351" s="253"/>
      <c r="J1351" s="253"/>
      <c r="K1351" s="253"/>
      <c r="L1351" s="253"/>
      <c r="M1351" s="253"/>
      <c r="N1351" s="253"/>
      <c r="O1351" s="253"/>
      <c r="P1351" s="253"/>
      <c r="Q1351" s="253"/>
    </row>
    <row r="1352" spans="1:17">
      <c r="A1352" s="253"/>
      <c r="B1352" s="253"/>
      <c r="C1352" s="253"/>
      <c r="D1352" s="253"/>
      <c r="E1352" s="253"/>
      <c r="F1352" s="253"/>
      <c r="G1352" s="253"/>
      <c r="H1352" s="253"/>
      <c r="I1352" s="253"/>
      <c r="J1352" s="253"/>
      <c r="K1352" s="253"/>
      <c r="L1352" s="253"/>
      <c r="M1352" s="253"/>
      <c r="N1352" s="253"/>
      <c r="O1352" s="253"/>
      <c r="P1352" s="253"/>
      <c r="Q1352" s="253"/>
    </row>
    <row r="1353" spans="1:17">
      <c r="A1353" s="253"/>
      <c r="B1353" s="253"/>
      <c r="C1353" s="253"/>
      <c r="D1353" s="253"/>
      <c r="E1353" s="253"/>
      <c r="F1353" s="253"/>
      <c r="G1353" s="253"/>
      <c r="H1353" s="253"/>
      <c r="I1353" s="253"/>
      <c r="J1353" s="253"/>
      <c r="K1353" s="253"/>
      <c r="L1353" s="253"/>
      <c r="M1353" s="253"/>
      <c r="N1353" s="253"/>
      <c r="O1353" s="253"/>
      <c r="P1353" s="253"/>
      <c r="Q1353" s="253"/>
    </row>
    <row r="1354" spans="1:17">
      <c r="A1354" s="253"/>
      <c r="B1354" s="253"/>
      <c r="C1354" s="253"/>
      <c r="D1354" s="253"/>
      <c r="E1354" s="253"/>
      <c r="F1354" s="253"/>
      <c r="G1354" s="253"/>
      <c r="H1354" s="253"/>
      <c r="I1354" s="253"/>
      <c r="J1354" s="253"/>
      <c r="K1354" s="253"/>
      <c r="L1354" s="253"/>
      <c r="M1354" s="253"/>
      <c r="N1354" s="253"/>
      <c r="O1354" s="253"/>
      <c r="P1354" s="253"/>
      <c r="Q1354" s="253"/>
    </row>
    <row r="1355" spans="1:17">
      <c r="A1355" s="253"/>
      <c r="B1355" s="253"/>
      <c r="C1355" s="253"/>
      <c r="D1355" s="253"/>
      <c r="E1355" s="253"/>
      <c r="F1355" s="253"/>
      <c r="G1355" s="253"/>
      <c r="H1355" s="253"/>
      <c r="I1355" s="253"/>
      <c r="J1355" s="253"/>
      <c r="K1355" s="253"/>
      <c r="L1355" s="253"/>
      <c r="M1355" s="253"/>
      <c r="N1355" s="253"/>
      <c r="O1355" s="253"/>
      <c r="P1355" s="253"/>
      <c r="Q1355" s="253"/>
    </row>
    <row r="1356" spans="1:17">
      <c r="A1356" s="253"/>
      <c r="B1356" s="253"/>
      <c r="C1356" s="253"/>
      <c r="D1356" s="253"/>
      <c r="E1356" s="253"/>
      <c r="F1356" s="253"/>
      <c r="G1356" s="253"/>
      <c r="H1356" s="253"/>
      <c r="I1356" s="253"/>
      <c r="J1356" s="253"/>
      <c r="K1356" s="253"/>
      <c r="L1356" s="253"/>
      <c r="M1356" s="253"/>
      <c r="N1356" s="253"/>
      <c r="O1356" s="253"/>
      <c r="P1356" s="253"/>
      <c r="Q1356" s="253"/>
    </row>
    <row r="1357" spans="1:17">
      <c r="A1357" s="253"/>
      <c r="B1357" s="253"/>
      <c r="C1357" s="253"/>
      <c r="D1357" s="253"/>
      <c r="E1357" s="253"/>
      <c r="F1357" s="253"/>
      <c r="G1357" s="253"/>
      <c r="H1357" s="253"/>
      <c r="I1357" s="253"/>
      <c r="J1357" s="253"/>
      <c r="K1357" s="253"/>
      <c r="L1357" s="253"/>
      <c r="M1357" s="253"/>
      <c r="N1357" s="253"/>
      <c r="O1357" s="253"/>
      <c r="P1357" s="253"/>
      <c r="Q1357" s="253"/>
    </row>
    <row r="1358" spans="1:17">
      <c r="A1358" s="253"/>
      <c r="B1358" s="253"/>
      <c r="C1358" s="253"/>
      <c r="D1358" s="253"/>
      <c r="E1358" s="253"/>
      <c r="F1358" s="253"/>
      <c r="G1358" s="253"/>
      <c r="H1358" s="253"/>
      <c r="I1358" s="253"/>
      <c r="J1358" s="253"/>
      <c r="K1358" s="253"/>
      <c r="L1358" s="253"/>
      <c r="M1358" s="253"/>
      <c r="N1358" s="253"/>
      <c r="O1358" s="253"/>
      <c r="P1358" s="253"/>
      <c r="Q1358" s="253"/>
    </row>
    <row r="1359" spans="1:17">
      <c r="A1359" s="253"/>
      <c r="B1359" s="253"/>
      <c r="C1359" s="253"/>
      <c r="D1359" s="253"/>
      <c r="E1359" s="253"/>
      <c r="F1359" s="253"/>
      <c r="G1359" s="253"/>
      <c r="H1359" s="253"/>
      <c r="I1359" s="253"/>
      <c r="J1359" s="253"/>
      <c r="K1359" s="253"/>
      <c r="L1359" s="253"/>
      <c r="M1359" s="253"/>
      <c r="N1359" s="253"/>
      <c r="O1359" s="253"/>
      <c r="P1359" s="253"/>
      <c r="Q1359" s="253"/>
    </row>
    <row r="1360" spans="1:17">
      <c r="A1360" s="253"/>
      <c r="B1360" s="253"/>
      <c r="C1360" s="253"/>
      <c r="D1360" s="253"/>
      <c r="E1360" s="253"/>
      <c r="F1360" s="253"/>
      <c r="G1360" s="253"/>
      <c r="H1360" s="253"/>
      <c r="I1360" s="253"/>
      <c r="J1360" s="253"/>
      <c r="K1360" s="253"/>
      <c r="L1360" s="253"/>
      <c r="M1360" s="253"/>
      <c r="N1360" s="253"/>
      <c r="O1360" s="253"/>
      <c r="P1360" s="253"/>
      <c r="Q1360" s="253"/>
    </row>
    <row r="1361" spans="1:17">
      <c r="A1361" s="253"/>
      <c r="B1361" s="253"/>
      <c r="C1361" s="253"/>
      <c r="D1361" s="253"/>
      <c r="E1361" s="253"/>
      <c r="F1361" s="253"/>
      <c r="G1361" s="253"/>
      <c r="H1361" s="253"/>
      <c r="I1361" s="253"/>
      <c r="J1361" s="253"/>
      <c r="K1361" s="253"/>
      <c r="L1361" s="253"/>
      <c r="M1361" s="253"/>
      <c r="N1361" s="253"/>
      <c r="O1361" s="253"/>
      <c r="P1361" s="253"/>
      <c r="Q1361" s="253"/>
    </row>
    <row r="1362" spans="1:17">
      <c r="A1362" s="253"/>
      <c r="B1362" s="253"/>
      <c r="C1362" s="253"/>
      <c r="D1362" s="253"/>
      <c r="E1362" s="253"/>
      <c r="F1362" s="253"/>
      <c r="G1362" s="253"/>
      <c r="H1362" s="253"/>
      <c r="I1362" s="253"/>
      <c r="J1362" s="253"/>
      <c r="K1362" s="253"/>
      <c r="L1362" s="253"/>
      <c r="M1362" s="253"/>
      <c r="N1362" s="253"/>
      <c r="O1362" s="253"/>
      <c r="P1362" s="253"/>
      <c r="Q1362" s="253"/>
    </row>
    <row r="1363" spans="1:17">
      <c r="A1363" s="253"/>
      <c r="B1363" s="253"/>
      <c r="C1363" s="253"/>
      <c r="D1363" s="253"/>
      <c r="E1363" s="253"/>
      <c r="F1363" s="253"/>
      <c r="G1363" s="253"/>
      <c r="H1363" s="253"/>
      <c r="I1363" s="253"/>
      <c r="J1363" s="253"/>
      <c r="K1363" s="253"/>
      <c r="L1363" s="253"/>
      <c r="M1363" s="253"/>
      <c r="N1363" s="253"/>
      <c r="O1363" s="253"/>
      <c r="P1363" s="253"/>
      <c r="Q1363" s="253"/>
    </row>
    <row r="1364" spans="1:17">
      <c r="A1364" s="253"/>
      <c r="B1364" s="253"/>
      <c r="C1364" s="253"/>
      <c r="D1364" s="253"/>
      <c r="E1364" s="253"/>
      <c r="F1364" s="253"/>
      <c r="G1364" s="253"/>
      <c r="H1364" s="253"/>
      <c r="I1364" s="253"/>
      <c r="J1364" s="253"/>
      <c r="K1364" s="253"/>
      <c r="L1364" s="253"/>
      <c r="M1364" s="253"/>
      <c r="N1364" s="253"/>
      <c r="O1364" s="253"/>
      <c r="P1364" s="253"/>
      <c r="Q1364" s="253"/>
    </row>
    <row r="1365" spans="1:17">
      <c r="A1365" s="253"/>
      <c r="B1365" s="253"/>
      <c r="C1365" s="253"/>
      <c r="D1365" s="253"/>
      <c r="E1365" s="253"/>
      <c r="F1365" s="253"/>
      <c r="G1365" s="253"/>
      <c r="H1365" s="253"/>
      <c r="I1365" s="253"/>
      <c r="J1365" s="253"/>
      <c r="K1365" s="253"/>
      <c r="L1365" s="253"/>
      <c r="M1365" s="253"/>
      <c r="N1365" s="253"/>
      <c r="O1365" s="253"/>
      <c r="P1365" s="253"/>
      <c r="Q1365" s="253"/>
    </row>
    <row r="1366" spans="1:17">
      <c r="A1366" s="253"/>
      <c r="B1366" s="253"/>
      <c r="C1366" s="253"/>
      <c r="D1366" s="253"/>
      <c r="E1366" s="253"/>
      <c r="F1366" s="253"/>
      <c r="G1366" s="253"/>
      <c r="H1366" s="253"/>
      <c r="I1366" s="253"/>
      <c r="J1366" s="253"/>
      <c r="K1366" s="253"/>
      <c r="L1366" s="253"/>
      <c r="M1366" s="253"/>
      <c r="N1366" s="253"/>
      <c r="O1366" s="253"/>
      <c r="P1366" s="253"/>
      <c r="Q1366" s="253"/>
    </row>
    <row r="1367" spans="1:17">
      <c r="A1367" s="253"/>
      <c r="B1367" s="253"/>
      <c r="C1367" s="253"/>
      <c r="D1367" s="253"/>
      <c r="E1367" s="253"/>
      <c r="F1367" s="253"/>
      <c r="G1367" s="253"/>
      <c r="H1367" s="253"/>
      <c r="I1367" s="253"/>
      <c r="J1367" s="253"/>
      <c r="K1367" s="253"/>
      <c r="L1367" s="253"/>
      <c r="M1367" s="253"/>
      <c r="N1367" s="253"/>
      <c r="O1367" s="253"/>
      <c r="P1367" s="253"/>
      <c r="Q1367" s="253"/>
    </row>
    <row r="1368" spans="1:17">
      <c r="A1368" s="253"/>
      <c r="B1368" s="253"/>
      <c r="C1368" s="253"/>
      <c r="D1368" s="253"/>
      <c r="E1368" s="253"/>
      <c r="F1368" s="253"/>
      <c r="G1368" s="253"/>
      <c r="H1368" s="253"/>
      <c r="I1368" s="253"/>
      <c r="J1368" s="253"/>
      <c r="K1368" s="253"/>
      <c r="L1368" s="253"/>
      <c r="M1368" s="253"/>
      <c r="N1368" s="253"/>
      <c r="O1368" s="253"/>
      <c r="P1368" s="253"/>
      <c r="Q1368" s="253"/>
    </row>
    <row r="1369" spans="1:17">
      <c r="A1369" s="253"/>
      <c r="B1369" s="253"/>
      <c r="C1369" s="253"/>
      <c r="D1369" s="253"/>
      <c r="E1369" s="253"/>
      <c r="F1369" s="253"/>
      <c r="G1369" s="253"/>
      <c r="H1369" s="253"/>
      <c r="I1369" s="253"/>
      <c r="J1369" s="253"/>
      <c r="K1369" s="253"/>
      <c r="L1369" s="253"/>
      <c r="M1369" s="253"/>
      <c r="N1369" s="253"/>
      <c r="O1369" s="253"/>
      <c r="P1369" s="253"/>
      <c r="Q1369" s="253"/>
    </row>
    <row r="1370" spans="1:17">
      <c r="A1370" s="253"/>
      <c r="B1370" s="253"/>
      <c r="C1370" s="253"/>
      <c r="D1370" s="253"/>
      <c r="E1370" s="253"/>
      <c r="F1370" s="253"/>
      <c r="G1370" s="253"/>
      <c r="H1370" s="253"/>
      <c r="I1370" s="253"/>
      <c r="J1370" s="253"/>
      <c r="K1370" s="253"/>
      <c r="L1370" s="253"/>
      <c r="M1370" s="253"/>
      <c r="N1370" s="253"/>
      <c r="O1370" s="253"/>
      <c r="P1370" s="253"/>
      <c r="Q1370" s="253"/>
    </row>
    <row r="1371" spans="1:17">
      <c r="A1371" s="253"/>
      <c r="B1371" s="253"/>
      <c r="C1371" s="253"/>
      <c r="D1371" s="253"/>
      <c r="E1371" s="253"/>
      <c r="F1371" s="253"/>
      <c r="G1371" s="253"/>
      <c r="H1371" s="253"/>
      <c r="I1371" s="253"/>
      <c r="J1371" s="253"/>
      <c r="K1371" s="253"/>
      <c r="L1371" s="253"/>
      <c r="M1371" s="253"/>
      <c r="N1371" s="253"/>
      <c r="O1371" s="253"/>
      <c r="P1371" s="253"/>
      <c r="Q1371" s="253"/>
    </row>
    <row r="1372" spans="1:17">
      <c r="A1372" s="253"/>
      <c r="B1372" s="253"/>
      <c r="C1372" s="253"/>
      <c r="D1372" s="253"/>
      <c r="E1372" s="253"/>
      <c r="F1372" s="253"/>
      <c r="G1372" s="253"/>
      <c r="H1372" s="253"/>
      <c r="I1372" s="253"/>
      <c r="J1372" s="253"/>
      <c r="K1372" s="253"/>
      <c r="L1372" s="253"/>
      <c r="M1372" s="253"/>
      <c r="N1372" s="253"/>
      <c r="O1372" s="253"/>
      <c r="P1372" s="253"/>
      <c r="Q1372" s="253"/>
    </row>
    <row r="1373" spans="1:17">
      <c r="A1373" s="253"/>
      <c r="B1373" s="253"/>
      <c r="C1373" s="253"/>
      <c r="D1373" s="253"/>
      <c r="E1373" s="253"/>
      <c r="F1373" s="253"/>
      <c r="G1373" s="253"/>
      <c r="H1373" s="253"/>
      <c r="I1373" s="253"/>
      <c r="J1373" s="253"/>
      <c r="K1373" s="253"/>
      <c r="L1373" s="253"/>
      <c r="M1373" s="253"/>
      <c r="N1373" s="253"/>
      <c r="O1373" s="253"/>
      <c r="P1373" s="253"/>
      <c r="Q1373" s="253"/>
    </row>
    <row r="1374" spans="1:17">
      <c r="A1374" s="253"/>
      <c r="B1374" s="253"/>
      <c r="C1374" s="253"/>
      <c r="D1374" s="253"/>
      <c r="E1374" s="253"/>
      <c r="F1374" s="253"/>
      <c r="G1374" s="253"/>
      <c r="H1374" s="253"/>
      <c r="I1374" s="253"/>
      <c r="J1374" s="253"/>
      <c r="K1374" s="253"/>
      <c r="L1374" s="253"/>
      <c r="M1374" s="253"/>
      <c r="N1374" s="253"/>
      <c r="O1374" s="253"/>
      <c r="P1374" s="253"/>
      <c r="Q1374" s="253"/>
    </row>
    <row r="1375" spans="1:17">
      <c r="A1375" s="253"/>
      <c r="B1375" s="253"/>
      <c r="C1375" s="253"/>
      <c r="D1375" s="253"/>
      <c r="E1375" s="253"/>
      <c r="F1375" s="253"/>
      <c r="G1375" s="253"/>
      <c r="H1375" s="253"/>
      <c r="I1375" s="253"/>
      <c r="J1375" s="253"/>
      <c r="K1375" s="253"/>
      <c r="L1375" s="253"/>
      <c r="M1375" s="253"/>
      <c r="N1375" s="253"/>
      <c r="O1375" s="253"/>
      <c r="P1375" s="253"/>
      <c r="Q1375" s="253"/>
    </row>
    <row r="1376" spans="1:17">
      <c r="A1376" s="253"/>
      <c r="B1376" s="253"/>
      <c r="C1376" s="253"/>
      <c r="D1376" s="253"/>
      <c r="E1376" s="253"/>
      <c r="F1376" s="253"/>
      <c r="G1376" s="253"/>
      <c r="H1376" s="253"/>
      <c r="I1376" s="253"/>
      <c r="J1376" s="253"/>
      <c r="K1376" s="253"/>
      <c r="L1376" s="253"/>
      <c r="M1376" s="253"/>
      <c r="N1376" s="253"/>
      <c r="O1376" s="253"/>
      <c r="P1376" s="253"/>
      <c r="Q1376" s="253"/>
    </row>
    <row r="1377" spans="1:17">
      <c r="A1377" s="253"/>
      <c r="B1377" s="253"/>
      <c r="C1377" s="253"/>
      <c r="D1377" s="253"/>
      <c r="E1377" s="253"/>
      <c r="F1377" s="253"/>
      <c r="G1377" s="253"/>
      <c r="H1377" s="253"/>
      <c r="I1377" s="253"/>
      <c r="J1377" s="253"/>
      <c r="K1377" s="253"/>
      <c r="L1377" s="253"/>
      <c r="M1377" s="253"/>
      <c r="N1377" s="253"/>
      <c r="O1377" s="253"/>
      <c r="P1377" s="253"/>
      <c r="Q1377" s="253"/>
    </row>
    <row r="1378" spans="1:17">
      <c r="A1378" s="253"/>
      <c r="B1378" s="253"/>
      <c r="C1378" s="253"/>
      <c r="D1378" s="253"/>
      <c r="E1378" s="253"/>
      <c r="F1378" s="253"/>
      <c r="G1378" s="253"/>
      <c r="H1378" s="253"/>
      <c r="I1378" s="253"/>
      <c r="J1378" s="253"/>
      <c r="K1378" s="253"/>
      <c r="L1378" s="253"/>
      <c r="M1378" s="253"/>
      <c r="N1378" s="253"/>
      <c r="O1378" s="253"/>
      <c r="P1378" s="253"/>
      <c r="Q1378" s="253"/>
    </row>
    <row r="1379" spans="1:17">
      <c r="A1379" s="253"/>
      <c r="B1379" s="253"/>
      <c r="C1379" s="253"/>
      <c r="D1379" s="253"/>
      <c r="E1379" s="253"/>
      <c r="F1379" s="253"/>
      <c r="G1379" s="253"/>
      <c r="H1379" s="253"/>
      <c r="I1379" s="253"/>
      <c r="J1379" s="253"/>
      <c r="K1379" s="253"/>
      <c r="L1379" s="253"/>
      <c r="M1379" s="253"/>
      <c r="N1379" s="253"/>
      <c r="O1379" s="253"/>
      <c r="P1379" s="253"/>
      <c r="Q1379" s="253"/>
    </row>
    <row r="1380" spans="1:17">
      <c r="A1380" s="253"/>
      <c r="B1380" s="253"/>
      <c r="C1380" s="253"/>
      <c r="D1380" s="253"/>
      <c r="E1380" s="253"/>
      <c r="F1380" s="253"/>
      <c r="G1380" s="253"/>
      <c r="H1380" s="253"/>
      <c r="I1380" s="253"/>
      <c r="J1380" s="253"/>
      <c r="K1380" s="253"/>
      <c r="L1380" s="253"/>
      <c r="M1380" s="253"/>
      <c r="N1380" s="253"/>
      <c r="O1380" s="253"/>
      <c r="P1380" s="253"/>
      <c r="Q1380" s="253"/>
    </row>
    <row r="1381" spans="1:17">
      <c r="A1381" s="253"/>
      <c r="B1381" s="253"/>
      <c r="C1381" s="253"/>
      <c r="D1381" s="253"/>
      <c r="E1381" s="253"/>
      <c r="F1381" s="253"/>
      <c r="G1381" s="253"/>
      <c r="H1381" s="253"/>
      <c r="I1381" s="253"/>
      <c r="J1381" s="253"/>
      <c r="K1381" s="253"/>
      <c r="L1381" s="253"/>
      <c r="M1381" s="253"/>
      <c r="N1381" s="253"/>
      <c r="O1381" s="253"/>
      <c r="P1381" s="253"/>
      <c r="Q1381" s="253"/>
    </row>
    <row r="1382" spans="1:17">
      <c r="A1382" s="253"/>
      <c r="B1382" s="253"/>
      <c r="C1382" s="253"/>
      <c r="D1382" s="253"/>
      <c r="E1382" s="253"/>
      <c r="F1382" s="253"/>
      <c r="G1382" s="253"/>
      <c r="H1382" s="253"/>
      <c r="I1382" s="253"/>
      <c r="J1382" s="253"/>
      <c r="K1382" s="253"/>
      <c r="L1382" s="253"/>
      <c r="M1382" s="253"/>
      <c r="N1382" s="253"/>
      <c r="O1382" s="253"/>
      <c r="P1382" s="253"/>
      <c r="Q1382" s="253"/>
    </row>
    <row r="1383" spans="1:17">
      <c r="A1383" s="253"/>
      <c r="B1383" s="253"/>
      <c r="C1383" s="253"/>
      <c r="D1383" s="253"/>
      <c r="E1383" s="253"/>
      <c r="F1383" s="253"/>
      <c r="G1383" s="253"/>
      <c r="H1383" s="253"/>
      <c r="I1383" s="253"/>
      <c r="J1383" s="253"/>
      <c r="K1383" s="253"/>
      <c r="L1383" s="253"/>
      <c r="M1383" s="253"/>
      <c r="N1383" s="253"/>
      <c r="O1383" s="253"/>
      <c r="P1383" s="253"/>
      <c r="Q1383" s="253"/>
    </row>
    <row r="1384" spans="1:17">
      <c r="A1384" s="253"/>
      <c r="B1384" s="253"/>
      <c r="C1384" s="253"/>
      <c r="D1384" s="253"/>
      <c r="E1384" s="253"/>
      <c r="F1384" s="253"/>
      <c r="G1384" s="253"/>
      <c r="H1384" s="253"/>
      <c r="I1384" s="253"/>
      <c r="J1384" s="253"/>
      <c r="K1384" s="253"/>
      <c r="L1384" s="253"/>
      <c r="M1384" s="253"/>
      <c r="N1384" s="253"/>
      <c r="O1384" s="253"/>
      <c r="P1384" s="253"/>
      <c r="Q1384" s="253"/>
    </row>
    <row r="1385" spans="1:17">
      <c r="A1385" s="253"/>
      <c r="B1385" s="253"/>
      <c r="C1385" s="253"/>
      <c r="D1385" s="253"/>
      <c r="E1385" s="253"/>
      <c r="F1385" s="253"/>
      <c r="G1385" s="253"/>
      <c r="H1385" s="253"/>
      <c r="I1385" s="253"/>
      <c r="J1385" s="253"/>
      <c r="K1385" s="253"/>
      <c r="L1385" s="253"/>
      <c r="M1385" s="253"/>
      <c r="N1385" s="253"/>
      <c r="O1385" s="253"/>
      <c r="P1385" s="253"/>
      <c r="Q1385" s="253"/>
    </row>
    <row r="1386" spans="1:17">
      <c r="A1386" s="253"/>
      <c r="B1386" s="253"/>
      <c r="C1386" s="253"/>
      <c r="D1386" s="253"/>
      <c r="E1386" s="253"/>
      <c r="F1386" s="253"/>
      <c r="G1386" s="253"/>
      <c r="H1386" s="253"/>
      <c r="I1386" s="253"/>
      <c r="J1386" s="253"/>
      <c r="K1386" s="253"/>
      <c r="L1386" s="253"/>
      <c r="M1386" s="253"/>
      <c r="N1386" s="253"/>
      <c r="O1386" s="253"/>
      <c r="P1386" s="253"/>
      <c r="Q1386" s="253"/>
    </row>
    <row r="1387" spans="1:17">
      <c r="A1387" s="253"/>
      <c r="B1387" s="253"/>
      <c r="C1387" s="253"/>
      <c r="D1387" s="253"/>
      <c r="E1387" s="253"/>
      <c r="F1387" s="253"/>
      <c r="G1387" s="253"/>
      <c r="H1387" s="253"/>
      <c r="I1387" s="253"/>
      <c r="J1387" s="253"/>
      <c r="K1387" s="253"/>
      <c r="L1387" s="253"/>
      <c r="M1387" s="253"/>
      <c r="N1387" s="253"/>
      <c r="O1387" s="253"/>
      <c r="P1387" s="253"/>
      <c r="Q1387" s="253"/>
    </row>
    <row r="1388" spans="1:17">
      <c r="A1388" s="253"/>
      <c r="B1388" s="253"/>
      <c r="C1388" s="253"/>
      <c r="D1388" s="253"/>
      <c r="E1388" s="253"/>
      <c r="F1388" s="253"/>
      <c r="G1388" s="253"/>
      <c r="H1388" s="253"/>
      <c r="I1388" s="253"/>
      <c r="J1388" s="253"/>
      <c r="K1388" s="253"/>
      <c r="L1388" s="253"/>
      <c r="M1388" s="253"/>
      <c r="N1388" s="253"/>
      <c r="O1388" s="253"/>
      <c r="P1388" s="253"/>
      <c r="Q1388" s="253"/>
    </row>
    <row r="1389" spans="1:17">
      <c r="A1389" s="253"/>
      <c r="B1389" s="253"/>
      <c r="C1389" s="253"/>
      <c r="D1389" s="253"/>
      <c r="E1389" s="253"/>
      <c r="F1389" s="253"/>
      <c r="G1389" s="253"/>
      <c r="H1389" s="253"/>
      <c r="I1389" s="253"/>
      <c r="J1389" s="253"/>
      <c r="K1389" s="253"/>
      <c r="L1389" s="253"/>
      <c r="M1389" s="253"/>
      <c r="N1389" s="253"/>
      <c r="O1389" s="253"/>
      <c r="P1389" s="253"/>
      <c r="Q1389" s="253"/>
    </row>
    <row r="1390" spans="1:17">
      <c r="A1390" s="253"/>
      <c r="B1390" s="253"/>
      <c r="C1390" s="253"/>
      <c r="D1390" s="253"/>
      <c r="E1390" s="253"/>
      <c r="F1390" s="253"/>
      <c r="G1390" s="253"/>
      <c r="H1390" s="253"/>
      <c r="I1390" s="253"/>
      <c r="J1390" s="253"/>
      <c r="K1390" s="253"/>
      <c r="L1390" s="253"/>
      <c r="M1390" s="253"/>
      <c r="N1390" s="253"/>
      <c r="O1390" s="253"/>
      <c r="P1390" s="253"/>
      <c r="Q1390" s="253"/>
    </row>
    <row r="1391" spans="1:17">
      <c r="A1391" s="253"/>
      <c r="B1391" s="253"/>
      <c r="C1391" s="253"/>
      <c r="D1391" s="253"/>
      <c r="E1391" s="253"/>
      <c r="F1391" s="253"/>
      <c r="G1391" s="253"/>
      <c r="H1391" s="253"/>
      <c r="I1391" s="253"/>
      <c r="J1391" s="253"/>
      <c r="K1391" s="253"/>
      <c r="L1391" s="253"/>
      <c r="M1391" s="253"/>
      <c r="N1391" s="253"/>
      <c r="O1391" s="253"/>
      <c r="P1391" s="253"/>
      <c r="Q1391" s="253"/>
    </row>
    <row r="1392" spans="1:17">
      <c r="A1392" s="253"/>
      <c r="B1392" s="253"/>
      <c r="C1392" s="253"/>
      <c r="D1392" s="253"/>
      <c r="E1392" s="253"/>
      <c r="F1392" s="253"/>
      <c r="G1392" s="253"/>
      <c r="H1392" s="253"/>
      <c r="I1392" s="253"/>
      <c r="J1392" s="253"/>
      <c r="K1392" s="253"/>
      <c r="L1392" s="253"/>
      <c r="M1392" s="253"/>
      <c r="N1392" s="253"/>
      <c r="O1392" s="253"/>
      <c r="P1392" s="253"/>
      <c r="Q1392" s="253"/>
    </row>
    <row r="1393" spans="1:17">
      <c r="A1393" s="253"/>
      <c r="B1393" s="253"/>
      <c r="C1393" s="253"/>
      <c r="D1393" s="253"/>
      <c r="E1393" s="253"/>
      <c r="F1393" s="253"/>
      <c r="G1393" s="253"/>
      <c r="H1393" s="253"/>
      <c r="I1393" s="253"/>
      <c r="J1393" s="253"/>
      <c r="K1393" s="253"/>
      <c r="L1393" s="253"/>
      <c r="M1393" s="253"/>
      <c r="N1393" s="253"/>
      <c r="O1393" s="253"/>
      <c r="P1393" s="253"/>
      <c r="Q1393" s="253"/>
    </row>
    <row r="1394" spans="1:17">
      <c r="A1394" s="253"/>
      <c r="B1394" s="253"/>
      <c r="C1394" s="253"/>
      <c r="D1394" s="253"/>
      <c r="E1394" s="253"/>
      <c r="F1394" s="253"/>
      <c r="G1394" s="253"/>
      <c r="H1394" s="253"/>
      <c r="I1394" s="253"/>
      <c r="J1394" s="253"/>
      <c r="K1394" s="253"/>
      <c r="L1394" s="253"/>
      <c r="M1394" s="253"/>
      <c r="N1394" s="253"/>
      <c r="O1394" s="253"/>
      <c r="P1394" s="253"/>
      <c r="Q1394" s="253"/>
    </row>
    <row r="1395" spans="1:17">
      <c r="A1395" s="253"/>
      <c r="B1395" s="253"/>
      <c r="C1395" s="253"/>
      <c r="D1395" s="253"/>
      <c r="E1395" s="253"/>
      <c r="F1395" s="253"/>
      <c r="G1395" s="253"/>
      <c r="H1395" s="253"/>
      <c r="I1395" s="253"/>
      <c r="J1395" s="253"/>
      <c r="K1395" s="253"/>
      <c r="L1395" s="253"/>
      <c r="M1395" s="253"/>
      <c r="N1395" s="253"/>
      <c r="O1395" s="253"/>
      <c r="P1395" s="253"/>
      <c r="Q1395" s="253"/>
    </row>
    <row r="1396" spans="1:17">
      <c r="A1396" s="253"/>
      <c r="B1396" s="253"/>
      <c r="C1396" s="253"/>
      <c r="D1396" s="253"/>
      <c r="E1396" s="253"/>
      <c r="F1396" s="253"/>
      <c r="G1396" s="253"/>
      <c r="H1396" s="253"/>
      <c r="I1396" s="253"/>
      <c r="J1396" s="253"/>
      <c r="K1396" s="253"/>
      <c r="L1396" s="253"/>
      <c r="M1396" s="253"/>
      <c r="N1396" s="253"/>
      <c r="O1396" s="253"/>
      <c r="P1396" s="253"/>
      <c r="Q1396" s="253"/>
    </row>
    <row r="1397" spans="1:17">
      <c r="A1397" s="253"/>
      <c r="B1397" s="253"/>
      <c r="C1397" s="253"/>
      <c r="D1397" s="253"/>
      <c r="E1397" s="253"/>
      <c r="F1397" s="253"/>
      <c r="G1397" s="253"/>
      <c r="H1397" s="253"/>
      <c r="I1397" s="253"/>
      <c r="J1397" s="253"/>
      <c r="K1397" s="253"/>
      <c r="L1397" s="253"/>
      <c r="M1397" s="253"/>
      <c r="N1397" s="253"/>
      <c r="O1397" s="253"/>
      <c r="P1397" s="253"/>
      <c r="Q1397" s="253"/>
    </row>
    <row r="1398" spans="1:17">
      <c r="A1398" s="253"/>
      <c r="B1398" s="253"/>
      <c r="C1398" s="253"/>
      <c r="D1398" s="253"/>
      <c r="E1398" s="253"/>
      <c r="F1398" s="253"/>
      <c r="G1398" s="253"/>
      <c r="H1398" s="253"/>
      <c r="I1398" s="253"/>
      <c r="J1398" s="253"/>
      <c r="K1398" s="253"/>
      <c r="L1398" s="253"/>
      <c r="M1398" s="253"/>
      <c r="N1398" s="253"/>
      <c r="O1398" s="253"/>
      <c r="P1398" s="253"/>
      <c r="Q1398" s="253"/>
    </row>
    <row r="1399" spans="1:17">
      <c r="A1399" s="253"/>
      <c r="B1399" s="253"/>
      <c r="C1399" s="253"/>
      <c r="D1399" s="253"/>
      <c r="E1399" s="253"/>
      <c r="F1399" s="253"/>
      <c r="G1399" s="253"/>
      <c r="H1399" s="253"/>
      <c r="I1399" s="253"/>
      <c r="J1399" s="253"/>
      <c r="K1399" s="253"/>
      <c r="L1399" s="253"/>
      <c r="M1399" s="253"/>
      <c r="N1399" s="253"/>
      <c r="O1399" s="253"/>
      <c r="P1399" s="253"/>
      <c r="Q1399" s="253"/>
    </row>
    <row r="1400" spans="1:17">
      <c r="A1400" s="253"/>
      <c r="B1400" s="253"/>
      <c r="C1400" s="253"/>
      <c r="D1400" s="253"/>
      <c r="E1400" s="253"/>
      <c r="F1400" s="253"/>
      <c r="G1400" s="253"/>
      <c r="H1400" s="253"/>
      <c r="I1400" s="253"/>
      <c r="J1400" s="253"/>
      <c r="K1400" s="253"/>
      <c r="L1400" s="253"/>
      <c r="M1400" s="253"/>
      <c r="N1400" s="253"/>
      <c r="O1400" s="253"/>
      <c r="P1400" s="253"/>
      <c r="Q1400" s="253"/>
    </row>
    <row r="1401" spans="1:17">
      <c r="A1401" s="253"/>
      <c r="B1401" s="253"/>
      <c r="C1401" s="253"/>
      <c r="D1401" s="253"/>
      <c r="E1401" s="253"/>
      <c r="F1401" s="253"/>
      <c r="G1401" s="253"/>
      <c r="H1401" s="253"/>
      <c r="I1401" s="253"/>
      <c r="J1401" s="253"/>
      <c r="K1401" s="253"/>
      <c r="L1401" s="253"/>
      <c r="M1401" s="253"/>
      <c r="N1401" s="253"/>
      <c r="O1401" s="253"/>
      <c r="P1401" s="253"/>
      <c r="Q1401" s="253"/>
    </row>
    <row r="1402" spans="1:17">
      <c r="A1402" s="253"/>
      <c r="B1402" s="253"/>
      <c r="C1402" s="253"/>
      <c r="D1402" s="253"/>
      <c r="E1402" s="253"/>
      <c r="F1402" s="253"/>
      <c r="G1402" s="253"/>
      <c r="H1402" s="253"/>
      <c r="I1402" s="253"/>
      <c r="J1402" s="253"/>
      <c r="K1402" s="253"/>
      <c r="L1402" s="253"/>
      <c r="M1402" s="253"/>
      <c r="N1402" s="253"/>
      <c r="O1402" s="253"/>
      <c r="P1402" s="253"/>
      <c r="Q1402" s="253"/>
    </row>
    <row r="1403" spans="1:17">
      <c r="A1403" s="253"/>
      <c r="B1403" s="253"/>
      <c r="C1403" s="253"/>
      <c r="D1403" s="253"/>
      <c r="E1403" s="253"/>
      <c r="F1403" s="253"/>
      <c r="G1403" s="253"/>
      <c r="H1403" s="253"/>
      <c r="I1403" s="253"/>
      <c r="J1403" s="253"/>
      <c r="K1403" s="253"/>
      <c r="L1403" s="253"/>
      <c r="M1403" s="253"/>
      <c r="N1403" s="253"/>
      <c r="O1403" s="253"/>
      <c r="P1403" s="253"/>
      <c r="Q1403" s="253"/>
    </row>
    <row r="1404" spans="1:17">
      <c r="A1404" s="253"/>
      <c r="B1404" s="253"/>
      <c r="C1404" s="253"/>
      <c r="D1404" s="253"/>
      <c r="E1404" s="253"/>
      <c r="F1404" s="253"/>
      <c r="G1404" s="253"/>
      <c r="H1404" s="253"/>
      <c r="I1404" s="253"/>
      <c r="J1404" s="253"/>
      <c r="K1404" s="253"/>
      <c r="L1404" s="253"/>
      <c r="M1404" s="253"/>
      <c r="N1404" s="253"/>
      <c r="O1404" s="253"/>
      <c r="P1404" s="253"/>
      <c r="Q1404" s="253"/>
    </row>
    <row r="1405" spans="1:17">
      <c r="A1405" s="253"/>
      <c r="B1405" s="253"/>
      <c r="C1405" s="253"/>
      <c r="D1405" s="253"/>
      <c r="E1405" s="253"/>
      <c r="F1405" s="253"/>
      <c r="G1405" s="253"/>
      <c r="H1405" s="253"/>
      <c r="I1405" s="253"/>
      <c r="J1405" s="253"/>
      <c r="K1405" s="253"/>
      <c r="L1405" s="253"/>
      <c r="M1405" s="253"/>
      <c r="N1405" s="253"/>
      <c r="O1405" s="253"/>
      <c r="P1405" s="253"/>
      <c r="Q1405" s="253"/>
    </row>
    <row r="1406" spans="1:17">
      <c r="A1406" s="253"/>
      <c r="B1406" s="253"/>
      <c r="C1406" s="253"/>
      <c r="D1406" s="253"/>
      <c r="E1406" s="253"/>
      <c r="F1406" s="253"/>
      <c r="G1406" s="253"/>
      <c r="H1406" s="253"/>
      <c r="I1406" s="253"/>
      <c r="J1406" s="253"/>
      <c r="K1406" s="253"/>
      <c r="L1406" s="253"/>
      <c r="M1406" s="253"/>
      <c r="N1406" s="253"/>
      <c r="O1406" s="253"/>
      <c r="P1406" s="253"/>
      <c r="Q1406" s="253"/>
    </row>
    <row r="1407" spans="1:17">
      <c r="A1407" s="253"/>
      <c r="B1407" s="253"/>
      <c r="C1407" s="253"/>
      <c r="D1407" s="253"/>
      <c r="E1407" s="253"/>
      <c r="F1407" s="253"/>
      <c r="G1407" s="253"/>
      <c r="H1407" s="253"/>
      <c r="I1407" s="253"/>
      <c r="J1407" s="253"/>
      <c r="K1407" s="253"/>
      <c r="L1407" s="253"/>
      <c r="M1407" s="253"/>
      <c r="N1407" s="253"/>
      <c r="O1407" s="253"/>
      <c r="P1407" s="253"/>
      <c r="Q1407" s="253"/>
    </row>
    <row r="1408" spans="1:17">
      <c r="A1408" s="253"/>
      <c r="B1408" s="253"/>
      <c r="C1408" s="253"/>
      <c r="D1408" s="253"/>
      <c r="E1408" s="253"/>
      <c r="F1408" s="253"/>
      <c r="G1408" s="253"/>
      <c r="H1408" s="253"/>
      <c r="I1408" s="253"/>
      <c r="J1408" s="253"/>
      <c r="K1408" s="253"/>
      <c r="L1408" s="253"/>
      <c r="M1408" s="253"/>
      <c r="N1408" s="253"/>
      <c r="O1408" s="253"/>
      <c r="P1408" s="253"/>
      <c r="Q1408" s="253"/>
    </row>
    <row r="1409" spans="1:17">
      <c r="A1409" s="253"/>
      <c r="B1409" s="253"/>
      <c r="C1409" s="253"/>
      <c r="D1409" s="253"/>
      <c r="E1409" s="253"/>
      <c r="F1409" s="253"/>
      <c r="G1409" s="253"/>
      <c r="H1409" s="253"/>
      <c r="I1409" s="253"/>
      <c r="J1409" s="253"/>
      <c r="K1409" s="253"/>
      <c r="L1409" s="253"/>
      <c r="M1409" s="253"/>
      <c r="N1409" s="253"/>
      <c r="O1409" s="253"/>
      <c r="P1409" s="253"/>
      <c r="Q1409" s="253"/>
    </row>
    <row r="1410" spans="1:17">
      <c r="A1410" s="253"/>
      <c r="B1410" s="253"/>
      <c r="C1410" s="253"/>
      <c r="D1410" s="253"/>
      <c r="E1410" s="253"/>
      <c r="F1410" s="253"/>
      <c r="G1410" s="253"/>
      <c r="H1410" s="253"/>
      <c r="I1410" s="253"/>
      <c r="J1410" s="253"/>
      <c r="K1410" s="253"/>
      <c r="L1410" s="253"/>
      <c r="M1410" s="253"/>
      <c r="N1410" s="253"/>
      <c r="O1410" s="253"/>
      <c r="P1410" s="253"/>
      <c r="Q1410" s="253"/>
    </row>
    <row r="1411" spans="1:17">
      <c r="A1411" s="253"/>
      <c r="B1411" s="253"/>
      <c r="C1411" s="253"/>
      <c r="D1411" s="253"/>
      <c r="E1411" s="253"/>
      <c r="F1411" s="253"/>
      <c r="G1411" s="253"/>
      <c r="H1411" s="253"/>
      <c r="I1411" s="253"/>
      <c r="J1411" s="253"/>
      <c r="K1411" s="253"/>
      <c r="L1411" s="253"/>
      <c r="M1411" s="253"/>
      <c r="N1411" s="253"/>
      <c r="O1411" s="253"/>
      <c r="P1411" s="253"/>
      <c r="Q1411" s="253"/>
    </row>
    <row r="1412" spans="1:17">
      <c r="A1412" s="253"/>
      <c r="B1412" s="253"/>
      <c r="C1412" s="253"/>
      <c r="D1412" s="253"/>
      <c r="E1412" s="253"/>
      <c r="F1412" s="253"/>
      <c r="G1412" s="253"/>
      <c r="H1412" s="253"/>
      <c r="I1412" s="253"/>
      <c r="J1412" s="253"/>
      <c r="K1412" s="253"/>
      <c r="L1412" s="253"/>
      <c r="M1412" s="253"/>
      <c r="N1412" s="253"/>
      <c r="O1412" s="253"/>
      <c r="P1412" s="253"/>
      <c r="Q1412" s="253"/>
    </row>
    <row r="1413" spans="1:17">
      <c r="A1413" s="253"/>
      <c r="B1413" s="253"/>
      <c r="C1413" s="253"/>
      <c r="D1413" s="253"/>
      <c r="E1413" s="253"/>
      <c r="F1413" s="253"/>
      <c r="G1413" s="253"/>
      <c r="H1413" s="253"/>
      <c r="I1413" s="253"/>
      <c r="J1413" s="253"/>
      <c r="K1413" s="253"/>
      <c r="L1413" s="253"/>
      <c r="M1413" s="253"/>
      <c r="N1413" s="253"/>
      <c r="O1413" s="253"/>
      <c r="P1413" s="253"/>
      <c r="Q1413" s="253"/>
    </row>
    <row r="1414" spans="1:17">
      <c r="A1414" s="253"/>
      <c r="B1414" s="253"/>
      <c r="C1414" s="253"/>
      <c r="D1414" s="253"/>
      <c r="E1414" s="253"/>
      <c r="F1414" s="253"/>
      <c r="G1414" s="253"/>
      <c r="H1414" s="253"/>
      <c r="I1414" s="253"/>
      <c r="J1414" s="253"/>
      <c r="K1414" s="253"/>
      <c r="L1414" s="253"/>
      <c r="M1414" s="253"/>
      <c r="N1414" s="253"/>
      <c r="O1414" s="253"/>
      <c r="P1414" s="253"/>
      <c r="Q1414" s="253"/>
    </row>
    <row r="1415" spans="1:17">
      <c r="A1415" s="253"/>
      <c r="B1415" s="253"/>
      <c r="C1415" s="253"/>
      <c r="D1415" s="253"/>
      <c r="E1415" s="253"/>
      <c r="F1415" s="253"/>
      <c r="G1415" s="253"/>
      <c r="H1415" s="253"/>
      <c r="I1415" s="253"/>
      <c r="J1415" s="253"/>
      <c r="K1415" s="253"/>
      <c r="L1415" s="253"/>
      <c r="M1415" s="253"/>
      <c r="N1415" s="253"/>
      <c r="O1415" s="253"/>
      <c r="P1415" s="253"/>
      <c r="Q1415" s="253"/>
    </row>
    <row r="1416" spans="1:17">
      <c r="A1416" s="253"/>
      <c r="B1416" s="253"/>
      <c r="C1416" s="253"/>
      <c r="D1416" s="253"/>
      <c r="E1416" s="253"/>
      <c r="F1416" s="253"/>
      <c r="G1416" s="253"/>
      <c r="H1416" s="253"/>
      <c r="I1416" s="253"/>
      <c r="J1416" s="253"/>
      <c r="K1416" s="253"/>
      <c r="L1416" s="253"/>
      <c r="M1416" s="253"/>
      <c r="N1416" s="253"/>
      <c r="O1416" s="253"/>
      <c r="P1416" s="253"/>
      <c r="Q1416" s="253"/>
    </row>
    <row r="1417" spans="1:17">
      <c r="A1417" s="253"/>
      <c r="B1417" s="253"/>
      <c r="C1417" s="253"/>
      <c r="D1417" s="253"/>
      <c r="E1417" s="253"/>
      <c r="F1417" s="253"/>
      <c r="G1417" s="253"/>
      <c r="H1417" s="253"/>
      <c r="I1417" s="253"/>
      <c r="J1417" s="253"/>
      <c r="K1417" s="253"/>
      <c r="L1417" s="253"/>
      <c r="M1417" s="253"/>
      <c r="N1417" s="253"/>
      <c r="O1417" s="253"/>
      <c r="P1417" s="253"/>
      <c r="Q1417" s="253"/>
    </row>
    <row r="1418" spans="1:17">
      <c r="A1418" s="253"/>
      <c r="B1418" s="253"/>
      <c r="C1418" s="253"/>
      <c r="D1418" s="253"/>
      <c r="E1418" s="253"/>
      <c r="F1418" s="253"/>
      <c r="G1418" s="253"/>
      <c r="H1418" s="253"/>
      <c r="I1418" s="253"/>
      <c r="J1418" s="253"/>
      <c r="K1418" s="253"/>
      <c r="L1418" s="253"/>
      <c r="M1418" s="253"/>
      <c r="N1418" s="253"/>
      <c r="O1418" s="253"/>
      <c r="P1418" s="253"/>
      <c r="Q1418" s="253"/>
    </row>
    <row r="1419" spans="1:17">
      <c r="A1419" s="253"/>
      <c r="B1419" s="253"/>
      <c r="C1419" s="253"/>
      <c r="D1419" s="253"/>
      <c r="E1419" s="253"/>
      <c r="F1419" s="253"/>
      <c r="G1419" s="253"/>
      <c r="H1419" s="253"/>
      <c r="I1419" s="253"/>
      <c r="J1419" s="253"/>
      <c r="K1419" s="253"/>
      <c r="L1419" s="253"/>
      <c r="M1419" s="253"/>
      <c r="N1419" s="253"/>
      <c r="O1419" s="253"/>
      <c r="P1419" s="253"/>
      <c r="Q1419" s="253"/>
    </row>
    <row r="1420" spans="1:17">
      <c r="A1420" s="253"/>
      <c r="B1420" s="253"/>
      <c r="C1420" s="253"/>
      <c r="D1420" s="253"/>
      <c r="E1420" s="253"/>
      <c r="F1420" s="253"/>
      <c r="G1420" s="253"/>
      <c r="H1420" s="253"/>
      <c r="I1420" s="253"/>
      <c r="J1420" s="253"/>
      <c r="K1420" s="253"/>
      <c r="L1420" s="253"/>
      <c r="M1420" s="253"/>
      <c r="N1420" s="253"/>
      <c r="O1420" s="253"/>
      <c r="P1420" s="253"/>
      <c r="Q1420" s="253"/>
    </row>
    <row r="1421" spans="1:17">
      <c r="A1421" s="253"/>
      <c r="B1421" s="253"/>
      <c r="C1421" s="253"/>
      <c r="D1421" s="253"/>
      <c r="E1421" s="253"/>
      <c r="F1421" s="253"/>
      <c r="G1421" s="253"/>
      <c r="H1421" s="253"/>
      <c r="I1421" s="253"/>
      <c r="J1421" s="253"/>
      <c r="K1421" s="253"/>
      <c r="L1421" s="253"/>
      <c r="M1421" s="253"/>
      <c r="N1421" s="253"/>
      <c r="O1421" s="253"/>
      <c r="P1421" s="253"/>
      <c r="Q1421" s="253"/>
    </row>
    <row r="1422" spans="1:17">
      <c r="A1422" s="253"/>
      <c r="B1422" s="253"/>
      <c r="C1422" s="253"/>
      <c r="D1422" s="253"/>
      <c r="E1422" s="253"/>
      <c r="F1422" s="253"/>
      <c r="G1422" s="253"/>
      <c r="H1422" s="253"/>
      <c r="I1422" s="253"/>
      <c r="J1422" s="253"/>
      <c r="K1422" s="253"/>
      <c r="L1422" s="253"/>
      <c r="M1422" s="253"/>
      <c r="N1422" s="253"/>
      <c r="O1422" s="253"/>
      <c r="P1422" s="253"/>
      <c r="Q1422" s="253"/>
    </row>
    <row r="1423" spans="1:17">
      <c r="A1423" s="253"/>
      <c r="B1423" s="253"/>
      <c r="C1423" s="253"/>
      <c r="D1423" s="253"/>
      <c r="E1423" s="253"/>
      <c r="F1423" s="253"/>
      <c r="G1423" s="253"/>
      <c r="H1423" s="253"/>
      <c r="I1423" s="253"/>
      <c r="J1423" s="253"/>
      <c r="K1423" s="253"/>
      <c r="L1423" s="253"/>
      <c r="M1423" s="253"/>
      <c r="N1423" s="253"/>
      <c r="O1423" s="253"/>
      <c r="P1423" s="253"/>
      <c r="Q1423" s="253"/>
    </row>
    <row r="1424" spans="1:17">
      <c r="A1424" s="253"/>
      <c r="B1424" s="253"/>
      <c r="C1424" s="253"/>
      <c r="D1424" s="253"/>
      <c r="E1424" s="253"/>
      <c r="F1424" s="253"/>
      <c r="G1424" s="253"/>
      <c r="H1424" s="253"/>
      <c r="I1424" s="253"/>
      <c r="J1424" s="253"/>
      <c r="K1424" s="253"/>
      <c r="L1424" s="253"/>
      <c r="M1424" s="253"/>
      <c r="N1424" s="253"/>
      <c r="O1424" s="253"/>
      <c r="P1424" s="253"/>
      <c r="Q1424" s="253"/>
    </row>
    <row r="1425" spans="1:17">
      <c r="A1425" s="253"/>
      <c r="B1425" s="253"/>
      <c r="C1425" s="253"/>
      <c r="D1425" s="253"/>
      <c r="E1425" s="253"/>
      <c r="F1425" s="253"/>
      <c r="G1425" s="253"/>
      <c r="H1425" s="253"/>
      <c r="I1425" s="253"/>
      <c r="J1425" s="253"/>
      <c r="K1425" s="253"/>
      <c r="L1425" s="253"/>
      <c r="M1425" s="253"/>
      <c r="N1425" s="253"/>
      <c r="O1425" s="253"/>
      <c r="P1425" s="253"/>
      <c r="Q1425" s="253"/>
    </row>
    <row r="1426" spans="1:17">
      <c r="A1426" s="253"/>
      <c r="B1426" s="253"/>
      <c r="C1426" s="253"/>
      <c r="D1426" s="253"/>
      <c r="E1426" s="253"/>
      <c r="F1426" s="253"/>
      <c r="G1426" s="253"/>
      <c r="H1426" s="253"/>
      <c r="I1426" s="253"/>
      <c r="J1426" s="253"/>
      <c r="K1426" s="253"/>
      <c r="L1426" s="253"/>
      <c r="M1426" s="253"/>
      <c r="N1426" s="253"/>
      <c r="O1426" s="253"/>
      <c r="P1426" s="253"/>
      <c r="Q1426" s="253"/>
    </row>
    <row r="1427" spans="1:17">
      <c r="A1427" s="253"/>
      <c r="B1427" s="253"/>
      <c r="C1427" s="253"/>
      <c r="D1427" s="253"/>
      <c r="E1427" s="253"/>
      <c r="F1427" s="253"/>
      <c r="G1427" s="253"/>
      <c r="H1427" s="253"/>
      <c r="I1427" s="253"/>
      <c r="J1427" s="253"/>
      <c r="K1427" s="253"/>
      <c r="L1427" s="253"/>
      <c r="M1427" s="253"/>
      <c r="N1427" s="253"/>
      <c r="O1427" s="253"/>
      <c r="P1427" s="253"/>
      <c r="Q1427" s="253"/>
    </row>
    <row r="1428" spans="1:17">
      <c r="A1428" s="253"/>
      <c r="B1428" s="253"/>
      <c r="C1428" s="253"/>
      <c r="D1428" s="253"/>
      <c r="E1428" s="253"/>
      <c r="F1428" s="253"/>
      <c r="G1428" s="253"/>
      <c r="H1428" s="253"/>
      <c r="I1428" s="253"/>
      <c r="J1428" s="253"/>
      <c r="K1428" s="253"/>
      <c r="L1428" s="253"/>
      <c r="M1428" s="253"/>
      <c r="N1428" s="253"/>
      <c r="O1428" s="253"/>
      <c r="P1428" s="253"/>
      <c r="Q1428" s="253"/>
    </row>
    <row r="1429" spans="1:17">
      <c r="A1429" s="253"/>
      <c r="B1429" s="253"/>
      <c r="C1429" s="253"/>
      <c r="D1429" s="253"/>
      <c r="E1429" s="253"/>
      <c r="F1429" s="253"/>
      <c r="G1429" s="253"/>
      <c r="H1429" s="253"/>
      <c r="I1429" s="253"/>
      <c r="J1429" s="253"/>
      <c r="K1429" s="253"/>
      <c r="L1429" s="253"/>
      <c r="M1429" s="253"/>
      <c r="N1429" s="253"/>
      <c r="O1429" s="253"/>
      <c r="P1429" s="253"/>
      <c r="Q1429" s="253"/>
    </row>
    <row r="1430" spans="1:17">
      <c r="A1430" s="253"/>
      <c r="B1430" s="253"/>
      <c r="C1430" s="253"/>
      <c r="D1430" s="253"/>
      <c r="E1430" s="253"/>
      <c r="F1430" s="253"/>
      <c r="G1430" s="253"/>
      <c r="H1430" s="253"/>
      <c r="I1430" s="253"/>
      <c r="J1430" s="253"/>
      <c r="K1430" s="253"/>
      <c r="L1430" s="253"/>
      <c r="M1430" s="253"/>
      <c r="N1430" s="253"/>
      <c r="O1430" s="253"/>
      <c r="P1430" s="253"/>
      <c r="Q1430" s="253"/>
    </row>
    <row r="1431" spans="1:17">
      <c r="A1431" s="253"/>
      <c r="B1431" s="253"/>
      <c r="C1431" s="253"/>
      <c r="D1431" s="253"/>
      <c r="E1431" s="253"/>
      <c r="F1431" s="253"/>
      <c r="G1431" s="253"/>
      <c r="H1431" s="253"/>
      <c r="I1431" s="253"/>
      <c r="J1431" s="253"/>
      <c r="K1431" s="253"/>
      <c r="L1431" s="253"/>
      <c r="M1431" s="253"/>
      <c r="N1431" s="253"/>
      <c r="O1431" s="253"/>
      <c r="P1431" s="253"/>
      <c r="Q1431" s="253"/>
    </row>
    <row r="1432" spans="1:17">
      <c r="A1432" s="253"/>
      <c r="B1432" s="253"/>
      <c r="C1432" s="253"/>
      <c r="D1432" s="253"/>
      <c r="E1432" s="253"/>
      <c r="F1432" s="253"/>
      <c r="G1432" s="253"/>
      <c r="H1432" s="253"/>
      <c r="I1432" s="253"/>
      <c r="J1432" s="253"/>
      <c r="K1432" s="253"/>
      <c r="L1432" s="253"/>
      <c r="M1432" s="253"/>
      <c r="N1432" s="253"/>
      <c r="O1432" s="253"/>
      <c r="P1432" s="253"/>
      <c r="Q1432" s="253"/>
    </row>
    <row r="1433" spans="1:17">
      <c r="A1433" s="253"/>
      <c r="B1433" s="253"/>
      <c r="C1433" s="253"/>
      <c r="D1433" s="253"/>
      <c r="E1433" s="253"/>
      <c r="F1433" s="253"/>
      <c r="G1433" s="253"/>
      <c r="H1433" s="253"/>
      <c r="I1433" s="253"/>
      <c r="J1433" s="253"/>
      <c r="K1433" s="253"/>
      <c r="L1433" s="253"/>
      <c r="M1433" s="253"/>
      <c r="N1433" s="253"/>
      <c r="O1433" s="253"/>
      <c r="P1433" s="253"/>
      <c r="Q1433" s="253"/>
    </row>
    <row r="1434" spans="1:17">
      <c r="A1434" s="253"/>
      <c r="B1434" s="253"/>
      <c r="C1434" s="253"/>
      <c r="D1434" s="253"/>
      <c r="E1434" s="253"/>
      <c r="F1434" s="253"/>
      <c r="G1434" s="253"/>
      <c r="H1434" s="253"/>
      <c r="I1434" s="253"/>
      <c r="J1434" s="253"/>
      <c r="K1434" s="253"/>
      <c r="L1434" s="253"/>
      <c r="M1434" s="253"/>
      <c r="N1434" s="253"/>
      <c r="O1434" s="253"/>
      <c r="P1434" s="253"/>
      <c r="Q1434" s="253"/>
    </row>
    <row r="1435" spans="1:17">
      <c r="A1435" s="253"/>
      <c r="B1435" s="253"/>
      <c r="C1435" s="253"/>
      <c r="D1435" s="253"/>
      <c r="E1435" s="253"/>
      <c r="F1435" s="253"/>
      <c r="G1435" s="253"/>
      <c r="H1435" s="253"/>
      <c r="I1435" s="253"/>
      <c r="J1435" s="253"/>
      <c r="K1435" s="253"/>
      <c r="L1435" s="253"/>
      <c r="M1435" s="253"/>
      <c r="N1435" s="253"/>
      <c r="O1435" s="253"/>
      <c r="P1435" s="253"/>
      <c r="Q1435" s="253"/>
    </row>
    <row r="1436" spans="1:17">
      <c r="A1436" s="253"/>
      <c r="B1436" s="253"/>
      <c r="C1436" s="253"/>
      <c r="D1436" s="253"/>
      <c r="E1436" s="253"/>
      <c r="F1436" s="253"/>
      <c r="G1436" s="253"/>
      <c r="H1436" s="253"/>
      <c r="I1436" s="253"/>
      <c r="J1436" s="253"/>
      <c r="K1436" s="253"/>
      <c r="L1436" s="253"/>
      <c r="M1436" s="253"/>
      <c r="N1436" s="253"/>
      <c r="O1436" s="253"/>
      <c r="P1436" s="253"/>
      <c r="Q1436" s="253"/>
    </row>
    <row r="1437" spans="1:17">
      <c r="A1437" s="253"/>
      <c r="B1437" s="253"/>
      <c r="C1437" s="253"/>
      <c r="D1437" s="253"/>
      <c r="E1437" s="253"/>
      <c r="F1437" s="253"/>
      <c r="G1437" s="253"/>
      <c r="H1437" s="253"/>
      <c r="I1437" s="253"/>
      <c r="J1437" s="253"/>
      <c r="K1437" s="253"/>
      <c r="L1437" s="253"/>
      <c r="M1437" s="253"/>
      <c r="N1437" s="253"/>
      <c r="O1437" s="253"/>
      <c r="P1437" s="253"/>
      <c r="Q1437" s="253"/>
    </row>
    <row r="1438" spans="1:17">
      <c r="A1438" s="253"/>
      <c r="B1438" s="253"/>
      <c r="C1438" s="253"/>
      <c r="D1438" s="253"/>
      <c r="E1438" s="253"/>
      <c r="F1438" s="253"/>
      <c r="G1438" s="253"/>
      <c r="H1438" s="253"/>
      <c r="I1438" s="253"/>
      <c r="J1438" s="253"/>
      <c r="K1438" s="253"/>
      <c r="L1438" s="253"/>
      <c r="M1438" s="253"/>
      <c r="N1438" s="253"/>
      <c r="O1438" s="253"/>
      <c r="P1438" s="253"/>
      <c r="Q1438" s="253"/>
    </row>
    <row r="1439" spans="1:17">
      <c r="A1439" s="253"/>
      <c r="B1439" s="253"/>
      <c r="C1439" s="253"/>
      <c r="D1439" s="253"/>
      <c r="E1439" s="253"/>
      <c r="F1439" s="253"/>
      <c r="G1439" s="253"/>
      <c r="H1439" s="253"/>
      <c r="I1439" s="253"/>
      <c r="J1439" s="253"/>
      <c r="K1439" s="253"/>
      <c r="L1439" s="253"/>
      <c r="M1439" s="253"/>
      <c r="N1439" s="253"/>
      <c r="O1439" s="253"/>
      <c r="P1439" s="253"/>
      <c r="Q1439" s="253"/>
    </row>
    <row r="1440" spans="1:17">
      <c r="A1440" s="253"/>
      <c r="B1440" s="253"/>
      <c r="C1440" s="253"/>
      <c r="D1440" s="253"/>
      <c r="E1440" s="253"/>
      <c r="F1440" s="253"/>
      <c r="G1440" s="253"/>
      <c r="H1440" s="253"/>
      <c r="I1440" s="253"/>
      <c r="J1440" s="253"/>
      <c r="K1440" s="253"/>
      <c r="L1440" s="253"/>
      <c r="M1440" s="253"/>
      <c r="N1440" s="253"/>
      <c r="O1440" s="253"/>
      <c r="P1440" s="253"/>
      <c r="Q1440" s="253"/>
    </row>
    <row r="1441" spans="1:17">
      <c r="A1441" s="253"/>
      <c r="B1441" s="253"/>
      <c r="C1441" s="253"/>
      <c r="D1441" s="253"/>
      <c r="E1441" s="253"/>
      <c r="F1441" s="253"/>
      <c r="G1441" s="253"/>
      <c r="H1441" s="253"/>
      <c r="I1441" s="253"/>
      <c r="J1441" s="253"/>
      <c r="K1441" s="253"/>
      <c r="L1441" s="253"/>
      <c r="M1441" s="253"/>
      <c r="N1441" s="253"/>
      <c r="O1441" s="253"/>
      <c r="P1441" s="253"/>
      <c r="Q1441" s="253"/>
    </row>
    <row r="1442" spans="1:17">
      <c r="A1442" s="253"/>
      <c r="B1442" s="253"/>
      <c r="C1442" s="253"/>
      <c r="D1442" s="253"/>
      <c r="E1442" s="253"/>
      <c r="F1442" s="253"/>
      <c r="G1442" s="253"/>
      <c r="H1442" s="253"/>
      <c r="I1442" s="253"/>
      <c r="J1442" s="253"/>
      <c r="K1442" s="253"/>
      <c r="L1442" s="253"/>
      <c r="M1442" s="253"/>
      <c r="N1442" s="253"/>
      <c r="O1442" s="253"/>
      <c r="P1442" s="253"/>
      <c r="Q1442" s="253"/>
    </row>
    <row r="1443" spans="1:17">
      <c r="A1443" s="253"/>
      <c r="B1443" s="253"/>
      <c r="C1443" s="253"/>
      <c r="D1443" s="253"/>
      <c r="E1443" s="253"/>
      <c r="F1443" s="253"/>
      <c r="G1443" s="253"/>
      <c r="H1443" s="253"/>
      <c r="I1443" s="253"/>
      <c r="J1443" s="253"/>
      <c r="K1443" s="253"/>
      <c r="L1443" s="253"/>
      <c r="M1443" s="253"/>
      <c r="N1443" s="253"/>
      <c r="O1443" s="253"/>
      <c r="P1443" s="253"/>
      <c r="Q1443" s="253"/>
    </row>
    <row r="1444" spans="1:17">
      <c r="A1444" s="253"/>
      <c r="B1444" s="253"/>
      <c r="C1444" s="253"/>
      <c r="D1444" s="253"/>
      <c r="E1444" s="253"/>
      <c r="F1444" s="253"/>
      <c r="G1444" s="253"/>
      <c r="H1444" s="253"/>
      <c r="I1444" s="253"/>
      <c r="J1444" s="253"/>
      <c r="K1444" s="253"/>
      <c r="L1444" s="253"/>
      <c r="M1444" s="253"/>
      <c r="N1444" s="253"/>
      <c r="O1444" s="253"/>
      <c r="P1444" s="253"/>
      <c r="Q1444" s="253"/>
    </row>
    <row r="1445" spans="1:17">
      <c r="A1445" s="253"/>
      <c r="B1445" s="253"/>
      <c r="C1445" s="253"/>
      <c r="D1445" s="253"/>
      <c r="E1445" s="253"/>
      <c r="F1445" s="253"/>
      <c r="G1445" s="253"/>
      <c r="H1445" s="253"/>
      <c r="I1445" s="253"/>
      <c r="J1445" s="253"/>
      <c r="K1445" s="253"/>
      <c r="L1445" s="253"/>
      <c r="M1445" s="253"/>
      <c r="N1445" s="253"/>
      <c r="O1445" s="253"/>
      <c r="P1445" s="253"/>
      <c r="Q1445" s="253"/>
    </row>
    <row r="1446" spans="1:17">
      <c r="A1446" s="253"/>
      <c r="B1446" s="253"/>
      <c r="C1446" s="253"/>
      <c r="D1446" s="253"/>
      <c r="E1446" s="253"/>
      <c r="F1446" s="253"/>
      <c r="G1446" s="253"/>
      <c r="H1446" s="253"/>
      <c r="I1446" s="253"/>
      <c r="J1446" s="253"/>
      <c r="K1446" s="253"/>
      <c r="L1446" s="253"/>
      <c r="M1446" s="253"/>
      <c r="N1446" s="253"/>
      <c r="O1446" s="253"/>
      <c r="P1446" s="253"/>
      <c r="Q1446" s="253"/>
    </row>
    <row r="1447" spans="1:17">
      <c r="A1447" s="253"/>
      <c r="B1447" s="253"/>
      <c r="C1447" s="253"/>
      <c r="D1447" s="253"/>
      <c r="E1447" s="253"/>
      <c r="F1447" s="253"/>
      <c r="G1447" s="253"/>
      <c r="H1447" s="253"/>
      <c r="I1447" s="253"/>
      <c r="J1447" s="253"/>
      <c r="K1447" s="253"/>
      <c r="L1447" s="253"/>
      <c r="M1447" s="253"/>
      <c r="N1447" s="253"/>
      <c r="O1447" s="253"/>
      <c r="P1447" s="253"/>
      <c r="Q1447" s="253"/>
    </row>
    <row r="1448" spans="1:17">
      <c r="A1448" s="253"/>
      <c r="B1448" s="253"/>
      <c r="C1448" s="253"/>
      <c r="D1448" s="253"/>
      <c r="E1448" s="253"/>
      <c r="F1448" s="253"/>
      <c r="G1448" s="253"/>
      <c r="H1448" s="253"/>
      <c r="I1448" s="253"/>
      <c r="J1448" s="253"/>
      <c r="K1448" s="253"/>
      <c r="L1448" s="253"/>
      <c r="M1448" s="253"/>
      <c r="N1448" s="253"/>
      <c r="O1448" s="253"/>
      <c r="P1448" s="253"/>
      <c r="Q1448" s="253"/>
    </row>
    <row r="1449" spans="1:17">
      <c r="A1449" s="253"/>
      <c r="B1449" s="253"/>
      <c r="C1449" s="253"/>
      <c r="D1449" s="253"/>
      <c r="E1449" s="253"/>
      <c r="F1449" s="253"/>
      <c r="G1449" s="253"/>
      <c r="H1449" s="253"/>
      <c r="I1449" s="253"/>
      <c r="J1449" s="253"/>
      <c r="K1449" s="253"/>
      <c r="L1449" s="253"/>
      <c r="M1449" s="253"/>
      <c r="N1449" s="253"/>
      <c r="O1449" s="253"/>
      <c r="P1449" s="253"/>
      <c r="Q1449" s="253"/>
    </row>
    <row r="1450" spans="1:17">
      <c r="A1450" s="253"/>
      <c r="B1450" s="253"/>
      <c r="C1450" s="253"/>
      <c r="D1450" s="253"/>
      <c r="E1450" s="253"/>
      <c r="F1450" s="253"/>
      <c r="G1450" s="253"/>
      <c r="H1450" s="253"/>
      <c r="I1450" s="253"/>
      <c r="J1450" s="253"/>
      <c r="K1450" s="253"/>
      <c r="L1450" s="253"/>
      <c r="M1450" s="253"/>
      <c r="N1450" s="253"/>
      <c r="O1450" s="253"/>
      <c r="P1450" s="253"/>
      <c r="Q1450" s="253"/>
    </row>
    <row r="1451" spans="1:17">
      <c r="A1451" s="253"/>
      <c r="B1451" s="253"/>
      <c r="C1451" s="253"/>
      <c r="D1451" s="253"/>
      <c r="E1451" s="253"/>
      <c r="F1451" s="253"/>
      <c r="G1451" s="253"/>
      <c r="H1451" s="253"/>
      <c r="I1451" s="253"/>
      <c r="J1451" s="253"/>
      <c r="K1451" s="253"/>
      <c r="L1451" s="253"/>
      <c r="M1451" s="253"/>
      <c r="N1451" s="253"/>
      <c r="O1451" s="253"/>
      <c r="P1451" s="253"/>
      <c r="Q1451" s="253"/>
    </row>
    <row r="1452" spans="1:17">
      <c r="A1452" s="253"/>
      <c r="B1452" s="253"/>
      <c r="C1452" s="253"/>
      <c r="D1452" s="253"/>
      <c r="E1452" s="253"/>
      <c r="F1452" s="253"/>
      <c r="G1452" s="253"/>
      <c r="H1452" s="253"/>
      <c r="I1452" s="253"/>
      <c r="J1452" s="253"/>
      <c r="K1452" s="253"/>
      <c r="L1452" s="253"/>
      <c r="M1452" s="253"/>
      <c r="N1452" s="253"/>
      <c r="O1452" s="253"/>
      <c r="P1452" s="253"/>
      <c r="Q1452" s="253"/>
    </row>
    <row r="1453" spans="1:17">
      <c r="A1453" s="253"/>
      <c r="B1453" s="253"/>
      <c r="C1453" s="253"/>
      <c r="D1453" s="253"/>
      <c r="E1453" s="253"/>
      <c r="F1453" s="253"/>
      <c r="G1453" s="253"/>
      <c r="H1453" s="253"/>
      <c r="I1453" s="253"/>
      <c r="J1453" s="253"/>
      <c r="K1453" s="253"/>
      <c r="L1453" s="253"/>
      <c r="M1453" s="253"/>
      <c r="N1453" s="253"/>
      <c r="O1453" s="253"/>
      <c r="P1453" s="253"/>
      <c r="Q1453" s="253"/>
    </row>
    <row r="1454" spans="1:17">
      <c r="A1454" s="253"/>
      <c r="B1454" s="253"/>
      <c r="C1454" s="253"/>
      <c r="D1454" s="253"/>
      <c r="E1454" s="253"/>
      <c r="F1454" s="253"/>
      <c r="G1454" s="253"/>
      <c r="H1454" s="253"/>
      <c r="I1454" s="253"/>
      <c r="J1454" s="253"/>
      <c r="K1454" s="253"/>
      <c r="L1454" s="253"/>
      <c r="M1454" s="253"/>
      <c r="N1454" s="253"/>
      <c r="O1454" s="253"/>
      <c r="P1454" s="253"/>
      <c r="Q1454" s="253"/>
    </row>
    <row r="1455" spans="1:17">
      <c r="A1455" s="253"/>
      <c r="B1455" s="253"/>
      <c r="C1455" s="253"/>
      <c r="D1455" s="253"/>
      <c r="E1455" s="253"/>
      <c r="F1455" s="253"/>
      <c r="G1455" s="253"/>
      <c r="H1455" s="253"/>
      <c r="I1455" s="253"/>
      <c r="J1455" s="253"/>
      <c r="K1455" s="253"/>
      <c r="L1455" s="253"/>
      <c r="M1455" s="253"/>
      <c r="N1455" s="253"/>
      <c r="O1455" s="253"/>
      <c r="P1455" s="253"/>
      <c r="Q1455" s="253"/>
    </row>
    <row r="1456" spans="1:17">
      <c r="A1456" s="253"/>
      <c r="B1456" s="253"/>
      <c r="C1456" s="253"/>
      <c r="D1456" s="253"/>
      <c r="E1456" s="253"/>
      <c r="F1456" s="253"/>
      <c r="G1456" s="253"/>
      <c r="H1456" s="253"/>
      <c r="I1456" s="253"/>
      <c r="J1456" s="253"/>
      <c r="K1456" s="253"/>
      <c r="L1456" s="253"/>
      <c r="M1456" s="253"/>
      <c r="N1456" s="253"/>
      <c r="O1456" s="253"/>
      <c r="P1456" s="253"/>
      <c r="Q1456" s="253"/>
    </row>
    <row r="1457" spans="1:17">
      <c r="A1457" s="253"/>
      <c r="B1457" s="253"/>
      <c r="C1457" s="253"/>
      <c r="D1457" s="253"/>
      <c r="E1457" s="253"/>
      <c r="F1457" s="253"/>
      <c r="G1457" s="253"/>
      <c r="H1457" s="253"/>
      <c r="I1457" s="253"/>
      <c r="J1457" s="253"/>
      <c r="K1457" s="253"/>
      <c r="L1457" s="253"/>
      <c r="M1457" s="253"/>
      <c r="N1457" s="253"/>
      <c r="O1457" s="253"/>
      <c r="P1457" s="253"/>
      <c r="Q1457" s="253"/>
    </row>
    <row r="1458" spans="1:17">
      <c r="A1458" s="253"/>
      <c r="B1458" s="253"/>
      <c r="C1458" s="253"/>
      <c r="D1458" s="253"/>
      <c r="E1458" s="253"/>
      <c r="F1458" s="253"/>
      <c r="G1458" s="253"/>
      <c r="H1458" s="253"/>
      <c r="I1458" s="253"/>
      <c r="J1458" s="253"/>
      <c r="K1458" s="253"/>
      <c r="L1458" s="253"/>
      <c r="M1458" s="253"/>
      <c r="N1458" s="253"/>
      <c r="O1458" s="253"/>
      <c r="P1458" s="253"/>
      <c r="Q1458" s="253"/>
    </row>
    <row r="1459" spans="1:17">
      <c r="A1459" s="253"/>
      <c r="B1459" s="253"/>
      <c r="C1459" s="253"/>
      <c r="D1459" s="253"/>
      <c r="E1459" s="253"/>
      <c r="F1459" s="253"/>
      <c r="G1459" s="253"/>
      <c r="H1459" s="253"/>
      <c r="I1459" s="253"/>
      <c r="J1459" s="253"/>
      <c r="K1459" s="253"/>
      <c r="L1459" s="253"/>
      <c r="M1459" s="253"/>
      <c r="N1459" s="253"/>
      <c r="O1459" s="253"/>
      <c r="P1459" s="253"/>
      <c r="Q1459" s="253"/>
    </row>
    <row r="1460" spans="1:17">
      <c r="A1460" s="253"/>
      <c r="B1460" s="253"/>
      <c r="C1460" s="253"/>
      <c r="D1460" s="253"/>
      <c r="E1460" s="253"/>
      <c r="F1460" s="253"/>
      <c r="G1460" s="253"/>
      <c r="H1460" s="253"/>
      <c r="I1460" s="253"/>
      <c r="J1460" s="253"/>
      <c r="K1460" s="253"/>
      <c r="L1460" s="253"/>
      <c r="M1460" s="253"/>
      <c r="N1460" s="253"/>
      <c r="O1460" s="253"/>
      <c r="P1460" s="253"/>
      <c r="Q1460" s="253"/>
    </row>
    <row r="1461" spans="1:17">
      <c r="A1461" s="253"/>
      <c r="B1461" s="253"/>
      <c r="C1461" s="253"/>
      <c r="D1461" s="253"/>
      <c r="E1461" s="253"/>
      <c r="F1461" s="253"/>
      <c r="G1461" s="253"/>
      <c r="H1461" s="253"/>
      <c r="I1461" s="253"/>
      <c r="J1461" s="253"/>
      <c r="K1461" s="253"/>
      <c r="L1461" s="253"/>
      <c r="M1461" s="253"/>
      <c r="N1461" s="253"/>
      <c r="O1461" s="253"/>
      <c r="P1461" s="253"/>
      <c r="Q1461" s="253"/>
    </row>
    <row r="1462" spans="1:17">
      <c r="A1462" s="253"/>
      <c r="B1462" s="253"/>
      <c r="C1462" s="253"/>
      <c r="D1462" s="253"/>
      <c r="E1462" s="253"/>
      <c r="F1462" s="253"/>
      <c r="G1462" s="253"/>
      <c r="H1462" s="253"/>
      <c r="I1462" s="253"/>
      <c r="J1462" s="253"/>
      <c r="K1462" s="253"/>
      <c r="L1462" s="253"/>
      <c r="M1462" s="253"/>
      <c r="N1462" s="253"/>
      <c r="O1462" s="253"/>
      <c r="P1462" s="253"/>
      <c r="Q1462" s="253"/>
    </row>
    <row r="1463" spans="1:17">
      <c r="A1463" s="253"/>
      <c r="B1463" s="253"/>
      <c r="C1463" s="253"/>
      <c r="D1463" s="253"/>
      <c r="E1463" s="253"/>
      <c r="F1463" s="253"/>
      <c r="G1463" s="253"/>
      <c r="H1463" s="253"/>
      <c r="I1463" s="253"/>
      <c r="J1463" s="253"/>
      <c r="K1463" s="253"/>
      <c r="L1463" s="253"/>
      <c r="M1463" s="253"/>
      <c r="N1463" s="253"/>
      <c r="O1463" s="253"/>
      <c r="P1463" s="253"/>
      <c r="Q1463" s="253"/>
    </row>
    <row r="1464" spans="1:17">
      <c r="A1464" s="253"/>
      <c r="B1464" s="253"/>
      <c r="C1464" s="253"/>
      <c r="D1464" s="253"/>
      <c r="E1464" s="253"/>
      <c r="F1464" s="253"/>
      <c r="G1464" s="253"/>
      <c r="H1464" s="253"/>
      <c r="I1464" s="253"/>
      <c r="J1464" s="253"/>
      <c r="K1464" s="253"/>
      <c r="L1464" s="253"/>
      <c r="M1464" s="253"/>
      <c r="N1464" s="253"/>
      <c r="O1464" s="253"/>
      <c r="P1464" s="253"/>
      <c r="Q1464" s="253"/>
    </row>
    <row r="1465" spans="1:17">
      <c r="A1465" s="253"/>
      <c r="B1465" s="253"/>
      <c r="C1465" s="253"/>
      <c r="D1465" s="253"/>
      <c r="E1465" s="253"/>
      <c r="F1465" s="253"/>
      <c r="G1465" s="253"/>
      <c r="H1465" s="253"/>
      <c r="I1465" s="253"/>
      <c r="J1465" s="253"/>
      <c r="K1465" s="253"/>
      <c r="L1465" s="253"/>
      <c r="M1465" s="253"/>
      <c r="N1465" s="253"/>
      <c r="O1465" s="253"/>
      <c r="P1465" s="253"/>
      <c r="Q1465" s="253"/>
    </row>
    <row r="1466" spans="1:17">
      <c r="A1466" s="253"/>
      <c r="B1466" s="253"/>
      <c r="C1466" s="253"/>
      <c r="D1466" s="253"/>
      <c r="E1466" s="253"/>
      <c r="F1466" s="253"/>
      <c r="G1466" s="253"/>
      <c r="H1466" s="253"/>
      <c r="I1466" s="253"/>
      <c r="J1466" s="253"/>
      <c r="K1466" s="253"/>
      <c r="L1466" s="253"/>
      <c r="M1466" s="253"/>
      <c r="N1466" s="253"/>
      <c r="O1466" s="253"/>
      <c r="P1466" s="253"/>
      <c r="Q1466" s="253"/>
    </row>
    <row r="1467" spans="1:17">
      <c r="A1467" s="253"/>
      <c r="B1467" s="253"/>
      <c r="C1467" s="253"/>
      <c r="D1467" s="253"/>
      <c r="E1467" s="253"/>
      <c r="F1467" s="253"/>
      <c r="G1467" s="253"/>
      <c r="H1467" s="253"/>
      <c r="I1467" s="253"/>
      <c r="J1467" s="253"/>
      <c r="K1467" s="253"/>
      <c r="L1467" s="253"/>
      <c r="M1467" s="253"/>
      <c r="N1467" s="253"/>
      <c r="O1467" s="253"/>
      <c r="P1467" s="253"/>
      <c r="Q1467" s="253"/>
    </row>
    <row r="1468" spans="1:17">
      <c r="A1468" s="253"/>
      <c r="B1468" s="253"/>
      <c r="C1468" s="253"/>
      <c r="D1468" s="253"/>
      <c r="E1468" s="253"/>
      <c r="F1468" s="253"/>
      <c r="G1468" s="253"/>
      <c r="H1468" s="253"/>
      <c r="I1468" s="253"/>
      <c r="J1468" s="253"/>
      <c r="K1468" s="253"/>
      <c r="L1468" s="253"/>
      <c r="M1468" s="253"/>
      <c r="N1468" s="253"/>
      <c r="O1468" s="253"/>
      <c r="P1468" s="253"/>
      <c r="Q1468" s="253"/>
    </row>
    <row r="1469" spans="1:17">
      <c r="A1469" s="253"/>
      <c r="B1469" s="253"/>
      <c r="C1469" s="253"/>
      <c r="D1469" s="253"/>
      <c r="E1469" s="253"/>
      <c r="F1469" s="253"/>
      <c r="G1469" s="253"/>
      <c r="H1469" s="253"/>
      <c r="I1469" s="253"/>
      <c r="J1469" s="253"/>
      <c r="K1469" s="253"/>
      <c r="L1469" s="253"/>
      <c r="M1469" s="253"/>
      <c r="N1469" s="253"/>
      <c r="O1469" s="253"/>
      <c r="P1469" s="253"/>
      <c r="Q1469" s="253"/>
    </row>
    <row r="1470" spans="1:17">
      <c r="A1470" s="253"/>
      <c r="B1470" s="253"/>
      <c r="C1470" s="253"/>
      <c r="D1470" s="253"/>
      <c r="E1470" s="253"/>
      <c r="F1470" s="253"/>
      <c r="G1470" s="253"/>
      <c r="H1470" s="253"/>
      <c r="I1470" s="253"/>
      <c r="J1470" s="253"/>
      <c r="K1470" s="253"/>
      <c r="L1470" s="253"/>
      <c r="M1470" s="253"/>
      <c r="N1470" s="253"/>
      <c r="O1470" s="253"/>
      <c r="P1470" s="253"/>
      <c r="Q1470" s="253"/>
    </row>
    <row r="1471" spans="1:17">
      <c r="A1471" s="253"/>
      <c r="B1471" s="253"/>
      <c r="C1471" s="253"/>
      <c r="D1471" s="253"/>
      <c r="E1471" s="253"/>
      <c r="F1471" s="253"/>
      <c r="G1471" s="253"/>
      <c r="H1471" s="253"/>
      <c r="I1471" s="253"/>
      <c r="J1471" s="253"/>
      <c r="K1471" s="253"/>
      <c r="L1471" s="253"/>
      <c r="M1471" s="253"/>
      <c r="N1471" s="253"/>
      <c r="O1471" s="253"/>
      <c r="P1471" s="253"/>
      <c r="Q1471" s="253"/>
    </row>
    <row r="1472" spans="1:17">
      <c r="A1472" s="253"/>
      <c r="B1472" s="253"/>
      <c r="C1472" s="253"/>
      <c r="D1472" s="253"/>
      <c r="E1472" s="253"/>
      <c r="F1472" s="253"/>
      <c r="G1472" s="253"/>
      <c r="H1472" s="253"/>
      <c r="I1472" s="253"/>
      <c r="J1472" s="253"/>
      <c r="K1472" s="253"/>
      <c r="L1472" s="253"/>
      <c r="M1472" s="253"/>
      <c r="N1472" s="253"/>
      <c r="O1472" s="253"/>
      <c r="P1472" s="253"/>
      <c r="Q1472" s="253"/>
    </row>
    <row r="1473" spans="1:17">
      <c r="A1473" s="253"/>
      <c r="B1473" s="253"/>
      <c r="C1473" s="253"/>
      <c r="D1473" s="253"/>
      <c r="E1473" s="253"/>
      <c r="F1473" s="253"/>
      <c r="G1473" s="253"/>
      <c r="H1473" s="253"/>
      <c r="I1473" s="253"/>
      <c r="J1473" s="253"/>
      <c r="K1473" s="253"/>
      <c r="L1473" s="253"/>
      <c r="M1473" s="253"/>
      <c r="N1473" s="253"/>
      <c r="O1473" s="253"/>
      <c r="P1473" s="253"/>
      <c r="Q1473" s="253"/>
    </row>
    <row r="1474" spans="1:17">
      <c r="A1474" s="253"/>
      <c r="B1474" s="253"/>
      <c r="C1474" s="253"/>
      <c r="D1474" s="253"/>
      <c r="E1474" s="253"/>
      <c r="F1474" s="253"/>
      <c r="G1474" s="253"/>
      <c r="H1474" s="253"/>
      <c r="I1474" s="253"/>
      <c r="J1474" s="253"/>
      <c r="K1474" s="253"/>
      <c r="L1474" s="253"/>
      <c r="M1474" s="253"/>
      <c r="N1474" s="253"/>
      <c r="O1474" s="253"/>
      <c r="P1474" s="253"/>
      <c r="Q1474" s="253"/>
    </row>
    <row r="1475" spans="1:17">
      <c r="A1475" s="253"/>
      <c r="B1475" s="253"/>
      <c r="C1475" s="253"/>
      <c r="D1475" s="253"/>
      <c r="E1475" s="253"/>
      <c r="F1475" s="253"/>
      <c r="G1475" s="253"/>
      <c r="H1475" s="253"/>
      <c r="I1475" s="253"/>
      <c r="J1475" s="253"/>
      <c r="K1475" s="253"/>
      <c r="L1475" s="253"/>
      <c r="M1475" s="253"/>
      <c r="N1475" s="253"/>
      <c r="O1475" s="253"/>
      <c r="P1475" s="253"/>
      <c r="Q1475" s="253"/>
    </row>
    <row r="1476" spans="1:17">
      <c r="A1476" s="253"/>
      <c r="B1476" s="253"/>
      <c r="C1476" s="253"/>
      <c r="D1476" s="253"/>
      <c r="E1476" s="253"/>
      <c r="F1476" s="253"/>
      <c r="G1476" s="253"/>
      <c r="H1476" s="253"/>
      <c r="I1476" s="253"/>
      <c r="J1476" s="253"/>
      <c r="K1476" s="253"/>
      <c r="L1476" s="253"/>
      <c r="M1476" s="253"/>
      <c r="N1476" s="253"/>
      <c r="O1476" s="253"/>
      <c r="P1476" s="253"/>
      <c r="Q1476" s="253"/>
    </row>
    <row r="1477" spans="1:17">
      <c r="A1477" s="253"/>
      <c r="B1477" s="253"/>
      <c r="C1477" s="253"/>
      <c r="D1477" s="253"/>
      <c r="E1477" s="253"/>
      <c r="F1477" s="253"/>
      <c r="G1477" s="253"/>
      <c r="H1477" s="253"/>
      <c r="I1477" s="253"/>
      <c r="J1477" s="253"/>
      <c r="K1477" s="253"/>
      <c r="L1477" s="253"/>
      <c r="M1477" s="253"/>
      <c r="N1477" s="253"/>
      <c r="O1477" s="253"/>
      <c r="P1477" s="253"/>
      <c r="Q1477" s="253"/>
    </row>
    <row r="1478" spans="1:17">
      <c r="A1478" s="253"/>
      <c r="B1478" s="253"/>
      <c r="C1478" s="253"/>
      <c r="D1478" s="253"/>
      <c r="E1478" s="253"/>
      <c r="F1478" s="253"/>
      <c r="G1478" s="253"/>
      <c r="H1478" s="253"/>
      <c r="I1478" s="253"/>
      <c r="J1478" s="253"/>
      <c r="K1478" s="253"/>
      <c r="L1478" s="253"/>
      <c r="M1478" s="253"/>
      <c r="N1478" s="253"/>
      <c r="O1478" s="253"/>
      <c r="P1478" s="253"/>
      <c r="Q1478" s="253"/>
    </row>
    <row r="1479" spans="1:17">
      <c r="A1479" s="253"/>
      <c r="B1479" s="253"/>
      <c r="C1479" s="253"/>
      <c r="D1479" s="253"/>
      <c r="E1479" s="253"/>
      <c r="F1479" s="253"/>
      <c r="G1479" s="253"/>
      <c r="H1479" s="253"/>
      <c r="I1479" s="253"/>
      <c r="J1479" s="253"/>
      <c r="K1479" s="253"/>
      <c r="L1479" s="253"/>
      <c r="M1479" s="253"/>
      <c r="N1479" s="253"/>
      <c r="O1479" s="253"/>
      <c r="P1479" s="253"/>
      <c r="Q1479" s="253"/>
    </row>
    <row r="1480" spans="1:17">
      <c r="A1480" s="253"/>
      <c r="B1480" s="253"/>
      <c r="C1480" s="253"/>
      <c r="D1480" s="253"/>
      <c r="E1480" s="253"/>
      <c r="F1480" s="253"/>
      <c r="G1480" s="253"/>
      <c r="H1480" s="253"/>
      <c r="I1480" s="253"/>
      <c r="J1480" s="253"/>
      <c r="K1480" s="253"/>
      <c r="L1480" s="253"/>
      <c r="M1480" s="253"/>
      <c r="N1480" s="253"/>
      <c r="O1480" s="253"/>
      <c r="P1480" s="253"/>
      <c r="Q1480" s="253"/>
    </row>
    <row r="1481" spans="1:17">
      <c r="A1481" s="253"/>
      <c r="B1481" s="253"/>
      <c r="C1481" s="253"/>
      <c r="D1481" s="253"/>
      <c r="E1481" s="253"/>
      <c r="F1481" s="253"/>
      <c r="G1481" s="253"/>
      <c r="H1481" s="253"/>
      <c r="I1481" s="253"/>
      <c r="J1481" s="253"/>
      <c r="K1481" s="253"/>
      <c r="L1481" s="253"/>
      <c r="M1481" s="253"/>
      <c r="N1481" s="253"/>
      <c r="O1481" s="253"/>
      <c r="P1481" s="253"/>
      <c r="Q1481" s="253"/>
    </row>
    <row r="1482" spans="1:17">
      <c r="A1482" s="253"/>
      <c r="B1482" s="253"/>
      <c r="C1482" s="253"/>
      <c r="D1482" s="253"/>
      <c r="E1482" s="253"/>
      <c r="F1482" s="253"/>
      <c r="G1482" s="253"/>
      <c r="H1482" s="253"/>
      <c r="I1482" s="253"/>
      <c r="J1482" s="253"/>
      <c r="K1482" s="253"/>
      <c r="L1482" s="253"/>
      <c r="M1482" s="253"/>
      <c r="N1482" s="253"/>
      <c r="O1482" s="253"/>
      <c r="P1482" s="253"/>
      <c r="Q1482" s="253"/>
    </row>
    <row r="1483" spans="1:17">
      <c r="A1483" s="253"/>
      <c r="B1483" s="253"/>
      <c r="C1483" s="253"/>
      <c r="D1483" s="253"/>
      <c r="E1483" s="253"/>
      <c r="F1483" s="253"/>
      <c r="G1483" s="253"/>
      <c r="H1483" s="253"/>
      <c r="I1483" s="253"/>
      <c r="J1483" s="253"/>
      <c r="K1483" s="253"/>
      <c r="L1483" s="253"/>
      <c r="M1483" s="253"/>
      <c r="N1483" s="253"/>
      <c r="O1483" s="253"/>
      <c r="P1483" s="253"/>
      <c r="Q1483" s="253"/>
    </row>
    <row r="1484" spans="1:17">
      <c r="A1484" s="253"/>
      <c r="B1484" s="253"/>
      <c r="C1484" s="253"/>
      <c r="D1484" s="253"/>
      <c r="E1484" s="253"/>
      <c r="F1484" s="253"/>
      <c r="G1484" s="253"/>
      <c r="H1484" s="253"/>
      <c r="I1484" s="253"/>
      <c r="J1484" s="253"/>
      <c r="K1484" s="253"/>
      <c r="L1484" s="253"/>
      <c r="M1484" s="253"/>
      <c r="N1484" s="253"/>
      <c r="O1484" s="253"/>
      <c r="P1484" s="253"/>
      <c r="Q1484" s="253"/>
    </row>
    <row r="1485" spans="1:17">
      <c r="A1485" s="253"/>
      <c r="B1485" s="253"/>
      <c r="C1485" s="253"/>
      <c r="D1485" s="253"/>
      <c r="E1485" s="253"/>
      <c r="F1485" s="253"/>
      <c r="G1485" s="253"/>
      <c r="H1485" s="253"/>
      <c r="I1485" s="253"/>
      <c r="J1485" s="253"/>
      <c r="K1485" s="253"/>
      <c r="L1485" s="253"/>
      <c r="M1485" s="253"/>
      <c r="N1485" s="253"/>
      <c r="O1485" s="253"/>
      <c r="P1485" s="253"/>
      <c r="Q1485" s="253"/>
    </row>
    <row r="1486" spans="1:17">
      <c r="A1486" s="253"/>
      <c r="B1486" s="253"/>
      <c r="C1486" s="253"/>
      <c r="D1486" s="253"/>
      <c r="E1486" s="253"/>
      <c r="F1486" s="253"/>
      <c r="G1486" s="253"/>
      <c r="H1486" s="253"/>
      <c r="I1486" s="253"/>
      <c r="J1486" s="253"/>
      <c r="K1486" s="253"/>
      <c r="L1486" s="253"/>
      <c r="M1486" s="253"/>
      <c r="N1486" s="253"/>
      <c r="O1486" s="253"/>
      <c r="P1486" s="253"/>
      <c r="Q1486" s="253"/>
    </row>
    <row r="1487" spans="1:17">
      <c r="A1487" s="253"/>
      <c r="B1487" s="253"/>
      <c r="C1487" s="253"/>
      <c r="D1487" s="253"/>
      <c r="E1487" s="253"/>
      <c r="F1487" s="253"/>
      <c r="G1487" s="253"/>
      <c r="H1487" s="253"/>
      <c r="I1487" s="253"/>
      <c r="J1487" s="253"/>
      <c r="K1487" s="253"/>
      <c r="L1487" s="253"/>
      <c r="M1487" s="253"/>
      <c r="N1487" s="253"/>
      <c r="O1487" s="253"/>
      <c r="P1487" s="253"/>
      <c r="Q1487" s="253"/>
    </row>
    <row r="1488" spans="1:17">
      <c r="A1488" s="253"/>
      <c r="B1488" s="253"/>
      <c r="C1488" s="253"/>
      <c r="D1488" s="253"/>
      <c r="E1488" s="253"/>
      <c r="F1488" s="253"/>
      <c r="G1488" s="253"/>
      <c r="H1488" s="253"/>
      <c r="I1488" s="253"/>
      <c r="J1488" s="253"/>
      <c r="K1488" s="253"/>
      <c r="L1488" s="253"/>
      <c r="M1488" s="253"/>
      <c r="N1488" s="253"/>
      <c r="O1488" s="253"/>
      <c r="P1488" s="253"/>
      <c r="Q1488" s="253"/>
    </row>
    <row r="1489" spans="1:17">
      <c r="A1489" s="253"/>
      <c r="B1489" s="253"/>
      <c r="C1489" s="253"/>
      <c r="D1489" s="253"/>
      <c r="E1489" s="253"/>
      <c r="F1489" s="253"/>
      <c r="G1489" s="253"/>
      <c r="H1489" s="253"/>
      <c r="I1489" s="253"/>
      <c r="J1489" s="253"/>
      <c r="K1489" s="253"/>
      <c r="L1489" s="253"/>
      <c r="M1489" s="253"/>
      <c r="N1489" s="253"/>
      <c r="O1489" s="253"/>
      <c r="P1489" s="253"/>
      <c r="Q1489" s="253"/>
    </row>
    <row r="1490" spans="1:17">
      <c r="A1490" s="253"/>
      <c r="B1490" s="253"/>
      <c r="C1490" s="253"/>
      <c r="D1490" s="253"/>
      <c r="E1490" s="253"/>
      <c r="F1490" s="253"/>
      <c r="G1490" s="253"/>
      <c r="H1490" s="253"/>
      <c r="I1490" s="253"/>
      <c r="J1490" s="253"/>
      <c r="K1490" s="253"/>
      <c r="L1490" s="253"/>
      <c r="M1490" s="253"/>
      <c r="N1490" s="253"/>
      <c r="O1490" s="253"/>
      <c r="P1490" s="253"/>
      <c r="Q1490" s="253"/>
    </row>
    <row r="1491" spans="1:17">
      <c r="A1491" s="253"/>
      <c r="B1491" s="253"/>
      <c r="C1491" s="253"/>
      <c r="D1491" s="253"/>
      <c r="E1491" s="253"/>
      <c r="F1491" s="253"/>
      <c r="G1491" s="253"/>
      <c r="H1491" s="253"/>
      <c r="I1491" s="253"/>
      <c r="J1491" s="253"/>
      <c r="K1491" s="253"/>
      <c r="L1491" s="253"/>
      <c r="M1491" s="253"/>
      <c r="N1491" s="253"/>
      <c r="O1491" s="253"/>
      <c r="P1491" s="253"/>
      <c r="Q1491" s="253"/>
    </row>
    <row r="1492" spans="1:17">
      <c r="A1492" s="253"/>
      <c r="B1492" s="253"/>
      <c r="C1492" s="253"/>
      <c r="D1492" s="253"/>
      <c r="E1492" s="253"/>
      <c r="F1492" s="253"/>
      <c r="G1492" s="253"/>
      <c r="H1492" s="253"/>
      <c r="I1492" s="253"/>
      <c r="J1492" s="253"/>
      <c r="K1492" s="253"/>
      <c r="L1492" s="253"/>
      <c r="M1492" s="253"/>
      <c r="N1492" s="253"/>
      <c r="O1492" s="253"/>
      <c r="P1492" s="253"/>
      <c r="Q1492" s="253"/>
    </row>
    <row r="1493" spans="1:17">
      <c r="A1493" s="253"/>
      <c r="B1493" s="253"/>
      <c r="C1493" s="253"/>
      <c r="D1493" s="253"/>
      <c r="E1493" s="253"/>
      <c r="F1493" s="253"/>
      <c r="G1493" s="253"/>
      <c r="H1493" s="253"/>
      <c r="I1493" s="253"/>
      <c r="J1493" s="253"/>
      <c r="K1493" s="253"/>
      <c r="L1493" s="253"/>
      <c r="M1493" s="253"/>
      <c r="N1493" s="253"/>
      <c r="O1493" s="253"/>
      <c r="P1493" s="253"/>
      <c r="Q1493" s="253"/>
    </row>
    <row r="1494" spans="1:17">
      <c r="A1494" s="253"/>
      <c r="B1494" s="253"/>
      <c r="C1494" s="253"/>
      <c r="D1494" s="253"/>
      <c r="E1494" s="253"/>
      <c r="F1494" s="253"/>
      <c r="G1494" s="253"/>
      <c r="H1494" s="253"/>
      <c r="I1494" s="253"/>
      <c r="J1494" s="253"/>
      <c r="K1494" s="253"/>
      <c r="L1494" s="253"/>
      <c r="M1494" s="253"/>
      <c r="N1494" s="253"/>
      <c r="O1494" s="253"/>
      <c r="P1494" s="253"/>
      <c r="Q1494" s="253"/>
    </row>
    <row r="1495" spans="1:17">
      <c r="A1495" s="253"/>
      <c r="B1495" s="253"/>
      <c r="C1495" s="253"/>
      <c r="D1495" s="253"/>
      <c r="E1495" s="253"/>
      <c r="F1495" s="253"/>
      <c r="G1495" s="253"/>
      <c r="H1495" s="253"/>
      <c r="I1495" s="253"/>
      <c r="J1495" s="253"/>
      <c r="K1495" s="253"/>
      <c r="L1495" s="253"/>
      <c r="M1495" s="253"/>
      <c r="N1495" s="253"/>
      <c r="O1495" s="253"/>
      <c r="P1495" s="253"/>
      <c r="Q1495" s="253"/>
    </row>
    <row r="1496" spans="1:17">
      <c r="A1496" s="253"/>
      <c r="B1496" s="253"/>
      <c r="C1496" s="253"/>
      <c r="D1496" s="253"/>
      <c r="E1496" s="253"/>
      <c r="F1496" s="253"/>
      <c r="G1496" s="253"/>
      <c r="H1496" s="253"/>
      <c r="I1496" s="253"/>
      <c r="J1496" s="253"/>
      <c r="K1496" s="253"/>
      <c r="L1496" s="253"/>
      <c r="M1496" s="253"/>
      <c r="N1496" s="253"/>
      <c r="O1496" s="253"/>
      <c r="P1496" s="253"/>
      <c r="Q1496" s="253"/>
    </row>
    <row r="1497" spans="1:17">
      <c r="A1497" s="253"/>
      <c r="B1497" s="253"/>
      <c r="C1497" s="253"/>
      <c r="D1497" s="253"/>
      <c r="E1497" s="253"/>
      <c r="F1497" s="253"/>
      <c r="G1497" s="253"/>
      <c r="H1497" s="253"/>
      <c r="I1497" s="253"/>
      <c r="J1497" s="253"/>
      <c r="K1497" s="253"/>
      <c r="L1497" s="253"/>
      <c r="M1497" s="253"/>
      <c r="N1497" s="253"/>
      <c r="O1497" s="253"/>
      <c r="P1497" s="253"/>
      <c r="Q1497" s="253"/>
    </row>
    <row r="1498" spans="1:17">
      <c r="A1498" s="253"/>
      <c r="B1498" s="253"/>
      <c r="C1498" s="253"/>
      <c r="D1498" s="253"/>
      <c r="E1498" s="253"/>
      <c r="F1498" s="253"/>
      <c r="G1498" s="253"/>
      <c r="H1498" s="253"/>
      <c r="I1498" s="253"/>
      <c r="J1498" s="253"/>
      <c r="K1498" s="253"/>
      <c r="L1498" s="253"/>
      <c r="M1498" s="253"/>
      <c r="N1498" s="253"/>
      <c r="O1498" s="253"/>
      <c r="P1498" s="253"/>
      <c r="Q1498" s="253"/>
    </row>
    <row r="1499" spans="1:17">
      <c r="A1499" s="253"/>
      <c r="B1499" s="253"/>
      <c r="C1499" s="253"/>
      <c r="D1499" s="253"/>
      <c r="E1499" s="253"/>
      <c r="F1499" s="253"/>
      <c r="G1499" s="253"/>
      <c r="H1499" s="253"/>
      <c r="I1499" s="253"/>
      <c r="J1499" s="253"/>
      <c r="K1499" s="253"/>
      <c r="L1499" s="253"/>
      <c r="M1499" s="253"/>
      <c r="N1499" s="253"/>
      <c r="O1499" s="253"/>
      <c r="P1499" s="253"/>
      <c r="Q1499" s="253"/>
    </row>
    <row r="1500" spans="1:17">
      <c r="A1500" s="253"/>
      <c r="B1500" s="253"/>
      <c r="C1500" s="253"/>
      <c r="D1500" s="253"/>
      <c r="E1500" s="253"/>
      <c r="F1500" s="253"/>
      <c r="G1500" s="253"/>
      <c r="H1500" s="253"/>
      <c r="I1500" s="253"/>
      <c r="J1500" s="253"/>
      <c r="K1500" s="253"/>
      <c r="L1500" s="253"/>
      <c r="M1500" s="253"/>
      <c r="N1500" s="253"/>
      <c r="O1500" s="253"/>
      <c r="P1500" s="253"/>
      <c r="Q1500" s="253"/>
    </row>
    <row r="1501" spans="1:17">
      <c r="A1501" s="253"/>
      <c r="B1501" s="253"/>
      <c r="C1501" s="253"/>
      <c r="D1501" s="253"/>
      <c r="E1501" s="253"/>
      <c r="F1501" s="253"/>
      <c r="G1501" s="253"/>
      <c r="H1501" s="253"/>
      <c r="I1501" s="253"/>
      <c r="J1501" s="253"/>
      <c r="K1501" s="253"/>
      <c r="L1501" s="253"/>
      <c r="M1501" s="253"/>
      <c r="N1501" s="253"/>
      <c r="O1501" s="253"/>
      <c r="P1501" s="253"/>
      <c r="Q1501" s="253"/>
    </row>
    <row r="1502" spans="1:17">
      <c r="A1502" s="253"/>
      <c r="B1502" s="253"/>
      <c r="C1502" s="253"/>
      <c r="D1502" s="253"/>
      <c r="E1502" s="253"/>
      <c r="F1502" s="253"/>
      <c r="G1502" s="253"/>
      <c r="H1502" s="253"/>
      <c r="I1502" s="253"/>
      <c r="J1502" s="253"/>
      <c r="K1502" s="253"/>
      <c r="L1502" s="253"/>
      <c r="M1502" s="253"/>
      <c r="N1502" s="253"/>
      <c r="O1502" s="253"/>
      <c r="P1502" s="253"/>
      <c r="Q1502" s="253"/>
    </row>
    <row r="1503" spans="1:17">
      <c r="A1503" s="253"/>
      <c r="B1503" s="253"/>
      <c r="C1503" s="253"/>
      <c r="D1503" s="253"/>
      <c r="E1503" s="253"/>
      <c r="F1503" s="253"/>
      <c r="G1503" s="253"/>
      <c r="H1503" s="253"/>
      <c r="I1503" s="253"/>
      <c r="J1503" s="253"/>
      <c r="K1503" s="253"/>
      <c r="L1503" s="253"/>
      <c r="M1503" s="253"/>
      <c r="N1503" s="253"/>
      <c r="O1503" s="253"/>
      <c r="P1503" s="253"/>
      <c r="Q1503" s="253"/>
    </row>
    <row r="1504" spans="1:17">
      <c r="A1504" s="253"/>
      <c r="B1504" s="253"/>
      <c r="C1504" s="253"/>
      <c r="D1504" s="253"/>
      <c r="E1504" s="253"/>
      <c r="F1504" s="253"/>
      <c r="G1504" s="253"/>
      <c r="H1504" s="253"/>
      <c r="I1504" s="253"/>
      <c r="J1504" s="253"/>
      <c r="K1504" s="253"/>
      <c r="L1504" s="253"/>
      <c r="M1504" s="253"/>
      <c r="N1504" s="253"/>
      <c r="O1504" s="253"/>
      <c r="P1504" s="253"/>
      <c r="Q1504" s="253"/>
    </row>
    <row r="1505" spans="1:17">
      <c r="A1505" s="253"/>
      <c r="B1505" s="253"/>
      <c r="C1505" s="253"/>
      <c r="D1505" s="253"/>
      <c r="E1505" s="253"/>
      <c r="F1505" s="253"/>
      <c r="G1505" s="253"/>
      <c r="H1505" s="253"/>
      <c r="I1505" s="253"/>
      <c r="J1505" s="253"/>
      <c r="K1505" s="253"/>
      <c r="L1505" s="253"/>
      <c r="M1505" s="253"/>
      <c r="N1505" s="253"/>
      <c r="O1505" s="253"/>
      <c r="P1505" s="253"/>
      <c r="Q1505" s="253"/>
    </row>
    <row r="1506" spans="1:17">
      <c r="A1506" s="253"/>
      <c r="B1506" s="253"/>
      <c r="C1506" s="253"/>
      <c r="D1506" s="253"/>
      <c r="E1506" s="253"/>
      <c r="F1506" s="253"/>
      <c r="G1506" s="253"/>
      <c r="H1506" s="253"/>
      <c r="I1506" s="253"/>
      <c r="J1506" s="253"/>
      <c r="K1506" s="253"/>
      <c r="L1506" s="253"/>
      <c r="M1506" s="253"/>
      <c r="N1506" s="253"/>
      <c r="O1506" s="253"/>
      <c r="P1506" s="253"/>
      <c r="Q1506" s="253"/>
    </row>
    <row r="1507" spans="1:17">
      <c r="A1507" s="253"/>
      <c r="B1507" s="253"/>
      <c r="C1507" s="253"/>
      <c r="D1507" s="253"/>
      <c r="E1507" s="253"/>
      <c r="F1507" s="253"/>
      <c r="G1507" s="253"/>
      <c r="H1507" s="253"/>
      <c r="I1507" s="253"/>
      <c r="J1507" s="253"/>
      <c r="K1507" s="253"/>
      <c r="L1507" s="253"/>
      <c r="M1507" s="253"/>
      <c r="N1507" s="253"/>
      <c r="O1507" s="253"/>
      <c r="P1507" s="253"/>
      <c r="Q1507" s="253"/>
    </row>
    <row r="1508" spans="1:17">
      <c r="A1508" s="253"/>
      <c r="B1508" s="253"/>
      <c r="C1508" s="253"/>
      <c r="D1508" s="253"/>
      <c r="E1508" s="253"/>
      <c r="F1508" s="253"/>
      <c r="G1508" s="253"/>
      <c r="H1508" s="253"/>
      <c r="I1508" s="253"/>
      <c r="J1508" s="253"/>
      <c r="K1508" s="253"/>
      <c r="L1508" s="253"/>
      <c r="M1508" s="253"/>
      <c r="N1508" s="253"/>
      <c r="O1508" s="253"/>
      <c r="P1508" s="253"/>
      <c r="Q1508" s="253"/>
    </row>
    <row r="1509" spans="1:17">
      <c r="A1509" s="253"/>
      <c r="B1509" s="253"/>
      <c r="C1509" s="253"/>
      <c r="D1509" s="253"/>
      <c r="E1509" s="253"/>
      <c r="F1509" s="253"/>
      <c r="G1509" s="253"/>
      <c r="H1509" s="253"/>
      <c r="I1509" s="253"/>
      <c r="J1509" s="253"/>
      <c r="K1509" s="253"/>
      <c r="L1509" s="253"/>
      <c r="M1509" s="253"/>
      <c r="N1509" s="253"/>
      <c r="O1509" s="253"/>
      <c r="P1509" s="253"/>
      <c r="Q1509" s="253"/>
    </row>
    <row r="1510" spans="1:17">
      <c r="A1510" s="253"/>
      <c r="B1510" s="253"/>
      <c r="C1510" s="253"/>
      <c r="D1510" s="253"/>
      <c r="E1510" s="253"/>
      <c r="F1510" s="253"/>
      <c r="G1510" s="253"/>
      <c r="H1510" s="253"/>
      <c r="I1510" s="253"/>
      <c r="J1510" s="253"/>
      <c r="K1510" s="253"/>
      <c r="L1510" s="253"/>
      <c r="M1510" s="253"/>
      <c r="N1510" s="253"/>
      <c r="O1510" s="253"/>
      <c r="P1510" s="253"/>
      <c r="Q1510" s="253"/>
    </row>
    <row r="1511" spans="1:17">
      <c r="A1511" s="253"/>
      <c r="B1511" s="253"/>
      <c r="C1511" s="253"/>
      <c r="D1511" s="253"/>
      <c r="E1511" s="253"/>
      <c r="F1511" s="253"/>
      <c r="G1511" s="253"/>
      <c r="H1511" s="253"/>
      <c r="I1511" s="253"/>
      <c r="J1511" s="253"/>
      <c r="K1511" s="253"/>
      <c r="L1511" s="253"/>
      <c r="M1511" s="253"/>
      <c r="N1511" s="253"/>
      <c r="O1511" s="253"/>
      <c r="P1511" s="253"/>
      <c r="Q1511" s="253"/>
    </row>
    <row r="1512" spans="1:17">
      <c r="A1512" s="253"/>
      <c r="B1512" s="253"/>
      <c r="C1512" s="253"/>
      <c r="D1512" s="253"/>
      <c r="E1512" s="253"/>
      <c r="F1512" s="253"/>
      <c r="G1512" s="253"/>
      <c r="H1512" s="253"/>
      <c r="I1512" s="253"/>
      <c r="J1512" s="253"/>
      <c r="K1512" s="253"/>
      <c r="L1512" s="253"/>
      <c r="M1512" s="253"/>
      <c r="N1512" s="253"/>
      <c r="O1512" s="253"/>
      <c r="P1512" s="253"/>
      <c r="Q1512" s="253"/>
    </row>
    <row r="1513" spans="1:17">
      <c r="A1513" s="253"/>
      <c r="B1513" s="253"/>
      <c r="C1513" s="253"/>
      <c r="D1513" s="253"/>
      <c r="E1513" s="253"/>
      <c r="F1513" s="253"/>
      <c r="G1513" s="253"/>
      <c r="H1513" s="253"/>
      <c r="I1513" s="253"/>
      <c r="J1513" s="253"/>
      <c r="K1513" s="253"/>
      <c r="L1513" s="253"/>
      <c r="M1513" s="253"/>
      <c r="N1513" s="253"/>
      <c r="O1513" s="253"/>
      <c r="P1513" s="253"/>
      <c r="Q1513" s="253"/>
    </row>
    <row r="1514" spans="1:17">
      <c r="A1514" s="253"/>
      <c r="B1514" s="253"/>
      <c r="C1514" s="253"/>
      <c r="D1514" s="253"/>
      <c r="E1514" s="253"/>
      <c r="F1514" s="253"/>
      <c r="G1514" s="253"/>
      <c r="H1514" s="253"/>
      <c r="I1514" s="253"/>
      <c r="J1514" s="253"/>
      <c r="K1514" s="253"/>
      <c r="L1514" s="253"/>
      <c r="M1514" s="253"/>
      <c r="N1514" s="253"/>
      <c r="O1514" s="253"/>
      <c r="P1514" s="253"/>
      <c r="Q1514" s="253"/>
    </row>
    <row r="1515" spans="1:17">
      <c r="A1515" s="253"/>
      <c r="B1515" s="253"/>
      <c r="C1515" s="253"/>
      <c r="D1515" s="253"/>
      <c r="E1515" s="253"/>
      <c r="F1515" s="253"/>
      <c r="G1515" s="253"/>
      <c r="H1515" s="253"/>
      <c r="I1515" s="253"/>
      <c r="J1515" s="253"/>
      <c r="K1515" s="253"/>
      <c r="L1515" s="253"/>
      <c r="M1515" s="253"/>
      <c r="N1515" s="253"/>
      <c r="O1515" s="253"/>
      <c r="P1515" s="253"/>
      <c r="Q1515" s="253"/>
    </row>
    <row r="1516" spans="1:17">
      <c r="A1516" s="253"/>
      <c r="B1516" s="253"/>
      <c r="C1516" s="253"/>
      <c r="D1516" s="253"/>
      <c r="E1516" s="253"/>
      <c r="F1516" s="253"/>
      <c r="G1516" s="253"/>
      <c r="H1516" s="253"/>
      <c r="I1516" s="253"/>
      <c r="J1516" s="253"/>
      <c r="K1516" s="253"/>
      <c r="L1516" s="253"/>
      <c r="M1516" s="253"/>
      <c r="N1516" s="253"/>
      <c r="O1516" s="253"/>
      <c r="P1516" s="253"/>
      <c r="Q1516" s="253"/>
    </row>
    <row r="1517" spans="1:17">
      <c r="A1517" s="253"/>
      <c r="B1517" s="253"/>
      <c r="C1517" s="253"/>
      <c r="D1517" s="253"/>
      <c r="E1517" s="253"/>
      <c r="F1517" s="253"/>
      <c r="G1517" s="253"/>
      <c r="H1517" s="253"/>
      <c r="I1517" s="253"/>
      <c r="J1517" s="253"/>
      <c r="K1517" s="253"/>
      <c r="L1517" s="253"/>
      <c r="M1517" s="253"/>
      <c r="N1517" s="253"/>
      <c r="O1517" s="253"/>
      <c r="P1517" s="253"/>
      <c r="Q1517" s="253"/>
    </row>
    <row r="1518" spans="1:17">
      <c r="A1518" s="253"/>
      <c r="B1518" s="253"/>
      <c r="C1518" s="253"/>
      <c r="D1518" s="253"/>
      <c r="E1518" s="253"/>
      <c r="F1518" s="253"/>
      <c r="G1518" s="253"/>
      <c r="H1518" s="253"/>
      <c r="I1518" s="253"/>
      <c r="J1518" s="253"/>
      <c r="K1518" s="253"/>
      <c r="L1518" s="253"/>
      <c r="M1518" s="253"/>
      <c r="N1518" s="253"/>
      <c r="O1518" s="253"/>
      <c r="P1518" s="253"/>
      <c r="Q1518" s="253"/>
    </row>
    <row r="1519" spans="1:17">
      <c r="A1519" s="253"/>
      <c r="B1519" s="253"/>
      <c r="C1519" s="253"/>
      <c r="D1519" s="253"/>
      <c r="E1519" s="253"/>
      <c r="F1519" s="253"/>
      <c r="G1519" s="253"/>
      <c r="H1519" s="253"/>
      <c r="I1519" s="253"/>
      <c r="J1519" s="253"/>
      <c r="K1519" s="253"/>
      <c r="L1519" s="253"/>
      <c r="M1519" s="253"/>
      <c r="N1519" s="253"/>
      <c r="O1519" s="253"/>
      <c r="P1519" s="253"/>
      <c r="Q1519" s="253"/>
    </row>
    <row r="1520" spans="1:17">
      <c r="A1520" s="253"/>
      <c r="B1520" s="253"/>
      <c r="C1520" s="253"/>
      <c r="D1520" s="253"/>
      <c r="E1520" s="253"/>
      <c r="F1520" s="253"/>
      <c r="G1520" s="253"/>
      <c r="H1520" s="253"/>
      <c r="I1520" s="253"/>
      <c r="J1520" s="253"/>
      <c r="K1520" s="253"/>
      <c r="L1520" s="253"/>
      <c r="M1520" s="253"/>
      <c r="N1520" s="253"/>
      <c r="O1520" s="253"/>
      <c r="P1520" s="253"/>
      <c r="Q1520" s="253"/>
    </row>
    <row r="1521" spans="1:17">
      <c r="A1521" s="253"/>
      <c r="B1521" s="253"/>
      <c r="C1521" s="253"/>
      <c r="D1521" s="253"/>
      <c r="E1521" s="253"/>
      <c r="F1521" s="253"/>
      <c r="G1521" s="253"/>
      <c r="H1521" s="253"/>
      <c r="I1521" s="253"/>
      <c r="J1521" s="253"/>
      <c r="K1521" s="253"/>
      <c r="L1521" s="253"/>
      <c r="M1521" s="253"/>
      <c r="N1521" s="253"/>
      <c r="O1521" s="253"/>
      <c r="P1521" s="253"/>
      <c r="Q1521" s="253"/>
    </row>
    <row r="1522" spans="1:17">
      <c r="A1522" s="253"/>
      <c r="B1522" s="253"/>
      <c r="C1522" s="253"/>
      <c r="D1522" s="253"/>
      <c r="E1522" s="253"/>
      <c r="F1522" s="253"/>
      <c r="G1522" s="253"/>
      <c r="H1522" s="253"/>
      <c r="I1522" s="253"/>
      <c r="J1522" s="253"/>
      <c r="K1522" s="253"/>
      <c r="L1522" s="253"/>
      <c r="M1522" s="253"/>
      <c r="N1522" s="253"/>
      <c r="O1522" s="253"/>
      <c r="P1522" s="253"/>
      <c r="Q1522" s="253"/>
    </row>
    <row r="1523" spans="1:17">
      <c r="A1523" s="253"/>
      <c r="B1523" s="253"/>
      <c r="C1523" s="253"/>
      <c r="D1523" s="253"/>
      <c r="E1523" s="253"/>
      <c r="F1523" s="253"/>
      <c r="G1523" s="253"/>
      <c r="H1523" s="253"/>
      <c r="I1523" s="253"/>
      <c r="J1523" s="253"/>
      <c r="K1523" s="253"/>
      <c r="L1523" s="253"/>
      <c r="M1523" s="253"/>
      <c r="N1523" s="253"/>
      <c r="O1523" s="253"/>
      <c r="P1523" s="253"/>
      <c r="Q1523" s="253"/>
    </row>
    <row r="1524" spans="1:17">
      <c r="A1524" s="253"/>
      <c r="B1524" s="253"/>
      <c r="C1524" s="253"/>
      <c r="D1524" s="253"/>
      <c r="E1524" s="253"/>
      <c r="F1524" s="253"/>
      <c r="G1524" s="253"/>
      <c r="H1524" s="253"/>
      <c r="I1524" s="253"/>
      <c r="J1524" s="253"/>
      <c r="K1524" s="253"/>
      <c r="L1524" s="253"/>
      <c r="M1524" s="253"/>
      <c r="N1524" s="253"/>
      <c r="O1524" s="253"/>
      <c r="P1524" s="253"/>
      <c r="Q1524" s="253"/>
    </row>
    <row r="1525" spans="1:17">
      <c r="A1525" s="253"/>
      <c r="B1525" s="253"/>
      <c r="C1525" s="253"/>
      <c r="D1525" s="253"/>
      <c r="E1525" s="253"/>
      <c r="F1525" s="253"/>
      <c r="G1525" s="253"/>
      <c r="H1525" s="253"/>
      <c r="I1525" s="253"/>
      <c r="J1525" s="253"/>
      <c r="K1525" s="253"/>
      <c r="L1525" s="253"/>
      <c r="M1525" s="253"/>
      <c r="N1525" s="253"/>
      <c r="O1525" s="253"/>
      <c r="P1525" s="253"/>
      <c r="Q1525" s="253"/>
    </row>
    <row r="1526" spans="1:17">
      <c r="A1526" s="253"/>
      <c r="B1526" s="253"/>
      <c r="C1526" s="253"/>
      <c r="D1526" s="253"/>
      <c r="E1526" s="253"/>
      <c r="F1526" s="253"/>
      <c r="G1526" s="253"/>
      <c r="H1526" s="253"/>
      <c r="I1526" s="253"/>
      <c r="J1526" s="253"/>
      <c r="K1526" s="253"/>
      <c r="L1526" s="253"/>
      <c r="M1526" s="253"/>
      <c r="N1526" s="253"/>
      <c r="O1526" s="253"/>
      <c r="P1526" s="253"/>
      <c r="Q1526" s="253"/>
    </row>
    <row r="1527" spans="1:17">
      <c r="A1527" s="253"/>
      <c r="B1527" s="253"/>
      <c r="C1527" s="253"/>
      <c r="D1527" s="253"/>
      <c r="E1527" s="253"/>
      <c r="F1527" s="253"/>
      <c r="G1527" s="253"/>
      <c r="H1527" s="253"/>
      <c r="I1527" s="253"/>
      <c r="J1527" s="253"/>
      <c r="K1527" s="253"/>
      <c r="L1527" s="253"/>
      <c r="M1527" s="253"/>
      <c r="N1527" s="253"/>
      <c r="O1527" s="253"/>
      <c r="P1527" s="253"/>
      <c r="Q1527" s="253"/>
    </row>
    <row r="1528" spans="1:17">
      <c r="A1528" s="253"/>
      <c r="B1528" s="253"/>
      <c r="C1528" s="253"/>
      <c r="D1528" s="253"/>
      <c r="E1528" s="253"/>
      <c r="F1528" s="253"/>
      <c r="G1528" s="253"/>
      <c r="H1528" s="253"/>
      <c r="I1528" s="253"/>
      <c r="J1528" s="253"/>
      <c r="K1528" s="253"/>
      <c r="L1528" s="253"/>
      <c r="M1528" s="253"/>
      <c r="N1528" s="253"/>
      <c r="O1528" s="253"/>
      <c r="P1528" s="253"/>
      <c r="Q1528" s="253"/>
    </row>
    <row r="1529" spans="1:17">
      <c r="A1529" s="253"/>
      <c r="B1529" s="253"/>
      <c r="C1529" s="253"/>
      <c r="D1529" s="253"/>
      <c r="E1529" s="253"/>
      <c r="F1529" s="253"/>
      <c r="G1529" s="253"/>
      <c r="H1529" s="253"/>
      <c r="I1529" s="253"/>
      <c r="J1529" s="253"/>
      <c r="K1529" s="253"/>
      <c r="L1529" s="253"/>
      <c r="M1529" s="253"/>
      <c r="N1529" s="253"/>
      <c r="O1529" s="253"/>
      <c r="P1529" s="253"/>
      <c r="Q1529" s="253"/>
    </row>
    <row r="1530" spans="1:17">
      <c r="A1530" s="253"/>
      <c r="B1530" s="253"/>
      <c r="C1530" s="253"/>
      <c r="D1530" s="253"/>
      <c r="E1530" s="253"/>
      <c r="F1530" s="253"/>
      <c r="G1530" s="253"/>
      <c r="H1530" s="253"/>
      <c r="I1530" s="253"/>
      <c r="J1530" s="253"/>
      <c r="K1530" s="253"/>
      <c r="L1530" s="253"/>
      <c r="M1530" s="253"/>
      <c r="N1530" s="253"/>
      <c r="O1530" s="253"/>
      <c r="P1530" s="253"/>
      <c r="Q1530" s="253"/>
    </row>
    <row r="1531" spans="1:17">
      <c r="A1531" s="253"/>
      <c r="B1531" s="253"/>
      <c r="C1531" s="253"/>
      <c r="D1531" s="253"/>
      <c r="E1531" s="253"/>
      <c r="F1531" s="253"/>
      <c r="G1531" s="253"/>
      <c r="H1531" s="253"/>
      <c r="I1531" s="253"/>
      <c r="J1531" s="253"/>
      <c r="K1531" s="253"/>
      <c r="L1531" s="253"/>
      <c r="M1531" s="253"/>
      <c r="N1531" s="253"/>
      <c r="O1531" s="253"/>
      <c r="P1531" s="253"/>
      <c r="Q1531" s="253"/>
    </row>
    <row r="1532" spans="1:17">
      <c r="A1532" s="253"/>
      <c r="B1532" s="253"/>
      <c r="C1532" s="253"/>
      <c r="D1532" s="253"/>
      <c r="E1532" s="253"/>
      <c r="F1532" s="253"/>
      <c r="G1532" s="253"/>
      <c r="H1532" s="253"/>
      <c r="I1532" s="253"/>
      <c r="J1532" s="253"/>
      <c r="K1532" s="253"/>
      <c r="L1532" s="253"/>
      <c r="M1532" s="253"/>
      <c r="N1532" s="253"/>
      <c r="O1532" s="253"/>
      <c r="P1532" s="253"/>
      <c r="Q1532" s="253"/>
    </row>
    <row r="1533" spans="1:17">
      <c r="A1533" s="253"/>
      <c r="B1533" s="253"/>
      <c r="C1533" s="253"/>
      <c r="D1533" s="253"/>
      <c r="E1533" s="253"/>
      <c r="F1533" s="253"/>
      <c r="G1533" s="253"/>
      <c r="H1533" s="253"/>
      <c r="I1533" s="253"/>
      <c r="J1533" s="253"/>
      <c r="K1533" s="253"/>
      <c r="L1533" s="253"/>
      <c r="M1533" s="253"/>
      <c r="N1533" s="253"/>
      <c r="O1533" s="253"/>
      <c r="P1533" s="253"/>
      <c r="Q1533" s="253"/>
    </row>
    <row r="1534" spans="1:17">
      <c r="A1534" s="253"/>
      <c r="B1534" s="253"/>
      <c r="C1534" s="253"/>
      <c r="D1534" s="253"/>
      <c r="E1534" s="253"/>
      <c r="F1534" s="253"/>
      <c r="G1534" s="253"/>
      <c r="H1534" s="253"/>
      <c r="I1534" s="253"/>
      <c r="J1534" s="253"/>
      <c r="K1534" s="253"/>
      <c r="L1534" s="253"/>
      <c r="M1534" s="253"/>
      <c r="N1534" s="253"/>
      <c r="O1534" s="253"/>
      <c r="P1534" s="253"/>
      <c r="Q1534" s="253"/>
    </row>
    <row r="1535" spans="1:17">
      <c r="A1535" s="253"/>
      <c r="B1535" s="253"/>
      <c r="C1535" s="253"/>
      <c r="D1535" s="253"/>
      <c r="E1535" s="253"/>
      <c r="F1535" s="253"/>
      <c r="G1535" s="253"/>
      <c r="H1535" s="253"/>
      <c r="I1535" s="253"/>
      <c r="J1535" s="253"/>
      <c r="K1535" s="253"/>
      <c r="L1535" s="253"/>
      <c r="M1535" s="253"/>
      <c r="N1535" s="253"/>
      <c r="O1535" s="253"/>
      <c r="P1535" s="253"/>
      <c r="Q1535" s="253"/>
    </row>
    <row r="1536" spans="1:17">
      <c r="A1536" s="253"/>
      <c r="B1536" s="253"/>
      <c r="C1536" s="253"/>
      <c r="D1536" s="253"/>
      <c r="E1536" s="253"/>
      <c r="F1536" s="253"/>
      <c r="G1536" s="253"/>
      <c r="H1536" s="253"/>
      <c r="I1536" s="253"/>
      <c r="J1536" s="253"/>
      <c r="K1536" s="253"/>
      <c r="L1536" s="253"/>
      <c r="M1536" s="253"/>
      <c r="N1536" s="253"/>
      <c r="O1536" s="253"/>
      <c r="P1536" s="253"/>
      <c r="Q1536" s="253"/>
    </row>
    <row r="1537" spans="1:17">
      <c r="A1537" s="253"/>
      <c r="B1537" s="253"/>
      <c r="C1537" s="253"/>
      <c r="D1537" s="253"/>
      <c r="E1537" s="253"/>
      <c r="F1537" s="253"/>
      <c r="G1537" s="253"/>
      <c r="H1537" s="253"/>
      <c r="I1537" s="253"/>
      <c r="J1537" s="253"/>
      <c r="K1537" s="253"/>
      <c r="L1537" s="253"/>
      <c r="M1537" s="253"/>
      <c r="N1537" s="253"/>
      <c r="O1537" s="253"/>
      <c r="P1537" s="253"/>
      <c r="Q1537" s="253"/>
    </row>
    <row r="1538" spans="1:17">
      <c r="A1538" s="253"/>
      <c r="B1538" s="253"/>
      <c r="C1538" s="253"/>
      <c r="D1538" s="253"/>
      <c r="E1538" s="253"/>
      <c r="F1538" s="253"/>
      <c r="G1538" s="253"/>
      <c r="H1538" s="253"/>
      <c r="I1538" s="253"/>
      <c r="J1538" s="253"/>
      <c r="K1538" s="253"/>
      <c r="L1538" s="253"/>
      <c r="M1538" s="253"/>
      <c r="N1538" s="253"/>
      <c r="O1538" s="253"/>
      <c r="P1538" s="253"/>
      <c r="Q1538" s="253"/>
    </row>
    <row r="1539" spans="1:17">
      <c r="A1539" s="253"/>
      <c r="B1539" s="253"/>
      <c r="C1539" s="253"/>
      <c r="D1539" s="253"/>
      <c r="E1539" s="253"/>
      <c r="F1539" s="253"/>
      <c r="G1539" s="253"/>
      <c r="H1539" s="253"/>
      <c r="I1539" s="253"/>
      <c r="J1539" s="253"/>
      <c r="K1539" s="253"/>
      <c r="L1539" s="253"/>
      <c r="M1539" s="253"/>
      <c r="N1539" s="253"/>
      <c r="O1539" s="253"/>
      <c r="P1539" s="253"/>
      <c r="Q1539" s="253"/>
    </row>
    <row r="1540" spans="1:17">
      <c r="A1540" s="253"/>
      <c r="B1540" s="253"/>
      <c r="C1540" s="253"/>
      <c r="D1540" s="253"/>
      <c r="E1540" s="253"/>
      <c r="F1540" s="253"/>
      <c r="G1540" s="253"/>
      <c r="H1540" s="253"/>
      <c r="I1540" s="253"/>
      <c r="J1540" s="253"/>
      <c r="K1540" s="253"/>
      <c r="L1540" s="253"/>
      <c r="M1540" s="253"/>
      <c r="N1540" s="253"/>
      <c r="O1540" s="253"/>
      <c r="P1540" s="253"/>
      <c r="Q1540" s="253"/>
    </row>
    <row r="1541" spans="1:17">
      <c r="A1541" s="253"/>
      <c r="B1541" s="253"/>
      <c r="C1541" s="253"/>
      <c r="D1541" s="253"/>
      <c r="E1541" s="253"/>
      <c r="F1541" s="253"/>
      <c r="G1541" s="253"/>
      <c r="H1541" s="253"/>
      <c r="I1541" s="253"/>
      <c r="J1541" s="253"/>
      <c r="K1541" s="253"/>
      <c r="L1541" s="253"/>
      <c r="M1541" s="253"/>
      <c r="N1541" s="253"/>
      <c r="O1541" s="253"/>
      <c r="P1541" s="253"/>
      <c r="Q1541" s="253"/>
    </row>
    <row r="1542" spans="1:17">
      <c r="A1542" s="253"/>
      <c r="B1542" s="253"/>
      <c r="C1542" s="253"/>
      <c r="D1542" s="253"/>
      <c r="E1542" s="253"/>
      <c r="F1542" s="253"/>
      <c r="G1542" s="253"/>
      <c r="H1542" s="253"/>
      <c r="I1542" s="253"/>
      <c r="J1542" s="253"/>
      <c r="K1542" s="253"/>
      <c r="L1542" s="253"/>
      <c r="M1542" s="253"/>
      <c r="N1542" s="253"/>
      <c r="O1542" s="253"/>
      <c r="P1542" s="253"/>
      <c r="Q1542" s="253"/>
    </row>
    <row r="1543" spans="1:17">
      <c r="A1543" s="253"/>
      <c r="B1543" s="253"/>
      <c r="C1543" s="253"/>
      <c r="D1543" s="253"/>
      <c r="E1543" s="253"/>
      <c r="F1543" s="253"/>
      <c r="G1543" s="253"/>
      <c r="H1543" s="253"/>
      <c r="I1543" s="253"/>
      <c r="J1543" s="253"/>
      <c r="K1543" s="253"/>
      <c r="L1543" s="253"/>
      <c r="M1543" s="253"/>
      <c r="N1543" s="253"/>
      <c r="O1543" s="253"/>
      <c r="P1543" s="253"/>
      <c r="Q1543" s="253"/>
    </row>
    <row r="1544" spans="1:17">
      <c r="A1544" s="253"/>
      <c r="B1544" s="253"/>
      <c r="C1544" s="253"/>
      <c r="D1544" s="253"/>
      <c r="E1544" s="253"/>
      <c r="F1544" s="253"/>
      <c r="G1544" s="253"/>
      <c r="H1544" s="253"/>
      <c r="I1544" s="253"/>
      <c r="J1544" s="253"/>
      <c r="K1544" s="253"/>
      <c r="L1544" s="253"/>
      <c r="M1544" s="253"/>
      <c r="N1544" s="253"/>
      <c r="O1544" s="253"/>
      <c r="P1544" s="253"/>
      <c r="Q1544" s="253"/>
    </row>
    <row r="1545" spans="1:17">
      <c r="A1545" s="253"/>
      <c r="B1545" s="253"/>
      <c r="C1545" s="253"/>
      <c r="D1545" s="253"/>
      <c r="E1545" s="253"/>
      <c r="F1545" s="253"/>
      <c r="G1545" s="253"/>
      <c r="H1545" s="253"/>
      <c r="I1545" s="253"/>
      <c r="J1545" s="253"/>
      <c r="K1545" s="253"/>
      <c r="L1545" s="253"/>
      <c r="M1545" s="253"/>
      <c r="N1545" s="253"/>
      <c r="O1545" s="253"/>
      <c r="P1545" s="253"/>
      <c r="Q1545" s="253"/>
    </row>
    <row r="1546" spans="1:17">
      <c r="A1546" s="253"/>
      <c r="B1546" s="253"/>
      <c r="C1546" s="253"/>
      <c r="D1546" s="253"/>
      <c r="E1546" s="253"/>
      <c r="F1546" s="253"/>
      <c r="G1546" s="253"/>
      <c r="H1546" s="253"/>
      <c r="I1546" s="253"/>
      <c r="J1546" s="253"/>
      <c r="K1546" s="253"/>
      <c r="L1546" s="253"/>
      <c r="M1546" s="253"/>
      <c r="N1546" s="253"/>
      <c r="O1546" s="253"/>
      <c r="P1546" s="253"/>
      <c r="Q1546" s="253"/>
    </row>
    <row r="1547" spans="1:17">
      <c r="A1547" s="253"/>
      <c r="B1547" s="253"/>
      <c r="C1547" s="253"/>
      <c r="D1547" s="253"/>
      <c r="E1547" s="253"/>
      <c r="F1547" s="253"/>
      <c r="G1547" s="253"/>
      <c r="H1547" s="253"/>
      <c r="I1547" s="253"/>
      <c r="J1547" s="253"/>
      <c r="K1547" s="253"/>
      <c r="L1547" s="253"/>
      <c r="M1547" s="253"/>
      <c r="N1547" s="253"/>
      <c r="O1547" s="253"/>
      <c r="P1547" s="253"/>
      <c r="Q1547" s="253"/>
    </row>
    <row r="1548" spans="1:17">
      <c r="A1548" s="253"/>
      <c r="B1548" s="253"/>
      <c r="C1548" s="253"/>
      <c r="D1548" s="253"/>
      <c r="E1548" s="253"/>
      <c r="F1548" s="253"/>
      <c r="G1548" s="253"/>
      <c r="H1548" s="253"/>
      <c r="I1548" s="253"/>
      <c r="J1548" s="253"/>
      <c r="K1548" s="253"/>
      <c r="L1548" s="253"/>
      <c r="M1548" s="253"/>
      <c r="N1548" s="253"/>
      <c r="O1548" s="253"/>
      <c r="P1548" s="253"/>
      <c r="Q1548" s="253"/>
    </row>
    <row r="1549" spans="1:17">
      <c r="A1549" s="253"/>
      <c r="B1549" s="253"/>
      <c r="C1549" s="253"/>
      <c r="D1549" s="253"/>
      <c r="E1549" s="253"/>
      <c r="F1549" s="253"/>
      <c r="G1549" s="253"/>
      <c r="H1549" s="253"/>
      <c r="I1549" s="253"/>
      <c r="J1549" s="253"/>
      <c r="K1549" s="253"/>
      <c r="L1549" s="253"/>
      <c r="M1549" s="253"/>
      <c r="N1549" s="253"/>
      <c r="O1549" s="253"/>
      <c r="P1549" s="253"/>
      <c r="Q1549" s="253"/>
    </row>
    <row r="1550" spans="1:17">
      <c r="A1550" s="253"/>
      <c r="B1550" s="253"/>
      <c r="C1550" s="253"/>
      <c r="D1550" s="253"/>
      <c r="E1550" s="253"/>
      <c r="F1550" s="253"/>
      <c r="G1550" s="253"/>
      <c r="H1550" s="253"/>
      <c r="I1550" s="253"/>
      <c r="J1550" s="253"/>
      <c r="K1550" s="253"/>
      <c r="L1550" s="253"/>
      <c r="M1550" s="253"/>
      <c r="N1550" s="253"/>
      <c r="O1550" s="253"/>
      <c r="P1550" s="253"/>
      <c r="Q1550" s="253"/>
    </row>
    <row r="1551" spans="1:17">
      <c r="A1551" s="253"/>
      <c r="B1551" s="253"/>
      <c r="C1551" s="253"/>
      <c r="D1551" s="253"/>
      <c r="E1551" s="253"/>
      <c r="F1551" s="253"/>
      <c r="G1551" s="253"/>
      <c r="H1551" s="253"/>
      <c r="I1551" s="253"/>
      <c r="J1551" s="253"/>
      <c r="K1551" s="253"/>
      <c r="L1551" s="253"/>
      <c r="M1551" s="253"/>
      <c r="N1551" s="253"/>
      <c r="O1551" s="253"/>
      <c r="P1551" s="253"/>
      <c r="Q1551" s="253"/>
    </row>
    <row r="1552" spans="1:17">
      <c r="A1552" s="253"/>
      <c r="B1552" s="253"/>
      <c r="C1552" s="253"/>
      <c r="D1552" s="253"/>
      <c r="E1552" s="253"/>
      <c r="F1552" s="253"/>
      <c r="G1552" s="253"/>
      <c r="H1552" s="253"/>
      <c r="I1552" s="253"/>
      <c r="J1552" s="253"/>
      <c r="K1552" s="253"/>
      <c r="L1552" s="253"/>
      <c r="M1552" s="253"/>
      <c r="N1552" s="253"/>
      <c r="O1552" s="253"/>
      <c r="P1552" s="253"/>
      <c r="Q1552" s="253"/>
    </row>
    <row r="1553" spans="1:17">
      <c r="A1553" s="253"/>
      <c r="B1553" s="253"/>
      <c r="C1553" s="253"/>
      <c r="D1553" s="253"/>
      <c r="E1553" s="253"/>
      <c r="F1553" s="253"/>
      <c r="G1553" s="253"/>
      <c r="H1553" s="253"/>
      <c r="I1553" s="253"/>
      <c r="J1553" s="253"/>
      <c r="K1553" s="253"/>
      <c r="L1553" s="253"/>
      <c r="M1553" s="253"/>
      <c r="N1553" s="253"/>
      <c r="O1553" s="253"/>
      <c r="P1553" s="253"/>
      <c r="Q1553" s="253"/>
    </row>
    <row r="1554" spans="1:17">
      <c r="A1554" s="253"/>
      <c r="B1554" s="253"/>
      <c r="C1554" s="253"/>
      <c r="D1554" s="253"/>
      <c r="E1554" s="253"/>
      <c r="F1554" s="253"/>
      <c r="G1554" s="253"/>
      <c r="H1554" s="253"/>
      <c r="I1554" s="253"/>
      <c r="J1554" s="253"/>
      <c r="K1554" s="253"/>
      <c r="L1554" s="253"/>
      <c r="M1554" s="253"/>
      <c r="N1554" s="253"/>
      <c r="O1554" s="253"/>
      <c r="P1554" s="253"/>
      <c r="Q1554" s="253"/>
    </row>
    <row r="1555" spans="1:17">
      <c r="A1555" s="253"/>
      <c r="B1555" s="253"/>
      <c r="C1555" s="253"/>
      <c r="D1555" s="253"/>
      <c r="E1555" s="253"/>
      <c r="F1555" s="253"/>
      <c r="G1555" s="253"/>
      <c r="H1555" s="253"/>
      <c r="I1555" s="253"/>
      <c r="J1555" s="253"/>
      <c r="K1555" s="253"/>
      <c r="L1555" s="253"/>
      <c r="M1555" s="253"/>
      <c r="N1555" s="253"/>
      <c r="O1555" s="253"/>
      <c r="P1555" s="253"/>
      <c r="Q1555" s="253"/>
    </row>
    <row r="1556" spans="1:17">
      <c r="A1556" s="253"/>
      <c r="B1556" s="253"/>
      <c r="C1556" s="253"/>
      <c r="D1556" s="253"/>
      <c r="E1556" s="253"/>
      <c r="F1556" s="253"/>
      <c r="G1556" s="253"/>
      <c r="H1556" s="253"/>
      <c r="I1556" s="253"/>
      <c r="J1556" s="253"/>
      <c r="K1556" s="253"/>
      <c r="L1556" s="253"/>
      <c r="M1556" s="253"/>
      <c r="N1556" s="253"/>
      <c r="O1556" s="253"/>
      <c r="P1556" s="253"/>
      <c r="Q1556" s="253"/>
    </row>
    <row r="1557" spans="1:17">
      <c r="A1557" s="253"/>
      <c r="B1557" s="253"/>
      <c r="C1557" s="253"/>
      <c r="D1557" s="253"/>
      <c r="E1557" s="253"/>
      <c r="F1557" s="253"/>
      <c r="G1557" s="253"/>
      <c r="H1557" s="253"/>
      <c r="I1557" s="253"/>
      <c r="J1557" s="253"/>
      <c r="K1557" s="253"/>
      <c r="L1557" s="253"/>
      <c r="M1557" s="253"/>
      <c r="N1557" s="253"/>
      <c r="O1557" s="253"/>
      <c r="P1557" s="253"/>
      <c r="Q1557" s="253"/>
    </row>
    <row r="1558" spans="1:17">
      <c r="A1558" s="253"/>
      <c r="B1558" s="253"/>
      <c r="C1558" s="253"/>
      <c r="D1558" s="253"/>
      <c r="E1558" s="253"/>
      <c r="F1558" s="253"/>
      <c r="G1558" s="253"/>
      <c r="H1558" s="253"/>
      <c r="I1558" s="253"/>
      <c r="J1558" s="253"/>
      <c r="K1558" s="253"/>
      <c r="L1558" s="253"/>
      <c r="M1558" s="253"/>
      <c r="N1558" s="253"/>
      <c r="O1558" s="253"/>
      <c r="P1558" s="253"/>
      <c r="Q1558" s="253"/>
    </row>
    <row r="1559" spans="1:17">
      <c r="A1559" s="253"/>
      <c r="B1559" s="253"/>
      <c r="C1559" s="253"/>
      <c r="D1559" s="253"/>
      <c r="E1559" s="253"/>
      <c r="F1559" s="253"/>
      <c r="G1559" s="253"/>
      <c r="H1559" s="253"/>
      <c r="I1559" s="253"/>
      <c r="J1559" s="253"/>
      <c r="K1559" s="253"/>
      <c r="L1559" s="253"/>
      <c r="M1559" s="253"/>
      <c r="N1559" s="253"/>
      <c r="O1559" s="253"/>
      <c r="P1559" s="253"/>
      <c r="Q1559" s="253"/>
    </row>
    <row r="1560" spans="1:17">
      <c r="A1560" s="253"/>
      <c r="B1560" s="253"/>
      <c r="C1560" s="253"/>
      <c r="D1560" s="253"/>
      <c r="E1560" s="253"/>
      <c r="F1560" s="253"/>
      <c r="G1560" s="253"/>
      <c r="H1560" s="253"/>
      <c r="I1560" s="253"/>
      <c r="J1560" s="253"/>
      <c r="K1560" s="253"/>
      <c r="L1560" s="253"/>
      <c r="M1560" s="253"/>
      <c r="N1560" s="253"/>
      <c r="O1560" s="253"/>
      <c r="P1560" s="253"/>
      <c r="Q1560" s="253"/>
    </row>
    <row r="1561" spans="1:17">
      <c r="A1561" s="253"/>
      <c r="B1561" s="253"/>
      <c r="C1561" s="253"/>
      <c r="D1561" s="253"/>
      <c r="E1561" s="253"/>
      <c r="F1561" s="253"/>
      <c r="G1561" s="253"/>
      <c r="H1561" s="253"/>
      <c r="I1561" s="253"/>
      <c r="J1561" s="253"/>
      <c r="K1561" s="253"/>
      <c r="L1561" s="253"/>
      <c r="M1561" s="253"/>
      <c r="N1561" s="253"/>
      <c r="O1561" s="253"/>
      <c r="P1561" s="253"/>
      <c r="Q1561" s="253"/>
    </row>
    <row r="1562" spans="1:17">
      <c r="A1562" s="253"/>
      <c r="B1562" s="253"/>
      <c r="C1562" s="253"/>
      <c r="D1562" s="253"/>
      <c r="E1562" s="253"/>
      <c r="F1562" s="253"/>
      <c r="G1562" s="253"/>
      <c r="H1562" s="253"/>
      <c r="I1562" s="253"/>
      <c r="J1562" s="253"/>
      <c r="K1562" s="253"/>
      <c r="L1562" s="253"/>
      <c r="M1562" s="253"/>
      <c r="N1562" s="253"/>
      <c r="O1562" s="253"/>
      <c r="P1562" s="253"/>
      <c r="Q1562" s="253"/>
    </row>
    <row r="1563" spans="1:17">
      <c r="A1563" s="253"/>
      <c r="B1563" s="253"/>
      <c r="C1563" s="253"/>
      <c r="D1563" s="253"/>
      <c r="E1563" s="253"/>
      <c r="F1563" s="253"/>
      <c r="G1563" s="253"/>
      <c r="H1563" s="253"/>
      <c r="I1563" s="253"/>
      <c r="J1563" s="253"/>
      <c r="K1563" s="253"/>
      <c r="L1563" s="253"/>
      <c r="M1563" s="253"/>
      <c r="N1563" s="253"/>
      <c r="O1563" s="253"/>
      <c r="P1563" s="253"/>
      <c r="Q1563" s="253"/>
    </row>
    <row r="1564" spans="1:17">
      <c r="A1564" s="253"/>
      <c r="B1564" s="253"/>
      <c r="C1564" s="253"/>
      <c r="D1564" s="253"/>
      <c r="E1564" s="253"/>
      <c r="F1564" s="253"/>
      <c r="G1564" s="253"/>
      <c r="H1564" s="253"/>
      <c r="I1564" s="253"/>
      <c r="J1564" s="253"/>
      <c r="K1564" s="253"/>
      <c r="L1564" s="253"/>
      <c r="M1564" s="253"/>
      <c r="N1564" s="253"/>
      <c r="O1564" s="253"/>
      <c r="P1564" s="253"/>
      <c r="Q1564" s="253"/>
    </row>
    <row r="1565" spans="1:17">
      <c r="A1565" s="253"/>
      <c r="B1565" s="253"/>
      <c r="C1565" s="253"/>
      <c r="D1565" s="253"/>
      <c r="E1565" s="253"/>
      <c r="F1565" s="253"/>
      <c r="G1565" s="253"/>
      <c r="H1565" s="253"/>
      <c r="I1565" s="253"/>
      <c r="J1565" s="253"/>
      <c r="K1565" s="253"/>
      <c r="L1565" s="253"/>
      <c r="M1565" s="253"/>
      <c r="N1565" s="253"/>
      <c r="O1565" s="253"/>
      <c r="P1565" s="253"/>
      <c r="Q1565" s="253"/>
    </row>
    <row r="1566" spans="1:17">
      <c r="A1566" s="253"/>
      <c r="B1566" s="253"/>
      <c r="C1566" s="253"/>
      <c r="D1566" s="253"/>
      <c r="E1566" s="253"/>
      <c r="F1566" s="253"/>
      <c r="G1566" s="253"/>
      <c r="H1566" s="253"/>
      <c r="I1566" s="253"/>
      <c r="J1566" s="253"/>
      <c r="K1566" s="253"/>
      <c r="L1566" s="253"/>
      <c r="M1566" s="253"/>
      <c r="N1566" s="253"/>
      <c r="O1566" s="253"/>
      <c r="P1566" s="253"/>
      <c r="Q1566" s="253"/>
    </row>
    <row r="1567" spans="1:17">
      <c r="A1567" s="253"/>
      <c r="B1567" s="253"/>
      <c r="C1567" s="253"/>
      <c r="D1567" s="253"/>
      <c r="E1567" s="253"/>
      <c r="F1567" s="253"/>
      <c r="G1567" s="253"/>
      <c r="H1567" s="253"/>
      <c r="I1567" s="253"/>
      <c r="J1567" s="253"/>
      <c r="K1567" s="253"/>
      <c r="L1567" s="253"/>
      <c r="M1567" s="253"/>
      <c r="N1567" s="253"/>
      <c r="O1567" s="253"/>
      <c r="P1567" s="253"/>
      <c r="Q1567" s="253"/>
    </row>
    <row r="1568" spans="1:17">
      <c r="A1568" s="253"/>
      <c r="B1568" s="253"/>
      <c r="C1568" s="253"/>
      <c r="D1568" s="253"/>
      <c r="E1568" s="253"/>
      <c r="F1568" s="253"/>
      <c r="G1568" s="253"/>
      <c r="H1568" s="253"/>
      <c r="I1568" s="253"/>
      <c r="J1568" s="253"/>
      <c r="K1568" s="253"/>
      <c r="L1568" s="253"/>
      <c r="M1568" s="253"/>
      <c r="N1568" s="253"/>
      <c r="O1568" s="253"/>
      <c r="P1568" s="253"/>
      <c r="Q1568" s="253"/>
    </row>
    <row r="1569" spans="1:17">
      <c r="A1569" s="253"/>
      <c r="B1569" s="253"/>
      <c r="C1569" s="253"/>
      <c r="D1569" s="253"/>
      <c r="E1569" s="253"/>
      <c r="F1569" s="253"/>
      <c r="G1569" s="253"/>
      <c r="H1569" s="253"/>
      <c r="I1569" s="253"/>
      <c r="J1569" s="253"/>
      <c r="K1569" s="253"/>
      <c r="L1569" s="253"/>
      <c r="M1569" s="253"/>
      <c r="N1569" s="253"/>
      <c r="O1569" s="253"/>
      <c r="P1569" s="253"/>
      <c r="Q1569" s="253"/>
    </row>
    <row r="1570" spans="1:17">
      <c r="A1570" s="253"/>
      <c r="B1570" s="253"/>
      <c r="C1570" s="253"/>
      <c r="D1570" s="253"/>
      <c r="E1570" s="253"/>
      <c r="F1570" s="253"/>
      <c r="G1570" s="253"/>
      <c r="H1570" s="253"/>
      <c r="I1570" s="253"/>
      <c r="J1570" s="253"/>
      <c r="K1570" s="253"/>
      <c r="L1570" s="253"/>
      <c r="M1570" s="253"/>
      <c r="N1570" s="253"/>
      <c r="O1570" s="253"/>
      <c r="P1570" s="253"/>
      <c r="Q1570" s="253"/>
    </row>
    <row r="1571" spans="1:17">
      <c r="A1571" s="253"/>
      <c r="B1571" s="253"/>
      <c r="C1571" s="253"/>
      <c r="D1571" s="253"/>
      <c r="E1571" s="253"/>
      <c r="F1571" s="253"/>
      <c r="G1571" s="253"/>
      <c r="H1571" s="253"/>
      <c r="I1571" s="253"/>
      <c r="J1571" s="253"/>
      <c r="K1571" s="253"/>
      <c r="L1571" s="253"/>
      <c r="M1571" s="253"/>
      <c r="N1571" s="253"/>
      <c r="O1571" s="253"/>
      <c r="P1571" s="253"/>
      <c r="Q1571" s="253"/>
    </row>
    <row r="1572" spans="1:17">
      <c r="A1572" s="253"/>
      <c r="B1572" s="253"/>
      <c r="C1572" s="253"/>
      <c r="D1572" s="253"/>
      <c r="E1572" s="253"/>
      <c r="F1572" s="253"/>
      <c r="G1572" s="253"/>
      <c r="H1572" s="253"/>
      <c r="I1572" s="253"/>
      <c r="J1572" s="253"/>
      <c r="K1572" s="253"/>
      <c r="L1572" s="253"/>
      <c r="M1572" s="253"/>
      <c r="N1572" s="253"/>
      <c r="O1572" s="253"/>
      <c r="P1572" s="253"/>
      <c r="Q1572" s="253"/>
    </row>
    <row r="1573" spans="1:17">
      <c r="A1573" s="253"/>
      <c r="B1573" s="253"/>
      <c r="C1573" s="253"/>
      <c r="D1573" s="253"/>
      <c r="E1573" s="253"/>
      <c r="F1573" s="253"/>
      <c r="G1573" s="253"/>
      <c r="H1573" s="253"/>
      <c r="I1573" s="253"/>
      <c r="J1573" s="253"/>
      <c r="K1573" s="253"/>
      <c r="L1573" s="253"/>
      <c r="M1573" s="253"/>
      <c r="N1573" s="253"/>
      <c r="O1573" s="253"/>
      <c r="P1573" s="253"/>
      <c r="Q1573" s="253"/>
    </row>
    <row r="1574" spans="1:17">
      <c r="A1574" s="253"/>
      <c r="B1574" s="253"/>
      <c r="C1574" s="253"/>
      <c r="D1574" s="253"/>
      <c r="E1574" s="253"/>
      <c r="F1574" s="253"/>
      <c r="G1574" s="253"/>
      <c r="H1574" s="253"/>
      <c r="I1574" s="253"/>
      <c r="J1574" s="253"/>
      <c r="K1574" s="253"/>
      <c r="L1574" s="253"/>
      <c r="M1574" s="253"/>
      <c r="N1574" s="253"/>
      <c r="O1574" s="253"/>
      <c r="P1574" s="253"/>
      <c r="Q1574" s="253"/>
    </row>
    <row r="1575" spans="1:17">
      <c r="A1575" s="253"/>
      <c r="B1575" s="253"/>
      <c r="C1575" s="253"/>
      <c r="D1575" s="253"/>
      <c r="E1575" s="253"/>
      <c r="F1575" s="253"/>
      <c r="G1575" s="253"/>
      <c r="H1575" s="253"/>
      <c r="I1575" s="253"/>
      <c r="J1575" s="253"/>
      <c r="K1575" s="253"/>
      <c r="L1575" s="253"/>
      <c r="M1575" s="253"/>
      <c r="N1575" s="253"/>
      <c r="O1575" s="253"/>
      <c r="P1575" s="253"/>
      <c r="Q1575" s="253"/>
    </row>
    <row r="1576" spans="1:17">
      <c r="A1576" s="253"/>
      <c r="B1576" s="253"/>
      <c r="C1576" s="253"/>
      <c r="D1576" s="253"/>
      <c r="E1576" s="253"/>
      <c r="F1576" s="253"/>
      <c r="G1576" s="253"/>
      <c r="H1576" s="253"/>
      <c r="I1576" s="253"/>
      <c r="J1576" s="253"/>
      <c r="K1576" s="253"/>
      <c r="L1576" s="253"/>
      <c r="M1576" s="253"/>
      <c r="N1576" s="253"/>
      <c r="O1576" s="253"/>
      <c r="P1576" s="253"/>
      <c r="Q1576" s="253"/>
    </row>
    <row r="1577" spans="1:17">
      <c r="A1577" s="253"/>
      <c r="B1577" s="253"/>
      <c r="C1577" s="253"/>
      <c r="D1577" s="253"/>
      <c r="E1577" s="253"/>
      <c r="F1577" s="253"/>
      <c r="G1577" s="253"/>
      <c r="H1577" s="253"/>
      <c r="I1577" s="253"/>
      <c r="J1577" s="253"/>
      <c r="K1577" s="253"/>
      <c r="L1577" s="253"/>
      <c r="M1577" s="253"/>
      <c r="N1577" s="253"/>
      <c r="O1577" s="253"/>
      <c r="P1577" s="253"/>
      <c r="Q1577" s="253"/>
    </row>
    <row r="1578" spans="1:17">
      <c r="A1578" s="253"/>
      <c r="B1578" s="253"/>
      <c r="C1578" s="253"/>
      <c r="D1578" s="253"/>
      <c r="E1578" s="253"/>
      <c r="F1578" s="253"/>
      <c r="G1578" s="253"/>
      <c r="H1578" s="253"/>
      <c r="I1578" s="253"/>
      <c r="J1578" s="253"/>
      <c r="K1578" s="253"/>
      <c r="L1578" s="253"/>
      <c r="M1578" s="253"/>
      <c r="N1578" s="253"/>
      <c r="O1578" s="253"/>
      <c r="P1578" s="253"/>
      <c r="Q1578" s="253"/>
    </row>
    <row r="1579" spans="1:17">
      <c r="A1579" s="253"/>
      <c r="B1579" s="253"/>
      <c r="C1579" s="253"/>
      <c r="D1579" s="253"/>
      <c r="E1579" s="253"/>
      <c r="F1579" s="253"/>
      <c r="G1579" s="253"/>
      <c r="H1579" s="253"/>
      <c r="I1579" s="253"/>
      <c r="J1579" s="253"/>
      <c r="K1579" s="253"/>
      <c r="L1579" s="253"/>
      <c r="M1579" s="253"/>
      <c r="N1579" s="253"/>
      <c r="O1579" s="253"/>
      <c r="P1579" s="253"/>
      <c r="Q1579" s="253"/>
    </row>
    <row r="1580" spans="1:17">
      <c r="A1580" s="253"/>
      <c r="B1580" s="253"/>
      <c r="C1580" s="253"/>
      <c r="D1580" s="253"/>
      <c r="E1580" s="253"/>
      <c r="F1580" s="253"/>
      <c r="G1580" s="253"/>
      <c r="H1580" s="253"/>
      <c r="I1580" s="253"/>
      <c r="J1580" s="253"/>
      <c r="K1580" s="253"/>
      <c r="L1580" s="253"/>
      <c r="M1580" s="253"/>
      <c r="N1580" s="253"/>
      <c r="O1580" s="253"/>
      <c r="P1580" s="253"/>
      <c r="Q1580" s="253"/>
    </row>
    <row r="1581" spans="1:17">
      <c r="A1581" s="253"/>
      <c r="B1581" s="253"/>
      <c r="C1581" s="253"/>
      <c r="D1581" s="253"/>
      <c r="E1581" s="253"/>
      <c r="F1581" s="253"/>
      <c r="G1581" s="253"/>
      <c r="H1581" s="253"/>
      <c r="I1581" s="253"/>
      <c r="J1581" s="253"/>
      <c r="K1581" s="253"/>
      <c r="L1581" s="253"/>
      <c r="M1581" s="253"/>
      <c r="N1581" s="253"/>
      <c r="O1581" s="253"/>
      <c r="P1581" s="253"/>
      <c r="Q1581" s="253"/>
    </row>
    <row r="1582" spans="1:17">
      <c r="A1582" s="253"/>
      <c r="B1582" s="253"/>
      <c r="C1582" s="253"/>
      <c r="D1582" s="253"/>
      <c r="E1582" s="253"/>
      <c r="F1582" s="253"/>
      <c r="G1582" s="253"/>
      <c r="H1582" s="253"/>
      <c r="I1582" s="253"/>
      <c r="J1582" s="253"/>
      <c r="K1582" s="253"/>
      <c r="L1582" s="253"/>
      <c r="M1582" s="253"/>
      <c r="N1582" s="253"/>
      <c r="O1582" s="253"/>
      <c r="P1582" s="253"/>
      <c r="Q1582" s="253"/>
    </row>
    <row r="1583" spans="1:17">
      <c r="A1583" s="253"/>
      <c r="B1583" s="253"/>
      <c r="C1583" s="253"/>
      <c r="D1583" s="253"/>
      <c r="E1583" s="253"/>
      <c r="F1583" s="253"/>
      <c r="G1583" s="253"/>
      <c r="H1583" s="253"/>
      <c r="I1583" s="253"/>
      <c r="J1583" s="253"/>
      <c r="K1583" s="253"/>
      <c r="L1583" s="253"/>
      <c r="M1583" s="253"/>
      <c r="N1583" s="253"/>
      <c r="O1583" s="253"/>
      <c r="P1583" s="253"/>
      <c r="Q1583" s="253"/>
    </row>
    <row r="1584" spans="1:17">
      <c r="A1584" s="253"/>
      <c r="B1584" s="253"/>
      <c r="C1584" s="253"/>
      <c r="D1584" s="253"/>
      <c r="E1584" s="253"/>
      <c r="F1584" s="253"/>
      <c r="G1584" s="253"/>
      <c r="H1584" s="253"/>
      <c r="I1584" s="253"/>
      <c r="J1584" s="253"/>
      <c r="K1584" s="253"/>
      <c r="L1584" s="253"/>
      <c r="M1584" s="253"/>
      <c r="N1584" s="253"/>
      <c r="O1584" s="253"/>
      <c r="P1584" s="253"/>
      <c r="Q1584" s="253"/>
    </row>
    <row r="1585" spans="1:17">
      <c r="A1585" s="253"/>
      <c r="B1585" s="253"/>
      <c r="C1585" s="253"/>
      <c r="D1585" s="253"/>
      <c r="E1585" s="253"/>
      <c r="F1585" s="253"/>
      <c r="G1585" s="253"/>
      <c r="H1585" s="253"/>
      <c r="I1585" s="253"/>
      <c r="J1585" s="253"/>
      <c r="K1585" s="253"/>
      <c r="L1585" s="253"/>
      <c r="M1585" s="253"/>
      <c r="N1585" s="253"/>
      <c r="O1585" s="253"/>
      <c r="P1585" s="253"/>
      <c r="Q1585" s="253"/>
    </row>
    <row r="1586" spans="1:17">
      <c r="A1586" s="253"/>
      <c r="B1586" s="253"/>
      <c r="C1586" s="253"/>
      <c r="D1586" s="253"/>
      <c r="E1586" s="253"/>
      <c r="F1586" s="253"/>
      <c r="G1586" s="253"/>
      <c r="H1586" s="253"/>
      <c r="I1586" s="253"/>
      <c r="J1586" s="253"/>
      <c r="K1586" s="253"/>
      <c r="L1586" s="253"/>
      <c r="M1586" s="253"/>
      <c r="N1586" s="253"/>
      <c r="O1586" s="253"/>
      <c r="P1586" s="253"/>
      <c r="Q1586" s="253"/>
    </row>
    <row r="1587" spans="1:17">
      <c r="A1587" s="253"/>
      <c r="B1587" s="253"/>
      <c r="C1587" s="253"/>
      <c r="D1587" s="253"/>
      <c r="E1587" s="253"/>
      <c r="F1587" s="253"/>
      <c r="G1587" s="253"/>
      <c r="H1587" s="253"/>
      <c r="I1587" s="253"/>
      <c r="J1587" s="253"/>
      <c r="K1587" s="253"/>
      <c r="L1587" s="253"/>
      <c r="M1587" s="253"/>
      <c r="N1587" s="253"/>
      <c r="O1587" s="253"/>
      <c r="P1587" s="253"/>
      <c r="Q1587" s="253"/>
    </row>
    <row r="1588" spans="1:17">
      <c r="A1588" s="253"/>
      <c r="B1588" s="253"/>
      <c r="C1588" s="253"/>
      <c r="D1588" s="253"/>
      <c r="E1588" s="253"/>
      <c r="F1588" s="253"/>
      <c r="G1588" s="253"/>
      <c r="H1588" s="253"/>
      <c r="I1588" s="253"/>
      <c r="J1588" s="253"/>
      <c r="K1588" s="253"/>
      <c r="L1588" s="253"/>
      <c r="M1588" s="253"/>
      <c r="N1588" s="253"/>
      <c r="O1588" s="253"/>
      <c r="P1588" s="253"/>
      <c r="Q1588" s="253"/>
    </row>
    <row r="1589" spans="1:17">
      <c r="A1589" s="253"/>
      <c r="B1589" s="253"/>
      <c r="C1589" s="253"/>
      <c r="D1589" s="253"/>
      <c r="E1589" s="253"/>
      <c r="F1589" s="253"/>
      <c r="G1589" s="253"/>
      <c r="H1589" s="253"/>
      <c r="I1589" s="253"/>
      <c r="J1589" s="253"/>
      <c r="K1589" s="253"/>
      <c r="L1589" s="253"/>
      <c r="M1589" s="253"/>
      <c r="N1589" s="253"/>
      <c r="O1589" s="253"/>
      <c r="P1589" s="253"/>
      <c r="Q1589" s="253"/>
    </row>
    <row r="1590" spans="1:17">
      <c r="A1590" s="253"/>
      <c r="B1590" s="253"/>
      <c r="C1590" s="253"/>
      <c r="D1590" s="253"/>
      <c r="E1590" s="253"/>
      <c r="F1590" s="253"/>
      <c r="G1590" s="253"/>
      <c r="H1590" s="253"/>
      <c r="I1590" s="253"/>
      <c r="J1590" s="253"/>
      <c r="K1590" s="253"/>
      <c r="L1590" s="253"/>
      <c r="M1590" s="253"/>
      <c r="N1590" s="253"/>
      <c r="O1590" s="253"/>
      <c r="P1590" s="253"/>
      <c r="Q1590" s="253"/>
    </row>
    <row r="1591" spans="1:17">
      <c r="A1591" s="253"/>
      <c r="B1591" s="253"/>
      <c r="C1591" s="253"/>
      <c r="D1591" s="253"/>
      <c r="E1591" s="253"/>
      <c r="F1591" s="253"/>
      <c r="G1591" s="253"/>
      <c r="H1591" s="253"/>
      <c r="I1591" s="253"/>
      <c r="J1591" s="253"/>
      <c r="K1591" s="253"/>
      <c r="L1591" s="253"/>
      <c r="M1591" s="253"/>
      <c r="N1591" s="253"/>
      <c r="O1591" s="253"/>
      <c r="P1591" s="253"/>
      <c r="Q1591" s="253"/>
    </row>
    <row r="1592" spans="1:17">
      <c r="A1592" s="253"/>
      <c r="B1592" s="253"/>
      <c r="C1592" s="253"/>
      <c r="D1592" s="253"/>
      <c r="E1592" s="253"/>
      <c r="F1592" s="253"/>
      <c r="G1592" s="253"/>
      <c r="H1592" s="253"/>
      <c r="I1592" s="253"/>
      <c r="J1592" s="253"/>
      <c r="K1592" s="253"/>
      <c r="L1592" s="253"/>
      <c r="M1592" s="253"/>
      <c r="N1592" s="253"/>
      <c r="O1592" s="253"/>
      <c r="P1592" s="253"/>
      <c r="Q1592" s="253"/>
    </row>
    <row r="1593" spans="1:17">
      <c r="A1593" s="253"/>
      <c r="B1593" s="253"/>
      <c r="C1593" s="253"/>
      <c r="D1593" s="253"/>
      <c r="E1593" s="253"/>
      <c r="F1593" s="253"/>
      <c r="G1593" s="253"/>
      <c r="H1593" s="253"/>
      <c r="I1593" s="253"/>
      <c r="J1593" s="253"/>
      <c r="K1593" s="253"/>
      <c r="L1593" s="253"/>
      <c r="M1593" s="253"/>
      <c r="N1593" s="253"/>
      <c r="O1593" s="253"/>
      <c r="P1593" s="253"/>
      <c r="Q1593" s="253"/>
    </row>
    <row r="1594" spans="1:17">
      <c r="A1594" s="253"/>
      <c r="B1594" s="253"/>
      <c r="C1594" s="253"/>
      <c r="D1594" s="253"/>
      <c r="E1594" s="253"/>
      <c r="F1594" s="253"/>
      <c r="G1594" s="253"/>
      <c r="H1594" s="253"/>
      <c r="I1594" s="253"/>
      <c r="J1594" s="253"/>
      <c r="K1594" s="253"/>
      <c r="L1594" s="253"/>
      <c r="M1594" s="253"/>
      <c r="N1594" s="253"/>
      <c r="O1594" s="253"/>
      <c r="P1594" s="253"/>
      <c r="Q1594" s="253"/>
    </row>
    <row r="1595" spans="1:17">
      <c r="A1595" s="253"/>
      <c r="B1595" s="253"/>
      <c r="C1595" s="253"/>
      <c r="D1595" s="253"/>
      <c r="E1595" s="253"/>
      <c r="F1595" s="253"/>
      <c r="G1595" s="253"/>
      <c r="H1595" s="253"/>
      <c r="I1595" s="253"/>
      <c r="J1595" s="253"/>
      <c r="K1595" s="253"/>
      <c r="L1595" s="253"/>
      <c r="M1595" s="253"/>
      <c r="N1595" s="253"/>
      <c r="O1595" s="253"/>
      <c r="P1595" s="253"/>
      <c r="Q1595" s="253"/>
    </row>
    <row r="1596" spans="1:17">
      <c r="A1596" s="253"/>
      <c r="B1596" s="253"/>
      <c r="C1596" s="253"/>
      <c r="D1596" s="253"/>
      <c r="E1596" s="253"/>
      <c r="F1596" s="253"/>
      <c r="G1596" s="253"/>
      <c r="H1596" s="253"/>
      <c r="I1596" s="253"/>
      <c r="J1596" s="253"/>
      <c r="K1596" s="253"/>
      <c r="L1596" s="253"/>
      <c r="M1596" s="253"/>
      <c r="N1596" s="253"/>
      <c r="O1596" s="253"/>
      <c r="P1596" s="253"/>
      <c r="Q1596" s="253"/>
    </row>
    <row r="1597" spans="1:17">
      <c r="A1597" s="253"/>
      <c r="B1597" s="253"/>
      <c r="C1597" s="253"/>
      <c r="D1597" s="253"/>
      <c r="E1597" s="253"/>
      <c r="F1597" s="253"/>
      <c r="G1597" s="253"/>
      <c r="H1597" s="253"/>
      <c r="I1597" s="253"/>
      <c r="J1597" s="253"/>
      <c r="K1597" s="253"/>
      <c r="L1597" s="253"/>
      <c r="M1597" s="253"/>
      <c r="N1597" s="253"/>
      <c r="O1597" s="253"/>
      <c r="P1597" s="253"/>
      <c r="Q1597" s="253"/>
    </row>
    <row r="1598" spans="1:17">
      <c r="A1598" s="253"/>
      <c r="B1598" s="253"/>
      <c r="C1598" s="253"/>
      <c r="D1598" s="253"/>
      <c r="E1598" s="253"/>
      <c r="F1598" s="253"/>
      <c r="G1598" s="253"/>
      <c r="H1598" s="253"/>
      <c r="I1598" s="253"/>
      <c r="J1598" s="253"/>
      <c r="K1598" s="253"/>
      <c r="L1598" s="253"/>
      <c r="M1598" s="253"/>
      <c r="N1598" s="253"/>
      <c r="O1598" s="253"/>
      <c r="P1598" s="253"/>
      <c r="Q1598" s="253"/>
    </row>
    <row r="1599" spans="1:17">
      <c r="A1599" s="253"/>
      <c r="B1599" s="253"/>
      <c r="C1599" s="253"/>
      <c r="D1599" s="253"/>
      <c r="E1599" s="253"/>
      <c r="F1599" s="253"/>
      <c r="G1599" s="253"/>
      <c r="H1599" s="253"/>
      <c r="I1599" s="253"/>
      <c r="J1599" s="253"/>
      <c r="K1599" s="253"/>
      <c r="L1599" s="253"/>
      <c r="M1599" s="253"/>
      <c r="N1599" s="253"/>
      <c r="O1599" s="253"/>
      <c r="P1599" s="253"/>
      <c r="Q1599" s="253"/>
    </row>
    <row r="1600" spans="1:17">
      <c r="A1600" s="253"/>
      <c r="B1600" s="253"/>
      <c r="C1600" s="253"/>
      <c r="D1600" s="253"/>
      <c r="E1600" s="253"/>
      <c r="F1600" s="253"/>
      <c r="G1600" s="253"/>
      <c r="H1600" s="253"/>
      <c r="I1600" s="253"/>
      <c r="J1600" s="253"/>
      <c r="K1600" s="253"/>
      <c r="L1600" s="253"/>
      <c r="M1600" s="253"/>
      <c r="N1600" s="253"/>
      <c r="O1600" s="253"/>
      <c r="P1600" s="253"/>
      <c r="Q1600" s="253"/>
    </row>
    <row r="1601" spans="1:17">
      <c r="A1601" s="253"/>
      <c r="B1601" s="253"/>
      <c r="C1601" s="253"/>
      <c r="D1601" s="253"/>
      <c r="E1601" s="253"/>
      <c r="F1601" s="253"/>
      <c r="G1601" s="253"/>
      <c r="H1601" s="253"/>
      <c r="I1601" s="253"/>
      <c r="J1601" s="253"/>
      <c r="K1601" s="253"/>
      <c r="L1601" s="253"/>
      <c r="M1601" s="253"/>
      <c r="N1601" s="253"/>
      <c r="O1601" s="253"/>
      <c r="P1601" s="253"/>
      <c r="Q1601" s="253"/>
    </row>
    <row r="1602" spans="1:17">
      <c r="A1602" s="253"/>
      <c r="B1602" s="253"/>
      <c r="C1602" s="253"/>
      <c r="D1602" s="253"/>
      <c r="E1602" s="253"/>
      <c r="F1602" s="253"/>
      <c r="G1602" s="253"/>
      <c r="H1602" s="253"/>
      <c r="I1602" s="253"/>
      <c r="J1602" s="253"/>
      <c r="K1602" s="253"/>
      <c r="L1602" s="253"/>
      <c r="M1602" s="253"/>
      <c r="N1602" s="253"/>
      <c r="O1602" s="253"/>
      <c r="P1602" s="253"/>
      <c r="Q1602" s="253"/>
    </row>
    <row r="1603" spans="1:17">
      <c r="A1603" s="253"/>
      <c r="B1603" s="253"/>
      <c r="C1603" s="253"/>
      <c r="D1603" s="253"/>
      <c r="E1603" s="253"/>
      <c r="F1603" s="253"/>
      <c r="G1603" s="253"/>
      <c r="H1603" s="253"/>
      <c r="I1603" s="253"/>
      <c r="J1603" s="253"/>
      <c r="K1603" s="253"/>
      <c r="L1603" s="253"/>
      <c r="M1603" s="253"/>
      <c r="N1603" s="253"/>
      <c r="O1603" s="253"/>
      <c r="P1603" s="253"/>
      <c r="Q1603" s="253"/>
    </row>
    <row r="1604" spans="1:17">
      <c r="A1604" s="253"/>
      <c r="B1604" s="253"/>
      <c r="C1604" s="253"/>
      <c r="D1604" s="253"/>
      <c r="E1604" s="253"/>
      <c r="F1604" s="253"/>
      <c r="G1604" s="253"/>
      <c r="H1604" s="253"/>
      <c r="I1604" s="253"/>
      <c r="J1604" s="253"/>
      <c r="K1604" s="253"/>
      <c r="L1604" s="253"/>
      <c r="M1604" s="253"/>
      <c r="N1604" s="253"/>
      <c r="O1604" s="253"/>
      <c r="P1604" s="253"/>
      <c r="Q1604" s="253"/>
    </row>
    <row r="1605" spans="1:17">
      <c r="A1605" s="253"/>
      <c r="B1605" s="253"/>
      <c r="C1605" s="253"/>
      <c r="D1605" s="253"/>
      <c r="E1605" s="253"/>
      <c r="F1605" s="253"/>
      <c r="G1605" s="253"/>
      <c r="H1605" s="253"/>
      <c r="I1605" s="253"/>
      <c r="J1605" s="253"/>
      <c r="K1605" s="253"/>
      <c r="L1605" s="253"/>
      <c r="M1605" s="253"/>
      <c r="N1605" s="253"/>
      <c r="O1605" s="253"/>
      <c r="P1605" s="253"/>
      <c r="Q1605" s="253"/>
    </row>
    <row r="1606" spans="1:17">
      <c r="A1606" s="253"/>
      <c r="B1606" s="253"/>
      <c r="C1606" s="253"/>
      <c r="D1606" s="253"/>
      <c r="E1606" s="253"/>
      <c r="F1606" s="253"/>
      <c r="G1606" s="253"/>
      <c r="H1606" s="253"/>
      <c r="I1606" s="253"/>
      <c r="J1606" s="253"/>
      <c r="K1606" s="253"/>
      <c r="L1606" s="253"/>
      <c r="M1606" s="253"/>
      <c r="N1606" s="253"/>
      <c r="O1606" s="253"/>
      <c r="P1606" s="253"/>
      <c r="Q1606" s="253"/>
    </row>
    <row r="1607" spans="1:17">
      <c r="A1607" s="253"/>
      <c r="B1607" s="253"/>
      <c r="C1607" s="253"/>
      <c r="D1607" s="253"/>
      <c r="E1607" s="253"/>
      <c r="F1607" s="253"/>
      <c r="G1607" s="253"/>
      <c r="H1607" s="253"/>
      <c r="I1607" s="253"/>
      <c r="J1607" s="253"/>
      <c r="K1607" s="253"/>
      <c r="L1607" s="253"/>
      <c r="M1607" s="253"/>
      <c r="N1607" s="253"/>
      <c r="O1607" s="253"/>
      <c r="P1607" s="253"/>
      <c r="Q1607" s="253"/>
    </row>
    <row r="1608" spans="1:17">
      <c r="A1608" s="253"/>
      <c r="B1608" s="253"/>
      <c r="C1608" s="253"/>
      <c r="D1608" s="253"/>
      <c r="E1608" s="253"/>
      <c r="F1608" s="253"/>
      <c r="G1608" s="253"/>
      <c r="H1608" s="253"/>
      <c r="I1608" s="253"/>
      <c r="J1608" s="253"/>
      <c r="K1608" s="253"/>
      <c r="L1608" s="253"/>
      <c r="M1608" s="253"/>
      <c r="N1608" s="253"/>
      <c r="O1608" s="253"/>
      <c r="P1608" s="253"/>
      <c r="Q1608" s="253"/>
    </row>
    <row r="1609" spans="1:17">
      <c r="A1609" s="253"/>
      <c r="B1609" s="253"/>
      <c r="C1609" s="253"/>
      <c r="D1609" s="253"/>
      <c r="E1609" s="253"/>
      <c r="F1609" s="253"/>
      <c r="G1609" s="253"/>
      <c r="H1609" s="253"/>
      <c r="I1609" s="253"/>
      <c r="J1609" s="253"/>
      <c r="K1609" s="253"/>
      <c r="L1609" s="253"/>
      <c r="M1609" s="253"/>
      <c r="N1609" s="253"/>
      <c r="O1609" s="253"/>
      <c r="P1609" s="253"/>
      <c r="Q1609" s="253"/>
    </row>
    <row r="1610" spans="1:17">
      <c r="A1610" s="253"/>
      <c r="B1610" s="253"/>
      <c r="C1610" s="253"/>
      <c r="D1610" s="253"/>
      <c r="E1610" s="253"/>
      <c r="F1610" s="253"/>
      <c r="G1610" s="253"/>
      <c r="H1610" s="253"/>
      <c r="I1610" s="253"/>
      <c r="J1610" s="253"/>
      <c r="K1610" s="253"/>
      <c r="L1610" s="253"/>
      <c r="M1610" s="253"/>
      <c r="N1610" s="253"/>
      <c r="O1610" s="253"/>
      <c r="P1610" s="253"/>
      <c r="Q1610" s="253"/>
    </row>
    <row r="1611" spans="1:17">
      <c r="A1611" s="253"/>
      <c r="B1611" s="253"/>
      <c r="C1611" s="253"/>
      <c r="D1611" s="253"/>
      <c r="E1611" s="253"/>
      <c r="F1611" s="253"/>
      <c r="G1611" s="253"/>
      <c r="H1611" s="253"/>
      <c r="I1611" s="253"/>
      <c r="J1611" s="253"/>
      <c r="K1611" s="253"/>
      <c r="L1611" s="253"/>
      <c r="M1611" s="253"/>
      <c r="N1611" s="253"/>
      <c r="O1611" s="253"/>
      <c r="P1611" s="253"/>
      <c r="Q1611" s="253"/>
    </row>
    <row r="1612" spans="1:17">
      <c r="A1612" s="253"/>
      <c r="B1612" s="253"/>
      <c r="C1612" s="253"/>
      <c r="D1612" s="253"/>
      <c r="E1612" s="253"/>
      <c r="F1612" s="253"/>
      <c r="G1612" s="253"/>
      <c r="H1612" s="253"/>
      <c r="I1612" s="253"/>
      <c r="J1612" s="253"/>
      <c r="K1612" s="253"/>
      <c r="L1612" s="253"/>
      <c r="M1612" s="253"/>
      <c r="N1612" s="253"/>
      <c r="O1612" s="253"/>
      <c r="P1612" s="253"/>
      <c r="Q1612" s="253"/>
    </row>
    <row r="1613" spans="1:17">
      <c r="A1613" s="253"/>
      <c r="B1613" s="253"/>
      <c r="C1613" s="253"/>
      <c r="D1613" s="253"/>
      <c r="E1613" s="253"/>
      <c r="F1613" s="253"/>
      <c r="G1613" s="253"/>
      <c r="H1613" s="253"/>
      <c r="I1613" s="253"/>
      <c r="J1613" s="253"/>
      <c r="K1613" s="253"/>
      <c r="L1613" s="253"/>
      <c r="M1613" s="253"/>
      <c r="N1613" s="253"/>
      <c r="O1613" s="253"/>
      <c r="P1613" s="253"/>
      <c r="Q1613" s="253"/>
    </row>
    <row r="1614" spans="1:17">
      <c r="A1614" s="253"/>
      <c r="B1614" s="253"/>
      <c r="C1614" s="253"/>
      <c r="D1614" s="253"/>
      <c r="E1614" s="253"/>
      <c r="F1614" s="253"/>
      <c r="G1614" s="253"/>
      <c r="H1614" s="253"/>
      <c r="I1614" s="253"/>
      <c r="J1614" s="253"/>
      <c r="K1614" s="253"/>
      <c r="L1614" s="253"/>
      <c r="M1614" s="253"/>
      <c r="N1614" s="253"/>
      <c r="O1614" s="253"/>
      <c r="P1614" s="253"/>
      <c r="Q1614" s="253"/>
    </row>
    <row r="1615" spans="1:17">
      <c r="A1615" s="253"/>
      <c r="B1615" s="253"/>
      <c r="C1615" s="253"/>
      <c r="D1615" s="253"/>
      <c r="E1615" s="253"/>
      <c r="F1615" s="253"/>
      <c r="G1615" s="253"/>
      <c r="H1615" s="253"/>
      <c r="I1615" s="253"/>
      <c r="J1615" s="253"/>
      <c r="K1615" s="253"/>
      <c r="L1615" s="253"/>
      <c r="M1615" s="253"/>
      <c r="N1615" s="253"/>
      <c r="O1615" s="253"/>
      <c r="P1615" s="253"/>
      <c r="Q1615" s="253"/>
    </row>
    <row r="1616" spans="1:17">
      <c r="A1616" s="253"/>
      <c r="B1616" s="253"/>
      <c r="C1616" s="253"/>
      <c r="D1616" s="253"/>
      <c r="E1616" s="253"/>
      <c r="F1616" s="253"/>
      <c r="G1616" s="253"/>
      <c r="H1616" s="253"/>
      <c r="I1616" s="253"/>
      <c r="J1616" s="253"/>
      <c r="K1616" s="253"/>
      <c r="L1616" s="253"/>
      <c r="M1616" s="253"/>
      <c r="N1616" s="253"/>
      <c r="O1616" s="253"/>
      <c r="P1616" s="253"/>
      <c r="Q1616" s="253"/>
    </row>
    <row r="1617" spans="1:17">
      <c r="A1617" s="253"/>
      <c r="B1617" s="253"/>
      <c r="C1617" s="253"/>
      <c r="D1617" s="253"/>
      <c r="E1617" s="253"/>
      <c r="F1617" s="253"/>
      <c r="G1617" s="253"/>
      <c r="H1617" s="253"/>
      <c r="I1617" s="253"/>
      <c r="J1617" s="253"/>
      <c r="K1617" s="253"/>
      <c r="L1617" s="253"/>
      <c r="M1617" s="253"/>
      <c r="N1617" s="253"/>
      <c r="O1617" s="253"/>
      <c r="P1617" s="253"/>
      <c r="Q1617" s="253"/>
    </row>
    <row r="1618" spans="1:17">
      <c r="A1618" s="253"/>
      <c r="B1618" s="253"/>
      <c r="C1618" s="253"/>
      <c r="D1618" s="253"/>
      <c r="E1618" s="253"/>
      <c r="F1618" s="253"/>
      <c r="G1618" s="253"/>
      <c r="H1618" s="253"/>
      <c r="I1618" s="253"/>
      <c r="J1618" s="253"/>
      <c r="K1618" s="253"/>
      <c r="L1618" s="253"/>
      <c r="M1618" s="253"/>
      <c r="N1618" s="253"/>
      <c r="O1618" s="253"/>
      <c r="P1618" s="253"/>
      <c r="Q1618" s="253"/>
    </row>
    <row r="1619" spans="1:17">
      <c r="A1619" s="253"/>
      <c r="B1619" s="253"/>
      <c r="C1619" s="253"/>
      <c r="D1619" s="253"/>
      <c r="E1619" s="253"/>
      <c r="F1619" s="253"/>
      <c r="G1619" s="253"/>
      <c r="H1619" s="253"/>
      <c r="I1619" s="253"/>
      <c r="J1619" s="253"/>
      <c r="K1619" s="253"/>
      <c r="L1619" s="253"/>
      <c r="M1619" s="253"/>
      <c r="N1619" s="253"/>
      <c r="O1619" s="253"/>
      <c r="P1619" s="253"/>
      <c r="Q1619" s="253"/>
    </row>
    <row r="1620" spans="1:17">
      <c r="A1620" s="253"/>
      <c r="B1620" s="253"/>
      <c r="C1620" s="253"/>
      <c r="D1620" s="253"/>
      <c r="E1620" s="253"/>
      <c r="F1620" s="253"/>
      <c r="G1620" s="253"/>
      <c r="H1620" s="253"/>
      <c r="I1620" s="253"/>
      <c r="J1620" s="253"/>
      <c r="K1620" s="253"/>
      <c r="L1620" s="253"/>
      <c r="M1620" s="253"/>
      <c r="N1620" s="253"/>
      <c r="O1620" s="253"/>
      <c r="P1620" s="253"/>
      <c r="Q1620" s="253"/>
    </row>
    <row r="1621" spans="1:17">
      <c r="A1621" s="253"/>
      <c r="B1621" s="253"/>
      <c r="C1621" s="253"/>
      <c r="D1621" s="253"/>
      <c r="E1621" s="253"/>
      <c r="F1621" s="253"/>
      <c r="G1621" s="253"/>
      <c r="H1621" s="253"/>
      <c r="I1621" s="253"/>
      <c r="J1621" s="253"/>
      <c r="K1621" s="253"/>
      <c r="L1621" s="253"/>
      <c r="M1621" s="253"/>
      <c r="N1621" s="253"/>
      <c r="O1621" s="253"/>
      <c r="P1621" s="253"/>
      <c r="Q1621" s="253"/>
    </row>
    <row r="1622" spans="1:17">
      <c r="A1622" s="253"/>
      <c r="B1622" s="253"/>
      <c r="C1622" s="253"/>
      <c r="D1622" s="253"/>
      <c r="E1622" s="253"/>
      <c r="F1622" s="253"/>
      <c r="G1622" s="253"/>
      <c r="H1622" s="253"/>
      <c r="I1622" s="253"/>
      <c r="J1622" s="253"/>
      <c r="K1622" s="253"/>
      <c r="L1622" s="253"/>
      <c r="M1622" s="253"/>
      <c r="N1622" s="253"/>
      <c r="O1622" s="253"/>
      <c r="P1622" s="253"/>
      <c r="Q1622" s="253"/>
    </row>
    <row r="1623" spans="1:17">
      <c r="A1623" s="253"/>
      <c r="B1623" s="253"/>
      <c r="C1623" s="253"/>
      <c r="D1623" s="253"/>
      <c r="E1623" s="253"/>
      <c r="F1623" s="253"/>
      <c r="G1623" s="253"/>
      <c r="H1623" s="253"/>
      <c r="I1623" s="253"/>
      <c r="J1623" s="253"/>
      <c r="K1623" s="253"/>
      <c r="L1623" s="253"/>
      <c r="M1623" s="253"/>
      <c r="N1623" s="253"/>
      <c r="O1623" s="253"/>
      <c r="P1623" s="253"/>
      <c r="Q1623" s="253"/>
    </row>
    <row r="1624" spans="1:17">
      <c r="A1624" s="253"/>
      <c r="B1624" s="253"/>
      <c r="C1624" s="253"/>
      <c r="D1624" s="253"/>
      <c r="E1624" s="253"/>
      <c r="F1624" s="253"/>
      <c r="G1624" s="253"/>
      <c r="H1624" s="253"/>
      <c r="I1624" s="253"/>
      <c r="J1624" s="253"/>
      <c r="K1624" s="253"/>
      <c r="L1624" s="253"/>
      <c r="M1624" s="253"/>
      <c r="N1624" s="253"/>
      <c r="O1624" s="253"/>
      <c r="P1624" s="253"/>
      <c r="Q1624" s="253"/>
    </row>
    <row r="1625" spans="1:17">
      <c r="A1625" s="253"/>
      <c r="B1625" s="253"/>
      <c r="C1625" s="253"/>
      <c r="D1625" s="253"/>
      <c r="E1625" s="253"/>
      <c r="F1625" s="253"/>
      <c r="G1625" s="253"/>
      <c r="H1625" s="253"/>
      <c r="I1625" s="253"/>
      <c r="J1625" s="253"/>
      <c r="K1625" s="253"/>
      <c r="L1625" s="253"/>
      <c r="M1625" s="253"/>
      <c r="N1625" s="253"/>
      <c r="O1625" s="253"/>
      <c r="P1625" s="253"/>
      <c r="Q1625" s="253"/>
    </row>
    <row r="1626" spans="1:17">
      <c r="A1626" s="253"/>
      <c r="B1626" s="253"/>
      <c r="C1626" s="253"/>
      <c r="D1626" s="253"/>
      <c r="E1626" s="253"/>
      <c r="F1626" s="253"/>
      <c r="G1626" s="253"/>
      <c r="H1626" s="253"/>
      <c r="I1626" s="253"/>
      <c r="J1626" s="253"/>
      <c r="K1626" s="253"/>
      <c r="L1626" s="253"/>
      <c r="M1626" s="253"/>
      <c r="N1626" s="253"/>
      <c r="O1626" s="253"/>
      <c r="P1626" s="253"/>
      <c r="Q1626" s="253"/>
    </row>
    <row r="1627" spans="1:17">
      <c r="A1627" s="253"/>
      <c r="B1627" s="253"/>
      <c r="C1627" s="253"/>
      <c r="D1627" s="253"/>
      <c r="E1627" s="253"/>
      <c r="F1627" s="253"/>
      <c r="G1627" s="253"/>
      <c r="H1627" s="253"/>
      <c r="I1627" s="253"/>
      <c r="J1627" s="253"/>
      <c r="K1627" s="253"/>
      <c r="L1627" s="253"/>
      <c r="M1627" s="253"/>
      <c r="N1627" s="253"/>
      <c r="O1627" s="253"/>
      <c r="P1627" s="253"/>
      <c r="Q1627" s="253"/>
    </row>
    <row r="1628" spans="1:17">
      <c r="A1628" s="253"/>
      <c r="B1628" s="253"/>
      <c r="C1628" s="253"/>
      <c r="D1628" s="253"/>
      <c r="E1628" s="253"/>
      <c r="F1628" s="253"/>
      <c r="G1628" s="253"/>
      <c r="H1628" s="253"/>
      <c r="I1628" s="253"/>
      <c r="J1628" s="253"/>
      <c r="K1628" s="253"/>
      <c r="L1628" s="253"/>
      <c r="M1628" s="253"/>
      <c r="N1628" s="253"/>
      <c r="O1628" s="253"/>
      <c r="P1628" s="253"/>
      <c r="Q1628" s="253"/>
    </row>
    <row r="1629" spans="1:17">
      <c r="A1629" s="253"/>
      <c r="B1629" s="253"/>
      <c r="C1629" s="253"/>
      <c r="D1629" s="253"/>
      <c r="E1629" s="253"/>
      <c r="F1629" s="253"/>
      <c r="G1629" s="253"/>
      <c r="H1629" s="253"/>
      <c r="I1629" s="253"/>
      <c r="J1629" s="253"/>
      <c r="K1629" s="253"/>
      <c r="L1629" s="253"/>
      <c r="M1629" s="253"/>
      <c r="N1629" s="253"/>
      <c r="O1629" s="253"/>
      <c r="P1629" s="253"/>
      <c r="Q1629" s="253"/>
    </row>
    <row r="1630" spans="1:17">
      <c r="A1630" s="253"/>
      <c r="B1630" s="253"/>
      <c r="C1630" s="253"/>
      <c r="D1630" s="253"/>
      <c r="E1630" s="253"/>
      <c r="F1630" s="253"/>
      <c r="G1630" s="253"/>
      <c r="H1630" s="253"/>
      <c r="I1630" s="253"/>
      <c r="J1630" s="253"/>
      <c r="K1630" s="253"/>
      <c r="L1630" s="253"/>
      <c r="M1630" s="253"/>
      <c r="N1630" s="253"/>
      <c r="O1630" s="253"/>
      <c r="P1630" s="253"/>
      <c r="Q1630" s="253"/>
    </row>
    <row r="1631" spans="1:17">
      <c r="A1631" s="253"/>
      <c r="B1631" s="253"/>
      <c r="C1631" s="253"/>
      <c r="D1631" s="253"/>
      <c r="E1631" s="253"/>
      <c r="F1631" s="253"/>
      <c r="G1631" s="253"/>
      <c r="H1631" s="253"/>
      <c r="I1631" s="253"/>
      <c r="J1631" s="253"/>
      <c r="K1631" s="253"/>
      <c r="L1631" s="253"/>
      <c r="M1631" s="253"/>
      <c r="N1631" s="253"/>
      <c r="O1631" s="253"/>
      <c r="P1631" s="253"/>
      <c r="Q1631" s="253"/>
    </row>
    <row r="1632" spans="1:17">
      <c r="A1632" s="253"/>
      <c r="B1632" s="253"/>
      <c r="C1632" s="253"/>
      <c r="D1632" s="253"/>
      <c r="E1632" s="253"/>
      <c r="F1632" s="253"/>
      <c r="G1632" s="253"/>
      <c r="H1632" s="253"/>
      <c r="I1632" s="253"/>
      <c r="J1632" s="253"/>
      <c r="K1632" s="253"/>
      <c r="L1632" s="253"/>
      <c r="M1632" s="253"/>
      <c r="N1632" s="253"/>
      <c r="O1632" s="253"/>
      <c r="P1632" s="253"/>
      <c r="Q1632" s="253"/>
    </row>
    <row r="1633" spans="1:17">
      <c r="A1633" s="253"/>
      <c r="B1633" s="253"/>
      <c r="C1633" s="253"/>
      <c r="D1633" s="253"/>
      <c r="E1633" s="253"/>
      <c r="F1633" s="253"/>
      <c r="G1633" s="253"/>
      <c r="H1633" s="253"/>
      <c r="I1633" s="253"/>
      <c r="J1633" s="253"/>
      <c r="K1633" s="253"/>
      <c r="L1633" s="253"/>
      <c r="M1633" s="253"/>
      <c r="N1633" s="253"/>
      <c r="O1633" s="253"/>
      <c r="P1633" s="253"/>
      <c r="Q1633" s="253"/>
    </row>
    <row r="1634" spans="1:17">
      <c r="A1634" s="253"/>
      <c r="B1634" s="253"/>
      <c r="C1634" s="253"/>
      <c r="D1634" s="253"/>
      <c r="E1634" s="253"/>
      <c r="F1634" s="253"/>
      <c r="G1634" s="253"/>
      <c r="H1634" s="253"/>
      <c r="I1634" s="253"/>
      <c r="J1634" s="253"/>
      <c r="K1634" s="253"/>
      <c r="L1634" s="253"/>
      <c r="M1634" s="253"/>
      <c r="N1634" s="253"/>
      <c r="O1634" s="253"/>
      <c r="P1634" s="253"/>
      <c r="Q1634" s="253"/>
    </row>
    <row r="1635" spans="1:17">
      <c r="A1635" s="253"/>
      <c r="B1635" s="253"/>
      <c r="C1635" s="253"/>
      <c r="D1635" s="253"/>
      <c r="E1635" s="253"/>
      <c r="F1635" s="253"/>
      <c r="G1635" s="253"/>
      <c r="H1635" s="253"/>
      <c r="I1635" s="253"/>
      <c r="J1635" s="253"/>
      <c r="K1635" s="253"/>
      <c r="L1635" s="253"/>
      <c r="M1635" s="253"/>
      <c r="N1635" s="253"/>
      <c r="O1635" s="253"/>
      <c r="P1635" s="253"/>
      <c r="Q1635" s="253"/>
    </row>
    <row r="1636" spans="1:17">
      <c r="A1636" s="253"/>
      <c r="B1636" s="253"/>
      <c r="C1636" s="253"/>
      <c r="D1636" s="253"/>
      <c r="E1636" s="253"/>
      <c r="F1636" s="253"/>
      <c r="G1636" s="253"/>
      <c r="H1636" s="253"/>
      <c r="I1636" s="253"/>
      <c r="J1636" s="253"/>
      <c r="K1636" s="253"/>
      <c r="L1636" s="253"/>
      <c r="M1636" s="253"/>
      <c r="N1636" s="253"/>
      <c r="O1636" s="253"/>
      <c r="P1636" s="253"/>
      <c r="Q1636" s="253"/>
    </row>
    <row r="1637" spans="1:17">
      <c r="A1637" s="253"/>
      <c r="B1637" s="253"/>
      <c r="C1637" s="253"/>
      <c r="D1637" s="253"/>
      <c r="E1637" s="253"/>
      <c r="F1637" s="253"/>
      <c r="G1637" s="253"/>
      <c r="H1637" s="253"/>
      <c r="I1637" s="253"/>
      <c r="J1637" s="253"/>
      <c r="K1637" s="253"/>
      <c r="L1637" s="253"/>
      <c r="M1637" s="253"/>
      <c r="N1637" s="253"/>
      <c r="O1637" s="253"/>
      <c r="P1637" s="253"/>
      <c r="Q1637" s="253"/>
    </row>
    <row r="1638" spans="1:17">
      <c r="A1638" s="253"/>
      <c r="B1638" s="253"/>
      <c r="C1638" s="253"/>
      <c r="D1638" s="253"/>
      <c r="E1638" s="253"/>
      <c r="F1638" s="253"/>
      <c r="G1638" s="253"/>
      <c r="H1638" s="253"/>
      <c r="I1638" s="253"/>
      <c r="J1638" s="253"/>
      <c r="K1638" s="253"/>
      <c r="L1638" s="253"/>
      <c r="M1638" s="253"/>
      <c r="N1638" s="253"/>
      <c r="O1638" s="253"/>
      <c r="P1638" s="253"/>
      <c r="Q1638" s="253"/>
    </row>
    <row r="1639" spans="1:17">
      <c r="A1639" s="253"/>
      <c r="B1639" s="253"/>
      <c r="C1639" s="253"/>
      <c r="D1639" s="253"/>
      <c r="E1639" s="253"/>
      <c r="F1639" s="253"/>
      <c r="G1639" s="253"/>
      <c r="H1639" s="253"/>
      <c r="I1639" s="253"/>
      <c r="J1639" s="253"/>
      <c r="K1639" s="253"/>
      <c r="L1639" s="253"/>
      <c r="M1639" s="253"/>
      <c r="N1639" s="253"/>
      <c r="O1639" s="253"/>
      <c r="P1639" s="253"/>
      <c r="Q1639" s="253"/>
    </row>
    <row r="1640" spans="1:17">
      <c r="A1640" s="253"/>
      <c r="B1640" s="253"/>
      <c r="C1640" s="253"/>
      <c r="D1640" s="253"/>
      <c r="E1640" s="253"/>
      <c r="F1640" s="253"/>
      <c r="G1640" s="253"/>
      <c r="H1640" s="253"/>
      <c r="I1640" s="253"/>
      <c r="J1640" s="253"/>
      <c r="K1640" s="253"/>
      <c r="L1640" s="253"/>
      <c r="M1640" s="253"/>
      <c r="N1640" s="253"/>
      <c r="O1640" s="253"/>
      <c r="P1640" s="253"/>
      <c r="Q1640" s="253"/>
    </row>
    <row r="1641" spans="1:17">
      <c r="A1641" s="253"/>
      <c r="B1641" s="253"/>
      <c r="C1641" s="253"/>
      <c r="D1641" s="253"/>
      <c r="E1641" s="253"/>
      <c r="F1641" s="253"/>
      <c r="G1641" s="253"/>
      <c r="H1641" s="253"/>
      <c r="I1641" s="253"/>
      <c r="J1641" s="253"/>
      <c r="K1641" s="253"/>
      <c r="L1641" s="253"/>
      <c r="M1641" s="253"/>
      <c r="N1641" s="253"/>
      <c r="O1641" s="253"/>
      <c r="P1641" s="253"/>
      <c r="Q1641" s="253"/>
    </row>
    <row r="1642" spans="1:17">
      <c r="A1642" s="253"/>
      <c r="B1642" s="253"/>
      <c r="C1642" s="253"/>
      <c r="D1642" s="253"/>
      <c r="E1642" s="253"/>
      <c r="F1642" s="253"/>
      <c r="G1642" s="253"/>
      <c r="H1642" s="253"/>
      <c r="I1642" s="253"/>
      <c r="J1642" s="253"/>
      <c r="K1642" s="253"/>
      <c r="L1642" s="253"/>
      <c r="M1642" s="253"/>
      <c r="N1642" s="253"/>
      <c r="O1642" s="253"/>
      <c r="P1642" s="253"/>
      <c r="Q1642" s="253"/>
    </row>
    <row r="1643" spans="1:17">
      <c r="A1643" s="253"/>
      <c r="B1643" s="253"/>
      <c r="C1643" s="253"/>
      <c r="D1643" s="253"/>
      <c r="E1643" s="253"/>
      <c r="F1643" s="253"/>
      <c r="G1643" s="253"/>
      <c r="H1643" s="253"/>
      <c r="I1643" s="253"/>
      <c r="J1643" s="253"/>
      <c r="K1643" s="253"/>
      <c r="L1643" s="253"/>
      <c r="M1643" s="253"/>
      <c r="N1643" s="253"/>
      <c r="O1643" s="253"/>
      <c r="P1643" s="253"/>
      <c r="Q1643" s="253"/>
    </row>
    <row r="1644" spans="1:17">
      <c r="A1644" s="253"/>
      <c r="B1644" s="253"/>
      <c r="C1644" s="253"/>
      <c r="D1644" s="253"/>
      <c r="E1644" s="253"/>
      <c r="F1644" s="253"/>
      <c r="G1644" s="253"/>
      <c r="H1644" s="253"/>
      <c r="I1644" s="253"/>
      <c r="J1644" s="253"/>
      <c r="K1644" s="253"/>
      <c r="L1644" s="253"/>
      <c r="M1644" s="253"/>
      <c r="N1644" s="253"/>
      <c r="O1644" s="253"/>
      <c r="P1644" s="253"/>
      <c r="Q1644" s="253"/>
    </row>
    <row r="1645" spans="1:17">
      <c r="A1645" s="253"/>
      <c r="B1645" s="253"/>
      <c r="C1645" s="253"/>
      <c r="D1645" s="253"/>
      <c r="E1645" s="253"/>
      <c r="F1645" s="253"/>
      <c r="G1645" s="253"/>
      <c r="H1645" s="253"/>
      <c r="I1645" s="253"/>
      <c r="J1645" s="253"/>
      <c r="K1645" s="253"/>
      <c r="L1645" s="253"/>
      <c r="M1645" s="253"/>
      <c r="N1645" s="253"/>
      <c r="O1645" s="253"/>
      <c r="P1645" s="253"/>
      <c r="Q1645" s="253"/>
    </row>
    <row r="1646" spans="1:17">
      <c r="A1646" s="253"/>
      <c r="B1646" s="253"/>
      <c r="C1646" s="253"/>
      <c r="D1646" s="253"/>
      <c r="E1646" s="253"/>
      <c r="F1646" s="253"/>
      <c r="G1646" s="253"/>
      <c r="H1646" s="253"/>
      <c r="I1646" s="253"/>
      <c r="J1646" s="253"/>
      <c r="K1646" s="253"/>
      <c r="L1646" s="253"/>
      <c r="M1646" s="253"/>
      <c r="N1646" s="253"/>
      <c r="O1646" s="253"/>
      <c r="P1646" s="253"/>
      <c r="Q1646" s="253"/>
    </row>
    <row r="1647" spans="1:17">
      <c r="A1647" s="253"/>
      <c r="B1647" s="253"/>
      <c r="C1647" s="253"/>
      <c r="D1647" s="253"/>
      <c r="E1647" s="253"/>
      <c r="F1647" s="253"/>
      <c r="G1647" s="253"/>
      <c r="H1647" s="253"/>
      <c r="I1647" s="253"/>
      <c r="J1647" s="253"/>
      <c r="K1647" s="253"/>
      <c r="L1647" s="253"/>
      <c r="M1647" s="253"/>
      <c r="N1647" s="253"/>
      <c r="O1647" s="253"/>
      <c r="P1647" s="253"/>
      <c r="Q1647" s="253"/>
    </row>
    <row r="1648" spans="1:17">
      <c r="A1648" s="253"/>
      <c r="B1648" s="253"/>
      <c r="C1648" s="253"/>
      <c r="D1648" s="253"/>
      <c r="E1648" s="253"/>
      <c r="F1648" s="253"/>
      <c r="G1648" s="253"/>
      <c r="H1648" s="253"/>
      <c r="I1648" s="253"/>
      <c r="J1648" s="253"/>
      <c r="K1648" s="253"/>
      <c r="L1648" s="253"/>
      <c r="M1648" s="253"/>
      <c r="N1648" s="253"/>
      <c r="O1648" s="253"/>
      <c r="P1648" s="253"/>
      <c r="Q1648" s="253"/>
    </row>
    <row r="1649" spans="1:17">
      <c r="A1649" s="253"/>
      <c r="B1649" s="253"/>
      <c r="C1649" s="253"/>
      <c r="D1649" s="253"/>
      <c r="E1649" s="253"/>
      <c r="F1649" s="253"/>
      <c r="G1649" s="253"/>
      <c r="H1649" s="253"/>
      <c r="I1649" s="253"/>
      <c r="J1649" s="253"/>
      <c r="K1649" s="253"/>
      <c r="L1649" s="253"/>
      <c r="M1649" s="253"/>
      <c r="N1649" s="253"/>
      <c r="O1649" s="253"/>
      <c r="P1649" s="253"/>
      <c r="Q1649" s="253"/>
    </row>
    <row r="1650" spans="1:17">
      <c r="A1650" s="253"/>
      <c r="B1650" s="253"/>
      <c r="C1650" s="253"/>
      <c r="D1650" s="253"/>
      <c r="E1650" s="253"/>
      <c r="F1650" s="253"/>
      <c r="G1650" s="253"/>
      <c r="H1650" s="253"/>
      <c r="I1650" s="253"/>
      <c r="J1650" s="253"/>
      <c r="K1650" s="253"/>
      <c r="L1650" s="253"/>
      <c r="M1650" s="253"/>
      <c r="N1650" s="253"/>
      <c r="O1650" s="253"/>
      <c r="P1650" s="253"/>
      <c r="Q1650" s="253"/>
    </row>
    <row r="1651" spans="1:17">
      <c r="A1651" s="253"/>
      <c r="B1651" s="253"/>
      <c r="C1651" s="253"/>
      <c r="D1651" s="253"/>
      <c r="E1651" s="253"/>
      <c r="F1651" s="253"/>
      <c r="G1651" s="253"/>
      <c r="H1651" s="253"/>
      <c r="I1651" s="253"/>
      <c r="J1651" s="253"/>
      <c r="K1651" s="253"/>
      <c r="L1651" s="253"/>
      <c r="M1651" s="253"/>
      <c r="N1651" s="253"/>
      <c r="O1651" s="253"/>
      <c r="P1651" s="253"/>
      <c r="Q1651" s="253"/>
    </row>
    <row r="1652" spans="1:17">
      <c r="A1652" s="253"/>
      <c r="B1652" s="253"/>
      <c r="C1652" s="253"/>
      <c r="D1652" s="253"/>
      <c r="E1652" s="253"/>
      <c r="F1652" s="253"/>
      <c r="G1652" s="253"/>
      <c r="H1652" s="253"/>
      <c r="I1652" s="253"/>
      <c r="J1652" s="253"/>
      <c r="K1652" s="253"/>
      <c r="L1652" s="253"/>
      <c r="M1652" s="253"/>
      <c r="N1652" s="253"/>
      <c r="O1652" s="253"/>
      <c r="P1652" s="253"/>
      <c r="Q1652" s="253"/>
    </row>
    <row r="1653" spans="1:17">
      <c r="A1653" s="253"/>
      <c r="B1653" s="253"/>
      <c r="C1653" s="253"/>
      <c r="D1653" s="253"/>
      <c r="E1653" s="253"/>
      <c r="F1653" s="253"/>
      <c r="G1653" s="253"/>
      <c r="H1653" s="253"/>
      <c r="I1653" s="253"/>
      <c r="J1653" s="253"/>
      <c r="K1653" s="253"/>
      <c r="L1653" s="253"/>
      <c r="M1653" s="253"/>
      <c r="N1653" s="253"/>
      <c r="O1653" s="253"/>
      <c r="P1653" s="253"/>
      <c r="Q1653" s="253"/>
    </row>
    <row r="1654" spans="1:17">
      <c r="A1654" s="253"/>
      <c r="B1654" s="253"/>
      <c r="C1654" s="253"/>
      <c r="D1654" s="253"/>
      <c r="E1654" s="253"/>
      <c r="F1654" s="253"/>
      <c r="G1654" s="253"/>
      <c r="H1654" s="253"/>
      <c r="I1654" s="253"/>
      <c r="J1654" s="253"/>
      <c r="K1654" s="253"/>
      <c r="L1654" s="253"/>
      <c r="M1654" s="253"/>
      <c r="N1654" s="253"/>
      <c r="O1654" s="253"/>
      <c r="P1654" s="253"/>
      <c r="Q1654" s="253"/>
    </row>
    <row r="1655" spans="1:17">
      <c r="A1655" s="253"/>
      <c r="B1655" s="253"/>
      <c r="C1655" s="253"/>
      <c r="D1655" s="253"/>
      <c r="E1655" s="253"/>
      <c r="F1655" s="253"/>
      <c r="G1655" s="253"/>
      <c r="H1655" s="253"/>
      <c r="I1655" s="253"/>
      <c r="J1655" s="253"/>
      <c r="K1655" s="253"/>
      <c r="L1655" s="253"/>
      <c r="M1655" s="253"/>
      <c r="N1655" s="253"/>
      <c r="O1655" s="253"/>
      <c r="P1655" s="253"/>
      <c r="Q1655" s="253"/>
    </row>
    <row r="1656" spans="1:17">
      <c r="A1656" s="253"/>
      <c r="B1656" s="253"/>
      <c r="C1656" s="253"/>
      <c r="D1656" s="253"/>
      <c r="E1656" s="253"/>
      <c r="F1656" s="253"/>
      <c r="G1656" s="253"/>
      <c r="H1656" s="253"/>
      <c r="I1656" s="253"/>
      <c r="J1656" s="253"/>
      <c r="K1656" s="253"/>
      <c r="L1656" s="253"/>
      <c r="M1656" s="253"/>
      <c r="N1656" s="253"/>
      <c r="O1656" s="253"/>
      <c r="P1656" s="253"/>
      <c r="Q1656" s="253"/>
    </row>
    <row r="1657" spans="1:17">
      <c r="A1657" s="253"/>
      <c r="B1657" s="253"/>
      <c r="C1657" s="253"/>
      <c r="D1657" s="253"/>
      <c r="E1657" s="253"/>
      <c r="F1657" s="253"/>
      <c r="G1657" s="253"/>
      <c r="H1657" s="253"/>
      <c r="I1657" s="253"/>
      <c r="J1657" s="253"/>
      <c r="K1657" s="253"/>
      <c r="L1657" s="253"/>
      <c r="M1657" s="253"/>
      <c r="N1657" s="253"/>
      <c r="O1657" s="253"/>
      <c r="P1657" s="253"/>
      <c r="Q1657" s="253"/>
    </row>
    <row r="1658" spans="1:17">
      <c r="A1658" s="253"/>
      <c r="B1658" s="253"/>
      <c r="C1658" s="253"/>
      <c r="D1658" s="253"/>
      <c r="E1658" s="253"/>
      <c r="F1658" s="253"/>
      <c r="G1658" s="253"/>
      <c r="H1658" s="253"/>
      <c r="I1658" s="253"/>
      <c r="J1658" s="253"/>
      <c r="K1658" s="253"/>
      <c r="L1658" s="253"/>
      <c r="M1658" s="253"/>
      <c r="N1658" s="253"/>
      <c r="O1658" s="253"/>
      <c r="P1658" s="253"/>
      <c r="Q1658" s="253"/>
    </row>
    <row r="1659" spans="1:17">
      <c r="A1659" s="253"/>
      <c r="B1659" s="253"/>
      <c r="C1659" s="253"/>
      <c r="D1659" s="253"/>
      <c r="E1659" s="253"/>
      <c r="F1659" s="253"/>
      <c r="G1659" s="253"/>
      <c r="H1659" s="253"/>
      <c r="I1659" s="253"/>
      <c r="J1659" s="253"/>
      <c r="K1659" s="253"/>
      <c r="L1659" s="253"/>
      <c r="M1659" s="253"/>
      <c r="N1659" s="253"/>
      <c r="O1659" s="253"/>
      <c r="P1659" s="253"/>
      <c r="Q1659" s="253"/>
    </row>
    <row r="1660" spans="1:17">
      <c r="A1660" s="253"/>
      <c r="B1660" s="253"/>
      <c r="C1660" s="253"/>
      <c r="D1660" s="253"/>
      <c r="E1660" s="253"/>
      <c r="F1660" s="253"/>
      <c r="G1660" s="253"/>
      <c r="H1660" s="253"/>
      <c r="I1660" s="253"/>
      <c r="J1660" s="253"/>
      <c r="K1660" s="253"/>
      <c r="L1660" s="253"/>
      <c r="M1660" s="253"/>
      <c r="N1660" s="253"/>
      <c r="O1660" s="253"/>
      <c r="P1660" s="253"/>
      <c r="Q1660" s="253"/>
    </row>
    <row r="1661" spans="1:17">
      <c r="A1661" s="253"/>
      <c r="B1661" s="253"/>
      <c r="C1661" s="253"/>
      <c r="D1661" s="253"/>
      <c r="E1661" s="253"/>
      <c r="F1661" s="253"/>
      <c r="G1661" s="253"/>
      <c r="H1661" s="253"/>
      <c r="I1661" s="253"/>
      <c r="J1661" s="253"/>
      <c r="K1661" s="253"/>
      <c r="L1661" s="253"/>
      <c r="M1661" s="253"/>
      <c r="N1661" s="253"/>
      <c r="O1661" s="253"/>
      <c r="P1661" s="253"/>
      <c r="Q1661" s="253"/>
    </row>
    <row r="1662" spans="1:17">
      <c r="A1662" s="253"/>
      <c r="B1662" s="253"/>
      <c r="C1662" s="253"/>
      <c r="D1662" s="253"/>
      <c r="E1662" s="253"/>
      <c r="F1662" s="253"/>
      <c r="G1662" s="253"/>
      <c r="H1662" s="253"/>
      <c r="I1662" s="253"/>
      <c r="J1662" s="253"/>
      <c r="K1662" s="253"/>
      <c r="L1662" s="253"/>
      <c r="M1662" s="253"/>
      <c r="N1662" s="253"/>
      <c r="O1662" s="253"/>
      <c r="P1662" s="253"/>
      <c r="Q1662" s="253"/>
    </row>
    <row r="1663" spans="1:17">
      <c r="A1663" s="253"/>
      <c r="B1663" s="253"/>
      <c r="C1663" s="253"/>
      <c r="D1663" s="253"/>
      <c r="E1663" s="253"/>
      <c r="F1663" s="253"/>
      <c r="G1663" s="253"/>
      <c r="H1663" s="253"/>
      <c r="I1663" s="253"/>
      <c r="J1663" s="253"/>
      <c r="K1663" s="253"/>
      <c r="L1663" s="253"/>
      <c r="M1663" s="253"/>
      <c r="N1663" s="253"/>
      <c r="O1663" s="253"/>
      <c r="P1663" s="253"/>
      <c r="Q1663" s="253"/>
    </row>
    <row r="1664" spans="1:17">
      <c r="A1664" s="253"/>
      <c r="B1664" s="253"/>
      <c r="C1664" s="253"/>
      <c r="D1664" s="253"/>
      <c r="E1664" s="253"/>
      <c r="F1664" s="253"/>
      <c r="G1664" s="253"/>
      <c r="H1664" s="253"/>
      <c r="I1664" s="253"/>
      <c r="J1664" s="253"/>
      <c r="K1664" s="253"/>
      <c r="L1664" s="253"/>
      <c r="M1664" s="253"/>
      <c r="N1664" s="253"/>
      <c r="O1664" s="253"/>
      <c r="P1664" s="253"/>
      <c r="Q1664" s="253"/>
    </row>
    <row r="1665" spans="1:17">
      <c r="A1665" s="253"/>
      <c r="B1665" s="253"/>
      <c r="C1665" s="253"/>
      <c r="D1665" s="253"/>
      <c r="E1665" s="253"/>
      <c r="F1665" s="253"/>
      <c r="G1665" s="253"/>
      <c r="H1665" s="253"/>
      <c r="I1665" s="253"/>
      <c r="J1665" s="253"/>
      <c r="K1665" s="253"/>
      <c r="L1665" s="253"/>
      <c r="M1665" s="253"/>
      <c r="N1665" s="253"/>
      <c r="O1665" s="253"/>
      <c r="P1665" s="253"/>
      <c r="Q1665" s="253"/>
    </row>
    <row r="1666" spans="1:17">
      <c r="A1666" s="253"/>
      <c r="B1666" s="253"/>
      <c r="C1666" s="253"/>
      <c r="D1666" s="253"/>
      <c r="E1666" s="253"/>
      <c r="F1666" s="253"/>
      <c r="G1666" s="253"/>
      <c r="H1666" s="253"/>
      <c r="I1666" s="253"/>
      <c r="J1666" s="253"/>
      <c r="K1666" s="253"/>
      <c r="L1666" s="253"/>
      <c r="M1666" s="253"/>
      <c r="N1666" s="253"/>
      <c r="O1666" s="253"/>
      <c r="P1666" s="253"/>
      <c r="Q1666" s="253"/>
    </row>
    <row r="1667" spans="1:17">
      <c r="A1667" s="253"/>
      <c r="B1667" s="253"/>
      <c r="C1667" s="253"/>
      <c r="D1667" s="253"/>
      <c r="E1667" s="253"/>
      <c r="F1667" s="253"/>
      <c r="G1667" s="253"/>
      <c r="H1667" s="253"/>
      <c r="I1667" s="253"/>
      <c r="J1667" s="253"/>
      <c r="K1667" s="253"/>
      <c r="L1667" s="253"/>
      <c r="M1667" s="253"/>
      <c r="N1667" s="253"/>
      <c r="O1667" s="253"/>
      <c r="P1667" s="253"/>
      <c r="Q1667" s="253"/>
    </row>
    <row r="1668" spans="1:17">
      <c r="A1668" s="253"/>
      <c r="B1668" s="253"/>
      <c r="C1668" s="253"/>
      <c r="D1668" s="253"/>
      <c r="E1668" s="253"/>
      <c r="F1668" s="253"/>
      <c r="G1668" s="253"/>
      <c r="H1668" s="253"/>
      <c r="I1668" s="253"/>
      <c r="J1668" s="253"/>
      <c r="K1668" s="253"/>
      <c r="L1668" s="253"/>
      <c r="M1668" s="253"/>
      <c r="N1668" s="253"/>
      <c r="O1668" s="253"/>
      <c r="P1668" s="253"/>
      <c r="Q1668" s="253"/>
    </row>
    <row r="1669" spans="1:17">
      <c r="A1669" s="253"/>
      <c r="B1669" s="253"/>
      <c r="C1669" s="253"/>
      <c r="D1669" s="253"/>
      <c r="E1669" s="253"/>
      <c r="F1669" s="253"/>
      <c r="G1669" s="253"/>
      <c r="H1669" s="253"/>
      <c r="I1669" s="253"/>
      <c r="J1669" s="253"/>
      <c r="K1669" s="253"/>
      <c r="L1669" s="253"/>
      <c r="M1669" s="253"/>
      <c r="N1669" s="253"/>
      <c r="O1669" s="253"/>
      <c r="P1669" s="253"/>
      <c r="Q1669" s="253"/>
    </row>
    <row r="1670" spans="1:17">
      <c r="A1670" s="253"/>
      <c r="B1670" s="253"/>
      <c r="C1670" s="253"/>
      <c r="D1670" s="253"/>
      <c r="E1670" s="253"/>
      <c r="F1670" s="253"/>
      <c r="G1670" s="253"/>
      <c r="H1670" s="253"/>
      <c r="I1670" s="253"/>
      <c r="J1670" s="253"/>
      <c r="K1670" s="253"/>
      <c r="L1670" s="253"/>
      <c r="M1670" s="253"/>
      <c r="N1670" s="253"/>
      <c r="O1670" s="253"/>
      <c r="P1670" s="253"/>
      <c r="Q1670" s="253"/>
    </row>
    <row r="1671" spans="1:17">
      <c r="A1671" s="253"/>
      <c r="B1671" s="253"/>
      <c r="C1671" s="253"/>
      <c r="D1671" s="253"/>
      <c r="E1671" s="253"/>
      <c r="F1671" s="253"/>
      <c r="G1671" s="253"/>
      <c r="H1671" s="253"/>
      <c r="I1671" s="253"/>
      <c r="J1671" s="253"/>
      <c r="K1671" s="253"/>
      <c r="L1671" s="253"/>
      <c r="M1671" s="253"/>
      <c r="N1671" s="253"/>
      <c r="O1671" s="253"/>
      <c r="P1671" s="253"/>
      <c r="Q1671" s="253"/>
    </row>
    <row r="1672" spans="1:17">
      <c r="A1672" s="253"/>
      <c r="B1672" s="253"/>
      <c r="C1672" s="253"/>
      <c r="D1672" s="253"/>
      <c r="E1672" s="253"/>
      <c r="F1672" s="253"/>
      <c r="G1672" s="253"/>
      <c r="H1672" s="253"/>
      <c r="I1672" s="253"/>
      <c r="J1672" s="253"/>
      <c r="K1672" s="253"/>
      <c r="L1672" s="253"/>
      <c r="M1672" s="253"/>
      <c r="N1672" s="253"/>
      <c r="O1672" s="253"/>
      <c r="P1672" s="253"/>
      <c r="Q1672" s="253"/>
    </row>
    <row r="1673" spans="1:17">
      <c r="A1673" s="253"/>
      <c r="B1673" s="253"/>
      <c r="C1673" s="253"/>
      <c r="D1673" s="253"/>
      <c r="E1673" s="253"/>
      <c r="F1673" s="253"/>
      <c r="G1673" s="253"/>
      <c r="H1673" s="253"/>
      <c r="I1673" s="253"/>
      <c r="J1673" s="253"/>
      <c r="K1673" s="253"/>
      <c r="L1673" s="253"/>
      <c r="M1673" s="253"/>
      <c r="N1673" s="253"/>
      <c r="O1673" s="253"/>
      <c r="P1673" s="253"/>
      <c r="Q1673" s="253"/>
    </row>
    <row r="1674" spans="1:17">
      <c r="A1674" s="253"/>
      <c r="B1674" s="253"/>
      <c r="C1674" s="253"/>
      <c r="D1674" s="253"/>
      <c r="E1674" s="253"/>
      <c r="F1674" s="253"/>
      <c r="G1674" s="253"/>
      <c r="H1674" s="253"/>
      <c r="I1674" s="253"/>
      <c r="J1674" s="253"/>
      <c r="K1674" s="253"/>
      <c r="L1674" s="253"/>
      <c r="M1674" s="253"/>
      <c r="N1674" s="253"/>
      <c r="O1674" s="253"/>
      <c r="P1674" s="253"/>
      <c r="Q1674" s="253"/>
    </row>
    <row r="1675" spans="1:17">
      <c r="A1675" s="253"/>
      <c r="B1675" s="253"/>
      <c r="C1675" s="253"/>
      <c r="D1675" s="253"/>
      <c r="E1675" s="253"/>
      <c r="F1675" s="253"/>
      <c r="G1675" s="253"/>
      <c r="H1675" s="253"/>
      <c r="I1675" s="253"/>
      <c r="J1675" s="253"/>
      <c r="K1675" s="253"/>
      <c r="L1675" s="253"/>
      <c r="M1675" s="253"/>
      <c r="N1675" s="253"/>
      <c r="O1675" s="253"/>
      <c r="P1675" s="253"/>
      <c r="Q1675" s="253"/>
    </row>
    <row r="1676" spans="1:17">
      <c r="A1676" s="253"/>
      <c r="B1676" s="253"/>
      <c r="C1676" s="253"/>
      <c r="D1676" s="253"/>
      <c r="E1676" s="253"/>
      <c r="F1676" s="253"/>
      <c r="G1676" s="253"/>
      <c r="H1676" s="253"/>
      <c r="I1676" s="253"/>
      <c r="J1676" s="253"/>
      <c r="K1676" s="253"/>
      <c r="L1676" s="253"/>
      <c r="M1676" s="253"/>
      <c r="N1676" s="253"/>
      <c r="O1676" s="253"/>
      <c r="P1676" s="253"/>
      <c r="Q1676" s="253"/>
    </row>
    <row r="1677" spans="1:17">
      <c r="A1677" s="253"/>
      <c r="B1677" s="253"/>
      <c r="C1677" s="253"/>
      <c r="D1677" s="253"/>
      <c r="E1677" s="253"/>
      <c r="F1677" s="253"/>
      <c r="G1677" s="253"/>
      <c r="H1677" s="253"/>
      <c r="I1677" s="253"/>
      <c r="J1677" s="253"/>
      <c r="K1677" s="253"/>
      <c r="L1677" s="253"/>
      <c r="M1677" s="253"/>
      <c r="N1677" s="253"/>
      <c r="O1677" s="253"/>
      <c r="P1677" s="253"/>
      <c r="Q1677" s="253"/>
    </row>
    <row r="1678" spans="1:17">
      <c r="A1678" s="253"/>
      <c r="B1678" s="253"/>
      <c r="C1678" s="253"/>
      <c r="D1678" s="253"/>
      <c r="E1678" s="253"/>
      <c r="F1678" s="253"/>
      <c r="G1678" s="253"/>
      <c r="H1678" s="253"/>
      <c r="I1678" s="253"/>
      <c r="J1678" s="253"/>
      <c r="K1678" s="253"/>
      <c r="L1678" s="253"/>
      <c r="M1678" s="253"/>
      <c r="N1678" s="253"/>
      <c r="O1678" s="253"/>
      <c r="P1678" s="253"/>
      <c r="Q1678" s="253"/>
    </row>
    <row r="1679" spans="1:17">
      <c r="A1679" s="253"/>
      <c r="B1679" s="253"/>
      <c r="C1679" s="253"/>
      <c r="D1679" s="253"/>
      <c r="E1679" s="253"/>
      <c r="F1679" s="253"/>
      <c r="G1679" s="253"/>
      <c r="H1679" s="253"/>
      <c r="I1679" s="253"/>
      <c r="J1679" s="253"/>
      <c r="K1679" s="253"/>
      <c r="L1679" s="253"/>
      <c r="M1679" s="253"/>
      <c r="N1679" s="253"/>
      <c r="O1679" s="253"/>
      <c r="P1679" s="253"/>
      <c r="Q1679" s="253"/>
    </row>
    <row r="1680" spans="1:17">
      <c r="A1680" s="253"/>
      <c r="B1680" s="253"/>
      <c r="C1680" s="253"/>
      <c r="D1680" s="253"/>
      <c r="E1680" s="253"/>
      <c r="F1680" s="253"/>
      <c r="G1680" s="253"/>
      <c r="H1680" s="253"/>
      <c r="I1680" s="253"/>
      <c r="J1680" s="253"/>
      <c r="K1680" s="253"/>
      <c r="L1680" s="253"/>
      <c r="M1680" s="253"/>
      <c r="N1680" s="253"/>
      <c r="O1680" s="253"/>
      <c r="P1680" s="253"/>
      <c r="Q1680" s="253"/>
    </row>
    <row r="1681" spans="1:17">
      <c r="A1681" s="253"/>
      <c r="B1681" s="253"/>
      <c r="C1681" s="253"/>
      <c r="D1681" s="253"/>
      <c r="E1681" s="253"/>
      <c r="F1681" s="253"/>
      <c r="G1681" s="253"/>
      <c r="H1681" s="253"/>
      <c r="I1681" s="253"/>
      <c r="J1681" s="253"/>
      <c r="K1681" s="253"/>
      <c r="L1681" s="253"/>
      <c r="M1681" s="253"/>
      <c r="N1681" s="253"/>
      <c r="O1681" s="253"/>
      <c r="P1681" s="253"/>
      <c r="Q1681" s="253"/>
    </row>
    <row r="1682" spans="1:17">
      <c r="A1682" s="253"/>
      <c r="B1682" s="253"/>
      <c r="C1682" s="253"/>
      <c r="D1682" s="253"/>
      <c r="E1682" s="253"/>
      <c r="F1682" s="253"/>
      <c r="G1682" s="253"/>
      <c r="H1682" s="253"/>
      <c r="I1682" s="253"/>
      <c r="J1682" s="253"/>
      <c r="K1682" s="253"/>
      <c r="L1682" s="253"/>
      <c r="M1682" s="253"/>
      <c r="N1682" s="253"/>
      <c r="O1682" s="253"/>
      <c r="P1682" s="253"/>
      <c r="Q1682" s="253"/>
    </row>
    <row r="1683" spans="1:17">
      <c r="A1683" s="253"/>
      <c r="B1683" s="253"/>
      <c r="C1683" s="253"/>
      <c r="D1683" s="253"/>
      <c r="E1683" s="253"/>
      <c r="F1683" s="253"/>
      <c r="G1683" s="253"/>
      <c r="H1683" s="253"/>
      <c r="I1683" s="253"/>
      <c r="J1683" s="253"/>
      <c r="K1683" s="253"/>
      <c r="L1683" s="253"/>
      <c r="M1683" s="253"/>
      <c r="N1683" s="253"/>
      <c r="O1683" s="253"/>
      <c r="P1683" s="253"/>
      <c r="Q1683" s="253"/>
    </row>
    <row r="1684" spans="1:17">
      <c r="A1684" s="253"/>
      <c r="B1684" s="253"/>
      <c r="C1684" s="253"/>
      <c r="D1684" s="253"/>
      <c r="E1684" s="253"/>
      <c r="F1684" s="253"/>
      <c r="G1684" s="253"/>
      <c r="H1684" s="253"/>
      <c r="I1684" s="253"/>
      <c r="J1684" s="253"/>
      <c r="K1684" s="253"/>
      <c r="L1684" s="253"/>
      <c r="M1684" s="253"/>
      <c r="N1684" s="253"/>
      <c r="O1684" s="253"/>
      <c r="P1684" s="253"/>
      <c r="Q1684" s="253"/>
    </row>
    <row r="1685" spans="1:17">
      <c r="A1685" s="253"/>
      <c r="B1685" s="253"/>
      <c r="C1685" s="253"/>
      <c r="D1685" s="253"/>
      <c r="E1685" s="253"/>
      <c r="F1685" s="253"/>
      <c r="G1685" s="253"/>
      <c r="H1685" s="253"/>
      <c r="I1685" s="253"/>
      <c r="J1685" s="253"/>
      <c r="K1685" s="253"/>
      <c r="L1685" s="253"/>
      <c r="M1685" s="253"/>
      <c r="N1685" s="253"/>
      <c r="O1685" s="253"/>
      <c r="P1685" s="253"/>
      <c r="Q1685" s="253"/>
    </row>
    <row r="1686" spans="1:17">
      <c r="A1686" s="253"/>
      <c r="B1686" s="253"/>
      <c r="C1686" s="253"/>
      <c r="D1686" s="253"/>
      <c r="E1686" s="253"/>
      <c r="F1686" s="253"/>
      <c r="G1686" s="253"/>
      <c r="H1686" s="253"/>
      <c r="I1686" s="253"/>
      <c r="J1686" s="253"/>
      <c r="K1686" s="253"/>
      <c r="L1686" s="253"/>
      <c r="M1686" s="253"/>
      <c r="N1686" s="253"/>
      <c r="O1686" s="253"/>
      <c r="P1686" s="253"/>
      <c r="Q1686" s="253"/>
    </row>
    <row r="1687" spans="1:17">
      <c r="A1687" s="253"/>
      <c r="B1687" s="253"/>
      <c r="C1687" s="253"/>
      <c r="D1687" s="253"/>
      <c r="E1687" s="253"/>
      <c r="F1687" s="253"/>
      <c r="G1687" s="253"/>
      <c r="H1687" s="253"/>
      <c r="I1687" s="253"/>
      <c r="J1687" s="253"/>
      <c r="K1687" s="253"/>
      <c r="L1687" s="253"/>
      <c r="M1687" s="253"/>
      <c r="N1687" s="253"/>
      <c r="O1687" s="253"/>
      <c r="P1687" s="253"/>
      <c r="Q1687" s="253"/>
    </row>
    <row r="1688" spans="1:17">
      <c r="A1688" s="253"/>
      <c r="B1688" s="253"/>
      <c r="C1688" s="253"/>
      <c r="D1688" s="253"/>
      <c r="E1688" s="253"/>
      <c r="F1688" s="253"/>
      <c r="G1688" s="253"/>
      <c r="H1688" s="253"/>
      <c r="I1688" s="253"/>
      <c r="J1688" s="253"/>
      <c r="K1688" s="253"/>
      <c r="L1688" s="253"/>
      <c r="M1688" s="253"/>
      <c r="N1688" s="253"/>
      <c r="O1688" s="253"/>
      <c r="P1688" s="253"/>
      <c r="Q1688" s="253"/>
    </row>
    <row r="1689" spans="1:17">
      <c r="A1689" s="253"/>
      <c r="B1689" s="253"/>
      <c r="C1689" s="253"/>
      <c r="D1689" s="253"/>
      <c r="E1689" s="253"/>
      <c r="F1689" s="253"/>
      <c r="G1689" s="253"/>
      <c r="H1689" s="253"/>
      <c r="I1689" s="253"/>
      <c r="J1689" s="253"/>
      <c r="K1689" s="253"/>
      <c r="L1689" s="253"/>
      <c r="M1689" s="253"/>
      <c r="N1689" s="253"/>
      <c r="O1689" s="253"/>
      <c r="P1689" s="253"/>
      <c r="Q1689" s="253"/>
    </row>
    <row r="1690" spans="1:17">
      <c r="A1690" s="253"/>
      <c r="B1690" s="253"/>
      <c r="C1690" s="253"/>
      <c r="D1690" s="253"/>
      <c r="E1690" s="253"/>
      <c r="F1690" s="253"/>
      <c r="G1690" s="253"/>
      <c r="H1690" s="253"/>
      <c r="I1690" s="253"/>
      <c r="J1690" s="253"/>
      <c r="K1690" s="253"/>
      <c r="L1690" s="253"/>
      <c r="M1690" s="253"/>
      <c r="N1690" s="253"/>
      <c r="O1690" s="253"/>
      <c r="P1690" s="253"/>
      <c r="Q1690" s="253"/>
    </row>
    <row r="1691" spans="1:17">
      <c r="A1691" s="253"/>
      <c r="B1691" s="253"/>
      <c r="C1691" s="253"/>
      <c r="D1691" s="253"/>
      <c r="E1691" s="253"/>
      <c r="F1691" s="253"/>
      <c r="G1691" s="253"/>
      <c r="H1691" s="253"/>
      <c r="I1691" s="253"/>
      <c r="J1691" s="253"/>
      <c r="K1691" s="253"/>
      <c r="L1691" s="253"/>
      <c r="M1691" s="253"/>
      <c r="N1691" s="253"/>
      <c r="O1691" s="253"/>
      <c r="P1691" s="253"/>
      <c r="Q1691" s="253"/>
    </row>
    <row r="1692" spans="1:17">
      <c r="A1692" s="253"/>
      <c r="B1692" s="253"/>
      <c r="C1692" s="253"/>
      <c r="D1692" s="253"/>
      <c r="E1692" s="253"/>
      <c r="F1692" s="253"/>
      <c r="G1692" s="253"/>
      <c r="H1692" s="253"/>
      <c r="I1692" s="253"/>
      <c r="J1692" s="253"/>
      <c r="K1692" s="253"/>
      <c r="L1692" s="253"/>
      <c r="M1692" s="253"/>
      <c r="N1692" s="253"/>
      <c r="O1692" s="253"/>
      <c r="P1692" s="253"/>
      <c r="Q1692" s="253"/>
    </row>
    <row r="1693" spans="1:17">
      <c r="A1693" s="253"/>
      <c r="B1693" s="253"/>
      <c r="C1693" s="253"/>
      <c r="D1693" s="253"/>
      <c r="E1693" s="253"/>
      <c r="F1693" s="253"/>
      <c r="G1693" s="253"/>
      <c r="H1693" s="253"/>
      <c r="I1693" s="253"/>
      <c r="J1693" s="253"/>
      <c r="K1693" s="253"/>
      <c r="L1693" s="253"/>
      <c r="M1693" s="253"/>
      <c r="N1693" s="253"/>
      <c r="O1693" s="253"/>
      <c r="P1693" s="253"/>
      <c r="Q1693" s="253"/>
    </row>
    <row r="1694" spans="1:17">
      <c r="A1694" s="253"/>
      <c r="B1694" s="253"/>
      <c r="C1694" s="253"/>
      <c r="D1694" s="253"/>
      <c r="E1694" s="253"/>
      <c r="F1694" s="253"/>
      <c r="G1694" s="253"/>
      <c r="H1694" s="253"/>
      <c r="I1694" s="253"/>
      <c r="J1694" s="253"/>
      <c r="K1694" s="253"/>
      <c r="L1694" s="253"/>
      <c r="M1694" s="253"/>
      <c r="N1694" s="253"/>
      <c r="O1694" s="253"/>
      <c r="P1694" s="253"/>
      <c r="Q1694" s="253"/>
    </row>
    <row r="1695" spans="1:17">
      <c r="A1695" s="253"/>
      <c r="B1695" s="253"/>
      <c r="C1695" s="253"/>
      <c r="D1695" s="253"/>
      <c r="E1695" s="253"/>
      <c r="F1695" s="253"/>
      <c r="G1695" s="253"/>
      <c r="H1695" s="253"/>
      <c r="I1695" s="253"/>
      <c r="J1695" s="253"/>
      <c r="K1695" s="253"/>
      <c r="L1695" s="253"/>
      <c r="M1695" s="253"/>
      <c r="N1695" s="253"/>
      <c r="O1695" s="253"/>
      <c r="P1695" s="253"/>
      <c r="Q1695" s="253"/>
    </row>
    <row r="1696" spans="1:17">
      <c r="A1696" s="253"/>
      <c r="B1696" s="253"/>
      <c r="C1696" s="253"/>
      <c r="D1696" s="253"/>
      <c r="E1696" s="253"/>
      <c r="F1696" s="253"/>
      <c r="G1696" s="253"/>
      <c r="H1696" s="253"/>
      <c r="I1696" s="253"/>
      <c r="J1696" s="253"/>
      <c r="K1696" s="253"/>
      <c r="L1696" s="253"/>
      <c r="M1696" s="253"/>
      <c r="N1696" s="253"/>
      <c r="O1696" s="253"/>
      <c r="P1696" s="253"/>
      <c r="Q1696" s="253"/>
    </row>
    <row r="1697" spans="1:17">
      <c r="A1697" s="253"/>
      <c r="B1697" s="253"/>
      <c r="C1697" s="253"/>
      <c r="D1697" s="253"/>
      <c r="E1697" s="253"/>
      <c r="F1697" s="253"/>
      <c r="G1697" s="253"/>
      <c r="H1697" s="253"/>
      <c r="I1697" s="253"/>
      <c r="J1697" s="253"/>
      <c r="K1697" s="253"/>
      <c r="L1697" s="253"/>
      <c r="M1697" s="253"/>
      <c r="N1697" s="253"/>
      <c r="O1697" s="253"/>
      <c r="P1697" s="253"/>
      <c r="Q1697" s="253"/>
    </row>
    <row r="1698" spans="1:17">
      <c r="A1698" s="253"/>
      <c r="B1698" s="253"/>
      <c r="C1698" s="253"/>
      <c r="D1698" s="253"/>
      <c r="E1698" s="253"/>
      <c r="F1698" s="253"/>
      <c r="G1698" s="253"/>
      <c r="H1698" s="253"/>
      <c r="I1698" s="253"/>
      <c r="J1698" s="253"/>
      <c r="K1698" s="253"/>
      <c r="L1698" s="253"/>
      <c r="M1698" s="253"/>
      <c r="N1698" s="253"/>
      <c r="O1698" s="253"/>
      <c r="P1698" s="253"/>
      <c r="Q1698" s="253"/>
    </row>
    <row r="1699" spans="1:17">
      <c r="A1699" s="253"/>
      <c r="B1699" s="253"/>
      <c r="C1699" s="253"/>
      <c r="D1699" s="253"/>
      <c r="E1699" s="253"/>
      <c r="F1699" s="253"/>
      <c r="G1699" s="253"/>
      <c r="H1699" s="253"/>
      <c r="I1699" s="253"/>
      <c r="J1699" s="253"/>
      <c r="K1699" s="253"/>
      <c r="L1699" s="253"/>
      <c r="M1699" s="253"/>
      <c r="N1699" s="253"/>
      <c r="O1699" s="253"/>
      <c r="P1699" s="253"/>
      <c r="Q1699" s="253"/>
    </row>
    <row r="1700" spans="1:17">
      <c r="A1700" s="253"/>
      <c r="B1700" s="253"/>
      <c r="C1700" s="253"/>
      <c r="D1700" s="253"/>
      <c r="E1700" s="253"/>
      <c r="F1700" s="253"/>
      <c r="G1700" s="253"/>
      <c r="H1700" s="253"/>
      <c r="I1700" s="253"/>
      <c r="J1700" s="253"/>
      <c r="K1700" s="253"/>
      <c r="L1700" s="253"/>
      <c r="M1700" s="253"/>
      <c r="N1700" s="253"/>
      <c r="O1700" s="253"/>
      <c r="P1700" s="253"/>
      <c r="Q1700" s="253"/>
    </row>
    <row r="1701" spans="1:17">
      <c r="A1701" s="253"/>
      <c r="B1701" s="253"/>
      <c r="C1701" s="253"/>
      <c r="D1701" s="253"/>
      <c r="E1701" s="253"/>
      <c r="F1701" s="253"/>
      <c r="G1701" s="253"/>
      <c r="H1701" s="253"/>
      <c r="I1701" s="253"/>
      <c r="J1701" s="253"/>
      <c r="K1701" s="253"/>
      <c r="L1701" s="253"/>
      <c r="M1701" s="253"/>
      <c r="N1701" s="253"/>
      <c r="O1701" s="253"/>
      <c r="P1701" s="253"/>
      <c r="Q1701" s="253"/>
    </row>
    <row r="1702" spans="1:17">
      <c r="A1702" s="253"/>
      <c r="B1702" s="253"/>
      <c r="C1702" s="253"/>
      <c r="D1702" s="253"/>
      <c r="E1702" s="253"/>
      <c r="F1702" s="253"/>
      <c r="G1702" s="253"/>
      <c r="H1702" s="253"/>
      <c r="I1702" s="253"/>
      <c r="J1702" s="253"/>
      <c r="K1702" s="253"/>
      <c r="L1702" s="253"/>
      <c r="M1702" s="253"/>
      <c r="N1702" s="253"/>
      <c r="O1702" s="253"/>
      <c r="P1702" s="253"/>
      <c r="Q1702" s="253"/>
    </row>
    <row r="1703" spans="1:17">
      <c r="A1703" s="253"/>
      <c r="B1703" s="253"/>
      <c r="C1703" s="253"/>
      <c r="D1703" s="253"/>
      <c r="E1703" s="253"/>
      <c r="F1703" s="253"/>
      <c r="G1703" s="253"/>
      <c r="H1703" s="253"/>
      <c r="I1703" s="253"/>
      <c r="J1703" s="253"/>
      <c r="K1703" s="253"/>
      <c r="L1703" s="253"/>
      <c r="M1703" s="253"/>
      <c r="N1703" s="253"/>
      <c r="O1703" s="253"/>
      <c r="P1703" s="253"/>
      <c r="Q1703" s="253"/>
    </row>
    <row r="1704" spans="1:17">
      <c r="A1704" s="253"/>
      <c r="B1704" s="253"/>
      <c r="C1704" s="253"/>
      <c r="D1704" s="253"/>
      <c r="E1704" s="253"/>
      <c r="F1704" s="253"/>
      <c r="G1704" s="253"/>
      <c r="H1704" s="253"/>
      <c r="I1704" s="253"/>
      <c r="J1704" s="253"/>
      <c r="K1704" s="253"/>
      <c r="L1704" s="253"/>
      <c r="M1704" s="253"/>
      <c r="N1704" s="253"/>
      <c r="O1704" s="253"/>
      <c r="P1704" s="253"/>
      <c r="Q1704" s="253"/>
    </row>
    <row r="1705" spans="1:17">
      <c r="A1705" s="253"/>
      <c r="B1705" s="253"/>
      <c r="C1705" s="253"/>
      <c r="D1705" s="253"/>
      <c r="E1705" s="253"/>
      <c r="F1705" s="253"/>
      <c r="G1705" s="253"/>
      <c r="H1705" s="253"/>
      <c r="I1705" s="253"/>
      <c r="J1705" s="253"/>
      <c r="K1705" s="253"/>
      <c r="L1705" s="253"/>
      <c r="M1705" s="253"/>
      <c r="N1705" s="253"/>
      <c r="O1705" s="253"/>
      <c r="P1705" s="253"/>
      <c r="Q1705" s="253"/>
    </row>
    <row r="1706" spans="1:17">
      <c r="A1706" s="253"/>
      <c r="B1706" s="253"/>
      <c r="C1706" s="253"/>
      <c r="D1706" s="253"/>
      <c r="E1706" s="253"/>
      <c r="F1706" s="253"/>
      <c r="G1706" s="253"/>
      <c r="H1706" s="253"/>
      <c r="I1706" s="253"/>
      <c r="J1706" s="253"/>
      <c r="K1706" s="253"/>
      <c r="L1706" s="253"/>
      <c r="M1706" s="253"/>
      <c r="N1706" s="253"/>
      <c r="O1706" s="253"/>
      <c r="P1706" s="253"/>
      <c r="Q1706" s="253"/>
    </row>
    <row r="1707" spans="1:17">
      <c r="A1707" s="253"/>
      <c r="B1707" s="253"/>
      <c r="C1707" s="253"/>
      <c r="D1707" s="253"/>
      <c r="E1707" s="253"/>
      <c r="F1707" s="253"/>
      <c r="G1707" s="253"/>
      <c r="H1707" s="253"/>
      <c r="I1707" s="253"/>
      <c r="J1707" s="253"/>
      <c r="K1707" s="253"/>
      <c r="L1707" s="253"/>
      <c r="M1707" s="253"/>
      <c r="N1707" s="253"/>
      <c r="O1707" s="253"/>
      <c r="P1707" s="253"/>
      <c r="Q1707" s="253"/>
    </row>
    <row r="1708" spans="1:17">
      <c r="A1708" s="253"/>
      <c r="B1708" s="253"/>
      <c r="C1708" s="253"/>
      <c r="D1708" s="253"/>
      <c r="E1708" s="253"/>
      <c r="F1708" s="253"/>
      <c r="G1708" s="253"/>
      <c r="H1708" s="253"/>
      <c r="I1708" s="253"/>
      <c r="J1708" s="253"/>
      <c r="K1708" s="253"/>
      <c r="L1708" s="253"/>
      <c r="M1708" s="253"/>
      <c r="N1708" s="253"/>
      <c r="O1708" s="253"/>
      <c r="P1708" s="253"/>
      <c r="Q1708" s="253"/>
    </row>
    <row r="1709" spans="1:17">
      <c r="A1709" s="253"/>
      <c r="B1709" s="253"/>
      <c r="C1709" s="253"/>
      <c r="D1709" s="253"/>
      <c r="E1709" s="253"/>
      <c r="F1709" s="253"/>
      <c r="G1709" s="253"/>
      <c r="H1709" s="253"/>
      <c r="I1709" s="253"/>
      <c r="J1709" s="253"/>
      <c r="K1709" s="253"/>
      <c r="L1709" s="253"/>
      <c r="M1709" s="253"/>
      <c r="N1709" s="253"/>
      <c r="O1709" s="253"/>
      <c r="P1709" s="253"/>
      <c r="Q1709" s="253"/>
    </row>
    <row r="1710" spans="1:17">
      <c r="A1710" s="253"/>
      <c r="B1710" s="253"/>
      <c r="C1710" s="253"/>
      <c r="D1710" s="253"/>
      <c r="E1710" s="253"/>
      <c r="F1710" s="253"/>
      <c r="G1710" s="253"/>
      <c r="H1710" s="253"/>
      <c r="I1710" s="253"/>
      <c r="J1710" s="253"/>
      <c r="K1710" s="253"/>
      <c r="L1710" s="253"/>
      <c r="M1710" s="253"/>
      <c r="N1710" s="253"/>
      <c r="O1710" s="253"/>
      <c r="P1710" s="253"/>
      <c r="Q1710" s="253"/>
    </row>
    <row r="1711" spans="1:17">
      <c r="A1711" s="253"/>
      <c r="B1711" s="253"/>
      <c r="C1711" s="253"/>
      <c r="D1711" s="253"/>
      <c r="E1711" s="253"/>
      <c r="F1711" s="253"/>
      <c r="G1711" s="253"/>
      <c r="H1711" s="253"/>
      <c r="I1711" s="253"/>
      <c r="J1711" s="253"/>
      <c r="K1711" s="253"/>
      <c r="L1711" s="253"/>
      <c r="M1711" s="253"/>
      <c r="N1711" s="253"/>
      <c r="O1711" s="253"/>
      <c r="P1711" s="253"/>
      <c r="Q1711" s="253"/>
    </row>
    <row r="1712" spans="1:17">
      <c r="A1712" s="253"/>
      <c r="B1712" s="253"/>
      <c r="C1712" s="253"/>
      <c r="D1712" s="253"/>
      <c r="E1712" s="253"/>
      <c r="F1712" s="253"/>
      <c r="G1712" s="253"/>
      <c r="H1712" s="253"/>
      <c r="I1712" s="253"/>
      <c r="J1712" s="253"/>
      <c r="K1712" s="253"/>
      <c r="L1712" s="253"/>
      <c r="M1712" s="253"/>
      <c r="N1712" s="253"/>
      <c r="O1712" s="253"/>
      <c r="P1712" s="253"/>
      <c r="Q1712" s="253"/>
    </row>
    <row r="1713" spans="1:17">
      <c r="A1713" s="253"/>
      <c r="B1713" s="253"/>
      <c r="C1713" s="253"/>
      <c r="D1713" s="253"/>
      <c r="E1713" s="253"/>
      <c r="F1713" s="253"/>
      <c r="G1713" s="253"/>
      <c r="H1713" s="253"/>
      <c r="I1713" s="253"/>
      <c r="J1713" s="253"/>
      <c r="K1713" s="253"/>
      <c r="L1713" s="253"/>
      <c r="M1713" s="253"/>
      <c r="N1713" s="253"/>
      <c r="O1713" s="253"/>
      <c r="P1713" s="253"/>
      <c r="Q1713" s="253"/>
    </row>
    <row r="1714" spans="1:17">
      <c r="A1714" s="253"/>
      <c r="B1714" s="253"/>
      <c r="C1714" s="253"/>
      <c r="D1714" s="253"/>
      <c r="E1714" s="253"/>
      <c r="F1714" s="253"/>
      <c r="G1714" s="253"/>
      <c r="H1714" s="253"/>
      <c r="I1714" s="253"/>
      <c r="J1714" s="253"/>
      <c r="K1714" s="253"/>
      <c r="L1714" s="253"/>
      <c r="M1714" s="253"/>
      <c r="N1714" s="253"/>
      <c r="O1714" s="253"/>
      <c r="P1714" s="253"/>
      <c r="Q1714" s="253"/>
    </row>
    <row r="1715" spans="1:17">
      <c r="A1715" s="253"/>
      <c r="B1715" s="253"/>
      <c r="C1715" s="253"/>
      <c r="D1715" s="253"/>
      <c r="E1715" s="253"/>
      <c r="F1715" s="253"/>
      <c r="G1715" s="253"/>
      <c r="H1715" s="253"/>
      <c r="I1715" s="253"/>
      <c r="J1715" s="253"/>
      <c r="K1715" s="253"/>
      <c r="L1715" s="253"/>
      <c r="M1715" s="253"/>
      <c r="N1715" s="253"/>
      <c r="O1715" s="253"/>
      <c r="P1715" s="253"/>
      <c r="Q1715" s="253"/>
    </row>
    <row r="1716" spans="1:17">
      <c r="A1716" s="253"/>
      <c r="B1716" s="253"/>
      <c r="C1716" s="253"/>
      <c r="D1716" s="253"/>
      <c r="E1716" s="253"/>
      <c r="F1716" s="253"/>
      <c r="G1716" s="253"/>
      <c r="H1716" s="253"/>
      <c r="I1716" s="253"/>
      <c r="J1716" s="253"/>
      <c r="K1716" s="253"/>
      <c r="L1716" s="253"/>
      <c r="M1716" s="253"/>
      <c r="N1716" s="253"/>
      <c r="O1716" s="253"/>
      <c r="P1716" s="253"/>
      <c r="Q1716" s="253"/>
    </row>
    <row r="1717" spans="1:17">
      <c r="A1717" s="253"/>
      <c r="B1717" s="253"/>
      <c r="C1717" s="253"/>
      <c r="D1717" s="253"/>
      <c r="E1717" s="253"/>
      <c r="F1717" s="253"/>
      <c r="G1717" s="253"/>
      <c r="H1717" s="253"/>
      <c r="I1717" s="253"/>
      <c r="J1717" s="253"/>
      <c r="K1717" s="253"/>
      <c r="L1717" s="253"/>
      <c r="M1717" s="253"/>
      <c r="N1717" s="253"/>
      <c r="O1717" s="253"/>
      <c r="P1717" s="253"/>
      <c r="Q1717" s="253"/>
    </row>
    <row r="1718" spans="1:17">
      <c r="A1718" s="253"/>
      <c r="B1718" s="253"/>
      <c r="C1718" s="253"/>
      <c r="D1718" s="253"/>
      <c r="E1718" s="253"/>
      <c r="F1718" s="253"/>
      <c r="G1718" s="253"/>
      <c r="H1718" s="253"/>
      <c r="I1718" s="253"/>
      <c r="J1718" s="253"/>
      <c r="K1718" s="253"/>
      <c r="L1718" s="253"/>
      <c r="M1718" s="253"/>
      <c r="N1718" s="253"/>
      <c r="O1718" s="253"/>
      <c r="P1718" s="253"/>
      <c r="Q1718" s="253"/>
    </row>
    <row r="1719" spans="1:17">
      <c r="A1719" s="253"/>
      <c r="B1719" s="253"/>
      <c r="C1719" s="253"/>
      <c r="D1719" s="253"/>
      <c r="E1719" s="253"/>
      <c r="F1719" s="253"/>
      <c r="G1719" s="253"/>
      <c r="H1719" s="253"/>
      <c r="I1719" s="253"/>
      <c r="J1719" s="253"/>
      <c r="K1719" s="253"/>
      <c r="L1719" s="253"/>
      <c r="M1719" s="253"/>
      <c r="N1719" s="253"/>
      <c r="O1719" s="253"/>
      <c r="P1719" s="253"/>
      <c r="Q1719" s="253"/>
    </row>
    <row r="1720" spans="1:17">
      <c r="A1720" s="253"/>
      <c r="B1720" s="253"/>
      <c r="C1720" s="253"/>
      <c r="D1720" s="253"/>
      <c r="E1720" s="253"/>
      <c r="F1720" s="253"/>
      <c r="G1720" s="253"/>
      <c r="H1720" s="253"/>
      <c r="I1720" s="253"/>
      <c r="J1720" s="253"/>
      <c r="K1720" s="253"/>
      <c r="L1720" s="253"/>
      <c r="M1720" s="253"/>
      <c r="N1720" s="253"/>
      <c r="O1720" s="253"/>
      <c r="P1720" s="253"/>
      <c r="Q1720" s="253"/>
    </row>
    <row r="1721" spans="1:17">
      <c r="A1721" s="253"/>
      <c r="B1721" s="253"/>
      <c r="C1721" s="253"/>
      <c r="D1721" s="253"/>
      <c r="E1721" s="253"/>
      <c r="F1721" s="253"/>
      <c r="G1721" s="253"/>
      <c r="H1721" s="253"/>
      <c r="I1721" s="253"/>
      <c r="J1721" s="253"/>
      <c r="K1721" s="253"/>
      <c r="L1721" s="253"/>
      <c r="M1721" s="253"/>
      <c r="N1721" s="253"/>
      <c r="O1721" s="253"/>
      <c r="P1721" s="253"/>
      <c r="Q1721" s="253"/>
    </row>
    <row r="1722" spans="1:17">
      <c r="A1722" s="253"/>
      <c r="B1722" s="253"/>
      <c r="C1722" s="253"/>
      <c r="D1722" s="253"/>
      <c r="E1722" s="253"/>
      <c r="F1722" s="253"/>
      <c r="G1722" s="253"/>
      <c r="H1722" s="253"/>
      <c r="I1722" s="253"/>
      <c r="J1722" s="253"/>
      <c r="K1722" s="253"/>
      <c r="L1722" s="253"/>
      <c r="M1722" s="253"/>
      <c r="N1722" s="253"/>
      <c r="O1722" s="253"/>
      <c r="P1722" s="253"/>
      <c r="Q1722" s="253"/>
    </row>
    <row r="1723" spans="1:17">
      <c r="A1723" s="253"/>
      <c r="B1723" s="253"/>
      <c r="C1723" s="253"/>
      <c r="D1723" s="253"/>
      <c r="E1723" s="253"/>
      <c r="F1723" s="253"/>
      <c r="G1723" s="253"/>
      <c r="H1723" s="253"/>
      <c r="I1723" s="253"/>
      <c r="J1723" s="253"/>
      <c r="K1723" s="253"/>
      <c r="L1723" s="253"/>
      <c r="M1723" s="253"/>
      <c r="N1723" s="253"/>
      <c r="O1723" s="253"/>
      <c r="P1723" s="253"/>
      <c r="Q1723" s="253"/>
    </row>
    <row r="1724" spans="1:17">
      <c r="A1724" s="253"/>
      <c r="B1724" s="253"/>
      <c r="C1724" s="253"/>
      <c r="D1724" s="253"/>
      <c r="E1724" s="253"/>
      <c r="F1724" s="253"/>
      <c r="G1724" s="253"/>
      <c r="H1724" s="253"/>
      <c r="I1724" s="253"/>
      <c r="J1724" s="253"/>
      <c r="K1724" s="253"/>
      <c r="L1724" s="253"/>
      <c r="M1724" s="253"/>
      <c r="N1724" s="253"/>
      <c r="O1724" s="253"/>
      <c r="P1724" s="253"/>
      <c r="Q1724" s="253"/>
    </row>
    <row r="1725" spans="1:17">
      <c r="A1725" s="253"/>
      <c r="B1725" s="253"/>
      <c r="C1725" s="253"/>
      <c r="D1725" s="253"/>
      <c r="E1725" s="253"/>
      <c r="F1725" s="253"/>
      <c r="G1725" s="253"/>
      <c r="H1725" s="253"/>
      <c r="I1725" s="253"/>
      <c r="J1725" s="253"/>
      <c r="K1725" s="253"/>
      <c r="L1725" s="253"/>
      <c r="M1725" s="253"/>
      <c r="N1725" s="253"/>
      <c r="O1725" s="253"/>
      <c r="P1725" s="253"/>
      <c r="Q1725" s="253"/>
    </row>
    <row r="1726" spans="1:17">
      <c r="A1726" s="253"/>
      <c r="B1726" s="253"/>
      <c r="C1726" s="253"/>
      <c r="D1726" s="253"/>
      <c r="E1726" s="253"/>
      <c r="F1726" s="253"/>
      <c r="G1726" s="253"/>
      <c r="H1726" s="253"/>
      <c r="I1726" s="253"/>
      <c r="J1726" s="253"/>
      <c r="K1726" s="253"/>
      <c r="L1726" s="253"/>
      <c r="M1726" s="253"/>
      <c r="N1726" s="253"/>
      <c r="O1726" s="253"/>
      <c r="P1726" s="253"/>
      <c r="Q1726" s="253"/>
    </row>
    <row r="1727" spans="1:17">
      <c r="A1727" s="253"/>
      <c r="B1727" s="253"/>
      <c r="C1727" s="253"/>
      <c r="D1727" s="253"/>
      <c r="E1727" s="253"/>
      <c r="F1727" s="253"/>
      <c r="G1727" s="253"/>
      <c r="H1727" s="253"/>
      <c r="I1727" s="253"/>
      <c r="J1727" s="253"/>
      <c r="K1727" s="253"/>
      <c r="L1727" s="253"/>
      <c r="M1727" s="253"/>
      <c r="N1727" s="253"/>
      <c r="O1727" s="253"/>
      <c r="P1727" s="253"/>
      <c r="Q1727" s="253"/>
    </row>
    <row r="1728" spans="1:17">
      <c r="A1728" s="253"/>
      <c r="B1728" s="253"/>
      <c r="C1728" s="253"/>
      <c r="D1728" s="253"/>
      <c r="E1728" s="253"/>
      <c r="F1728" s="253"/>
      <c r="G1728" s="253"/>
      <c r="H1728" s="253"/>
      <c r="I1728" s="253"/>
      <c r="J1728" s="253"/>
      <c r="K1728" s="253"/>
      <c r="L1728" s="253"/>
      <c r="M1728" s="253"/>
      <c r="N1728" s="253"/>
      <c r="O1728" s="253"/>
      <c r="P1728" s="253"/>
      <c r="Q1728" s="253"/>
    </row>
    <row r="1729" spans="1:17">
      <c r="A1729" s="253"/>
      <c r="B1729" s="253"/>
      <c r="C1729" s="253"/>
      <c r="D1729" s="253"/>
      <c r="E1729" s="253"/>
      <c r="F1729" s="253"/>
      <c r="G1729" s="253"/>
      <c r="H1729" s="253"/>
      <c r="I1729" s="253"/>
      <c r="J1729" s="253"/>
      <c r="K1729" s="253"/>
      <c r="L1729" s="253"/>
      <c r="M1729" s="253"/>
      <c r="N1729" s="253"/>
      <c r="O1729" s="253"/>
      <c r="P1729" s="253"/>
      <c r="Q1729" s="253"/>
    </row>
    <row r="1730" spans="1:17">
      <c r="A1730" s="253"/>
      <c r="B1730" s="253"/>
      <c r="C1730" s="253"/>
      <c r="D1730" s="253"/>
      <c r="E1730" s="253"/>
      <c r="F1730" s="253"/>
      <c r="G1730" s="253"/>
      <c r="H1730" s="253"/>
      <c r="I1730" s="253"/>
      <c r="J1730" s="253"/>
      <c r="K1730" s="253"/>
      <c r="L1730" s="253"/>
      <c r="M1730" s="253"/>
      <c r="N1730" s="253"/>
      <c r="O1730" s="253"/>
      <c r="P1730" s="253"/>
      <c r="Q1730" s="253"/>
    </row>
    <row r="1731" spans="1:17">
      <c r="A1731" s="253"/>
      <c r="B1731" s="253"/>
      <c r="C1731" s="253"/>
      <c r="D1731" s="253"/>
      <c r="E1731" s="253"/>
      <c r="F1731" s="253"/>
      <c r="G1731" s="253"/>
      <c r="H1731" s="253"/>
      <c r="I1731" s="253"/>
      <c r="J1731" s="253"/>
      <c r="K1731" s="253"/>
      <c r="L1731" s="253"/>
      <c r="M1731" s="253"/>
      <c r="N1731" s="253"/>
      <c r="O1731" s="253"/>
      <c r="P1731" s="253"/>
      <c r="Q1731" s="253"/>
    </row>
    <row r="1732" spans="1:17">
      <c r="A1732" s="253"/>
      <c r="B1732" s="253"/>
      <c r="C1732" s="253"/>
      <c r="D1732" s="253"/>
      <c r="E1732" s="253"/>
      <c r="F1732" s="253"/>
      <c r="G1732" s="253"/>
      <c r="H1732" s="253"/>
      <c r="I1732" s="253"/>
      <c r="J1732" s="253"/>
      <c r="K1732" s="253"/>
      <c r="L1732" s="253"/>
      <c r="M1732" s="253"/>
      <c r="N1732" s="253"/>
      <c r="O1732" s="253"/>
      <c r="P1732" s="253"/>
      <c r="Q1732" s="253"/>
    </row>
    <row r="1733" spans="1:17">
      <c r="A1733" s="253"/>
      <c r="B1733" s="253"/>
      <c r="C1733" s="253"/>
      <c r="D1733" s="253"/>
      <c r="E1733" s="253"/>
      <c r="F1733" s="253"/>
      <c r="G1733" s="253"/>
      <c r="H1733" s="253"/>
      <c r="I1733" s="253"/>
      <c r="J1733" s="253"/>
      <c r="K1733" s="253"/>
      <c r="L1733" s="253"/>
      <c r="M1733" s="253"/>
      <c r="N1733" s="253"/>
      <c r="O1733" s="253"/>
      <c r="P1733" s="253"/>
      <c r="Q1733" s="253"/>
    </row>
    <row r="1734" spans="1:17">
      <c r="A1734" s="253"/>
      <c r="B1734" s="253"/>
      <c r="C1734" s="253"/>
      <c r="D1734" s="253"/>
      <c r="E1734" s="253"/>
      <c r="F1734" s="253"/>
      <c r="G1734" s="253"/>
      <c r="H1734" s="253"/>
      <c r="I1734" s="253"/>
      <c r="J1734" s="253"/>
      <c r="K1734" s="253"/>
      <c r="L1734" s="253"/>
      <c r="M1734" s="253"/>
      <c r="N1734" s="253"/>
      <c r="O1734" s="253"/>
      <c r="P1734" s="253"/>
      <c r="Q1734" s="253"/>
    </row>
    <row r="1735" spans="1:17">
      <c r="A1735" s="253"/>
      <c r="B1735" s="253"/>
      <c r="C1735" s="253"/>
      <c r="D1735" s="253"/>
      <c r="E1735" s="253"/>
      <c r="F1735" s="253"/>
      <c r="G1735" s="253"/>
      <c r="H1735" s="253"/>
      <c r="I1735" s="253"/>
      <c r="J1735" s="253"/>
      <c r="K1735" s="253"/>
      <c r="L1735" s="253"/>
      <c r="M1735" s="253"/>
      <c r="N1735" s="253"/>
      <c r="O1735" s="253"/>
      <c r="P1735" s="253"/>
      <c r="Q1735" s="253"/>
    </row>
    <row r="1736" spans="1:17">
      <c r="A1736" s="253"/>
      <c r="B1736" s="253"/>
      <c r="C1736" s="253"/>
      <c r="D1736" s="253"/>
      <c r="E1736" s="253"/>
      <c r="F1736" s="253"/>
      <c r="G1736" s="253"/>
      <c r="H1736" s="253"/>
      <c r="I1736" s="253"/>
      <c r="J1736" s="253"/>
      <c r="K1736" s="253"/>
      <c r="L1736" s="253"/>
      <c r="M1736" s="253"/>
      <c r="N1736" s="253"/>
      <c r="O1736" s="253"/>
      <c r="P1736" s="253"/>
      <c r="Q1736" s="253"/>
    </row>
    <row r="1737" spans="1:17">
      <c r="A1737" s="253"/>
      <c r="B1737" s="253"/>
      <c r="C1737" s="253"/>
      <c r="D1737" s="253"/>
      <c r="E1737" s="253"/>
      <c r="F1737" s="253"/>
      <c r="G1737" s="253"/>
      <c r="H1737" s="253"/>
      <c r="I1737" s="253"/>
      <c r="J1737" s="253"/>
      <c r="K1737" s="253"/>
      <c r="L1737" s="253"/>
      <c r="M1737" s="253"/>
      <c r="N1737" s="253"/>
      <c r="O1737" s="253"/>
      <c r="P1737" s="253"/>
      <c r="Q1737" s="253"/>
    </row>
    <row r="1738" spans="1:17">
      <c r="A1738" s="253"/>
      <c r="B1738" s="253"/>
      <c r="C1738" s="253"/>
      <c r="D1738" s="253"/>
      <c r="E1738" s="253"/>
      <c r="F1738" s="253"/>
      <c r="G1738" s="253"/>
      <c r="H1738" s="253"/>
      <c r="I1738" s="253"/>
      <c r="J1738" s="253"/>
      <c r="K1738" s="253"/>
      <c r="L1738" s="253"/>
      <c r="M1738" s="253"/>
      <c r="N1738" s="253"/>
      <c r="O1738" s="253"/>
      <c r="P1738" s="253"/>
      <c r="Q1738" s="253"/>
    </row>
    <row r="1739" spans="1:17">
      <c r="A1739" s="253"/>
      <c r="B1739" s="253"/>
      <c r="C1739" s="253"/>
      <c r="D1739" s="253"/>
      <c r="E1739" s="253"/>
      <c r="F1739" s="253"/>
      <c r="G1739" s="253"/>
      <c r="H1739" s="253"/>
      <c r="I1739" s="253"/>
      <c r="J1739" s="253"/>
      <c r="K1739" s="253"/>
      <c r="L1739" s="253"/>
      <c r="M1739" s="253"/>
      <c r="N1739" s="253"/>
      <c r="O1739" s="253"/>
      <c r="P1739" s="253"/>
      <c r="Q1739" s="253"/>
    </row>
    <row r="1740" spans="1:17">
      <c r="A1740" s="253"/>
      <c r="B1740" s="253"/>
      <c r="C1740" s="253"/>
      <c r="D1740" s="253"/>
      <c r="E1740" s="253"/>
      <c r="F1740" s="253"/>
      <c r="G1740" s="253"/>
      <c r="H1740" s="253"/>
      <c r="I1740" s="253"/>
      <c r="J1740" s="253"/>
      <c r="K1740" s="253"/>
      <c r="L1740" s="253"/>
      <c r="M1740" s="253"/>
      <c r="N1740" s="253"/>
      <c r="O1740" s="253"/>
      <c r="P1740" s="253"/>
      <c r="Q1740" s="253"/>
    </row>
    <row r="1741" spans="1:17">
      <c r="A1741" s="253"/>
      <c r="B1741" s="253"/>
      <c r="C1741" s="253"/>
      <c r="D1741" s="253"/>
      <c r="E1741" s="253"/>
      <c r="F1741" s="253"/>
      <c r="G1741" s="253"/>
      <c r="H1741" s="253"/>
      <c r="I1741" s="253"/>
      <c r="J1741" s="253"/>
      <c r="K1741" s="253"/>
      <c r="L1741" s="253"/>
      <c r="M1741" s="253"/>
      <c r="N1741" s="253"/>
      <c r="O1741" s="253"/>
      <c r="P1741" s="253"/>
      <c r="Q1741" s="253"/>
    </row>
    <row r="1742" spans="1:17">
      <c r="A1742" s="253"/>
      <c r="B1742" s="253"/>
      <c r="C1742" s="253"/>
      <c r="D1742" s="253"/>
      <c r="E1742" s="253"/>
      <c r="F1742" s="253"/>
      <c r="G1742" s="253"/>
      <c r="H1742" s="253"/>
      <c r="I1742" s="253"/>
      <c r="J1742" s="253"/>
      <c r="K1742" s="253"/>
      <c r="L1742" s="253"/>
      <c r="M1742" s="253"/>
      <c r="N1742" s="253"/>
      <c r="O1742" s="253"/>
      <c r="P1742" s="253"/>
      <c r="Q1742" s="253"/>
    </row>
    <row r="1743" spans="1:17">
      <c r="A1743" s="253"/>
      <c r="B1743" s="253"/>
      <c r="C1743" s="253"/>
      <c r="D1743" s="253"/>
      <c r="E1743" s="253"/>
      <c r="F1743" s="253"/>
      <c r="G1743" s="253"/>
      <c r="H1743" s="253"/>
      <c r="I1743" s="253"/>
      <c r="J1743" s="253"/>
      <c r="K1743" s="253"/>
      <c r="L1743" s="253"/>
      <c r="M1743" s="253"/>
      <c r="N1743" s="253"/>
      <c r="O1743" s="253"/>
      <c r="P1743" s="253"/>
      <c r="Q1743" s="253"/>
    </row>
    <row r="1744" spans="1:17">
      <c r="A1744" s="253"/>
      <c r="B1744" s="253"/>
      <c r="C1744" s="253"/>
      <c r="D1744" s="253"/>
      <c r="E1744" s="253"/>
      <c r="F1744" s="253"/>
      <c r="G1744" s="253"/>
      <c r="H1744" s="253"/>
      <c r="I1744" s="253"/>
      <c r="J1744" s="253"/>
      <c r="K1744" s="253"/>
      <c r="L1744" s="253"/>
      <c r="M1744" s="253"/>
      <c r="N1744" s="253"/>
      <c r="O1744" s="253"/>
      <c r="P1744" s="253"/>
      <c r="Q1744" s="253"/>
    </row>
  </sheetData>
  <mergeCells count="5">
    <mergeCell ref="C36:E36"/>
    <mergeCell ref="J36:J37"/>
    <mergeCell ref="K36:K37"/>
    <mergeCell ref="P36:P37"/>
    <mergeCell ref="Q36:Q37"/>
  </mergeCells>
  <phoneticPr fontId="7"/>
  <pageMargins left="0.7" right="0.7" top="0.75" bottom="0.75" header="0.3" footer="0.3"/>
  <pageSetup paperSize="9" orientation="portrait"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2:Y114"/>
  <sheetViews>
    <sheetView workbookViewId="0">
      <selection activeCell="N7" sqref="N7"/>
    </sheetView>
  </sheetViews>
  <sheetFormatPr defaultColWidth="9" defaultRowHeight="13.2"/>
  <cols>
    <col min="1" max="2" width="9" style="200"/>
    <col min="3" max="3" width="9.44140625" style="200" bestFit="1" customWidth="1"/>
    <col min="4" max="10" width="9" style="200"/>
    <col min="11" max="12" width="9.44140625" style="200" bestFit="1" customWidth="1"/>
    <col min="13" max="16384" width="9" style="200"/>
  </cols>
  <sheetData>
    <row r="2" spans="5:25" ht="13.8" thickBot="1">
      <c r="L2" s="643" t="s">
        <v>567</v>
      </c>
      <c r="M2" s="643" t="s">
        <v>568</v>
      </c>
    </row>
    <row r="3" spans="5:25" ht="13.8" thickBot="1">
      <c r="K3" s="262" t="s">
        <v>273</v>
      </c>
      <c r="L3" s="263">
        <f>【事例2】危険部品判断シート!R5</f>
        <v>18</v>
      </c>
      <c r="M3" s="263">
        <v>0.4</v>
      </c>
      <c r="O3" s="200" t="s">
        <v>274</v>
      </c>
      <c r="Q3" s="263">
        <v>30</v>
      </c>
    </row>
    <row r="4" spans="5:25" ht="13.8" thickBot="1">
      <c r="K4" s="200" t="s">
        <v>275</v>
      </c>
      <c r="L4" s="264">
        <f>【事例2】危険部品判断シート!R7</f>
        <v>5</v>
      </c>
      <c r="Q4" s="265"/>
    </row>
    <row r="5" spans="5:25">
      <c r="E5" s="200" t="s">
        <v>276</v>
      </c>
      <c r="H5" s="200" t="s">
        <v>203</v>
      </c>
      <c r="I5" s="200" t="s">
        <v>277</v>
      </c>
      <c r="J5" s="200" t="s">
        <v>253</v>
      </c>
      <c r="K5" s="200" t="s">
        <v>278</v>
      </c>
      <c r="L5" s="200" t="s">
        <v>279</v>
      </c>
      <c r="M5" s="200" t="s">
        <v>280</v>
      </c>
      <c r="N5" s="200" t="s">
        <v>281</v>
      </c>
      <c r="O5" s="200" t="s">
        <v>282</v>
      </c>
      <c r="P5" s="200" t="s">
        <v>283</v>
      </c>
      <c r="Q5" s="200" t="s">
        <v>284</v>
      </c>
      <c r="R5" s="200" t="s">
        <v>285</v>
      </c>
      <c r="S5" s="200" t="s">
        <v>286</v>
      </c>
      <c r="T5" s="200" t="s">
        <v>287</v>
      </c>
      <c r="U5" s="200" t="s">
        <v>288</v>
      </c>
      <c r="V5" s="200" t="s">
        <v>289</v>
      </c>
      <c r="W5" s="200" t="s">
        <v>290</v>
      </c>
      <c r="X5" s="200" t="s">
        <v>291</v>
      </c>
    </row>
    <row r="6" spans="5:25">
      <c r="E6" s="200" t="s">
        <v>292</v>
      </c>
      <c r="F6" s="200">
        <v>1</v>
      </c>
      <c r="G6" s="200">
        <f>J6*1000</f>
        <v>8</v>
      </c>
      <c r="H6" s="200">
        <f ca="1">X6</f>
        <v>0.15863365404593732</v>
      </c>
      <c r="I6" s="200">
        <v>2E-3</v>
      </c>
      <c r="J6" s="200">
        <f t="shared" ref="J6:J30" si="0">I6*4</f>
        <v>8.0000000000000002E-3</v>
      </c>
      <c r="K6" s="200">
        <f>I6+$L$4/1000*2</f>
        <v>1.2E-2</v>
      </c>
      <c r="L6" s="200">
        <f>K6^2*2</f>
        <v>2.8800000000000001E-4</v>
      </c>
      <c r="M6" s="200">
        <f ca="1">IF(【事例2】危険部品判断シート!$O$36=0,2.51*0.56*(O6/K6)^0.25+0.0000000567*$F$9*(($F$10+273+O6)^2+($F$10+273)^2)*(($F$10+273+O6)+($F$10+273)),3.86*(【事例2】危険部品判断シート!$O$36/K6)^0.5+0.0000000567*$F$9*(($F$10+273+O6)^2+($F$10+273)^2)*(($F$10+273+O6)+($F$10+273)))</f>
        <v>18.360376625687191</v>
      </c>
      <c r="N6" s="200">
        <f ca="1">1/L6/M6+$F$8/$M$3/L6</f>
        <v>203.0038669206788</v>
      </c>
      <c r="O6" s="200">
        <f ca="1">H6*N6</f>
        <v>32.203245195082459</v>
      </c>
      <c r="P6" s="200">
        <f>I6^2</f>
        <v>3.9999999999999998E-6</v>
      </c>
      <c r="Q6" s="200">
        <f>K6^2</f>
        <v>1.44E-4</v>
      </c>
      <c r="R6" s="200">
        <f>(PI()^1.5)/((Q6)^0.5)+1/(P6)^0.5</f>
        <v>964.02733306930907</v>
      </c>
      <c r="S6" s="200">
        <f t="shared" ref="S6:S30" si="1">$F$6*(Q6^0.5-P6^0.5)/($L$3*(PI()*Q6*P6)^0.5)</f>
        <v>13.059944063605471</v>
      </c>
      <c r="T6" s="200">
        <f t="shared" ref="T6:T30" ca="1" si="2">R6*$L$3*Q6*N6/$F$6</f>
        <v>507.25770850733483</v>
      </c>
      <c r="U6" s="200">
        <f t="shared" ref="U6:U30" si="3">TANH(R6*$F$8/$F$6)</f>
        <v>0.91253009128967677</v>
      </c>
      <c r="V6" s="200">
        <f ca="1">S6*(T6+U6)/(1+T6*U6)</f>
        <v>14.306634342254682</v>
      </c>
      <c r="W6" s="262">
        <f ca="1">N6+V6</f>
        <v>217.31050126293349</v>
      </c>
      <c r="X6" s="200">
        <f ca="1">L6*M6*$Q$3</f>
        <v>0.15863365404593732</v>
      </c>
      <c r="Y6" s="200">
        <f>J6*1000</f>
        <v>8</v>
      </c>
    </row>
    <row r="7" spans="5:25">
      <c r="G7" s="200">
        <f t="shared" ref="G7:G30" si="4">J7*1000</f>
        <v>16</v>
      </c>
      <c r="H7" s="200">
        <f ca="1">X7</f>
        <v>0.21135861879135992</v>
      </c>
      <c r="I7" s="200">
        <f>I6+0.002</f>
        <v>4.0000000000000001E-3</v>
      </c>
      <c r="J7" s="200">
        <f t="shared" si="0"/>
        <v>1.6E-2</v>
      </c>
      <c r="K7" s="200">
        <f t="shared" ref="K7:K30" si="5">I7+$L$4/1000*2</f>
        <v>1.4E-2</v>
      </c>
      <c r="L7" s="200">
        <f t="shared" ref="L7:L30" si="6">K7^2*2</f>
        <v>3.9200000000000004E-4</v>
      </c>
      <c r="M7" s="200">
        <f ca="1">IF(【事例2】危険部品判断シート!$O$36=0,2.51*0.56*(O7/K7)^0.25+0.0000000567*$F$9*(($F$10+273+O7)^2+($F$10+273)^2)*(($F$10+273+O7)+($F$10+273)),3.86*(【事例2】危険部品判断シート!$O$36/K7)^0.5+0.0000000567*$F$9*(($F$10+273+O7)^2+($F$10+273)^2)*(($F$10+273+O7)+($F$10+273)))</f>
        <v>17.972671665931966</v>
      </c>
      <c r="N7" s="200">
        <f t="shared" ref="N7:N30" ca="1" si="7">1/L7/M7+$F$8/$M$3/L7</f>
        <v>152.1429349973892</v>
      </c>
      <c r="O7" s="200">
        <f t="shared" ref="O7:O30" ca="1" si="8">H7*N7</f>
        <v>32.156720599911836</v>
      </c>
      <c r="P7" s="200">
        <f t="shared" ref="P7:P30" si="9">I7^2</f>
        <v>1.5999999999999999E-5</v>
      </c>
      <c r="Q7" s="200">
        <f t="shared" ref="Q7:Q30" si="10">K7^2</f>
        <v>1.9600000000000002E-4</v>
      </c>
      <c r="R7" s="200">
        <f t="shared" ref="R7:R30" si="11">(PI()^1.5)/((Q7)^0.5)+1/(P7)^0.5</f>
        <v>647.73771405940784</v>
      </c>
      <c r="S7" s="200">
        <f t="shared" si="1"/>
        <v>5.5971188844023443</v>
      </c>
      <c r="T7" s="200">
        <f t="shared" ca="1" si="2"/>
        <v>347.67987331315686</v>
      </c>
      <c r="U7" s="200">
        <f t="shared" si="3"/>
        <v>0.77645466972204769</v>
      </c>
      <c r="V7" s="200">
        <f t="shared" ref="V7:V30" ca="1" si="12">S7*(T7+U7)/(1+T7*U7)</f>
        <v>7.1979935355502134</v>
      </c>
      <c r="W7" s="262">
        <f t="shared" ref="W7:W30" ca="1" si="13">N7+V7</f>
        <v>159.34092853293942</v>
      </c>
      <c r="X7" s="200">
        <f t="shared" ref="X7:X30" ca="1" si="14">L7*M7*$Q$3</f>
        <v>0.21135861879135992</v>
      </c>
      <c r="Y7" s="200">
        <f t="shared" ref="Y7:Y30" si="15">J7*1000</f>
        <v>16</v>
      </c>
    </row>
    <row r="8" spans="5:25">
      <c r="E8" s="262" t="s">
        <v>293</v>
      </c>
      <c r="F8" s="266">
        <v>1.6000000000000001E-3</v>
      </c>
      <c r="G8" s="200">
        <f t="shared" si="4"/>
        <v>24</v>
      </c>
      <c r="H8" s="200">
        <f t="shared" ref="H8:H30" ca="1" si="16">X8</f>
        <v>0.27108719760123873</v>
      </c>
      <c r="I8" s="200">
        <f t="shared" ref="I8:I30" si="17">I7+0.002</f>
        <v>6.0000000000000001E-3</v>
      </c>
      <c r="J8" s="200">
        <f t="shared" si="0"/>
        <v>2.4E-2</v>
      </c>
      <c r="K8" s="200">
        <f t="shared" si="5"/>
        <v>1.6E-2</v>
      </c>
      <c r="L8" s="200">
        <f t="shared" si="6"/>
        <v>5.1199999999999998E-4</v>
      </c>
      <c r="M8" s="200">
        <f ca="1">IF(【事例2】危険部品判断シート!$O$36=0,2.51*0.56*(O8/K8)^0.25+0.0000000567*$F$9*(($F$10+273+O8)^2+($F$10+273)^2)*(($F$10+273+O8)+($F$10+273)),3.86*(【事例2】危険部品判断シート!$O$36/K8)^0.5+0.0000000567*$F$9*(($F$10+273+O8)^2+($F$10+273)^2)*(($F$10+273+O8)+($F$10+273)))</f>
        <v>17.648906093830639</v>
      </c>
      <c r="N8" s="200">
        <f t="shared" ca="1" si="7"/>
        <v>118.47799901824995</v>
      </c>
      <c r="O8" s="200">
        <f t="shared" ca="1" si="8"/>
        <v>32.117868731259691</v>
      </c>
      <c r="P8" s="200">
        <f t="shared" si="9"/>
        <v>3.6000000000000001E-5</v>
      </c>
      <c r="Q8" s="200">
        <f t="shared" si="10"/>
        <v>2.5599999999999999E-4</v>
      </c>
      <c r="R8" s="200">
        <f t="shared" si="11"/>
        <v>514.68716646864846</v>
      </c>
      <c r="S8" s="200">
        <f t="shared" si="1"/>
        <v>3.2649860159013677</v>
      </c>
      <c r="T8" s="200">
        <f t="shared" ca="1" si="2"/>
        <v>280.99171862128918</v>
      </c>
      <c r="U8" s="200">
        <f t="shared" si="3"/>
        <v>0.6769700699595429</v>
      </c>
      <c r="V8" s="200">
        <f t="shared" ca="1" si="12"/>
        <v>4.8092771762035529</v>
      </c>
      <c r="W8" s="262">
        <f t="shared" ca="1" si="13"/>
        <v>123.2872761944535</v>
      </c>
      <c r="X8" s="200">
        <f t="shared" ca="1" si="14"/>
        <v>0.27108719760123862</v>
      </c>
      <c r="Y8" s="200">
        <f t="shared" si="15"/>
        <v>24</v>
      </c>
    </row>
    <row r="9" spans="5:25">
      <c r="E9" s="262" t="s">
        <v>205</v>
      </c>
      <c r="F9" s="266">
        <f>【事例2】危険部品判断シート!P38</f>
        <v>0.9</v>
      </c>
      <c r="G9" s="200">
        <f t="shared" si="4"/>
        <v>32</v>
      </c>
      <c r="H9" s="200">
        <f t="shared" ca="1" si="16"/>
        <v>0.33771775696892031</v>
      </c>
      <c r="I9" s="200">
        <f t="shared" si="17"/>
        <v>8.0000000000000002E-3</v>
      </c>
      <c r="J9" s="200">
        <f t="shared" si="0"/>
        <v>3.2000000000000001E-2</v>
      </c>
      <c r="K9" s="200">
        <f t="shared" si="5"/>
        <v>1.8000000000000002E-2</v>
      </c>
      <c r="L9" s="200">
        <f t="shared" si="6"/>
        <v>6.4800000000000014E-4</v>
      </c>
      <c r="M9" s="200">
        <f ca="1">IF(【事例2】危険部品判断シート!$O$36=0,2.51*0.56*(O9/K9)^0.25+0.0000000567*$F$9*(($F$10+273+O9)^2+($F$10+273)^2)*(($F$10+273+O9)+($F$10+273)),3.86*(【事例2】危険部品判断シート!$O$36/K9)^0.5+0.0000000567*$F$9*(($F$10+273+O9)^2+($F$10+273)^2)*(($F$10+273+O9)+($F$10+273)))</f>
        <v>17.372312601281898</v>
      </c>
      <c r="N9" s="200">
        <f t="shared" ca="1" si="7"/>
        <v>95.004413745133775</v>
      </c>
      <c r="O9" s="200">
        <f t="shared" ca="1" si="8"/>
        <v>32.084677512153839</v>
      </c>
      <c r="P9" s="200">
        <f t="shared" si="9"/>
        <v>6.3999999999999997E-5</v>
      </c>
      <c r="Q9" s="200">
        <f t="shared" si="10"/>
        <v>3.2400000000000007E-4</v>
      </c>
      <c r="R9" s="200">
        <f t="shared" si="11"/>
        <v>434.35155537953932</v>
      </c>
      <c r="S9" s="200">
        <f t="shared" si="1"/>
        <v>2.1766573439342456</v>
      </c>
      <c r="T9" s="200">
        <f t="shared" ca="1" si="2"/>
        <v>240.65931636919669</v>
      </c>
      <c r="U9" s="200">
        <f t="shared" si="3"/>
        <v>0.60116053184182494</v>
      </c>
      <c r="V9" s="200">
        <f t="shared" ca="1" si="12"/>
        <v>3.6048863015957817</v>
      </c>
      <c r="W9" s="262">
        <f t="shared" ca="1" si="13"/>
        <v>98.609300046729558</v>
      </c>
      <c r="X9" s="200">
        <f t="shared" ca="1" si="14"/>
        <v>0.33771775696892015</v>
      </c>
      <c r="Y9" s="200">
        <f t="shared" si="15"/>
        <v>32</v>
      </c>
    </row>
    <row r="10" spans="5:25">
      <c r="E10" s="266" t="s">
        <v>214</v>
      </c>
      <c r="F10" s="266">
        <f>【事例2】危険部品判断シート!M36</f>
        <v>53.738641163472607</v>
      </c>
      <c r="G10" s="200">
        <f t="shared" si="4"/>
        <v>40</v>
      </c>
      <c r="H10" s="200">
        <f t="shared" ca="1" si="16"/>
        <v>0.41116353352497559</v>
      </c>
      <c r="I10" s="200">
        <f t="shared" si="17"/>
        <v>0.01</v>
      </c>
      <c r="J10" s="200">
        <f t="shared" si="0"/>
        <v>0.04</v>
      </c>
      <c r="K10" s="200">
        <f t="shared" si="5"/>
        <v>0.02</v>
      </c>
      <c r="L10" s="200">
        <f t="shared" si="6"/>
        <v>8.0000000000000004E-4</v>
      </c>
      <c r="M10" s="200">
        <f ca="1">IF(【事例2】危険部品判断シート!$O$36=0,2.51*0.56*(O10/K10)^0.25+0.0000000567*$F$9*(($F$10+273+O10)^2+($F$10+273)^2)*(($F$10+273+O10)+($F$10+273)),3.86*(【事例2】危険部品判断シート!$O$36/K10)^0.5+0.0000000567*$F$9*(($F$10+273+O10)^2+($F$10+273)^2)*(($F$10+273+O10)+($F$10+273)))</f>
        <v>17.131813896873982</v>
      </c>
      <c r="N10" s="200">
        <f t="shared" ca="1" si="7"/>
        <v>77.963669085156582</v>
      </c>
      <c r="O10" s="200">
        <f t="shared" ca="1" si="8"/>
        <v>32.055817667624879</v>
      </c>
      <c r="P10" s="200">
        <f t="shared" si="9"/>
        <v>1E-4</v>
      </c>
      <c r="Q10" s="200">
        <f t="shared" si="10"/>
        <v>4.0000000000000002E-4</v>
      </c>
      <c r="R10" s="200">
        <f t="shared" si="11"/>
        <v>378.41639984158542</v>
      </c>
      <c r="S10" s="200">
        <f t="shared" si="1"/>
        <v>1.5671932876326564</v>
      </c>
      <c r="T10" s="200">
        <f t="shared" ca="1" si="2"/>
        <v>212.41966301024877</v>
      </c>
      <c r="U10" s="200">
        <f t="shared" si="3"/>
        <v>0.54092779792344237</v>
      </c>
      <c r="V10" s="200">
        <f t="shared" ca="1" si="12"/>
        <v>2.8795492022041689</v>
      </c>
      <c r="W10" s="262">
        <f t="shared" ca="1" si="13"/>
        <v>80.843218287360756</v>
      </c>
      <c r="X10" s="200">
        <f t="shared" ca="1" si="14"/>
        <v>0.41116353352497559</v>
      </c>
      <c r="Y10" s="200">
        <f t="shared" si="15"/>
        <v>40</v>
      </c>
    </row>
    <row r="11" spans="5:25">
      <c r="E11" s="262"/>
      <c r="F11" s="266"/>
      <c r="G11" s="200">
        <f t="shared" si="4"/>
        <v>48</v>
      </c>
      <c r="H11" s="200">
        <f t="shared" ca="1" si="16"/>
        <v>0.49134912116107021</v>
      </c>
      <c r="I11" s="200">
        <f t="shared" si="17"/>
        <v>1.2E-2</v>
      </c>
      <c r="J11" s="200">
        <f t="shared" si="0"/>
        <v>4.8000000000000001E-2</v>
      </c>
      <c r="K11" s="200">
        <f t="shared" si="5"/>
        <v>2.1999999999999999E-2</v>
      </c>
      <c r="L11" s="200">
        <f>K11^2*2</f>
        <v>9.6799999999999989E-4</v>
      </c>
      <c r="M11" s="200">
        <f ca="1">IF(【事例2】危険部品判断シート!$O$36=0,2.51*0.56*(O11/K11)^0.25+0.0000000567*$F$9*(($F$10+273+O11)^2+($F$10+273)^2)*(($F$10+273+O11)+($F$10+273)),3.86*(【事例2】危険部品判断シート!$O$36/K11)^0.5+0.0000000567*$F$9*(($F$10+273+O11)^2+($F$10+273)^2)*(($F$10+273+O11)+($F$10+273)))</f>
        <v>16.919735577171842</v>
      </c>
      <c r="N11" s="200">
        <f t="shared" ca="1" si="7"/>
        <v>65.188614143792634</v>
      </c>
      <c r="O11" s="200">
        <f t="shared" ca="1" si="8"/>
        <v>32.03036826926062</v>
      </c>
      <c r="P11" s="200">
        <f t="shared" si="9"/>
        <v>1.44E-4</v>
      </c>
      <c r="Q11" s="200">
        <f t="shared" si="10"/>
        <v>4.8399999999999995E-4</v>
      </c>
      <c r="R11" s="200">
        <f t="shared" si="11"/>
        <v>336.43915137113828</v>
      </c>
      <c r="S11" s="200">
        <f t="shared" si="1"/>
        <v>1.1872676421459516</v>
      </c>
      <c r="T11" s="200">
        <f t="shared" ca="1" si="2"/>
        <v>191.07160161216331</v>
      </c>
      <c r="U11" s="200">
        <f t="shared" si="3"/>
        <v>0.49170205506160097</v>
      </c>
      <c r="V11" s="200">
        <f t="shared" ca="1" si="12"/>
        <v>2.3953259109129426</v>
      </c>
      <c r="W11" s="262">
        <f t="shared" ca="1" si="13"/>
        <v>67.583940054705579</v>
      </c>
      <c r="X11" s="200">
        <f t="shared" ca="1" si="14"/>
        <v>0.49134912116107021</v>
      </c>
      <c r="Y11" s="200">
        <f t="shared" si="15"/>
        <v>48</v>
      </c>
    </row>
    <row r="12" spans="5:25">
      <c r="G12" s="200">
        <f t="shared" si="4"/>
        <v>56</v>
      </c>
      <c r="H12" s="200">
        <f t="shared" ca="1" si="16"/>
        <v>0.57820804497113176</v>
      </c>
      <c r="I12" s="200">
        <f t="shared" si="17"/>
        <v>1.4E-2</v>
      </c>
      <c r="J12" s="200">
        <f t="shared" si="0"/>
        <v>5.6000000000000001E-2</v>
      </c>
      <c r="K12" s="200">
        <f t="shared" si="5"/>
        <v>2.4E-2</v>
      </c>
      <c r="L12" s="200">
        <f t="shared" si="6"/>
        <v>1.152E-3</v>
      </c>
      <c r="M12" s="200">
        <f ca="1">IF(【事例2】危険部品判断シート!$O$36=0,2.51*0.56*(O12/K12)^0.25+0.0000000567*$F$9*(($F$10+273+O12)^2+($F$10+273)^2)*(($F$10+273+O12)+($F$10+273)),3.86*(【事例2】危険部品判断シート!$O$36/K12)^0.5+0.0000000567*$F$9*(($F$10+273+O12)^2+($F$10+273)^2)*(($F$10+273+O12)+($F$10+273)))</f>
        <v>16.730556856803581</v>
      </c>
      <c r="N12" s="200">
        <f t="shared" ca="1" si="7"/>
        <v>55.356661155440129</v>
      </c>
      <c r="O12" s="200">
        <f t="shared" ca="1" si="8"/>
        <v>32.007666822816432</v>
      </c>
      <c r="P12" s="200">
        <f t="shared" si="9"/>
        <v>1.9600000000000002E-4</v>
      </c>
      <c r="Q12" s="200">
        <f t="shared" si="10"/>
        <v>5.7600000000000001E-4</v>
      </c>
      <c r="R12" s="200">
        <f t="shared" si="11"/>
        <v>303.44223796322598</v>
      </c>
      <c r="S12" s="200">
        <f t="shared" si="1"/>
        <v>0.93285314740039071</v>
      </c>
      <c r="T12" s="200">
        <f t="shared" ca="1" si="2"/>
        <v>174.15698955794909</v>
      </c>
      <c r="U12" s="200">
        <f t="shared" si="3"/>
        <v>0.45064358951546418</v>
      </c>
      <c r="V12" s="200">
        <f t="shared" ca="1" si="12"/>
        <v>2.0492914406627656</v>
      </c>
      <c r="W12" s="262">
        <f t="shared" ca="1" si="13"/>
        <v>57.405952596102892</v>
      </c>
      <c r="X12" s="200">
        <f t="shared" ca="1" si="14"/>
        <v>0.57820804497113176</v>
      </c>
      <c r="Y12" s="200">
        <f t="shared" si="15"/>
        <v>56</v>
      </c>
    </row>
    <row r="13" spans="5:25">
      <c r="G13" s="200">
        <f t="shared" si="4"/>
        <v>64</v>
      </c>
      <c r="H13" s="200">
        <f t="shared" ca="1" si="16"/>
        <v>0.67168101988202078</v>
      </c>
      <c r="I13" s="200">
        <f t="shared" si="17"/>
        <v>1.6E-2</v>
      </c>
      <c r="J13" s="200">
        <f t="shared" si="0"/>
        <v>6.4000000000000001E-2</v>
      </c>
      <c r="K13" s="200">
        <f t="shared" si="5"/>
        <v>2.6000000000000002E-2</v>
      </c>
      <c r="L13" s="200">
        <f t="shared" si="6"/>
        <v>1.3520000000000003E-3</v>
      </c>
      <c r="M13" s="200">
        <f ca="1">IF(【事例2】危険部品判断シート!$O$36=0,2.51*0.56*(O13/K13)^0.25+0.0000000567*$F$9*(($F$10+273+O13)^2+($F$10+273)^2)*(($F$10+273+O13)+($F$10+273)),3.86*(【事例2】危険部品判断シート!$O$36/K13)^0.5+0.0000000567*$F$9*(($F$10+273+O13)^2+($F$10+273)^2)*(($F$10+273+O13)+($F$10+273)))</f>
        <v>16.560182935947253</v>
      </c>
      <c r="N13" s="200">
        <f t="shared" ca="1" si="7"/>
        <v>47.622637837722664</v>
      </c>
      <c r="O13" s="200">
        <f t="shared" ca="1" si="8"/>
        <v>31.987221952313671</v>
      </c>
      <c r="P13" s="200">
        <f t="shared" si="9"/>
        <v>2.5599999999999999E-4</v>
      </c>
      <c r="Q13" s="200">
        <f t="shared" si="10"/>
        <v>6.7600000000000017E-4</v>
      </c>
      <c r="R13" s="200">
        <f t="shared" si="11"/>
        <v>276.66646141660419</v>
      </c>
      <c r="S13" s="200">
        <f t="shared" si="1"/>
        <v>0.75345831136185404</v>
      </c>
      <c r="T13" s="200">
        <f t="shared" ca="1" si="2"/>
        <v>160.32053889121966</v>
      </c>
      <c r="U13" s="200">
        <f t="shared" si="3"/>
        <v>0.41585212525732529</v>
      </c>
      <c r="V13" s="200">
        <f t="shared" ca="1" si="12"/>
        <v>1.789697350840793</v>
      </c>
      <c r="W13" s="262">
        <f t="shared" ca="1" si="13"/>
        <v>49.412335188563453</v>
      </c>
      <c r="X13" s="200">
        <f t="shared" ca="1" si="14"/>
        <v>0.67168101988202078</v>
      </c>
      <c r="Y13" s="200">
        <f t="shared" si="15"/>
        <v>64</v>
      </c>
    </row>
    <row r="14" spans="5:25">
      <c r="G14" s="200">
        <f t="shared" si="4"/>
        <v>72.000000000000014</v>
      </c>
      <c r="H14" s="200">
        <f t="shared" ca="1" si="16"/>
        <v>0.77171466115942866</v>
      </c>
      <c r="I14" s="200">
        <f t="shared" si="17"/>
        <v>1.8000000000000002E-2</v>
      </c>
      <c r="J14" s="200">
        <f t="shared" si="0"/>
        <v>7.2000000000000008E-2</v>
      </c>
      <c r="K14" s="200">
        <f t="shared" si="5"/>
        <v>2.8000000000000004E-2</v>
      </c>
      <c r="L14" s="200">
        <f t="shared" si="6"/>
        <v>1.5680000000000004E-3</v>
      </c>
      <c r="M14" s="200">
        <f ca="1">IF(【事例2】危険部品判断シート!$O$36=0,2.51*0.56*(O14/K14)^0.25+0.0000000567*$F$9*(($F$10+273+O14)^2+($F$10+273)^2)*(($F$10+273+O14)+($F$10+273)),3.86*(【事例2】危険部品判断シート!$O$36/K14)^0.5+0.0000000567*$F$9*(($F$10+273+O14)^2+($F$10+273)^2)*(($F$10+273+O14)+($F$10+273)))</f>
        <v>16.405498749137511</v>
      </c>
      <c r="N14" s="200">
        <f t="shared" ca="1" si="7"/>
        <v>41.425492424708636</v>
      </c>
      <c r="O14" s="200">
        <f t="shared" ca="1" si="8"/>
        <v>31.968659849896504</v>
      </c>
      <c r="P14" s="200">
        <f t="shared" si="9"/>
        <v>3.2400000000000007E-4</v>
      </c>
      <c r="Q14" s="200">
        <f t="shared" si="10"/>
        <v>7.8400000000000019E-4</v>
      </c>
      <c r="R14" s="200">
        <f t="shared" si="11"/>
        <v>254.4244125852594</v>
      </c>
      <c r="S14" s="200">
        <f t="shared" si="1"/>
        <v>0.62190209826692722</v>
      </c>
      <c r="T14" s="200">
        <f t="shared" ca="1" si="2"/>
        <v>148.73563360349826</v>
      </c>
      <c r="U14" s="200">
        <f t="shared" si="3"/>
        <v>0.38598973202305409</v>
      </c>
      <c r="V14" s="200">
        <f t="shared" ca="1" si="12"/>
        <v>1.5877139518717502</v>
      </c>
      <c r="W14" s="262">
        <f t="shared" ca="1" si="13"/>
        <v>43.013206376580385</v>
      </c>
      <c r="X14" s="200">
        <f t="shared" ca="1" si="14"/>
        <v>0.77171466115942866</v>
      </c>
      <c r="Y14" s="200">
        <f t="shared" si="15"/>
        <v>72.000000000000014</v>
      </c>
    </row>
    <row r="15" spans="5:25">
      <c r="G15" s="200">
        <f t="shared" si="4"/>
        <v>80.000000000000014</v>
      </c>
      <c r="H15" s="200">
        <f t="shared" ca="1" si="16"/>
        <v>0.87826050462749794</v>
      </c>
      <c r="I15" s="200">
        <f t="shared" si="17"/>
        <v>2.0000000000000004E-2</v>
      </c>
      <c r="J15" s="200">
        <f t="shared" si="0"/>
        <v>8.0000000000000016E-2</v>
      </c>
      <c r="K15" s="200">
        <f t="shared" si="5"/>
        <v>3.0000000000000006E-2</v>
      </c>
      <c r="L15" s="200">
        <f t="shared" si="6"/>
        <v>1.8000000000000006E-3</v>
      </c>
      <c r="M15" s="200">
        <f ca="1">IF(【事例2】危険部品判断シート!$O$36=0,2.51*0.56*(O15/K15)^0.25+0.0000000567*$F$9*(($F$10+273+O15)^2+($F$10+273)^2)*(($F$10+273+O15)+($F$10+273)),3.86*(【事例2】危険部品判断シート!$O$36/K15)^0.5+0.0000000567*$F$9*(($F$10+273+O15)^2+($F$10+273)^2)*(($F$10+273+O15)+($F$10+273)))</f>
        <v>16.264083419027727</v>
      </c>
      <c r="N15" s="200">
        <f t="shared" ca="1" si="7"/>
        <v>36.3806522574247</v>
      </c>
      <c r="O15" s="200">
        <f t="shared" ca="1" si="8"/>
        <v>31.95169001028334</v>
      </c>
      <c r="P15" s="200">
        <f t="shared" si="9"/>
        <v>4.0000000000000018E-4</v>
      </c>
      <c r="Q15" s="200">
        <f t="shared" si="10"/>
        <v>9.000000000000003E-4</v>
      </c>
      <c r="R15" s="200">
        <f t="shared" si="11"/>
        <v>235.61093322772359</v>
      </c>
      <c r="S15" s="200">
        <f t="shared" si="1"/>
        <v>0.52239776254421877</v>
      </c>
      <c r="T15" s="200">
        <f t="shared" ca="1" si="2"/>
        <v>138.86120676284304</v>
      </c>
      <c r="U15" s="200">
        <f t="shared" si="3"/>
        <v>0.36007971902724906</v>
      </c>
      <c r="V15" s="200">
        <f t="shared" ca="1" si="12"/>
        <v>1.4260257602959139</v>
      </c>
      <c r="W15" s="262">
        <f t="shared" ca="1" si="13"/>
        <v>37.806678017720614</v>
      </c>
      <c r="X15" s="200">
        <f t="shared" ca="1" si="14"/>
        <v>0.87826050462749761</v>
      </c>
      <c r="Y15" s="200">
        <f t="shared" si="15"/>
        <v>80.000000000000014</v>
      </c>
    </row>
    <row r="16" spans="5:25">
      <c r="G16" s="200">
        <f t="shared" si="4"/>
        <v>88.000000000000028</v>
      </c>
      <c r="H16" s="200">
        <f t="shared" ca="1" si="16"/>
        <v>0.99127424593272584</v>
      </c>
      <c r="I16" s="200">
        <f t="shared" si="17"/>
        <v>2.2000000000000006E-2</v>
      </c>
      <c r="J16" s="200">
        <f t="shared" si="0"/>
        <v>8.8000000000000023E-2</v>
      </c>
      <c r="K16" s="200">
        <f t="shared" si="5"/>
        <v>3.2000000000000008E-2</v>
      </c>
      <c r="L16" s="200">
        <f t="shared" si="6"/>
        <v>2.0480000000000008E-3</v>
      </c>
      <c r="M16" s="200">
        <f ca="1">IF(【事例2】危険部品判断シート!$O$36=0,2.51*0.56*(O16/K16)^0.25+0.0000000567*$F$9*(($F$10+273+O16)^2+($F$10+273)^2)*(($F$10+273+O16)+($F$10+273)),3.86*(【事例2】危険部品判断シート!$O$36/K16)^0.5+0.0000000567*$F$9*(($F$10+273+O16)^2+($F$10+273)^2)*(($F$10+273+O16)+($F$10+273)))</f>
        <v>16.134020929894621</v>
      </c>
      <c r="N16" s="200">
        <f t="shared" ca="1" si="7"/>
        <v>32.217201892032953</v>
      </c>
      <c r="O16" s="200">
        <f t="shared" ca="1" si="8"/>
        <v>31.936082511587355</v>
      </c>
      <c r="P16" s="200">
        <f t="shared" si="9"/>
        <v>4.8400000000000027E-4</v>
      </c>
      <c r="Q16" s="200">
        <f t="shared" si="10"/>
        <v>1.0240000000000004E-3</v>
      </c>
      <c r="R16" s="200">
        <f t="shared" si="11"/>
        <v>219.4647953555363</v>
      </c>
      <c r="S16" s="200">
        <f t="shared" si="1"/>
        <v>0.44522536580473182</v>
      </c>
      <c r="T16" s="200">
        <f t="shared" ca="1" si="2"/>
        <v>130.32422314284463</v>
      </c>
      <c r="U16" s="200">
        <f t="shared" si="3"/>
        <v>0.3373894215775724</v>
      </c>
      <c r="V16" s="200">
        <f t="shared" ca="1" si="12"/>
        <v>1.2936145385565339</v>
      </c>
      <c r="W16" s="262">
        <f t="shared" ca="1" si="13"/>
        <v>33.510816430589486</v>
      </c>
      <c r="X16" s="200">
        <f t="shared" ca="1" si="14"/>
        <v>0.99127424593272584</v>
      </c>
      <c r="Y16" s="200">
        <f t="shared" si="15"/>
        <v>88.000000000000028</v>
      </c>
    </row>
    <row r="17" spans="3:25">
      <c r="G17" s="200">
        <f t="shared" si="4"/>
        <v>96.000000000000028</v>
      </c>
      <c r="H17" s="200">
        <f ca="1">X17</f>
        <v>1.1107151388857397</v>
      </c>
      <c r="I17" s="200">
        <f t="shared" si="17"/>
        <v>2.4000000000000007E-2</v>
      </c>
      <c r="J17" s="200">
        <f t="shared" si="0"/>
        <v>9.600000000000003E-2</v>
      </c>
      <c r="K17" s="200">
        <f t="shared" si="5"/>
        <v>3.4000000000000009E-2</v>
      </c>
      <c r="L17" s="200">
        <f t="shared" si="6"/>
        <v>2.3120000000000011E-3</v>
      </c>
      <c r="M17" s="200">
        <f ca="1">IF(【事例2】危険部品判断シート!$O$36=0,2.51*0.56*(O17/K17)^0.25+0.0000000567*$F$9*(($F$10+273+O17)^2+($F$10+273)^2)*(($F$10+273+O17)+($F$10+273)),3.86*(【事例2】危険部品判断シート!$O$36/K17)^0.5+0.0000000567*$F$9*(($F$10+273+O17)^2+($F$10+273)^2)*(($F$10+273+O17)+($F$10+273)))</f>
        <v>16.013770745180778</v>
      </c>
      <c r="N17" s="200">
        <f t="shared" ca="1" si="7"/>
        <v>28.739729361612234</v>
      </c>
      <c r="O17" s="200">
        <f t="shared" ca="1" si="8"/>
        <v>31.921652489421703</v>
      </c>
      <c r="P17" s="200">
        <f t="shared" si="9"/>
        <v>5.7600000000000034E-4</v>
      </c>
      <c r="Q17" s="200">
        <f t="shared" si="10"/>
        <v>1.1560000000000006E-3</v>
      </c>
      <c r="R17" s="200">
        <f t="shared" si="11"/>
        <v>205.44101951465805</v>
      </c>
      <c r="S17" s="200">
        <f t="shared" si="1"/>
        <v>0.38411600187074896</v>
      </c>
      <c r="T17" s="200">
        <f t="shared" ca="1" si="2"/>
        <v>122.85707600740444</v>
      </c>
      <c r="U17" s="200">
        <f t="shared" si="3"/>
        <v>0.3173572498856026</v>
      </c>
      <c r="V17" s="200">
        <f t="shared" ca="1" si="12"/>
        <v>1.1831398672910425</v>
      </c>
      <c r="W17" s="262">
        <f t="shared" ca="1" si="13"/>
        <v>29.922869228903277</v>
      </c>
      <c r="X17" s="200">
        <f ca="1">L17*M17*$Q$3</f>
        <v>1.1107151388857393</v>
      </c>
      <c r="Y17" s="200">
        <f t="shared" si="15"/>
        <v>96.000000000000028</v>
      </c>
    </row>
    <row r="18" spans="3:25">
      <c r="G18" s="200">
        <f t="shared" si="4"/>
        <v>104.00000000000004</v>
      </c>
      <c r="H18" s="200">
        <f ca="1">X18</f>
        <v>1.2365455119811593</v>
      </c>
      <c r="I18" s="200">
        <f t="shared" si="17"/>
        <v>2.6000000000000009E-2</v>
      </c>
      <c r="J18" s="200">
        <f t="shared" si="0"/>
        <v>0.10400000000000004</v>
      </c>
      <c r="K18" s="200">
        <f t="shared" si="5"/>
        <v>3.6000000000000011E-2</v>
      </c>
      <c r="L18" s="200">
        <f t="shared" si="6"/>
        <v>2.5920000000000014E-3</v>
      </c>
      <c r="M18" s="200">
        <f ca="1">IF(【事例2】危険部品判断シート!$O$36=0,2.51*0.56*(O18/K18)^0.25+0.0000000567*$F$9*(($F$10+273+O18)^2+($F$10+273)^2)*(($F$10+273+O18)+($F$10+273)),3.86*(【事例2】危険部品判断シート!$O$36/K18)^0.5+0.0000000567*$F$9*(($F$10+273+O18)^2+($F$10+273)^2)*(($F$10+273+O18)+($F$10+273)))</f>
        <v>15.90207705737086</v>
      </c>
      <c r="N18" s="200">
        <f t="shared" ca="1" si="7"/>
        <v>25.80434681758053</v>
      </c>
      <c r="O18" s="200">
        <f t="shared" ca="1" si="8"/>
        <v>31.908249246884512</v>
      </c>
      <c r="P18" s="200">
        <f t="shared" si="9"/>
        <v>6.7600000000000049E-4</v>
      </c>
      <c r="Q18" s="200">
        <f t="shared" si="10"/>
        <v>1.2960000000000007E-3</v>
      </c>
      <c r="R18" s="200">
        <f t="shared" si="11"/>
        <v>193.13731615130808</v>
      </c>
      <c r="S18" s="200">
        <f t="shared" si="1"/>
        <v>0.33487036060526831</v>
      </c>
      <c r="T18" s="200">
        <f t="shared" ca="1" si="2"/>
        <v>116.26167324677456</v>
      </c>
      <c r="U18" s="200">
        <f t="shared" si="3"/>
        <v>0.29954502429688962</v>
      </c>
      <c r="V18" s="200">
        <f t="shared" ca="1" si="12"/>
        <v>1.0895251145513383</v>
      </c>
      <c r="W18" s="262">
        <f t="shared" ca="1" si="13"/>
        <v>26.893871932131869</v>
      </c>
      <c r="X18" s="200">
        <f ca="1">L18*M18*$Q$3</f>
        <v>1.2365455119811588</v>
      </c>
      <c r="Y18" s="200">
        <f t="shared" si="15"/>
        <v>104.00000000000004</v>
      </c>
    </row>
    <row r="19" spans="3:25">
      <c r="G19" s="200">
        <f t="shared" si="4"/>
        <v>112.00000000000004</v>
      </c>
      <c r="H19" s="200">
        <f t="shared" ca="1" si="16"/>
        <v>1.3687303744527735</v>
      </c>
      <c r="I19" s="200">
        <f t="shared" si="17"/>
        <v>2.8000000000000011E-2</v>
      </c>
      <c r="J19" s="200">
        <f t="shared" si="0"/>
        <v>0.11200000000000004</v>
      </c>
      <c r="K19" s="200">
        <f t="shared" si="5"/>
        <v>3.8000000000000013E-2</v>
      </c>
      <c r="L19" s="200">
        <f t="shared" si="6"/>
        <v>2.8880000000000021E-3</v>
      </c>
      <c r="M19" s="200">
        <f ca="1">IF(【事例2】危険部品判断シート!$O$36=0,2.51*0.56*(O19/K19)^0.25+0.0000000567*$F$9*(($F$10+273+O19)^2+($F$10+273)^2)*(($F$10+273+O19)+($F$10+273)),3.86*(【事例2】危険部品判断シート!$O$36/K19)^0.5+0.0000000567*$F$9*(($F$10+273+O19)^2+($F$10+273)^2)*(($F$10+273+O19)+($F$10+273)))</f>
        <v>15.797903675586017</v>
      </c>
      <c r="N19" s="200">
        <f t="shared" ca="1" si="7"/>
        <v>23.303164039025898</v>
      </c>
      <c r="O19" s="200">
        <f t="shared" ca="1" si="8"/>
        <v>31.895748441070321</v>
      </c>
      <c r="P19" s="200">
        <f t="shared" si="9"/>
        <v>7.8400000000000063E-4</v>
      </c>
      <c r="Q19" s="200">
        <f t="shared" si="10"/>
        <v>1.4440000000000011E-3</v>
      </c>
      <c r="R19" s="200">
        <f t="shared" si="11"/>
        <v>182.24923299933062</v>
      </c>
      <c r="S19" s="200">
        <f t="shared" si="1"/>
        <v>0.29458520444222852</v>
      </c>
      <c r="T19" s="200">
        <f t="shared" ca="1" si="2"/>
        <v>110.38760221664091</v>
      </c>
      <c r="U19" s="200">
        <f t="shared" si="3"/>
        <v>0.28360565836302504</v>
      </c>
      <c r="V19" s="200">
        <f t="shared" ca="1" si="12"/>
        <v>1.0091483556353675</v>
      </c>
      <c r="W19" s="262">
        <f t="shared" ca="1" si="13"/>
        <v>24.312312394661266</v>
      </c>
      <c r="X19" s="200">
        <f t="shared" ca="1" si="14"/>
        <v>1.3687303744527735</v>
      </c>
      <c r="Y19" s="200">
        <f t="shared" si="15"/>
        <v>112.00000000000004</v>
      </c>
    </row>
    <row r="20" spans="3:25">
      <c r="G20" s="200">
        <f t="shared" si="4"/>
        <v>120.00000000000006</v>
      </c>
      <c r="H20" s="200">
        <f t="shared" ca="1" si="16"/>
        <v>1.5072370913389483</v>
      </c>
      <c r="I20" s="200">
        <f t="shared" si="17"/>
        <v>3.0000000000000013E-2</v>
      </c>
      <c r="J20" s="200">
        <f t="shared" si="0"/>
        <v>0.12000000000000005</v>
      </c>
      <c r="K20" s="200">
        <f t="shared" si="5"/>
        <v>4.0000000000000015E-2</v>
      </c>
      <c r="L20" s="200">
        <f t="shared" si="6"/>
        <v>3.2000000000000023E-3</v>
      </c>
      <c r="M20" s="200">
        <f ca="1">IF(【事例2】危険部品判断シート!$O$36=0,2.51*0.56*(O20/K20)^0.25+0.0000000567*$F$9*(($F$10+273+O20)^2+($F$10+273)^2)*(($F$10+273+O20)+($F$10+273)),3.86*(【事例2】危険部品判断シート!$O$36/K20)^0.5+0.0000000567*$F$9*(($F$10+273+O20)^2+($F$10+273)^2)*(($F$10+273+O20)+($F$10+273)))</f>
        <v>15.700386368114032</v>
      </c>
      <c r="N20" s="200">
        <f t="shared" ca="1" si="7"/>
        <v>21.153968773319942</v>
      </c>
      <c r="O20" s="200">
        <f t="shared" ca="1" si="8"/>
        <v>31.884046364173692</v>
      </c>
      <c r="P20" s="200">
        <f t="shared" si="9"/>
        <v>9.0000000000000073E-4</v>
      </c>
      <c r="Q20" s="200">
        <f t="shared" si="10"/>
        <v>1.6000000000000012E-3</v>
      </c>
      <c r="R20" s="200">
        <f t="shared" si="11"/>
        <v>172.54153325412599</v>
      </c>
      <c r="S20" s="200">
        <f t="shared" si="1"/>
        <v>0.26119888127210922</v>
      </c>
      <c r="T20" s="200">
        <f t="shared" ca="1" si="2"/>
        <v>105.11822034888563</v>
      </c>
      <c r="U20" s="200">
        <f t="shared" si="3"/>
        <v>0.2692605997557056</v>
      </c>
      <c r="V20" s="200">
        <f t="shared" ca="1" si="12"/>
        <v>0.93935670544430105</v>
      </c>
      <c r="W20" s="262">
        <f t="shared" ca="1" si="13"/>
        <v>22.093325478764243</v>
      </c>
      <c r="X20" s="200">
        <f t="shared" ca="1" si="14"/>
        <v>1.5072370913389481</v>
      </c>
      <c r="Y20" s="200">
        <f t="shared" si="15"/>
        <v>120.00000000000006</v>
      </c>
    </row>
    <row r="21" spans="3:25">
      <c r="G21" s="200">
        <f t="shared" si="4"/>
        <v>128.00000000000006</v>
      </c>
      <c r="H21" s="200">
        <f t="shared" ca="1" si="16"/>
        <v>1.6520351125508728</v>
      </c>
      <c r="I21" s="200">
        <f t="shared" si="17"/>
        <v>3.2000000000000015E-2</v>
      </c>
      <c r="J21" s="200">
        <f t="shared" si="0"/>
        <v>0.12800000000000006</v>
      </c>
      <c r="K21" s="200">
        <f t="shared" si="5"/>
        <v>4.2000000000000016E-2</v>
      </c>
      <c r="L21" s="200">
        <f t="shared" si="6"/>
        <v>3.5280000000000029E-3</v>
      </c>
      <c r="M21" s="200">
        <f ca="1">IF(【事例2】危険部品判断シート!$O$36=0,2.51*0.56*(O21/K21)^0.25+0.0000000567*$F$9*(($F$10+273+O21)^2+($F$10+273)^2)*(($F$10+273+O21)+($F$10+273)),3.86*(【事例2】危険部品判断シート!$O$36/K21)^0.5+0.0000000567*$F$9*(($F$10+273+O21)^2+($F$10+273)^2)*(($F$10+273+O21)+($F$10+273)))</f>
        <v>15.608797359702109</v>
      </c>
      <c r="N21" s="200">
        <f t="shared" ca="1" si="7"/>
        <v>19.293207172788076</v>
      </c>
      <c r="O21" s="200">
        <f t="shared" ca="1" si="8"/>
        <v>31.873055683164257</v>
      </c>
      <c r="P21" s="200">
        <f t="shared" si="9"/>
        <v>1.024000000000001E-3</v>
      </c>
      <c r="Q21" s="200">
        <f t="shared" si="10"/>
        <v>1.7640000000000015E-3</v>
      </c>
      <c r="R21" s="200">
        <f t="shared" si="11"/>
        <v>163.82923801980252</v>
      </c>
      <c r="S21" s="200">
        <f t="shared" si="1"/>
        <v>0.23321328685009748</v>
      </c>
      <c r="T21" s="200">
        <f t="shared" ca="1" si="2"/>
        <v>100.3614494877751</v>
      </c>
      <c r="U21" s="200">
        <f t="shared" si="3"/>
        <v>0.25628370432311187</v>
      </c>
      <c r="V21" s="200">
        <f t="shared" ca="1" si="12"/>
        <v>0.878162820258236</v>
      </c>
      <c r="W21" s="262">
        <f t="shared" ca="1" si="13"/>
        <v>20.171369993046312</v>
      </c>
      <c r="X21" s="200">
        <f t="shared" ca="1" si="14"/>
        <v>1.6520351125508728</v>
      </c>
      <c r="Y21" s="200">
        <f t="shared" si="15"/>
        <v>128.00000000000006</v>
      </c>
    </row>
    <row r="22" spans="3:25">
      <c r="G22" s="200">
        <f t="shared" si="4"/>
        <v>136.00000000000006</v>
      </c>
      <c r="H22" s="200">
        <f t="shared" ca="1" si="16"/>
        <v>1.803095744773308</v>
      </c>
      <c r="I22" s="200">
        <f t="shared" si="17"/>
        <v>3.4000000000000016E-2</v>
      </c>
      <c r="J22" s="200">
        <f t="shared" si="0"/>
        <v>0.13600000000000007</v>
      </c>
      <c r="K22" s="200">
        <f t="shared" si="5"/>
        <v>4.4000000000000018E-2</v>
      </c>
      <c r="L22" s="200">
        <f t="shared" si="6"/>
        <v>3.872000000000003E-3</v>
      </c>
      <c r="M22" s="200">
        <f ca="1">IF(【事例2】危険部品判断シート!$O$36=0,2.51*0.56*(O22/K22)^0.25+0.0000000567*$F$9*(($F$10+273+O22)^2+($F$10+273)^2)*(($F$10+273+O22)+($F$10+273)),3.86*(【事例2】危険部品判断シート!$O$36/K22)^0.5+0.0000000567*$F$9*(($F$10+273+O22)^2+($F$10+273)^2)*(($F$10+273+O22)+($F$10+273)))</f>
        <v>15.52251846395753</v>
      </c>
      <c r="N22" s="200">
        <f t="shared" ca="1" si="7"/>
        <v>17.671109428346416</v>
      </c>
      <c r="O22" s="200">
        <f t="shared" ca="1" si="8"/>
        <v>31.862702215674904</v>
      </c>
      <c r="P22" s="200">
        <f t="shared" si="9"/>
        <v>1.1560000000000012E-3</v>
      </c>
      <c r="Q22" s="200">
        <f t="shared" si="10"/>
        <v>1.9360000000000015E-3</v>
      </c>
      <c r="R22" s="200">
        <f t="shared" si="11"/>
        <v>155.96467372478477</v>
      </c>
      <c r="S22" s="200">
        <f t="shared" si="1"/>
        <v>0.20951781920222662</v>
      </c>
      <c r="T22" s="200">
        <f t="shared" ca="1" si="2"/>
        <v>96.043486112060904</v>
      </c>
      <c r="U22" s="200">
        <f t="shared" si="3"/>
        <v>0.24448947694923887</v>
      </c>
      <c r="V22" s="200">
        <f t="shared" ca="1" si="12"/>
        <v>0.82404862395443157</v>
      </c>
      <c r="W22" s="262">
        <f t="shared" ca="1" si="13"/>
        <v>18.495158052300848</v>
      </c>
      <c r="X22" s="200">
        <f t="shared" ca="1" si="14"/>
        <v>1.803095744773308</v>
      </c>
      <c r="Y22" s="200">
        <f t="shared" si="15"/>
        <v>136.00000000000006</v>
      </c>
    </row>
    <row r="23" spans="3:25">
      <c r="F23" s="267"/>
      <c r="G23" s="200">
        <f t="shared" si="4"/>
        <v>144.00000000000009</v>
      </c>
      <c r="H23" s="200">
        <f t="shared" ca="1" si="16"/>
        <v>1.9603919577503803</v>
      </c>
      <c r="I23" s="200">
        <f t="shared" si="17"/>
        <v>3.6000000000000018E-2</v>
      </c>
      <c r="J23" s="200">
        <f t="shared" si="0"/>
        <v>0.14400000000000007</v>
      </c>
      <c r="K23" s="200">
        <f t="shared" si="5"/>
        <v>4.600000000000002E-2</v>
      </c>
      <c r="L23" s="200">
        <f t="shared" si="6"/>
        <v>4.232000000000004E-3</v>
      </c>
      <c r="M23" s="200">
        <f ca="1">IF(【事例2】危険部品判断シート!$O$36=0,2.51*0.56*(O23/K23)^0.25+0.0000000567*$F$9*(($F$10+273+O23)^2+($F$10+273)^2)*(($F$10+273+O23)+($F$10+273)),3.86*(【事例2】危険部品判断シート!$O$36/K23)^0.5+0.0000000567*$F$9*(($F$10+273+O23)^2+($F$10+273)^2)*(($F$10+273+O23)+($F$10+273)))</f>
        <v>15.441020461171847</v>
      </c>
      <c r="N23" s="200">
        <f t="shared" ca="1" si="7"/>
        <v>16.248241750539009</v>
      </c>
      <c r="O23" s="200">
        <f t="shared" ca="1" si="8"/>
        <v>31.852922455340636</v>
      </c>
      <c r="P23" s="200">
        <f t="shared" si="9"/>
        <v>1.2960000000000014E-3</v>
      </c>
      <c r="Q23" s="200">
        <f t="shared" si="10"/>
        <v>2.116000000000002E-3</v>
      </c>
      <c r="R23" s="200">
        <f t="shared" si="11"/>
        <v>148.82838640455398</v>
      </c>
      <c r="S23" s="200">
        <f t="shared" si="1"/>
        <v>0.18927455164645593</v>
      </c>
      <c r="T23" s="200">
        <f t="shared" ca="1" si="2"/>
        <v>92.104386427410148</v>
      </c>
      <c r="U23" s="200">
        <f t="shared" si="3"/>
        <v>0.23372434888504259</v>
      </c>
      <c r="V23" s="200">
        <f t="shared" ca="1" si="12"/>
        <v>0.77583456436629028</v>
      </c>
      <c r="W23" s="262">
        <f t="shared" ca="1" si="13"/>
        <v>17.024076314905301</v>
      </c>
      <c r="X23" s="200">
        <f t="shared" ca="1" si="14"/>
        <v>1.9603919577503794</v>
      </c>
      <c r="Y23" s="200">
        <f t="shared" si="15"/>
        <v>144.00000000000009</v>
      </c>
    </row>
    <row r="24" spans="3:25">
      <c r="C24" s="265"/>
      <c r="F24" s="267"/>
      <c r="G24" s="200">
        <f t="shared" si="4"/>
        <v>152.00000000000009</v>
      </c>
      <c r="H24" s="200">
        <f t="shared" ca="1" si="16"/>
        <v>2.1238982184764299</v>
      </c>
      <c r="I24" s="200">
        <f t="shared" si="17"/>
        <v>3.800000000000002E-2</v>
      </c>
      <c r="J24" s="200">
        <f t="shared" si="0"/>
        <v>0.15200000000000008</v>
      </c>
      <c r="K24" s="200">
        <f t="shared" si="5"/>
        <v>4.8000000000000022E-2</v>
      </c>
      <c r="L24" s="200">
        <f t="shared" si="6"/>
        <v>4.6080000000000045E-3</v>
      </c>
      <c r="M24" s="200">
        <f ca="1">IF(【事例2】危険部品判断シート!$O$36=0,2.51*0.56*(O24/K24)^0.25+0.0000000567*$F$9*(($F$10+273+O24)^2+($F$10+273)^2)*(($F$10+273+O24)+($F$10+273)),3.86*(【事例2】危険部品判断シート!$O$36/K24)^0.5+0.0000000567*$F$9*(($F$10+273+O24)^2+($F$10+273)^2)*(($F$10+273+O24)+($F$10+273)))</f>
        <v>15.363847066525086</v>
      </c>
      <c r="N24" s="200">
        <f t="shared" ca="1" si="7"/>
        <v>14.993026205759492</v>
      </c>
      <c r="O24" s="200">
        <f t="shared" ca="1" si="8"/>
        <v>31.843661647983012</v>
      </c>
      <c r="P24" s="200">
        <f t="shared" si="9"/>
        <v>1.4440000000000015E-3</v>
      </c>
      <c r="Q24" s="200">
        <f t="shared" si="10"/>
        <v>2.3040000000000022E-3</v>
      </c>
      <c r="R24" s="200">
        <f t="shared" si="11"/>
        <v>142.3226227410114</v>
      </c>
      <c r="S24" s="200">
        <f t="shared" si="1"/>
        <v>0.17184136925796659</v>
      </c>
      <c r="T24" s="200">
        <f t="shared" ca="1" si="2"/>
        <v>88.494895005030926</v>
      </c>
      <c r="U24" s="200">
        <f t="shared" si="3"/>
        <v>0.22386011000054215</v>
      </c>
      <c r="V24" s="200">
        <f t="shared" ca="1" si="12"/>
        <v>0.73259024331261158</v>
      </c>
      <c r="W24" s="262">
        <f t="shared" ca="1" si="13"/>
        <v>15.725616449072103</v>
      </c>
      <c r="X24" s="200">
        <f t="shared" ca="1" si="14"/>
        <v>2.1238982184764299</v>
      </c>
      <c r="Y24" s="200">
        <f t="shared" si="15"/>
        <v>152.00000000000009</v>
      </c>
    </row>
    <row r="25" spans="3:25">
      <c r="G25" s="200">
        <f t="shared" si="4"/>
        <v>160.00000000000009</v>
      </c>
      <c r="H25" s="200">
        <f t="shared" ca="1" si="16"/>
        <v>2.2935903482569082</v>
      </c>
      <c r="I25" s="200">
        <f t="shared" si="17"/>
        <v>4.0000000000000022E-2</v>
      </c>
      <c r="J25" s="200">
        <f t="shared" si="0"/>
        <v>0.16000000000000009</v>
      </c>
      <c r="K25" s="200">
        <f t="shared" si="5"/>
        <v>5.0000000000000024E-2</v>
      </c>
      <c r="L25" s="200">
        <f t="shared" si="6"/>
        <v>5.0000000000000044E-3</v>
      </c>
      <c r="M25" s="200">
        <f ca="1">IF(【事例2】危険部品判断シート!$O$36=0,2.51*0.56*(O25/K25)^0.25+0.0000000567*$F$9*(($F$10+273+O25)^2+($F$10+273)^2)*(($F$10+273+O25)+($F$10+273)),3.86*(【事例2】危険部品判断シート!$O$36/K25)^0.5+0.0000000567*$F$9*(($F$10+273+O25)^2+($F$10+273)^2)*(($F$10+273+O25)+($F$10+273)))</f>
        <v>15.290602321712708</v>
      </c>
      <c r="N25" s="200">
        <f t="shared" ca="1" si="7"/>
        <v>13.879929475112901</v>
      </c>
      <c r="O25" s="200">
        <f t="shared" ca="1" si="8"/>
        <v>31.834872278605523</v>
      </c>
      <c r="P25" s="200">
        <f t="shared" si="9"/>
        <v>1.6000000000000018E-3</v>
      </c>
      <c r="Q25" s="200">
        <f t="shared" si="10"/>
        <v>2.5000000000000022E-3</v>
      </c>
      <c r="R25" s="200">
        <f t="shared" si="11"/>
        <v>136.3665599366341</v>
      </c>
      <c r="S25" s="200">
        <f t="shared" si="1"/>
        <v>0.1567193287632655</v>
      </c>
      <c r="T25" s="200">
        <f t="shared" ca="1" si="2"/>
        <v>85.174120560790769</v>
      </c>
      <c r="U25" s="200">
        <f t="shared" si="3"/>
        <v>0.21478889752092473</v>
      </c>
      <c r="V25" s="200">
        <f t="shared" ca="1" si="12"/>
        <v>0.69357192313783356</v>
      </c>
      <c r="W25" s="262">
        <f t="shared" ca="1" si="13"/>
        <v>14.573501398250734</v>
      </c>
      <c r="X25" s="200">
        <f t="shared" ca="1" si="14"/>
        <v>2.2935903482569082</v>
      </c>
      <c r="Y25" s="200">
        <f t="shared" si="15"/>
        <v>160.00000000000009</v>
      </c>
    </row>
    <row r="26" spans="3:25">
      <c r="G26" s="200">
        <f t="shared" si="4"/>
        <v>168.00000000000009</v>
      </c>
      <c r="H26" s="200">
        <f t="shared" ca="1" si="16"/>
        <v>2.4694453986811453</v>
      </c>
      <c r="I26" s="200">
        <f t="shared" si="17"/>
        <v>4.2000000000000023E-2</v>
      </c>
      <c r="J26" s="200">
        <f t="shared" si="0"/>
        <v>0.16800000000000009</v>
      </c>
      <c r="K26" s="200">
        <f t="shared" si="5"/>
        <v>5.2000000000000025E-2</v>
      </c>
      <c r="L26" s="200">
        <f t="shared" si="6"/>
        <v>5.4080000000000057E-3</v>
      </c>
      <c r="M26" s="200">
        <f ca="1">IF(【事例2】危険部品判断シート!$O$36=0,2.51*0.56*(O26/K26)^0.25+0.0000000567*$F$9*(($F$10+273+O26)^2+($F$10+273)^2)*(($F$10+273+O26)+($F$10+273)),3.86*(【事例2】危険部品判断シート!$O$36/K26)^0.5+0.0000000567*$F$9*(($F$10+273+O26)^2+($F$10+273)^2)*(($F$10+273+O26)+($F$10+273)))</f>
        <v>15.220940573724986</v>
      </c>
      <c r="N26" s="200">
        <f t="shared" ca="1" si="7"/>
        <v>12.888121715849467</v>
      </c>
      <c r="O26" s="200">
        <f t="shared" ca="1" si="8"/>
        <v>31.826512868847011</v>
      </c>
      <c r="P26" s="200">
        <f t="shared" si="9"/>
        <v>1.7640000000000019E-3</v>
      </c>
      <c r="Q26" s="200">
        <f t="shared" si="10"/>
        <v>2.7040000000000028E-3</v>
      </c>
      <c r="R26" s="200">
        <f t="shared" si="11"/>
        <v>130.89275451782584</v>
      </c>
      <c r="S26" s="200">
        <f t="shared" si="1"/>
        <v>0.14351586883082923</v>
      </c>
      <c r="T26" s="200">
        <f t="shared" ca="1" si="2"/>
        <v>82.107802390839637</v>
      </c>
      <c r="U26" s="200">
        <f t="shared" si="3"/>
        <v>0.20641932653849454</v>
      </c>
      <c r="V26" s="200">
        <f t="shared" ca="1" si="12"/>
        <v>0.65817793669638924</v>
      </c>
      <c r="W26" s="262">
        <f t="shared" ca="1" si="13"/>
        <v>13.546299652545857</v>
      </c>
      <c r="X26" s="200">
        <f t="shared" ca="1" si="14"/>
        <v>2.4694453986811444</v>
      </c>
      <c r="Y26" s="200">
        <f t="shared" si="15"/>
        <v>168.00000000000009</v>
      </c>
    </row>
    <row r="27" spans="3:25">
      <c r="C27" s="268"/>
      <c r="G27" s="200">
        <f t="shared" si="4"/>
        <v>176.00000000000011</v>
      </c>
      <c r="H27" s="200">
        <f t="shared" ca="1" si="16"/>
        <v>2.6514415433621865</v>
      </c>
      <c r="I27" s="200">
        <f t="shared" si="17"/>
        <v>4.4000000000000025E-2</v>
      </c>
      <c r="J27" s="200">
        <f t="shared" si="0"/>
        <v>0.1760000000000001</v>
      </c>
      <c r="K27" s="200">
        <f t="shared" si="5"/>
        <v>5.4000000000000027E-2</v>
      </c>
      <c r="L27" s="200">
        <f t="shared" si="6"/>
        <v>5.8320000000000056E-3</v>
      </c>
      <c r="M27" s="200">
        <f ca="1">IF(【事例2】危険部品判断シート!$O$36=0,2.51*0.56*(O27/K27)^0.25+0.0000000567*$F$9*(($F$10+273+O27)^2+($F$10+273)^2)*(($F$10+273+O27)+($F$10+273)),3.86*(【事例2】危険部品判断シート!$O$36/K27)^0.5+0.0000000567*$F$9*(($F$10+273+O27)^2+($F$10+273)^2)*(($F$10+273+O27)+($F$10+273)))</f>
        <v>15.154558432568496</v>
      </c>
      <c r="N27" s="200">
        <f t="shared" ca="1" si="7"/>
        <v>12.000470872746604</v>
      </c>
      <c r="O27" s="200">
        <f t="shared" ca="1" si="8"/>
        <v>31.818547011908219</v>
      </c>
      <c r="P27" s="200">
        <f t="shared" si="9"/>
        <v>1.9360000000000022E-3</v>
      </c>
      <c r="Q27" s="200">
        <f t="shared" si="10"/>
        <v>2.9160000000000028E-3</v>
      </c>
      <c r="R27" s="200">
        <f t="shared" si="11"/>
        <v>125.8444578537858</v>
      </c>
      <c r="S27" s="200">
        <f t="shared" si="1"/>
        <v>0.13191862690510567</v>
      </c>
      <c r="T27" s="200">
        <f t="shared" ca="1" si="2"/>
        <v>79.266997112962997</v>
      </c>
      <c r="U27" s="200">
        <f t="shared" si="3"/>
        <v>0.19867346971582525</v>
      </c>
      <c r="V27" s="200">
        <f t="shared" ca="1" si="12"/>
        <v>0.62591629310310104</v>
      </c>
      <c r="W27" s="262">
        <f t="shared" ca="1" si="13"/>
        <v>12.626387165849705</v>
      </c>
      <c r="X27" s="200">
        <f t="shared" ca="1" si="14"/>
        <v>2.6514415433621865</v>
      </c>
      <c r="Y27" s="200">
        <f t="shared" si="15"/>
        <v>176.00000000000011</v>
      </c>
    </row>
    <row r="28" spans="3:25">
      <c r="G28" s="200">
        <f t="shared" si="4"/>
        <v>184.00000000000011</v>
      </c>
      <c r="H28" s="200">
        <f t="shared" ca="1" si="16"/>
        <v>2.8395579829207125</v>
      </c>
      <c r="I28" s="200">
        <f t="shared" si="17"/>
        <v>4.6000000000000027E-2</v>
      </c>
      <c r="J28" s="200">
        <f t="shared" si="0"/>
        <v>0.18400000000000011</v>
      </c>
      <c r="K28" s="200">
        <f t="shared" si="5"/>
        <v>5.6000000000000029E-2</v>
      </c>
      <c r="L28" s="200">
        <f t="shared" si="6"/>
        <v>6.2720000000000067E-3</v>
      </c>
      <c r="M28" s="200">
        <f ca="1">IF(【事例2】危険部品判断シート!$O$36=0,2.51*0.56*(O28/K28)^0.25+0.0000000567*$F$9*(($F$10+273+O28)^2+($F$10+273)^2)*(($F$10+273+O28)+($F$10+273)),3.86*(【事例2】危険部品判断シート!$O$36/K28)^0.5+0.0000000567*$F$9*(($F$10+273+O28)^2+($F$10+273)^2)*(($F$10+273+O28)+($F$10+273)))</f>
        <v>15.091188259570098</v>
      </c>
      <c r="N28" s="200">
        <f t="shared" ca="1" si="7"/>
        <v>11.202779722225749</v>
      </c>
      <c r="O28" s="200">
        <f t="shared" ca="1" si="8"/>
        <v>31.810942591148407</v>
      </c>
      <c r="P28" s="200">
        <f t="shared" si="9"/>
        <v>2.1160000000000024E-3</v>
      </c>
      <c r="Q28" s="200">
        <f t="shared" si="10"/>
        <v>3.1360000000000034E-3</v>
      </c>
      <c r="R28" s="200">
        <f t="shared" si="11"/>
        <v>121.17355894963448</v>
      </c>
      <c r="S28" s="200">
        <f t="shared" si="1"/>
        <v>0.12167649748700737</v>
      </c>
      <c r="T28" s="200">
        <f t="shared" ca="1" si="2"/>
        <v>76.627069936673763</v>
      </c>
      <c r="U28" s="200">
        <f t="shared" si="3"/>
        <v>0.19148447646351829</v>
      </c>
      <c r="V28" s="200">
        <f t="shared" ca="1" si="12"/>
        <v>0.5963807591941509</v>
      </c>
      <c r="W28" s="262">
        <f t="shared" ca="1" si="13"/>
        <v>11.7991604814199</v>
      </c>
      <c r="X28" s="200">
        <f t="shared" ca="1" si="14"/>
        <v>2.8395579829207125</v>
      </c>
      <c r="Y28" s="200">
        <f t="shared" si="15"/>
        <v>184.00000000000011</v>
      </c>
    </row>
    <row r="29" spans="3:25">
      <c r="G29" s="200">
        <f t="shared" si="4"/>
        <v>192.00000000000011</v>
      </c>
      <c r="H29" s="200">
        <f t="shared" ca="1" si="16"/>
        <v>3.0337748611707567</v>
      </c>
      <c r="I29" s="200">
        <f t="shared" si="17"/>
        <v>4.8000000000000029E-2</v>
      </c>
      <c r="J29" s="200">
        <f t="shared" si="0"/>
        <v>0.19200000000000012</v>
      </c>
      <c r="K29" s="200">
        <f t="shared" si="5"/>
        <v>5.8000000000000031E-2</v>
      </c>
      <c r="L29" s="200">
        <f t="shared" si="6"/>
        <v>6.7280000000000074E-3</v>
      </c>
      <c r="M29" s="200">
        <f ca="1">IF(【事例2】危険部品判断シート!$O$36=0,2.51*0.56*(O29/K29)^0.25+0.0000000567*$F$9*(($F$10+273+O29)^2+($F$10+273)^2)*(($F$10+273+O29)+($F$10+273)),3.86*(【事例2】危険部品判断シート!$O$36/K29)^0.5+0.0000000567*$F$9*(($F$10+273+O29)^2+($F$10+273)^2)*(($F$10+273+O29)+($F$10+273)))</f>
        <v>15.030592851618874</v>
      </c>
      <c r="N29" s="200">
        <f t="shared" ca="1" si="7"/>
        <v>10.483200829847005</v>
      </c>
      <c r="O29" s="200">
        <f t="shared" ca="1" si="8"/>
        <v>31.803671142194261</v>
      </c>
      <c r="P29" s="200">
        <f t="shared" si="9"/>
        <v>2.3040000000000027E-3</v>
      </c>
      <c r="Q29" s="200">
        <f t="shared" si="10"/>
        <v>3.3640000000000037E-3</v>
      </c>
      <c r="R29" s="200">
        <f t="shared" si="11"/>
        <v>116.83898845112137</v>
      </c>
      <c r="S29" s="200">
        <f t="shared" si="1"/>
        <v>0.11258572468625394</v>
      </c>
      <c r="T29" s="200">
        <f t="shared" ca="1" si="2"/>
        <v>74.166910153897376</v>
      </c>
      <c r="U29" s="200">
        <f t="shared" si="3"/>
        <v>0.184794679131945</v>
      </c>
      <c r="V29" s="200">
        <f t="shared" ca="1" si="12"/>
        <v>0.56923293856639479</v>
      </c>
      <c r="W29" s="262">
        <f t="shared" ca="1" si="13"/>
        <v>11.052433768413401</v>
      </c>
      <c r="X29" s="200">
        <f t="shared" ca="1" si="14"/>
        <v>3.0337748611707567</v>
      </c>
      <c r="Y29" s="200">
        <f t="shared" si="15"/>
        <v>192.00000000000011</v>
      </c>
    </row>
    <row r="30" spans="3:25">
      <c r="G30" s="200">
        <f t="shared" si="4"/>
        <v>200.00000000000011</v>
      </c>
      <c r="H30" s="200">
        <f t="shared" ca="1" si="16"/>
        <v>3.2340731908404505</v>
      </c>
      <c r="I30" s="200">
        <f t="shared" si="17"/>
        <v>5.0000000000000031E-2</v>
      </c>
      <c r="J30" s="200">
        <f t="shared" si="0"/>
        <v>0.20000000000000012</v>
      </c>
      <c r="K30" s="200">
        <f t="shared" si="5"/>
        <v>6.0000000000000032E-2</v>
      </c>
      <c r="L30" s="200">
        <f t="shared" si="6"/>
        <v>7.2000000000000076E-3</v>
      </c>
      <c r="M30" s="200">
        <f ca="1">IF(【事例2】危険部品判断シート!$O$36=0,2.51*0.56*(O30/K30)^0.25+0.0000000567*$F$9*(($F$10+273+O30)^2+($F$10+273)^2)*(($F$10+273+O30)+($F$10+273)),3.86*(【事例2】危険部品判断シート!$O$36/K30)^0.5+0.0000000567*$F$9*(($F$10+273+O30)^2+($F$10+273)^2)*(($F$10+273+O30)+($F$10+273)))</f>
        <v>14.972561068705774</v>
      </c>
      <c r="N30" s="200">
        <f t="shared" ca="1" si="7"/>
        <v>9.8317834668366189</v>
      </c>
      <c r="O30" s="200">
        <f t="shared" ca="1" si="8"/>
        <v>31.79670732824469</v>
      </c>
      <c r="P30" s="200">
        <f t="shared" si="9"/>
        <v>2.5000000000000031E-3</v>
      </c>
      <c r="Q30" s="200">
        <f t="shared" si="10"/>
        <v>3.6000000000000038E-3</v>
      </c>
      <c r="R30" s="200">
        <f t="shared" si="11"/>
        <v>112.80546661386175</v>
      </c>
      <c r="S30" s="200">
        <f t="shared" si="1"/>
        <v>0.10447955250884366</v>
      </c>
      <c r="T30" s="200">
        <f t="shared" ca="1" si="2"/>
        <v>71.868314121167643</v>
      </c>
      <c r="U30" s="200">
        <f t="shared" si="3"/>
        <v>0.17855407395523462</v>
      </c>
      <c r="V30" s="200">
        <f t="shared" ca="1" si="12"/>
        <v>0.54418866451327186</v>
      </c>
      <c r="W30" s="262">
        <f t="shared" ca="1" si="13"/>
        <v>10.37597213134989</v>
      </c>
      <c r="X30" s="200">
        <f t="shared" ca="1" si="14"/>
        <v>3.2340731908404505</v>
      </c>
      <c r="Y30" s="200">
        <f t="shared" si="15"/>
        <v>200.00000000000011</v>
      </c>
    </row>
    <row r="31" spans="3:25">
      <c r="K31" s="262"/>
      <c r="L31" s="265"/>
    </row>
    <row r="32" spans="3:25">
      <c r="K32" s="200" t="s">
        <v>275</v>
      </c>
      <c r="L32" s="265">
        <f>L4+E33</f>
        <v>10</v>
      </c>
    </row>
    <row r="33" spans="2:24">
      <c r="E33" s="269">
        <f>(【事例2】危険部品判断シート!R8-【事例2】危険部品判断シート!R7)/3</f>
        <v>5</v>
      </c>
      <c r="H33" s="200" t="s">
        <v>203</v>
      </c>
      <c r="I33" s="200" t="s">
        <v>277</v>
      </c>
      <c r="J33" s="200" t="s">
        <v>253</v>
      </c>
      <c r="K33" s="200" t="s">
        <v>278</v>
      </c>
      <c r="L33" s="200" t="s">
        <v>279</v>
      </c>
      <c r="M33" s="200" t="s">
        <v>280</v>
      </c>
      <c r="N33" s="200" t="s">
        <v>281</v>
      </c>
      <c r="O33" s="200" t="s">
        <v>282</v>
      </c>
      <c r="P33" s="200" t="s">
        <v>283</v>
      </c>
      <c r="Q33" s="200" t="s">
        <v>284</v>
      </c>
      <c r="R33" s="200" t="s">
        <v>285</v>
      </c>
      <c r="S33" s="200" t="s">
        <v>286</v>
      </c>
      <c r="T33" s="200" t="s">
        <v>287</v>
      </c>
      <c r="U33" s="200" t="s">
        <v>288</v>
      </c>
      <c r="V33" s="200" t="s">
        <v>289</v>
      </c>
      <c r="W33" s="200" t="s">
        <v>290</v>
      </c>
      <c r="X33" s="200" t="s">
        <v>291</v>
      </c>
    </row>
    <row r="34" spans="2:24">
      <c r="G34" s="200">
        <f>J34*1000</f>
        <v>8</v>
      </c>
      <c r="H34" s="200">
        <f ca="1">X34</f>
        <v>0.49134912116107021</v>
      </c>
      <c r="I34" s="200">
        <v>2E-3</v>
      </c>
      <c r="J34" s="200">
        <f t="shared" ref="J34:J58" si="18">I34*4</f>
        <v>8.0000000000000002E-3</v>
      </c>
      <c r="K34" s="200">
        <f>I34+$L$32/1000*2</f>
        <v>2.1999999999999999E-2</v>
      </c>
      <c r="L34" s="200">
        <f>K34^2*2</f>
        <v>9.6799999999999989E-4</v>
      </c>
      <c r="M34" s="200">
        <f ca="1">IF(【事例2】危険部品判断シート!$O$36=0,2.51*0.56*(O34/K34)^0.25+0.0000000567*$F$9*(($F$10+273+O34)^2+($F$10+273)^2)*(($F$10+273+O34)+($F$10+273)),3.86*(【事例2】危険部品判断シート!$O$36/K34)^0.5+0.0000000567*$F$9*(($F$10+273+O34)^2+($F$10+273)^2)*(($F$10+273+O34)+($F$10+273)))</f>
        <v>16.919735577171842</v>
      </c>
      <c r="N34" s="200">
        <f t="shared" ref="N34:N58" ca="1" si="19">1/L34/M34+$F$8/$M$3/L34</f>
        <v>65.188614143792634</v>
      </c>
      <c r="O34" s="200">
        <f ca="1">H34*N34</f>
        <v>32.03036826926062</v>
      </c>
      <c r="P34" s="200">
        <f>I34^2</f>
        <v>3.9999999999999998E-6</v>
      </c>
      <c r="Q34" s="200">
        <f>K34^2</f>
        <v>4.8399999999999995E-4</v>
      </c>
      <c r="R34" s="200">
        <f>(PI()^1.5)/((Q34)^0.5)+1/(P34)^0.5</f>
        <v>753.10581803780497</v>
      </c>
      <c r="S34" s="200">
        <f t="shared" ref="S34:S58" si="20">$F$6*(Q34^0.5-P34^0.5)/($L$3*(PI()*Q34*P34)^0.5)</f>
        <v>14.24721170575142</v>
      </c>
      <c r="T34" s="200">
        <f t="shared" ref="T34:T58" ca="1" si="21">R34*$L$3*Q34*N34/$F$6</f>
        <v>427.70627095413056</v>
      </c>
      <c r="U34" s="200">
        <f t="shared" ref="U34:U58" si="22">TANH(R34*$F$8/$F$6)</f>
        <v>0.83516407988298669</v>
      </c>
      <c r="V34" s="200">
        <f ca="1">S34*(T34+U34)/(1+T34*U34)</f>
        <v>17.044770484355404</v>
      </c>
      <c r="W34" s="262">
        <f ca="1">N34+V34</f>
        <v>82.233384628148031</v>
      </c>
      <c r="X34" s="200">
        <f ca="1">L34*M34*$Q$3</f>
        <v>0.49134912116107021</v>
      </c>
    </row>
    <row r="35" spans="2:24">
      <c r="G35" s="200">
        <f t="shared" ref="G35:G58" si="23">J35*1000</f>
        <v>16</v>
      </c>
      <c r="H35" s="200">
        <f ca="1">X35</f>
        <v>0.57820804497113176</v>
      </c>
      <c r="I35" s="200">
        <f>I34+0.002</f>
        <v>4.0000000000000001E-3</v>
      </c>
      <c r="J35" s="200">
        <f t="shared" si="18"/>
        <v>1.6E-2</v>
      </c>
      <c r="K35" s="200">
        <f t="shared" ref="K35:K58" si="24">I35+$L$32/1000*2</f>
        <v>2.4E-2</v>
      </c>
      <c r="L35" s="200">
        <f t="shared" ref="L35:L58" si="25">K35^2*2</f>
        <v>1.152E-3</v>
      </c>
      <c r="M35" s="200">
        <f ca="1">IF(【事例2】危険部品判断シート!$O$36=0,2.51*0.56*(O35/K35)^0.25+0.0000000567*$F$9*(($F$10+273+O35)^2+($F$10+273)^2)*(($F$10+273+O35)+($F$10+273)),3.86*(【事例2】危険部品判断シート!$O$36/K35)^0.5+0.0000000567*$F$9*(($F$10+273+O35)^2+($F$10+273)^2)*(($F$10+273+O35)+($F$10+273)))</f>
        <v>16.730556856803581</v>
      </c>
      <c r="N35" s="200">
        <f t="shared" ca="1" si="19"/>
        <v>55.356661155440129</v>
      </c>
      <c r="O35" s="200">
        <f t="shared" ref="O35:O58" ca="1" si="26">H35*N35</f>
        <v>32.007666822816432</v>
      </c>
      <c r="P35" s="200">
        <f t="shared" ref="P35:P58" si="27">I35^2</f>
        <v>1.5999999999999999E-5</v>
      </c>
      <c r="Q35" s="200">
        <f t="shared" ref="Q35:Q58" si="28">K35^2</f>
        <v>5.7600000000000001E-4</v>
      </c>
      <c r="R35" s="200">
        <f t="shared" ref="R35:R58" si="29">(PI()^1.5)/((Q35)^0.5)+1/(P35)^0.5</f>
        <v>482.01366653465453</v>
      </c>
      <c r="S35" s="200">
        <f t="shared" si="20"/>
        <v>6.5299720318027354</v>
      </c>
      <c r="T35" s="200">
        <f t="shared" ca="1" si="21"/>
        <v>276.64589364002109</v>
      </c>
      <c r="U35" s="200">
        <f t="shared" si="22"/>
        <v>0.64763938261437681</v>
      </c>
      <c r="V35" s="200">
        <f t="shared" ref="V35:V58" ca="1" si="30">S35*(T35+U35)/(1+T35*U35)</f>
        <v>10.050238217346941</v>
      </c>
      <c r="W35" s="262">
        <f t="shared" ref="W35:W58" ca="1" si="31">N35+V35</f>
        <v>65.406899372787066</v>
      </c>
      <c r="X35" s="200">
        <f t="shared" ref="X35:X58" ca="1" si="32">L35*M35*$Q$3</f>
        <v>0.57820804497113176</v>
      </c>
    </row>
    <row r="36" spans="2:24">
      <c r="C36" s="270"/>
      <c r="D36" s="270"/>
      <c r="E36" s="270"/>
      <c r="F36" s="270"/>
      <c r="G36" s="200">
        <f t="shared" si="23"/>
        <v>24</v>
      </c>
      <c r="H36" s="200">
        <f t="shared" ref="H36:H58" ca="1" si="33">X36</f>
        <v>0.67168101988202078</v>
      </c>
      <c r="I36" s="200">
        <f t="shared" ref="I36:I58" si="34">I35+0.002</f>
        <v>6.0000000000000001E-3</v>
      </c>
      <c r="J36" s="200">
        <f t="shared" si="18"/>
        <v>2.4E-2</v>
      </c>
      <c r="K36" s="200">
        <f t="shared" si="24"/>
        <v>2.6000000000000002E-2</v>
      </c>
      <c r="L36" s="200">
        <f t="shared" si="25"/>
        <v>1.3520000000000003E-3</v>
      </c>
      <c r="M36" s="200">
        <f ca="1">IF(【事例2】危険部品判断シート!$O$36=0,2.51*0.56*(O36/K36)^0.25+0.0000000567*$F$9*(($F$10+273+O36)^2+($F$10+273)^2)*(($F$10+273+O36)+($F$10+273)),3.86*(【事例2】危険部品判断シート!$O$36/K36)^0.5+0.0000000567*$F$9*(($F$10+273+O36)^2+($F$10+273)^2)*(($F$10+273+O36)+($F$10+273)))</f>
        <v>16.560182935947253</v>
      </c>
      <c r="N36" s="200">
        <f t="shared" ca="1" si="19"/>
        <v>47.622637837722664</v>
      </c>
      <c r="O36" s="200">
        <f t="shared" ca="1" si="26"/>
        <v>31.987221952313671</v>
      </c>
      <c r="P36" s="200">
        <f t="shared" si="27"/>
        <v>3.6000000000000001E-5</v>
      </c>
      <c r="Q36" s="200">
        <f t="shared" si="28"/>
        <v>6.7600000000000017E-4</v>
      </c>
      <c r="R36" s="200">
        <f t="shared" si="29"/>
        <v>380.83312808327082</v>
      </c>
      <c r="S36" s="200">
        <f t="shared" si="20"/>
        <v>4.0184443272632215</v>
      </c>
      <c r="T36" s="200">
        <f t="shared" ca="1" si="21"/>
        <v>220.68223235053313</v>
      </c>
      <c r="U36" s="200">
        <f t="shared" si="22"/>
        <v>0.5436574134908021</v>
      </c>
      <c r="V36" s="200">
        <f t="shared" ca="1" si="30"/>
        <v>7.3484605497656199</v>
      </c>
      <c r="W36" s="262">
        <f t="shared" ca="1" si="31"/>
        <v>54.971098387488283</v>
      </c>
      <c r="X36" s="200">
        <f t="shared" ca="1" si="32"/>
        <v>0.67168101988202078</v>
      </c>
    </row>
    <row r="37" spans="2:24">
      <c r="G37" s="200">
        <f t="shared" si="23"/>
        <v>32</v>
      </c>
      <c r="H37" s="200">
        <f t="shared" ca="1" si="33"/>
        <v>0.77171466115942855</v>
      </c>
      <c r="I37" s="200">
        <f t="shared" si="34"/>
        <v>8.0000000000000002E-3</v>
      </c>
      <c r="J37" s="200">
        <f t="shared" si="18"/>
        <v>3.2000000000000001E-2</v>
      </c>
      <c r="K37" s="200">
        <f t="shared" si="24"/>
        <v>2.8000000000000001E-2</v>
      </c>
      <c r="L37" s="200">
        <f t="shared" si="25"/>
        <v>1.5680000000000002E-3</v>
      </c>
      <c r="M37" s="200">
        <f ca="1">IF(【事例2】危険部品判断シート!$O$36=0,2.51*0.56*(O37/K37)^0.25+0.0000000567*$F$9*(($F$10+273+O37)^2+($F$10+273)^2)*(($F$10+273+O37)+($F$10+273)),3.86*(【事例2】危険部品判断シート!$O$36/K37)^0.5+0.0000000567*$F$9*(($F$10+273+O37)^2+($F$10+273)^2)*(($F$10+273+O37)+($F$10+273)))</f>
        <v>16.405498749137511</v>
      </c>
      <c r="N37" s="200">
        <f t="shared" ca="1" si="19"/>
        <v>41.425492424708636</v>
      </c>
      <c r="O37" s="200">
        <f t="shared" ca="1" si="26"/>
        <v>31.9686598498965</v>
      </c>
      <c r="P37" s="200">
        <f t="shared" si="27"/>
        <v>6.3999999999999997E-5</v>
      </c>
      <c r="Q37" s="200">
        <f t="shared" si="28"/>
        <v>7.8400000000000008E-4</v>
      </c>
      <c r="R37" s="200">
        <f t="shared" si="29"/>
        <v>323.86885702970392</v>
      </c>
      <c r="S37" s="200">
        <f t="shared" si="20"/>
        <v>2.7985594422011721</v>
      </c>
      <c r="T37" s="200">
        <f t="shared" ca="1" si="21"/>
        <v>189.33261617971274</v>
      </c>
      <c r="U37" s="200">
        <f t="shared" si="22"/>
        <v>0.47630197429922477</v>
      </c>
      <c r="V37" s="200">
        <f t="shared" ca="1" si="30"/>
        <v>5.8257782353044902</v>
      </c>
      <c r="W37" s="262">
        <f t="shared" ca="1" si="31"/>
        <v>47.251270660013127</v>
      </c>
      <c r="X37" s="200">
        <f t="shared" ca="1" si="32"/>
        <v>0.77171466115942855</v>
      </c>
    </row>
    <row r="38" spans="2:24">
      <c r="G38" s="200">
        <f t="shared" si="23"/>
        <v>40</v>
      </c>
      <c r="H38" s="200">
        <f t="shared" ca="1" si="33"/>
        <v>0.87826050462749761</v>
      </c>
      <c r="I38" s="200">
        <f t="shared" si="34"/>
        <v>0.01</v>
      </c>
      <c r="J38" s="200">
        <f t="shared" si="18"/>
        <v>0.04</v>
      </c>
      <c r="K38" s="200">
        <f t="shared" si="24"/>
        <v>0.03</v>
      </c>
      <c r="L38" s="200">
        <f t="shared" si="25"/>
        <v>1.8E-3</v>
      </c>
      <c r="M38" s="200">
        <f ca="1">IF(【事例2】危険部品判断シート!$O$36=0,2.51*0.56*(O38/K38)^0.25+0.0000000567*$F$9*(($F$10+273+O38)^2+($F$10+273)^2)*(($F$10+273+O38)+($F$10+273)),3.86*(【事例2】危険部品判断シート!$O$36/K38)^0.5+0.0000000567*$F$9*(($F$10+273+O38)^2+($F$10+273)^2)*(($F$10+273+O38)+($F$10+273)))</f>
        <v>16.264083419027727</v>
      </c>
      <c r="N38" s="200">
        <f t="shared" ca="1" si="19"/>
        <v>36.380652257424714</v>
      </c>
      <c r="O38" s="200">
        <f t="shared" ca="1" si="26"/>
        <v>31.95169001028334</v>
      </c>
      <c r="P38" s="200">
        <f t="shared" si="27"/>
        <v>1E-4</v>
      </c>
      <c r="Q38" s="200">
        <f t="shared" si="28"/>
        <v>8.9999999999999998E-4</v>
      </c>
      <c r="R38" s="200">
        <f t="shared" si="29"/>
        <v>285.61093322772365</v>
      </c>
      <c r="S38" s="200">
        <f t="shared" si="20"/>
        <v>2.0895910501768751</v>
      </c>
      <c r="T38" s="200">
        <f t="shared" ca="1" si="21"/>
        <v>168.32953509135709</v>
      </c>
      <c r="U38" s="200">
        <f t="shared" si="22"/>
        <v>0.42761758606203659</v>
      </c>
      <c r="V38" s="200">
        <f t="shared" ca="1" si="30"/>
        <v>4.8318745018853351</v>
      </c>
      <c r="W38" s="262">
        <f t="shared" ca="1" si="31"/>
        <v>41.212526759310052</v>
      </c>
      <c r="X38" s="200">
        <f t="shared" ca="1" si="32"/>
        <v>0.87826050462749727</v>
      </c>
    </row>
    <row r="39" spans="2:24">
      <c r="G39" s="200">
        <f t="shared" si="23"/>
        <v>48</v>
      </c>
      <c r="H39" s="200">
        <f t="shared" ca="1" si="33"/>
        <v>0.9912742459327254</v>
      </c>
      <c r="I39" s="200">
        <f t="shared" si="34"/>
        <v>1.2E-2</v>
      </c>
      <c r="J39" s="200">
        <f t="shared" si="18"/>
        <v>4.8000000000000001E-2</v>
      </c>
      <c r="K39" s="200">
        <f t="shared" si="24"/>
        <v>3.2000000000000001E-2</v>
      </c>
      <c r="L39" s="200">
        <f>K39^2*2</f>
        <v>2.0479999999999999E-3</v>
      </c>
      <c r="M39" s="200">
        <f ca="1">IF(【事例2】危険部品判断シート!$O$36=0,2.51*0.56*(O39/K39)^0.25+0.0000000567*$F$9*(($F$10+273+O39)^2+($F$10+273)^2)*(($F$10+273+O39)+($F$10+273)),3.86*(【事例2】危険部品判断シート!$O$36/K39)^0.5+0.0000000567*$F$9*(($F$10+273+O39)^2+($F$10+273)^2)*(($F$10+273+O39)+($F$10+273)))</f>
        <v>16.134020929894621</v>
      </c>
      <c r="N39" s="200">
        <f t="shared" ca="1" si="19"/>
        <v>32.217201892032968</v>
      </c>
      <c r="O39" s="200">
        <f t="shared" ca="1" si="26"/>
        <v>31.936082511587355</v>
      </c>
      <c r="P39" s="200">
        <f t="shared" si="27"/>
        <v>1.44E-4</v>
      </c>
      <c r="Q39" s="200">
        <f t="shared" si="28"/>
        <v>1.024E-3</v>
      </c>
      <c r="R39" s="200">
        <f t="shared" si="29"/>
        <v>257.34358323432423</v>
      </c>
      <c r="S39" s="200">
        <f t="shared" si="20"/>
        <v>1.6324930079506839</v>
      </c>
      <c r="T39" s="200">
        <f t="shared" ca="1" si="21"/>
        <v>152.81768773655494</v>
      </c>
      <c r="U39" s="200">
        <f t="shared" si="22"/>
        <v>0.38995734868785564</v>
      </c>
      <c r="V39" s="200">
        <f t="shared" ca="1" si="30"/>
        <v>4.1277534890210505</v>
      </c>
      <c r="W39" s="262">
        <f t="shared" ca="1" si="31"/>
        <v>36.344955381054021</v>
      </c>
      <c r="X39" s="200">
        <f t="shared" ca="1" si="32"/>
        <v>0.9912742459327254</v>
      </c>
    </row>
    <row r="40" spans="2:24">
      <c r="G40" s="200">
        <f t="shared" si="23"/>
        <v>56</v>
      </c>
      <c r="H40" s="200">
        <f t="shared" ca="1" si="33"/>
        <v>1.1107151388857393</v>
      </c>
      <c r="I40" s="200">
        <f t="shared" si="34"/>
        <v>1.4E-2</v>
      </c>
      <c r="J40" s="200">
        <f t="shared" si="18"/>
        <v>5.6000000000000001E-2</v>
      </c>
      <c r="K40" s="200">
        <f t="shared" si="24"/>
        <v>3.4000000000000002E-2</v>
      </c>
      <c r="L40" s="200">
        <f t="shared" si="25"/>
        <v>2.3120000000000003E-3</v>
      </c>
      <c r="M40" s="200">
        <f ca="1">IF(【事例2】危険部品判断シート!$O$36=0,2.51*0.56*(O40/K40)^0.25+0.0000000567*$F$9*(($F$10+273+O40)^2+($F$10+273)^2)*(($F$10+273+O40)+($F$10+273)),3.86*(【事例2】危険部品判断シート!$O$36/K40)^0.5+0.0000000567*$F$9*(($F$10+273+O40)^2+($F$10+273)^2)*(($F$10+273+O40)+($F$10+273)))</f>
        <v>16.013770745180778</v>
      </c>
      <c r="N40" s="200">
        <f t="shared" ca="1" si="19"/>
        <v>28.739729361612245</v>
      </c>
      <c r="O40" s="200">
        <f t="shared" ca="1" si="26"/>
        <v>31.921652489421703</v>
      </c>
      <c r="P40" s="200">
        <f t="shared" si="27"/>
        <v>1.9600000000000002E-4</v>
      </c>
      <c r="Q40" s="200">
        <f t="shared" si="28"/>
        <v>1.1560000000000001E-3</v>
      </c>
      <c r="R40" s="200">
        <f t="shared" si="29"/>
        <v>235.20292427656284</v>
      </c>
      <c r="S40" s="200">
        <f t="shared" si="20"/>
        <v>1.3169691492711399</v>
      </c>
      <c r="T40" s="200">
        <f t="shared" ca="1" si="21"/>
        <v>140.6551798334886</v>
      </c>
      <c r="U40" s="200">
        <f t="shared" si="22"/>
        <v>0.35951141340755177</v>
      </c>
      <c r="V40" s="200">
        <f t="shared" ca="1" si="30"/>
        <v>3.6013629793048811</v>
      </c>
      <c r="W40" s="262">
        <f t="shared" ca="1" si="31"/>
        <v>32.341092340917129</v>
      </c>
      <c r="X40" s="200">
        <f t="shared" ca="1" si="32"/>
        <v>1.1107151388857388</v>
      </c>
    </row>
    <row r="41" spans="2:24">
      <c r="G41" s="200">
        <f t="shared" si="23"/>
        <v>64</v>
      </c>
      <c r="H41" s="200">
        <f t="shared" ca="1" si="33"/>
        <v>1.2365455119811588</v>
      </c>
      <c r="I41" s="200">
        <f t="shared" si="34"/>
        <v>1.6E-2</v>
      </c>
      <c r="J41" s="200">
        <f t="shared" si="18"/>
        <v>6.4000000000000001E-2</v>
      </c>
      <c r="K41" s="200">
        <f t="shared" si="24"/>
        <v>3.6000000000000004E-2</v>
      </c>
      <c r="L41" s="200">
        <f t="shared" si="25"/>
        <v>2.5920000000000006E-3</v>
      </c>
      <c r="M41" s="200">
        <f ca="1">IF(【事例2】危険部品判断シート!$O$36=0,2.51*0.56*(O41/K41)^0.25+0.0000000567*$F$9*(($F$10+273+O41)^2+($F$10+273)^2)*(($F$10+273+O41)+($F$10+273)),3.86*(【事例2】危険部品判断シート!$O$36/K41)^0.5+0.0000000567*$F$9*(($F$10+273+O41)^2+($F$10+273)^2)*(($F$10+273+O41)+($F$10+273)))</f>
        <v>15.90207705737086</v>
      </c>
      <c r="N41" s="200">
        <f t="shared" ca="1" si="19"/>
        <v>25.804346817580537</v>
      </c>
      <c r="O41" s="200">
        <f t="shared" ca="1" si="26"/>
        <v>31.908249246884512</v>
      </c>
      <c r="P41" s="200">
        <f t="shared" si="27"/>
        <v>2.5599999999999999E-4</v>
      </c>
      <c r="Q41" s="200">
        <f t="shared" si="28"/>
        <v>1.2960000000000003E-3</v>
      </c>
      <c r="R41" s="200">
        <f t="shared" si="29"/>
        <v>217.17577768976966</v>
      </c>
      <c r="S41" s="200">
        <f t="shared" si="20"/>
        <v>1.0883286719671228</v>
      </c>
      <c r="T41" s="200">
        <f t="shared" ca="1" si="21"/>
        <v>130.73195696217164</v>
      </c>
      <c r="U41" s="200">
        <f t="shared" si="22"/>
        <v>0.33413989266282124</v>
      </c>
      <c r="V41" s="200">
        <f t="shared" ca="1" si="30"/>
        <v>3.1923494549472675</v>
      </c>
      <c r="W41" s="262">
        <f t="shared" ca="1" si="31"/>
        <v>28.996696272527807</v>
      </c>
      <c r="X41" s="200">
        <f t="shared" ca="1" si="32"/>
        <v>1.2365455119811584</v>
      </c>
    </row>
    <row r="42" spans="2:24">
      <c r="G42" s="200">
        <f t="shared" si="23"/>
        <v>72.000000000000014</v>
      </c>
      <c r="H42" s="200">
        <f t="shared" ca="1" si="33"/>
        <v>1.3687303744527728</v>
      </c>
      <c r="I42" s="200">
        <f t="shared" si="34"/>
        <v>1.8000000000000002E-2</v>
      </c>
      <c r="J42" s="200">
        <f t="shared" si="18"/>
        <v>7.2000000000000008E-2</v>
      </c>
      <c r="K42" s="200">
        <f t="shared" si="24"/>
        <v>3.8000000000000006E-2</v>
      </c>
      <c r="L42" s="200">
        <f t="shared" si="25"/>
        <v>2.8880000000000008E-3</v>
      </c>
      <c r="M42" s="200">
        <f ca="1">IF(【事例2】危険部品判断シート!$O$36=0,2.51*0.56*(O42/K42)^0.25+0.0000000567*$F$9*(($F$10+273+O42)^2+($F$10+273)^2)*(($F$10+273+O42)+($F$10+273)),3.86*(【事例2】危険部品判断シート!$O$36/K42)^0.5+0.0000000567*$F$9*(($F$10+273+O42)^2+($F$10+273)^2)*(($F$10+273+O42)+($F$10+273)))</f>
        <v>15.797903675586017</v>
      </c>
      <c r="N42" s="200">
        <f t="shared" ca="1" si="19"/>
        <v>23.303164039025908</v>
      </c>
      <c r="O42" s="200">
        <f t="shared" ca="1" si="26"/>
        <v>31.895748441070321</v>
      </c>
      <c r="P42" s="200">
        <f t="shared" si="27"/>
        <v>3.2400000000000007E-4</v>
      </c>
      <c r="Q42" s="200">
        <f t="shared" si="28"/>
        <v>1.4440000000000004E-3</v>
      </c>
      <c r="R42" s="200">
        <f t="shared" si="29"/>
        <v>202.09050284060049</v>
      </c>
      <c r="S42" s="200">
        <f t="shared" si="20"/>
        <v>0.91648730270915579</v>
      </c>
      <c r="T42" s="200">
        <f t="shared" ca="1" si="21"/>
        <v>122.40537681391</v>
      </c>
      <c r="U42" s="200">
        <f t="shared" si="22"/>
        <v>0.31252817277605865</v>
      </c>
      <c r="V42" s="200">
        <f t="shared" ca="1" si="30"/>
        <v>2.8650880867383615</v>
      </c>
      <c r="W42" s="262">
        <f t="shared" ca="1" si="31"/>
        <v>26.168252125764269</v>
      </c>
      <c r="X42" s="200">
        <f t="shared" ca="1" si="32"/>
        <v>1.3687303744527728</v>
      </c>
    </row>
    <row r="43" spans="2:24">
      <c r="B43" s="200">
        <v>0.1</v>
      </c>
      <c r="C43" s="200">
        <v>0.1</v>
      </c>
      <c r="G43" s="200">
        <f t="shared" si="23"/>
        <v>80.000000000000014</v>
      </c>
      <c r="H43" s="200">
        <f t="shared" ca="1" si="33"/>
        <v>1.5072370913389481</v>
      </c>
      <c r="I43" s="200">
        <f t="shared" si="34"/>
        <v>2.0000000000000004E-2</v>
      </c>
      <c r="J43" s="200">
        <f t="shared" si="18"/>
        <v>8.0000000000000016E-2</v>
      </c>
      <c r="K43" s="200">
        <f t="shared" si="24"/>
        <v>4.0000000000000008E-2</v>
      </c>
      <c r="L43" s="200">
        <f t="shared" si="25"/>
        <v>3.2000000000000015E-3</v>
      </c>
      <c r="M43" s="200">
        <f ca="1">IF(【事例2】危険部品判断シート!$O$36=0,2.51*0.56*(O43/K43)^0.25+0.0000000567*$F$9*(($F$10+273+O43)^2+($F$10+273)^2)*(($F$10+273+O43)+($F$10+273)),3.86*(【事例2】危険部品判断シート!$O$36/K43)^0.5+0.0000000567*$F$9*(($F$10+273+O43)^2+($F$10+273)^2)*(($F$10+273+O43)+($F$10+273)))</f>
        <v>15.700386368114035</v>
      </c>
      <c r="N43" s="200">
        <f t="shared" ca="1" si="19"/>
        <v>21.153968773319946</v>
      </c>
      <c r="O43" s="200">
        <f t="shared" ca="1" si="26"/>
        <v>31.884046364173692</v>
      </c>
      <c r="P43" s="200">
        <f t="shared" si="27"/>
        <v>4.0000000000000018E-4</v>
      </c>
      <c r="Q43" s="200">
        <f t="shared" si="28"/>
        <v>1.6000000000000007E-3</v>
      </c>
      <c r="R43" s="200">
        <f t="shared" si="29"/>
        <v>189.20819992079268</v>
      </c>
      <c r="S43" s="200">
        <f t="shared" si="20"/>
        <v>0.78359664381632799</v>
      </c>
      <c r="T43" s="200">
        <f t="shared" ca="1" si="21"/>
        <v>115.27212536007919</v>
      </c>
      <c r="U43" s="200">
        <f t="shared" si="22"/>
        <v>0.29381179541559732</v>
      </c>
      <c r="V43" s="200">
        <f t="shared" ca="1" si="30"/>
        <v>2.5971169867417725</v>
      </c>
      <c r="W43" s="262">
        <f t="shared" ca="1" si="31"/>
        <v>23.75108576006172</v>
      </c>
      <c r="X43" s="200">
        <f t="shared" ca="1" si="32"/>
        <v>1.5072370913389481</v>
      </c>
    </row>
    <row r="44" spans="2:24">
      <c r="B44" s="200">
        <v>1000</v>
      </c>
      <c r="C44" s="200">
        <v>1000</v>
      </c>
      <c r="G44" s="200">
        <f t="shared" si="23"/>
        <v>88.000000000000028</v>
      </c>
      <c r="H44" s="200">
        <f t="shared" ca="1" si="33"/>
        <v>1.6520351125508721</v>
      </c>
      <c r="I44" s="200">
        <f t="shared" si="34"/>
        <v>2.2000000000000006E-2</v>
      </c>
      <c r="J44" s="200">
        <f t="shared" si="18"/>
        <v>8.8000000000000023E-2</v>
      </c>
      <c r="K44" s="200">
        <f t="shared" si="24"/>
        <v>4.200000000000001E-2</v>
      </c>
      <c r="L44" s="200">
        <f t="shared" si="25"/>
        <v>3.5280000000000016E-3</v>
      </c>
      <c r="M44" s="200">
        <f ca="1">IF(【事例2】危険部品判断シート!$O$36=0,2.51*0.56*(O44/K44)^0.25+0.0000000567*$F$9*(($F$10+273+O44)^2+($F$10+273)^2)*(($F$10+273+O44)+($F$10+273)),3.86*(【事例2】危険部品判断シート!$O$36/K44)^0.5+0.0000000567*$F$9*(($F$10+273+O44)^2+($F$10+273)^2)*(($F$10+273+O44)+($F$10+273)))</f>
        <v>15.608797359702109</v>
      </c>
      <c r="N44" s="200">
        <f t="shared" ca="1" si="19"/>
        <v>19.29320717278808</v>
      </c>
      <c r="O44" s="200">
        <f t="shared" ca="1" si="26"/>
        <v>31.87305568316425</v>
      </c>
      <c r="P44" s="200">
        <f t="shared" si="27"/>
        <v>4.8400000000000027E-4</v>
      </c>
      <c r="Q44" s="200">
        <f t="shared" si="28"/>
        <v>1.7640000000000008E-3</v>
      </c>
      <c r="R44" s="200">
        <f t="shared" si="29"/>
        <v>178.03378347434798</v>
      </c>
      <c r="S44" s="200">
        <f t="shared" si="20"/>
        <v>0.67843865265482939</v>
      </c>
      <c r="T44" s="200">
        <f t="shared" ca="1" si="21"/>
        <v>109.06312440468372</v>
      </c>
      <c r="U44" s="200">
        <f t="shared" si="22"/>
        <v>0.27739163932387439</v>
      </c>
      <c r="V44" s="200">
        <f t="shared" ca="1" si="30"/>
        <v>2.3735436714123668</v>
      </c>
      <c r="W44" s="262">
        <f t="shared" ca="1" si="31"/>
        <v>21.666750844200447</v>
      </c>
      <c r="X44" s="200">
        <f t="shared" ca="1" si="32"/>
        <v>1.6520351125508721</v>
      </c>
    </row>
    <row r="45" spans="2:24">
      <c r="G45" s="200">
        <f t="shared" si="23"/>
        <v>96.000000000000028</v>
      </c>
      <c r="H45" s="200">
        <f t="shared" ca="1" si="33"/>
        <v>1.8030957447733078</v>
      </c>
      <c r="I45" s="200">
        <f t="shared" si="34"/>
        <v>2.4000000000000007E-2</v>
      </c>
      <c r="J45" s="200">
        <f t="shared" si="18"/>
        <v>9.600000000000003E-2</v>
      </c>
      <c r="K45" s="200">
        <f t="shared" si="24"/>
        <v>4.4000000000000011E-2</v>
      </c>
      <c r="L45" s="200">
        <f t="shared" si="25"/>
        <v>3.8720000000000022E-3</v>
      </c>
      <c r="M45" s="200">
        <f ca="1">IF(【事例2】危険部品判断シート!$O$36=0,2.51*0.56*(O45/K45)^0.25+0.0000000567*$F$9*(($F$10+273+O45)^2+($F$10+273)^2)*(($F$10+273+O45)+($F$10+273)),3.86*(【事例2】危険部品判断シート!$O$36/K45)^0.5+0.0000000567*$F$9*(($F$10+273+O45)^2+($F$10+273)^2)*(($F$10+273+O45)+($F$10+273)))</f>
        <v>15.52251846395753</v>
      </c>
      <c r="N45" s="200">
        <f t="shared" ca="1" si="19"/>
        <v>17.671109428346419</v>
      </c>
      <c r="O45" s="200">
        <f t="shared" ca="1" si="26"/>
        <v>31.862702215674908</v>
      </c>
      <c r="P45" s="200">
        <f t="shared" si="27"/>
        <v>5.7600000000000034E-4</v>
      </c>
      <c r="Q45" s="200">
        <f t="shared" si="28"/>
        <v>1.9360000000000011E-3</v>
      </c>
      <c r="R45" s="200">
        <f t="shared" si="29"/>
        <v>168.21957568556911</v>
      </c>
      <c r="S45" s="200">
        <f t="shared" si="20"/>
        <v>0.59363382107297569</v>
      </c>
      <c r="T45" s="200">
        <f t="shared" ca="1" si="21"/>
        <v>103.59008931499004</v>
      </c>
      <c r="U45" s="200">
        <f t="shared" si="22"/>
        <v>0.26283496157015451</v>
      </c>
      <c r="V45" s="200">
        <f t="shared" ca="1" si="30"/>
        <v>2.184093105750494</v>
      </c>
      <c r="W45" s="262">
        <f t="shared" ca="1" si="31"/>
        <v>19.855202534096914</v>
      </c>
      <c r="X45" s="200">
        <f t="shared" ca="1" si="32"/>
        <v>1.8030957447733078</v>
      </c>
    </row>
    <row r="46" spans="2:24">
      <c r="G46" s="200">
        <f t="shared" si="23"/>
        <v>104.00000000000004</v>
      </c>
      <c r="H46" s="200">
        <f t="shared" ca="1" si="33"/>
        <v>1.9603919577503786</v>
      </c>
      <c r="I46" s="200">
        <f t="shared" si="34"/>
        <v>2.6000000000000009E-2</v>
      </c>
      <c r="J46" s="200">
        <f t="shared" si="18"/>
        <v>0.10400000000000004</v>
      </c>
      <c r="K46" s="200">
        <f t="shared" si="24"/>
        <v>4.6000000000000013E-2</v>
      </c>
      <c r="L46" s="200">
        <f t="shared" si="25"/>
        <v>4.2320000000000023E-3</v>
      </c>
      <c r="M46" s="200">
        <f ca="1">IF(【事例2】危険部品判断シート!$O$36=0,2.51*0.56*(O46/K46)^0.25+0.0000000567*$F$9*(($F$10+273+O46)^2+($F$10+273)^2)*(($F$10+273+O46)+($F$10+273)),3.86*(【事例2】危険部品判断シート!$O$36/K46)^0.5+0.0000000567*$F$9*(($F$10+273+O46)^2+($F$10+273)^2)*(($F$10+273+O46)+($F$10+273)))</f>
        <v>15.441020461171847</v>
      </c>
      <c r="N46" s="200">
        <f t="shared" ca="1" si="19"/>
        <v>16.248241750539016</v>
      </c>
      <c r="O46" s="200">
        <f t="shared" ca="1" si="26"/>
        <v>31.852922455340618</v>
      </c>
      <c r="P46" s="200">
        <f t="shared" si="27"/>
        <v>6.7600000000000049E-4</v>
      </c>
      <c r="Q46" s="200">
        <f t="shared" si="28"/>
        <v>2.1160000000000011E-3</v>
      </c>
      <c r="R46" s="200">
        <f t="shared" si="29"/>
        <v>159.51214708831469</v>
      </c>
      <c r="S46" s="200">
        <f t="shared" si="20"/>
        <v>0.52414491225172433</v>
      </c>
      <c r="T46" s="200">
        <f t="shared" ca="1" si="21"/>
        <v>98.716170955129485</v>
      </c>
      <c r="U46" s="200">
        <f t="shared" si="22"/>
        <v>0.24981870072966736</v>
      </c>
      <c r="V46" s="200">
        <f t="shared" ca="1" si="30"/>
        <v>2.0214420990894233</v>
      </c>
      <c r="W46" s="262">
        <f t="shared" ca="1" si="31"/>
        <v>18.269683849628439</v>
      </c>
      <c r="X46" s="200">
        <f t="shared" ca="1" si="32"/>
        <v>1.9603919577503786</v>
      </c>
    </row>
    <row r="47" spans="2:24">
      <c r="G47" s="200">
        <f t="shared" si="23"/>
        <v>112.00000000000004</v>
      </c>
      <c r="H47" s="200">
        <f t="shared" ca="1" si="33"/>
        <v>2.123898218476429</v>
      </c>
      <c r="I47" s="200">
        <f t="shared" si="34"/>
        <v>2.8000000000000011E-2</v>
      </c>
      <c r="J47" s="200">
        <f t="shared" si="18"/>
        <v>0.11200000000000004</v>
      </c>
      <c r="K47" s="200">
        <f t="shared" si="24"/>
        <v>4.8000000000000015E-2</v>
      </c>
      <c r="L47" s="200">
        <f t="shared" si="25"/>
        <v>4.6080000000000027E-3</v>
      </c>
      <c r="M47" s="200">
        <f ca="1">IF(【事例2】危険部品判断シート!$O$36=0,2.51*0.56*(O47/K47)^0.25+0.0000000567*$F$9*(($F$10+273+O47)^2+($F$10+273)^2)*(($F$10+273+O47)+($F$10+273)),3.86*(【事例2】危険部品判断シート!$O$36/K47)^0.5+0.0000000567*$F$9*(($F$10+273+O47)^2+($F$10+273)^2)*(($F$10+273+O47)+($F$10+273)))</f>
        <v>15.363847066525086</v>
      </c>
      <c r="N47" s="200">
        <f t="shared" ca="1" si="19"/>
        <v>14.993026205759497</v>
      </c>
      <c r="O47" s="200">
        <f t="shared" ca="1" si="26"/>
        <v>31.843661647983009</v>
      </c>
      <c r="P47" s="200">
        <f t="shared" si="27"/>
        <v>7.8400000000000063E-4</v>
      </c>
      <c r="Q47" s="200">
        <f t="shared" si="28"/>
        <v>2.3040000000000014E-3</v>
      </c>
      <c r="R47" s="200">
        <f t="shared" si="29"/>
        <v>151.72111898161293</v>
      </c>
      <c r="S47" s="200">
        <f t="shared" si="20"/>
        <v>0.46642657370019508</v>
      </c>
      <c r="T47" s="200">
        <f t="shared" ca="1" si="21"/>
        <v>94.338793339666836</v>
      </c>
      <c r="U47" s="200">
        <f t="shared" si="22"/>
        <v>0.23809512723711207</v>
      </c>
      <c r="V47" s="200">
        <f t="shared" ca="1" si="30"/>
        <v>1.8802281545363846</v>
      </c>
      <c r="W47" s="262">
        <f t="shared" ca="1" si="31"/>
        <v>16.873254360295881</v>
      </c>
      <c r="X47" s="200">
        <f t="shared" ca="1" si="32"/>
        <v>2.123898218476429</v>
      </c>
    </row>
    <row r="48" spans="2:24">
      <c r="G48" s="200">
        <f t="shared" si="23"/>
        <v>120.00000000000006</v>
      </c>
      <c r="H48" s="200">
        <f t="shared" ca="1" si="33"/>
        <v>2.2935903482569078</v>
      </c>
      <c r="I48" s="200">
        <f t="shared" si="34"/>
        <v>3.0000000000000013E-2</v>
      </c>
      <c r="J48" s="200">
        <f t="shared" si="18"/>
        <v>0.12000000000000005</v>
      </c>
      <c r="K48" s="200">
        <f t="shared" si="24"/>
        <v>5.0000000000000017E-2</v>
      </c>
      <c r="L48" s="200">
        <f t="shared" si="25"/>
        <v>5.0000000000000036E-3</v>
      </c>
      <c r="M48" s="200">
        <f ca="1">IF(【事例2】危険部品判断シート!$O$36=0,2.51*0.56*(O48/K48)^0.25+0.0000000567*$F$9*(($F$10+273+O48)^2+($F$10+273)^2)*(($F$10+273+O48)+($F$10+273)),3.86*(【事例2】危険部品判断シート!$O$36/K48)^0.5+0.0000000567*$F$9*(($F$10+273+O48)^2+($F$10+273)^2)*(($F$10+273+O48)+($F$10+273)))</f>
        <v>15.290602321712708</v>
      </c>
      <c r="N48" s="200">
        <f t="shared" ca="1" si="19"/>
        <v>13.879929475112904</v>
      </c>
      <c r="O48" s="200">
        <f t="shared" ca="1" si="26"/>
        <v>31.834872278605527</v>
      </c>
      <c r="P48" s="200">
        <f t="shared" si="27"/>
        <v>9.0000000000000073E-4</v>
      </c>
      <c r="Q48" s="200">
        <f t="shared" si="28"/>
        <v>2.5000000000000018E-3</v>
      </c>
      <c r="R48" s="200">
        <f t="shared" si="29"/>
        <v>144.69989326996745</v>
      </c>
      <c r="S48" s="200">
        <f t="shared" si="20"/>
        <v>0.41791821003537483</v>
      </c>
      <c r="T48" s="200">
        <f t="shared" ca="1" si="21"/>
        <v>90.379094113958132</v>
      </c>
      <c r="U48" s="200">
        <f t="shared" si="22"/>
        <v>0.22747003886988262</v>
      </c>
      <c r="V48" s="200">
        <f t="shared" ca="1" si="30"/>
        <v>1.75643341544177</v>
      </c>
      <c r="W48" s="262">
        <f t="shared" ca="1" si="31"/>
        <v>15.636362890554674</v>
      </c>
      <c r="X48" s="200">
        <f t="shared" ca="1" si="32"/>
        <v>2.2935903482569078</v>
      </c>
    </row>
    <row r="49" spans="7:24">
      <c r="G49" s="200">
        <f t="shared" si="23"/>
        <v>128.00000000000006</v>
      </c>
      <c r="H49" s="200">
        <f t="shared" ca="1" si="33"/>
        <v>2.4694453986811444</v>
      </c>
      <c r="I49" s="200">
        <f t="shared" si="34"/>
        <v>3.2000000000000015E-2</v>
      </c>
      <c r="J49" s="200">
        <f t="shared" si="18"/>
        <v>0.12800000000000006</v>
      </c>
      <c r="K49" s="200">
        <f t="shared" si="24"/>
        <v>5.2000000000000018E-2</v>
      </c>
      <c r="L49" s="200">
        <f t="shared" si="25"/>
        <v>5.4080000000000039E-3</v>
      </c>
      <c r="M49" s="200">
        <f ca="1">IF(【事例2】危険部品判断シート!$O$36=0,2.51*0.56*(O49/K49)^0.25+0.0000000567*$F$9*(($F$10+273+O49)^2+($F$10+273)^2)*(($F$10+273+O49)+($F$10+273)),3.86*(【事例2】危険部品判断シート!$O$36/K49)^0.5+0.0000000567*$F$9*(($F$10+273+O49)^2+($F$10+273)^2)*(($F$10+273+O49)+($F$10+273)))</f>
        <v>15.220940573724986</v>
      </c>
      <c r="N49" s="200">
        <f t="shared" ca="1" si="19"/>
        <v>12.88812171584947</v>
      </c>
      <c r="O49" s="200">
        <f t="shared" ca="1" si="26"/>
        <v>31.826512868847011</v>
      </c>
      <c r="P49" s="200">
        <f t="shared" si="27"/>
        <v>1.024000000000001E-3</v>
      </c>
      <c r="Q49" s="200">
        <f t="shared" si="28"/>
        <v>2.704000000000002E-3</v>
      </c>
      <c r="R49" s="200">
        <f t="shared" si="29"/>
        <v>138.33323070830204</v>
      </c>
      <c r="S49" s="200">
        <f t="shared" si="20"/>
        <v>0.37672915568092674</v>
      </c>
      <c r="T49" s="200">
        <f t="shared" ca="1" si="21"/>
        <v>86.775143612222266</v>
      </c>
      <c r="U49" s="200">
        <f t="shared" si="22"/>
        <v>0.21778836413070807</v>
      </c>
      <c r="V49" s="200">
        <f t="shared" ca="1" si="30"/>
        <v>1.6469875526742035</v>
      </c>
      <c r="W49" s="262">
        <f t="shared" ca="1" si="31"/>
        <v>14.535109268523673</v>
      </c>
      <c r="X49" s="200">
        <f t="shared" ca="1" si="32"/>
        <v>2.4694453986811435</v>
      </c>
    </row>
    <row r="50" spans="7:24">
      <c r="G50" s="200">
        <f t="shared" si="23"/>
        <v>136.00000000000006</v>
      </c>
      <c r="H50" s="200">
        <f t="shared" ca="1" si="33"/>
        <v>2.6514415433621861</v>
      </c>
      <c r="I50" s="200">
        <f t="shared" si="34"/>
        <v>3.4000000000000016E-2</v>
      </c>
      <c r="J50" s="200">
        <f t="shared" si="18"/>
        <v>0.13600000000000007</v>
      </c>
      <c r="K50" s="200">
        <f t="shared" si="24"/>
        <v>5.400000000000002E-2</v>
      </c>
      <c r="L50" s="200">
        <f t="shared" si="25"/>
        <v>5.8320000000000047E-3</v>
      </c>
      <c r="M50" s="200">
        <f ca="1">IF(【事例2】危険部品判断シート!$O$36=0,2.51*0.56*(O50/K50)^0.25+0.0000000567*$F$9*(($F$10+273+O50)^2+($F$10+273)^2)*(($F$10+273+O50)+($F$10+273)),3.86*(【事例2】危険部品判断シート!$O$36/K50)^0.5+0.0000000567*$F$9*(($F$10+273+O50)^2+($F$10+273)^2)*(($F$10+273+O50)+($F$10+273)))</f>
        <v>15.154558432568496</v>
      </c>
      <c r="N50" s="200">
        <f t="shared" ca="1" si="19"/>
        <v>12.000470872746604</v>
      </c>
      <c r="O50" s="200">
        <f t="shared" ca="1" si="26"/>
        <v>31.818547011908215</v>
      </c>
      <c r="P50" s="200">
        <f t="shared" si="27"/>
        <v>1.1560000000000012E-3</v>
      </c>
      <c r="Q50" s="200">
        <f t="shared" si="28"/>
        <v>2.9160000000000024E-3</v>
      </c>
      <c r="R50" s="200">
        <f t="shared" si="29"/>
        <v>132.52894983239543</v>
      </c>
      <c r="S50" s="200">
        <f t="shared" si="20"/>
        <v>0.34143644610733226</v>
      </c>
      <c r="T50" s="200">
        <f t="shared" ca="1" si="21"/>
        <v>83.477429700989219</v>
      </c>
      <c r="U50" s="200">
        <f t="shared" si="22"/>
        <v>0.20892433317177841</v>
      </c>
      <c r="V50" s="200">
        <f t="shared" ca="1" si="30"/>
        <v>1.5495037267361813</v>
      </c>
      <c r="W50" s="262">
        <f t="shared" ca="1" si="31"/>
        <v>13.549974599482786</v>
      </c>
      <c r="X50" s="200">
        <f t="shared" ca="1" si="32"/>
        <v>2.6514415433621861</v>
      </c>
    </row>
    <row r="51" spans="7:24">
      <c r="G51" s="200">
        <f t="shared" si="23"/>
        <v>144.00000000000009</v>
      </c>
      <c r="H51" s="200">
        <f t="shared" ca="1" si="33"/>
        <v>2.839557982920712</v>
      </c>
      <c r="I51" s="200">
        <f t="shared" si="34"/>
        <v>3.6000000000000018E-2</v>
      </c>
      <c r="J51" s="200">
        <f t="shared" si="18"/>
        <v>0.14400000000000007</v>
      </c>
      <c r="K51" s="200">
        <f t="shared" si="24"/>
        <v>5.6000000000000022E-2</v>
      </c>
      <c r="L51" s="200">
        <f t="shared" si="25"/>
        <v>6.272000000000005E-3</v>
      </c>
      <c r="M51" s="200">
        <f ca="1">IF(【事例2】危険部品判断シート!$O$36=0,2.51*0.56*(O51/K51)^0.25+0.0000000567*$F$9*(($F$10+273+O51)^2+($F$10+273)^2)*(($F$10+273+O51)+($F$10+273)),3.86*(【事例2】危険部品判断シート!$O$36/K51)^0.5+0.0000000567*$F$9*(($F$10+273+O51)^2+($F$10+273)^2)*(($F$10+273+O51)+($F$10+273)))</f>
        <v>15.091188259570098</v>
      </c>
      <c r="N51" s="200">
        <f t="shared" ca="1" si="19"/>
        <v>11.202779722225753</v>
      </c>
      <c r="O51" s="200">
        <f t="shared" ca="1" si="26"/>
        <v>31.810942591148414</v>
      </c>
      <c r="P51" s="200">
        <f t="shared" si="27"/>
        <v>1.2960000000000014E-3</v>
      </c>
      <c r="Q51" s="200">
        <f t="shared" si="28"/>
        <v>3.1360000000000025E-3</v>
      </c>
      <c r="R51" s="200">
        <f t="shared" si="29"/>
        <v>127.21220629262967</v>
      </c>
      <c r="S51" s="200">
        <f t="shared" si="20"/>
        <v>0.31095104913346333</v>
      </c>
      <c r="T51" s="200">
        <f t="shared" ca="1" si="21"/>
        <v>80.445756589815076</v>
      </c>
      <c r="U51" s="200">
        <f t="shared" si="22"/>
        <v>0.20077457179325225</v>
      </c>
      <c r="V51" s="200">
        <f t="shared" ca="1" si="30"/>
        <v>1.4620982740946464</v>
      </c>
      <c r="W51" s="262">
        <f t="shared" ca="1" si="31"/>
        <v>12.664877996320399</v>
      </c>
      <c r="X51" s="200">
        <f t="shared" ca="1" si="32"/>
        <v>2.839557982920712</v>
      </c>
    </row>
    <row r="52" spans="7:24">
      <c r="G52" s="200">
        <f t="shared" si="23"/>
        <v>152.00000000000009</v>
      </c>
      <c r="H52" s="200">
        <f t="shared" ca="1" si="33"/>
        <v>3.0337748611707562</v>
      </c>
      <c r="I52" s="200">
        <f t="shared" si="34"/>
        <v>3.800000000000002E-2</v>
      </c>
      <c r="J52" s="200">
        <f t="shared" si="18"/>
        <v>0.15200000000000008</v>
      </c>
      <c r="K52" s="200">
        <f t="shared" si="24"/>
        <v>5.8000000000000024E-2</v>
      </c>
      <c r="L52" s="200">
        <f t="shared" si="25"/>
        <v>6.7280000000000057E-3</v>
      </c>
      <c r="M52" s="200">
        <f ca="1">IF(【事例2】危険部品判断シート!$O$36=0,2.51*0.56*(O52/K52)^0.25+0.0000000567*$F$9*(($F$10+273+O52)^2+($F$10+273)^2)*(($F$10+273+O52)+($F$10+273)),3.86*(【事例2】危険部品判断シート!$O$36/K52)^0.5+0.0000000567*$F$9*(($F$10+273+O52)^2+($F$10+273)^2)*(($F$10+273+O52)+($F$10+273)))</f>
        <v>15.030592851618874</v>
      </c>
      <c r="N52" s="200">
        <f t="shared" ca="1" si="19"/>
        <v>10.483200829847009</v>
      </c>
      <c r="O52" s="200">
        <f t="shared" ca="1" si="26"/>
        <v>31.803671142194265</v>
      </c>
      <c r="P52" s="200">
        <f t="shared" si="27"/>
        <v>1.4440000000000015E-3</v>
      </c>
      <c r="Q52" s="200">
        <f t="shared" si="28"/>
        <v>3.3640000000000028E-3</v>
      </c>
      <c r="R52" s="200">
        <f t="shared" si="29"/>
        <v>122.32144459147224</v>
      </c>
      <c r="S52" s="200">
        <f t="shared" si="20"/>
        <v>0.28442709394422055</v>
      </c>
      <c r="T52" s="200">
        <f t="shared" ca="1" si="21"/>
        <v>77.647056955700549</v>
      </c>
      <c r="U52" s="200">
        <f t="shared" si="22"/>
        <v>0.19325312753656981</v>
      </c>
      <c r="V52" s="200">
        <f t="shared" ca="1" si="30"/>
        <v>1.3832646627870526</v>
      </c>
      <c r="W52" s="262">
        <f t="shared" ca="1" si="31"/>
        <v>11.866465492634061</v>
      </c>
      <c r="X52" s="200">
        <f t="shared" ca="1" si="32"/>
        <v>3.0337748611707562</v>
      </c>
    </row>
    <row r="53" spans="7:24">
      <c r="G53" s="200">
        <f t="shared" si="23"/>
        <v>160.00000000000009</v>
      </c>
      <c r="H53" s="200">
        <f t="shared" ca="1" si="33"/>
        <v>3.2340731908404496</v>
      </c>
      <c r="I53" s="200">
        <f t="shared" si="34"/>
        <v>4.0000000000000022E-2</v>
      </c>
      <c r="J53" s="200">
        <f t="shared" si="18"/>
        <v>0.16000000000000009</v>
      </c>
      <c r="K53" s="200">
        <f t="shared" si="24"/>
        <v>6.0000000000000026E-2</v>
      </c>
      <c r="L53" s="200">
        <f t="shared" si="25"/>
        <v>7.2000000000000059E-3</v>
      </c>
      <c r="M53" s="200">
        <f ca="1">IF(【事例2】危険部品判断シート!$O$36=0,2.51*0.56*(O53/K53)^0.25+0.0000000567*$F$9*(($F$10+273+O53)^2+($F$10+273)^2)*(($F$10+273+O53)+($F$10+273)),3.86*(【事例2】危険部品判断シート!$O$36/K53)^0.5+0.0000000567*$F$9*(($F$10+273+O53)^2+($F$10+273)^2)*(($F$10+273+O53)+($F$10+273)))</f>
        <v>14.972561068705774</v>
      </c>
      <c r="N53" s="200">
        <f t="shared" ca="1" si="19"/>
        <v>9.8317834668366224</v>
      </c>
      <c r="O53" s="200">
        <f t="shared" ca="1" si="26"/>
        <v>31.796707328244693</v>
      </c>
      <c r="P53" s="200">
        <f t="shared" si="27"/>
        <v>1.6000000000000018E-3</v>
      </c>
      <c r="Q53" s="200">
        <f t="shared" si="28"/>
        <v>3.6000000000000029E-3</v>
      </c>
      <c r="R53" s="200">
        <f t="shared" si="29"/>
        <v>117.80546661386175</v>
      </c>
      <c r="S53" s="200">
        <f t="shared" si="20"/>
        <v>0.26119888127210916</v>
      </c>
      <c r="T53" s="200">
        <f t="shared" ca="1" si="21"/>
        <v>75.053811964422707</v>
      </c>
      <c r="U53" s="200">
        <f t="shared" si="22"/>
        <v>0.18628780939122261</v>
      </c>
      <c r="V53" s="200">
        <f t="shared" ca="1" si="30"/>
        <v>1.3117835534801934</v>
      </c>
      <c r="W53" s="262">
        <f t="shared" ca="1" si="31"/>
        <v>11.143567020316816</v>
      </c>
      <c r="X53" s="200">
        <f t="shared" ca="1" si="32"/>
        <v>3.2340731908404496</v>
      </c>
    </row>
    <row r="54" spans="7:24">
      <c r="G54" s="200">
        <f t="shared" si="23"/>
        <v>168.00000000000009</v>
      </c>
      <c r="H54" s="200">
        <f t="shared" ca="1" si="33"/>
        <v>3.4404347874570624</v>
      </c>
      <c r="I54" s="200">
        <f t="shared" si="34"/>
        <v>4.2000000000000023E-2</v>
      </c>
      <c r="J54" s="200">
        <f t="shared" si="18"/>
        <v>0.16800000000000009</v>
      </c>
      <c r="K54" s="200">
        <f t="shared" si="24"/>
        <v>6.2000000000000027E-2</v>
      </c>
      <c r="L54" s="200">
        <f t="shared" si="25"/>
        <v>7.6880000000000065E-3</v>
      </c>
      <c r="M54" s="200">
        <f ca="1">IF(【事例2】危険部品判断シート!$O$36=0,2.51*0.56*(O54/K54)^0.25+0.0000000567*$F$9*(($F$10+273+O54)^2+($F$10+273)^2)*(($F$10+273+O54)+($F$10+273)),3.86*(【事例2】危険部品判断シート!$O$36/K54)^0.5+0.0000000567*$F$9*(($F$10+273+O54)^2+($F$10+273)^2)*(($F$10+273+O54)+($F$10+273)))</f>
        <v>14.916904212005981</v>
      </c>
      <c r="N54" s="200">
        <f t="shared" ca="1" si="19"/>
        <v>9.240119481798919</v>
      </c>
      <c r="O54" s="200">
        <f t="shared" ca="1" si="26"/>
        <v>31.790028505440727</v>
      </c>
      <c r="P54" s="200">
        <f t="shared" si="27"/>
        <v>1.7640000000000019E-3</v>
      </c>
      <c r="Q54" s="200">
        <f t="shared" si="28"/>
        <v>3.8440000000000032E-3</v>
      </c>
      <c r="R54" s="200">
        <f t="shared" si="29"/>
        <v>113.62126569390615</v>
      </c>
      <c r="S54" s="200">
        <f t="shared" si="20"/>
        <v>0.24073629610332642</v>
      </c>
      <c r="T54" s="200">
        <f t="shared" ca="1" si="21"/>
        <v>72.64288669883058</v>
      </c>
      <c r="U54" s="200">
        <f t="shared" si="22"/>
        <v>0.17981744300926975</v>
      </c>
      <c r="V54" s="200">
        <f t="shared" ca="1" si="30"/>
        <v>1.2466574402607806</v>
      </c>
      <c r="W54" s="262">
        <f t="shared" ca="1" si="31"/>
        <v>10.4867769220597</v>
      </c>
      <c r="X54" s="200">
        <f t="shared" ca="1" si="32"/>
        <v>3.4404347874570624</v>
      </c>
    </row>
    <row r="55" spans="7:24">
      <c r="G55" s="200">
        <f t="shared" si="23"/>
        <v>176.00000000000011</v>
      </c>
      <c r="H55" s="200">
        <f t="shared" ca="1" si="33"/>
        <v>3.6528422102610878</v>
      </c>
      <c r="I55" s="200">
        <f t="shared" si="34"/>
        <v>4.4000000000000025E-2</v>
      </c>
      <c r="J55" s="200">
        <f t="shared" si="18"/>
        <v>0.1760000000000001</v>
      </c>
      <c r="K55" s="200">
        <f t="shared" si="24"/>
        <v>6.4000000000000029E-2</v>
      </c>
      <c r="L55" s="200">
        <f t="shared" si="25"/>
        <v>8.1920000000000083E-3</v>
      </c>
      <c r="M55" s="200">
        <f ca="1">IF(【事例2】危険部品判断シート!$O$36=0,2.51*0.56*(O55/K55)^0.25+0.0000000567*$F$9*(($F$10+273+O55)^2+($F$10+273)^2)*(($F$10+273+O55)+($F$10+273)),3.86*(【事例2】危険部品判断シート!$O$36/K55)^0.5+0.0000000567*$F$9*(($F$10+273+O55)^2+($F$10+273)^2)*(($F$10+273+O55)+($F$10+273)))</f>
        <v>14.863453003992039</v>
      </c>
      <c r="N55" s="200">
        <f t="shared" ca="1" si="19"/>
        <v>8.7010641388222769</v>
      </c>
      <c r="O55" s="200">
        <f t="shared" ca="1" si="26"/>
        <v>31.783614360479053</v>
      </c>
      <c r="P55" s="200">
        <f t="shared" si="27"/>
        <v>1.9360000000000022E-3</v>
      </c>
      <c r="Q55" s="200">
        <f t="shared" si="28"/>
        <v>4.0960000000000042E-3</v>
      </c>
      <c r="R55" s="200">
        <f t="shared" si="29"/>
        <v>109.73239767776813</v>
      </c>
      <c r="S55" s="200">
        <f t="shared" si="20"/>
        <v>0.22261268290236577</v>
      </c>
      <c r="T55" s="200">
        <f t="shared" ca="1" si="21"/>
        <v>70.39465613483317</v>
      </c>
      <c r="U55" s="200">
        <f t="shared" si="22"/>
        <v>0.17378977806974827</v>
      </c>
      <c r="V55" s="200">
        <f t="shared" ca="1" si="30"/>
        <v>1.1870623705783534</v>
      </c>
      <c r="W55" s="262">
        <f t="shared" ca="1" si="31"/>
        <v>9.8881265094006299</v>
      </c>
      <c r="X55" s="200">
        <f t="shared" ca="1" si="32"/>
        <v>3.6528422102610869</v>
      </c>
    </row>
    <row r="56" spans="7:24">
      <c r="G56" s="200">
        <f t="shared" si="23"/>
        <v>184.00000000000011</v>
      </c>
      <c r="H56" s="200">
        <f t="shared" ca="1" si="33"/>
        <v>3.8712787092030014</v>
      </c>
      <c r="I56" s="200">
        <f t="shared" si="34"/>
        <v>4.6000000000000027E-2</v>
      </c>
      <c r="J56" s="200">
        <f t="shared" si="18"/>
        <v>0.18400000000000011</v>
      </c>
      <c r="K56" s="200">
        <f t="shared" si="24"/>
        <v>6.6000000000000031E-2</v>
      </c>
      <c r="L56" s="200">
        <f t="shared" si="25"/>
        <v>8.7120000000000079E-3</v>
      </c>
      <c r="M56" s="200">
        <f ca="1">IF(【事例2】危険部品判断シート!$O$36=0,2.51*0.56*(O56/K56)^0.25+0.0000000567*$F$9*(($F$10+273+O56)^2+($F$10+273)^2)*(($F$10+273+O56)+($F$10+273)),3.86*(【事例2】危険部品判断シート!$O$36/K56)^0.5+0.0000000567*$F$9*(($F$10+273+O56)^2+($F$10+273)^2)*(($F$10+273+O56)+($F$10+273)))</f>
        <v>14.812055055107891</v>
      </c>
      <c r="N56" s="200">
        <f t="shared" ca="1" si="19"/>
        <v>8.2085142903996999</v>
      </c>
      <c r="O56" s="200">
        <f t="shared" ca="1" si="26"/>
        <v>31.777446606612941</v>
      </c>
      <c r="P56" s="200">
        <f t="shared" si="27"/>
        <v>2.1160000000000024E-3</v>
      </c>
      <c r="Q56" s="200">
        <f t="shared" si="28"/>
        <v>4.356000000000004E-3</v>
      </c>
      <c r="R56" s="200">
        <f t="shared" si="29"/>
        <v>106.1077364473842</v>
      </c>
      <c r="S56" s="200">
        <f t="shared" si="20"/>
        <v>0.20648132906886099</v>
      </c>
      <c r="T56" s="200">
        <f t="shared" ca="1" si="21"/>
        <v>68.292338577472634</v>
      </c>
      <c r="U56" s="200">
        <f t="shared" si="22"/>
        <v>0.16815986928356499</v>
      </c>
      <c r="V56" s="200">
        <f t="shared" ca="1" si="30"/>
        <v>1.1323117521657051</v>
      </c>
      <c r="W56" s="262">
        <f t="shared" ca="1" si="31"/>
        <v>9.3408260425654053</v>
      </c>
      <c r="X56" s="200">
        <f t="shared" ca="1" si="32"/>
        <v>3.8712787092030014</v>
      </c>
    </row>
    <row r="57" spans="7:24">
      <c r="G57" s="200">
        <f t="shared" si="23"/>
        <v>192.00000000000011</v>
      </c>
      <c r="H57" s="200">
        <f t="shared" ca="1" si="33"/>
        <v>4.0957281772289011</v>
      </c>
      <c r="I57" s="200">
        <f t="shared" si="34"/>
        <v>4.8000000000000029E-2</v>
      </c>
      <c r="J57" s="200">
        <f t="shared" si="18"/>
        <v>0.19200000000000012</v>
      </c>
      <c r="K57" s="200">
        <f t="shared" si="24"/>
        <v>6.8000000000000033E-2</v>
      </c>
      <c r="L57" s="200">
        <f t="shared" si="25"/>
        <v>9.2480000000000097E-3</v>
      </c>
      <c r="M57" s="200">
        <f ca="1">IF(【事例2】危険部品判断シート!$O$36=0,2.51*0.56*(O57/K57)^0.25+0.0000000567*$F$9*(($F$10+273+O57)^2+($F$10+273)^2)*(($F$10+273+O57)+($F$10+273)),3.86*(【事例2】危険部品判断シート!$O$36/K57)^0.5+0.0000000567*$F$9*(($F$10+273+O57)^2+($F$10+273)^2)*(($F$10+273+O57)+($F$10+273)))</f>
        <v>14.762572726459403</v>
      </c>
      <c r="N57" s="200">
        <f t="shared" ca="1" si="19"/>
        <v>7.7572307908068208</v>
      </c>
      <c r="O57" s="200">
        <f t="shared" ca="1" si="26"/>
        <v>31.771508727175128</v>
      </c>
      <c r="P57" s="200">
        <f t="shared" si="27"/>
        <v>2.3040000000000027E-3</v>
      </c>
      <c r="Q57" s="200">
        <f t="shared" si="28"/>
        <v>4.6240000000000048E-3</v>
      </c>
      <c r="R57" s="200">
        <f t="shared" si="29"/>
        <v>102.72050975732901</v>
      </c>
      <c r="S57" s="200">
        <f t="shared" si="20"/>
        <v>0.1920580009353744</v>
      </c>
      <c r="T57" s="200">
        <f t="shared" ca="1" si="21"/>
        <v>66.321479989028603</v>
      </c>
      <c r="U57" s="200">
        <f t="shared" si="22"/>
        <v>0.16288880738207773</v>
      </c>
      <c r="V57" s="200">
        <f t="shared" ca="1" si="30"/>
        <v>1.0818288565574916</v>
      </c>
      <c r="W57" s="262">
        <f t="shared" ca="1" si="31"/>
        <v>8.8390596473643122</v>
      </c>
      <c r="X57" s="200">
        <f t="shared" ca="1" si="32"/>
        <v>4.0957281772289011</v>
      </c>
    </row>
    <row r="58" spans="7:24">
      <c r="G58" s="200">
        <f t="shared" si="23"/>
        <v>200.00000000000011</v>
      </c>
      <c r="H58" s="200">
        <f t="shared" ca="1" si="33"/>
        <v>4.3261751071853611</v>
      </c>
      <c r="I58" s="200">
        <f t="shared" si="34"/>
        <v>5.0000000000000031E-2</v>
      </c>
      <c r="J58" s="200">
        <f t="shared" si="18"/>
        <v>0.20000000000000012</v>
      </c>
      <c r="K58" s="200">
        <f t="shared" si="24"/>
        <v>7.0000000000000034E-2</v>
      </c>
      <c r="L58" s="200">
        <f t="shared" si="25"/>
        <v>9.8000000000000101E-3</v>
      </c>
      <c r="M58" s="200">
        <f ca="1">IF(【事例2】危険部品判断シート!$O$36=0,2.51*0.56*(O58/K58)^0.25+0.0000000567*$F$9*(($F$10+273+O58)^2+($F$10+273)^2)*(($F$10+273+O58)+($F$10+273)),3.86*(【事例2】危険部品判断シート!$O$36/K58)^0.5+0.0000000567*$F$9*(($F$10+273+O58)^2+($F$10+273)^2)*(($F$10+273+O58)+($F$10+273)))</f>
        <v>14.714881316956994</v>
      </c>
      <c r="N58" s="200">
        <f t="shared" ca="1" si="19"/>
        <v>7.3426953304028135</v>
      </c>
      <c r="O58" s="200">
        <f t="shared" ca="1" si="26"/>
        <v>31.765785758034841</v>
      </c>
      <c r="P58" s="200">
        <f t="shared" si="27"/>
        <v>2.5000000000000031E-3</v>
      </c>
      <c r="Q58" s="200">
        <f t="shared" si="28"/>
        <v>4.900000000000005E-3</v>
      </c>
      <c r="R58" s="200">
        <f t="shared" si="29"/>
        <v>99.547542811881499</v>
      </c>
      <c r="S58" s="200">
        <f t="shared" si="20"/>
        <v>0.17910780430087486</v>
      </c>
      <c r="T58" s="200">
        <f t="shared" ca="1" si="21"/>
        <v>64.469549898244765</v>
      </c>
      <c r="U58" s="200">
        <f t="shared" si="22"/>
        <v>0.15794271274300262</v>
      </c>
      <c r="V58" s="200">
        <f t="shared" ca="1" si="30"/>
        <v>1.0351256743411674</v>
      </c>
      <c r="W58" s="262">
        <f t="shared" ca="1" si="31"/>
        <v>8.3778210047439803</v>
      </c>
      <c r="X58" s="200">
        <f t="shared" ca="1" si="32"/>
        <v>4.3261751071853611</v>
      </c>
    </row>
    <row r="60" spans="7:24">
      <c r="K60" s="200" t="s">
        <v>275</v>
      </c>
      <c r="L60" s="265">
        <f>L32+E33</f>
        <v>15</v>
      </c>
    </row>
    <row r="61" spans="7:24">
      <c r="H61" s="200" t="s">
        <v>203</v>
      </c>
      <c r="I61" s="200" t="s">
        <v>277</v>
      </c>
      <c r="J61" s="200" t="s">
        <v>253</v>
      </c>
      <c r="K61" s="200" t="s">
        <v>278</v>
      </c>
      <c r="L61" s="200" t="s">
        <v>279</v>
      </c>
      <c r="M61" s="200" t="s">
        <v>280</v>
      </c>
      <c r="N61" s="200" t="s">
        <v>281</v>
      </c>
      <c r="O61" s="200" t="s">
        <v>282</v>
      </c>
      <c r="P61" s="200" t="s">
        <v>283</v>
      </c>
      <c r="Q61" s="200" t="s">
        <v>284</v>
      </c>
      <c r="R61" s="200" t="s">
        <v>285</v>
      </c>
      <c r="S61" s="200" t="s">
        <v>286</v>
      </c>
      <c r="T61" s="200" t="s">
        <v>287</v>
      </c>
      <c r="U61" s="200" t="s">
        <v>288</v>
      </c>
      <c r="V61" s="200" t="s">
        <v>289</v>
      </c>
      <c r="W61" s="200" t="s">
        <v>290</v>
      </c>
      <c r="X61" s="200" t="s">
        <v>291</v>
      </c>
    </row>
    <row r="62" spans="7:24">
      <c r="G62" s="200">
        <f>J62*1000</f>
        <v>8</v>
      </c>
      <c r="H62" s="200">
        <f ca="1">X62</f>
        <v>0.9912742459327254</v>
      </c>
      <c r="I62" s="200">
        <v>2E-3</v>
      </c>
      <c r="J62" s="200">
        <f t="shared" ref="J62:J86" si="35">I62*4</f>
        <v>8.0000000000000002E-3</v>
      </c>
      <c r="K62" s="200">
        <f>I62+$L$60/1000*2</f>
        <v>3.2000000000000001E-2</v>
      </c>
      <c r="L62" s="200">
        <f>K62^2*2</f>
        <v>2.0479999999999999E-3</v>
      </c>
      <c r="M62" s="200">
        <f ca="1">IF(【事例2】危険部品判断シート!$O$36=0,2.51*0.56*(O62/K62)^0.25+0.0000000567*$F$9*(($F$10+273+O62)^2+($F$10+273)^2)*(($F$10+273+O62)+($F$10+273)),3.86*(【事例2】危険部品判断シート!$O$36/K62)^0.5+0.0000000567*$F$9*(($F$10+273+O62)^2+($F$10+273)^2)*(($F$10+273+O62)+($F$10+273)))</f>
        <v>16.134020929894621</v>
      </c>
      <c r="N62" s="200">
        <f t="shared" ref="N62:N86" ca="1" si="36">1/L62/M62+$F$8/$M$3/L62</f>
        <v>32.217201892032968</v>
      </c>
      <c r="O62" s="200">
        <f t="shared" ref="O62:O86" ca="1" si="37">H62*N62</f>
        <v>31.936082511587355</v>
      </c>
      <c r="P62" s="200">
        <f>I62^2</f>
        <v>3.9999999999999998E-6</v>
      </c>
      <c r="Q62" s="200">
        <f>K62^2</f>
        <v>1.024E-3</v>
      </c>
      <c r="R62" s="200">
        <f>(PI()^1.5)/((Q62)^0.5)+1/(P62)^0.5</f>
        <v>674.01024990099086</v>
      </c>
      <c r="S62" s="200">
        <f t="shared" ref="S62:S86" si="38">$F$6*(Q62^0.5-P62^0.5)/($L$3*(PI()*Q62*P62)^0.5)</f>
        <v>14.692437071556157</v>
      </c>
      <c r="T62" s="200">
        <f t="shared" ref="T62:T86" ca="1" si="39">R62*$L$3*Q62*N62/$F$6</f>
        <v>400.24579826736806</v>
      </c>
      <c r="U62" s="200">
        <f t="shared" ref="U62:U86" si="40">TANH(R62*$F$8/$F$6)</f>
        <v>0.79261110432189874</v>
      </c>
      <c r="V62" s="200">
        <f ca="1">S62*(T62+U62)/(1+T62*U62)</f>
        <v>18.515099349643481</v>
      </c>
      <c r="W62" s="262">
        <f ca="1">N62+V62</f>
        <v>50.732301241676453</v>
      </c>
      <c r="X62" s="200">
        <f ca="1">L62*M62*$Q$3</f>
        <v>0.9912742459327254</v>
      </c>
    </row>
    <row r="63" spans="7:24">
      <c r="G63" s="200">
        <f t="shared" ref="G63:G86" si="41">J63*1000</f>
        <v>16</v>
      </c>
      <c r="H63" s="200">
        <f ca="1">X63</f>
        <v>1.1107151388857393</v>
      </c>
      <c r="I63" s="200">
        <f>I62+0.002</f>
        <v>4.0000000000000001E-3</v>
      </c>
      <c r="J63" s="200">
        <f t="shared" si="35"/>
        <v>1.6E-2</v>
      </c>
      <c r="K63" s="200">
        <f t="shared" ref="K63:K86" si="42">I63+$L$60/1000*2</f>
        <v>3.4000000000000002E-2</v>
      </c>
      <c r="L63" s="200">
        <f t="shared" ref="L63:L86" si="43">K63^2*2</f>
        <v>2.3120000000000003E-3</v>
      </c>
      <c r="M63" s="200">
        <f ca="1">IF(【事例2】危険部品判断シート!$O$36=0,2.51*0.56*(O63/K63)^0.25+0.0000000567*$F$9*(($F$10+273+O63)^2+($F$10+273)^2)*(($F$10+273+O63)+($F$10+273)),3.86*(【事例2】危険部品判断シート!$O$36/K63)^0.5+0.0000000567*$F$9*(($F$10+273+O63)^2+($F$10+273)^2)*(($F$10+273+O63)+($F$10+273)))</f>
        <v>16.013770745180778</v>
      </c>
      <c r="N63" s="200">
        <f t="shared" ca="1" si="36"/>
        <v>28.739729361612245</v>
      </c>
      <c r="O63" s="200">
        <f t="shared" ca="1" si="37"/>
        <v>31.921652489421703</v>
      </c>
      <c r="P63" s="200">
        <f t="shared" ref="P63:P86" si="44">I63^2</f>
        <v>1.5999999999999999E-5</v>
      </c>
      <c r="Q63" s="200">
        <f t="shared" ref="Q63:Q86" si="45">K63^2</f>
        <v>1.1560000000000001E-3</v>
      </c>
      <c r="R63" s="200">
        <f t="shared" ref="R63:R86" si="46">(PI()^1.5)/((Q63)^0.5)+1/(P63)^0.5</f>
        <v>413.77435284799139</v>
      </c>
      <c r="S63" s="200">
        <f t="shared" si="38"/>
        <v>6.9140880336734849</v>
      </c>
      <c r="T63" s="200">
        <f t="shared" ca="1" si="39"/>
        <v>247.44380278999355</v>
      </c>
      <c r="U63" s="200">
        <f t="shared" si="40"/>
        <v>0.57971873515809735</v>
      </c>
      <c r="V63" s="200">
        <f t="shared" ref="V63:V86" ca="1" si="47">S63*(T63+U63)/(1+T63*U63)</f>
        <v>11.871806720537627</v>
      </c>
      <c r="W63" s="262">
        <f t="shared" ref="W63:W86" ca="1" si="48">N63+V63</f>
        <v>40.611536082149868</v>
      </c>
      <c r="X63" s="200">
        <f t="shared" ref="X63:X86" ca="1" si="49">L63*M63*$Q$3</f>
        <v>1.1107151388857388</v>
      </c>
    </row>
    <row r="64" spans="7:24">
      <c r="G64" s="200">
        <f t="shared" si="41"/>
        <v>24</v>
      </c>
      <c r="H64" s="200">
        <f t="shared" ref="H64:H86" ca="1" si="50">X64</f>
        <v>1.2365455119811584</v>
      </c>
      <c r="I64" s="200">
        <f t="shared" ref="I64:I86" si="51">I63+0.002</f>
        <v>6.0000000000000001E-3</v>
      </c>
      <c r="J64" s="200">
        <f t="shared" si="35"/>
        <v>2.4E-2</v>
      </c>
      <c r="K64" s="200">
        <f t="shared" si="42"/>
        <v>3.5999999999999997E-2</v>
      </c>
      <c r="L64" s="200">
        <f t="shared" si="43"/>
        <v>2.5919999999999997E-3</v>
      </c>
      <c r="M64" s="200">
        <f ca="1">IF(【事例2】危険部品判断シート!$O$36=0,2.51*0.56*(O64/K64)^0.25+0.0000000567*$F$9*(($F$10+273+O64)^2+($F$10+273)^2)*(($F$10+273+O64)+($F$10+273)),3.86*(【事例2】危険部品判断シート!$O$36/K64)^0.5+0.0000000567*$F$9*(($F$10+273+O64)^2+($F$10+273)^2)*(($F$10+273+O64)+($F$10+273)))</f>
        <v>15.902077057370864</v>
      </c>
      <c r="N64" s="200">
        <f t="shared" ca="1" si="36"/>
        <v>25.804346817580544</v>
      </c>
      <c r="O64" s="200">
        <f t="shared" ca="1" si="37"/>
        <v>31.908249246884509</v>
      </c>
      <c r="P64" s="200">
        <f t="shared" si="44"/>
        <v>3.6000000000000001E-5</v>
      </c>
      <c r="Q64" s="200">
        <f t="shared" si="45"/>
        <v>1.2959999999999998E-3</v>
      </c>
      <c r="R64" s="200">
        <f t="shared" si="46"/>
        <v>321.34244435643632</v>
      </c>
      <c r="S64" s="200">
        <f t="shared" si="38"/>
        <v>4.3533146878684894</v>
      </c>
      <c r="T64" s="200">
        <f t="shared" ca="1" si="39"/>
        <v>193.43651972889236</v>
      </c>
      <c r="U64" s="200">
        <f t="shared" si="40"/>
        <v>0.4731707440047504</v>
      </c>
      <c r="V64" s="200">
        <f t="shared" ca="1" si="47"/>
        <v>9.1231337997950561</v>
      </c>
      <c r="W64" s="262">
        <f t="shared" ca="1" si="48"/>
        <v>34.927480617375601</v>
      </c>
      <c r="X64" s="200">
        <f t="shared" ca="1" si="49"/>
        <v>1.2365455119811584</v>
      </c>
    </row>
    <row r="65" spans="7:24">
      <c r="G65" s="200">
        <f t="shared" si="41"/>
        <v>32</v>
      </c>
      <c r="H65" s="200">
        <f t="shared" ca="1" si="50"/>
        <v>1.3687303744527723</v>
      </c>
      <c r="I65" s="200">
        <f t="shared" si="51"/>
        <v>8.0000000000000002E-3</v>
      </c>
      <c r="J65" s="200">
        <f t="shared" si="35"/>
        <v>3.2000000000000001E-2</v>
      </c>
      <c r="K65" s="200">
        <f t="shared" si="42"/>
        <v>3.7999999999999999E-2</v>
      </c>
      <c r="L65" s="200">
        <f t="shared" si="43"/>
        <v>2.8879999999999999E-3</v>
      </c>
      <c r="M65" s="200">
        <f ca="1">IF(【事例2】危険部品判断シート!$O$36=0,2.51*0.56*(O65/K65)^0.25+0.0000000567*$F$9*(($F$10+273+O65)^2+($F$10+273)^2)*(($F$10+273+O65)+($F$10+273)),3.86*(【事例2】危険部品判断シート!$O$36/K65)^0.5+0.0000000567*$F$9*(($F$10+273+O65)^2+($F$10+273)^2)*(($F$10+273+O65)+($F$10+273)))</f>
        <v>15.797903675586017</v>
      </c>
      <c r="N65" s="200">
        <f t="shared" ca="1" si="36"/>
        <v>23.303164039025916</v>
      </c>
      <c r="O65" s="200">
        <f t="shared" ca="1" si="37"/>
        <v>31.895748441070321</v>
      </c>
      <c r="P65" s="200">
        <f t="shared" si="44"/>
        <v>6.3999999999999997E-5</v>
      </c>
      <c r="Q65" s="200">
        <f t="shared" si="45"/>
        <v>1.444E-3</v>
      </c>
      <c r="R65" s="200">
        <f t="shared" si="46"/>
        <v>271.53494728504495</v>
      </c>
      <c r="S65" s="200">
        <f t="shared" si="38"/>
        <v>3.0931446466434007</v>
      </c>
      <c r="T65" s="200">
        <f t="shared" ca="1" si="39"/>
        <v>164.4675879043518</v>
      </c>
      <c r="U65" s="200">
        <f t="shared" si="40"/>
        <v>0.4090384445860526</v>
      </c>
      <c r="V65" s="200">
        <f t="shared" ca="1" si="47"/>
        <v>7.4697614534890384</v>
      </c>
      <c r="W65" s="262">
        <f t="shared" ca="1" si="48"/>
        <v>30.772925492514954</v>
      </c>
      <c r="X65" s="200">
        <f t="shared" ca="1" si="49"/>
        <v>1.3687303744527723</v>
      </c>
    </row>
    <row r="66" spans="7:24">
      <c r="G66" s="200">
        <f t="shared" si="41"/>
        <v>40</v>
      </c>
      <c r="H66" s="200">
        <f t="shared" ca="1" si="50"/>
        <v>1.5072370913389475</v>
      </c>
      <c r="I66" s="200">
        <f t="shared" si="51"/>
        <v>0.01</v>
      </c>
      <c r="J66" s="200">
        <f t="shared" si="35"/>
        <v>0.04</v>
      </c>
      <c r="K66" s="200">
        <f t="shared" si="42"/>
        <v>0.04</v>
      </c>
      <c r="L66" s="200">
        <f t="shared" si="43"/>
        <v>3.2000000000000002E-3</v>
      </c>
      <c r="M66" s="200">
        <f ca="1">IF(【事例2】危険部品判断シート!$O$36=0,2.51*0.56*(O66/K66)^0.25+0.0000000567*$F$9*(($F$10+273+O66)^2+($F$10+273)^2)*(($F$10+273+O66)+($F$10+273)),3.86*(【事例2】危険部品判断シート!$O$36/K66)^0.5+0.0000000567*$F$9*(($F$10+273+O66)^2+($F$10+273)^2)*(($F$10+273+O66)+($F$10+273)))</f>
        <v>15.700386368114035</v>
      </c>
      <c r="N66" s="200">
        <f t="shared" ca="1" si="36"/>
        <v>21.153968773319953</v>
      </c>
      <c r="O66" s="200">
        <f t="shared" ca="1" si="37"/>
        <v>31.884046364173688</v>
      </c>
      <c r="P66" s="200">
        <f t="shared" si="44"/>
        <v>1E-4</v>
      </c>
      <c r="Q66" s="200">
        <f t="shared" si="45"/>
        <v>1.6000000000000001E-3</v>
      </c>
      <c r="R66" s="200">
        <f t="shared" si="46"/>
        <v>239.20819992079271</v>
      </c>
      <c r="S66" s="200">
        <f t="shared" si="38"/>
        <v>2.3507899314489844</v>
      </c>
      <c r="T66" s="200">
        <f t="shared" ca="1" si="39"/>
        <v>145.73384039365993</v>
      </c>
      <c r="U66" s="200">
        <f t="shared" si="40"/>
        <v>0.36507867066847427</v>
      </c>
      <c r="V66" s="200">
        <f t="shared" ca="1" si="47"/>
        <v>6.3361718899875576</v>
      </c>
      <c r="W66" s="262">
        <f t="shared" ca="1" si="48"/>
        <v>27.49014066330751</v>
      </c>
      <c r="X66" s="200">
        <f t="shared" ca="1" si="49"/>
        <v>1.5072370913389475</v>
      </c>
    </row>
    <row r="67" spans="7:24">
      <c r="G67" s="200">
        <f t="shared" si="41"/>
        <v>48</v>
      </c>
      <c r="H67" s="200">
        <f t="shared" ca="1" si="50"/>
        <v>1.6520351125508712</v>
      </c>
      <c r="I67" s="200">
        <f t="shared" si="51"/>
        <v>1.2E-2</v>
      </c>
      <c r="J67" s="200">
        <f t="shared" si="35"/>
        <v>4.8000000000000001E-2</v>
      </c>
      <c r="K67" s="200">
        <f t="shared" si="42"/>
        <v>4.1999999999999996E-2</v>
      </c>
      <c r="L67" s="200">
        <f>K67^2*2</f>
        <v>3.5279999999999995E-3</v>
      </c>
      <c r="M67" s="200">
        <f ca="1">IF(【事例2】危険部品判断シート!$O$36=0,2.51*0.56*(O67/K67)^0.25+0.0000000567*$F$9*(($F$10+273+O67)^2+($F$10+273)^2)*(($F$10+273+O67)+($F$10+273)),3.86*(【事例2】危険部品判断シート!$O$36/K67)^0.5+0.0000000567*$F$9*(($F$10+273+O67)^2+($F$10+273)^2)*(($F$10+273+O67)+($F$10+273)))</f>
        <v>15.608797359702111</v>
      </c>
      <c r="N67" s="200">
        <f t="shared" ca="1" si="36"/>
        <v>19.293207172788097</v>
      </c>
      <c r="O67" s="200">
        <f t="shared" ca="1" si="37"/>
        <v>31.87305568316426</v>
      </c>
      <c r="P67" s="200">
        <f t="shared" si="44"/>
        <v>1.44E-4</v>
      </c>
      <c r="Q67" s="200">
        <f t="shared" si="45"/>
        <v>1.7639999999999997E-3</v>
      </c>
      <c r="R67" s="200">
        <f t="shared" si="46"/>
        <v>215.91257135313595</v>
      </c>
      <c r="S67" s="200">
        <f t="shared" si="38"/>
        <v>1.8657062948007812</v>
      </c>
      <c r="T67" s="200">
        <f t="shared" ca="1" si="39"/>
        <v>132.26759084977348</v>
      </c>
      <c r="U67" s="200">
        <f t="shared" si="40"/>
        <v>0.33234320970289677</v>
      </c>
      <c r="V67" s="200">
        <f t="shared" ca="1" si="47"/>
        <v>5.5027188658166795</v>
      </c>
      <c r="W67" s="262">
        <f t="shared" ca="1" si="48"/>
        <v>24.795926038604776</v>
      </c>
      <c r="X67" s="200">
        <f t="shared" ca="1" si="49"/>
        <v>1.6520351125508712</v>
      </c>
    </row>
    <row r="68" spans="7:24">
      <c r="G68" s="200">
        <f t="shared" si="41"/>
        <v>56</v>
      </c>
      <c r="H68" s="200">
        <f t="shared" ca="1" si="50"/>
        <v>1.8030957447733067</v>
      </c>
      <c r="I68" s="200">
        <f t="shared" si="51"/>
        <v>1.4E-2</v>
      </c>
      <c r="J68" s="200">
        <f t="shared" si="35"/>
        <v>5.6000000000000001E-2</v>
      </c>
      <c r="K68" s="200">
        <f t="shared" si="42"/>
        <v>4.3999999999999997E-2</v>
      </c>
      <c r="L68" s="200">
        <f t="shared" si="43"/>
        <v>3.8719999999999996E-3</v>
      </c>
      <c r="M68" s="200">
        <f ca="1">IF(【事例2】危険部品判断シート!$O$36=0,2.51*0.56*(O68/K68)^0.25+0.0000000567*$F$9*(($F$10+273+O68)^2+($F$10+273)^2)*(($F$10+273+O68)+($F$10+273)),3.86*(【事例2】危険部品判断シート!$O$36/K68)^0.5+0.0000000567*$F$9*(($F$10+273+O68)^2+($F$10+273)^2)*(($F$10+273+O68)+($F$10+273)))</f>
        <v>15.52251846395753</v>
      </c>
      <c r="N68" s="200">
        <f t="shared" ca="1" si="36"/>
        <v>17.67110942834643</v>
      </c>
      <c r="O68" s="200">
        <f t="shared" ca="1" si="37"/>
        <v>31.862702215674908</v>
      </c>
      <c r="P68" s="200">
        <f t="shared" si="44"/>
        <v>1.9600000000000002E-4</v>
      </c>
      <c r="Q68" s="200">
        <f t="shared" si="45"/>
        <v>1.9359999999999998E-3</v>
      </c>
      <c r="R68" s="200">
        <f t="shared" si="46"/>
        <v>197.98148044747393</v>
      </c>
      <c r="S68" s="200">
        <f t="shared" si="38"/>
        <v>1.5264869684733664</v>
      </c>
      <c r="T68" s="200">
        <f t="shared" ca="1" si="39"/>
        <v>121.91755423638938</v>
      </c>
      <c r="U68" s="200">
        <f t="shared" si="40"/>
        <v>0.30658375914367086</v>
      </c>
      <c r="V68" s="200">
        <f t="shared" ca="1" si="47"/>
        <v>4.8614788535990394</v>
      </c>
      <c r="W68" s="262">
        <f t="shared" ca="1" si="48"/>
        <v>22.532588281945468</v>
      </c>
      <c r="X68" s="200">
        <f t="shared" ca="1" si="49"/>
        <v>1.8030957447733065</v>
      </c>
    </row>
    <row r="69" spans="7:24">
      <c r="G69" s="200">
        <f t="shared" si="41"/>
        <v>64</v>
      </c>
      <c r="H69" s="200">
        <f t="shared" ca="1" si="50"/>
        <v>1.9603919577503779</v>
      </c>
      <c r="I69" s="200">
        <f t="shared" si="51"/>
        <v>1.6E-2</v>
      </c>
      <c r="J69" s="200">
        <f t="shared" si="35"/>
        <v>6.4000000000000001E-2</v>
      </c>
      <c r="K69" s="200">
        <f t="shared" si="42"/>
        <v>4.5999999999999999E-2</v>
      </c>
      <c r="L69" s="200">
        <f t="shared" si="43"/>
        <v>4.2319999999999997E-3</v>
      </c>
      <c r="M69" s="200">
        <f ca="1">IF(【事例2】危険部品判断シート!$O$36=0,2.51*0.56*(O69/K69)^0.25+0.0000000567*$F$9*(($F$10+273+O69)^2+($F$10+273)^2)*(($F$10+273+O69)+($F$10+273)),3.86*(【事例2】危険部品判断シート!$O$36/K69)^0.5+0.0000000567*$F$9*(($F$10+273+O69)^2+($F$10+273)^2)*(($F$10+273+O69)+($F$10+273)))</f>
        <v>15.441020461171847</v>
      </c>
      <c r="N69" s="200">
        <f t="shared" ca="1" si="36"/>
        <v>16.248241750539023</v>
      </c>
      <c r="O69" s="200">
        <f t="shared" ca="1" si="37"/>
        <v>31.852922455340622</v>
      </c>
      <c r="P69" s="200">
        <f t="shared" si="44"/>
        <v>2.5599999999999999E-4</v>
      </c>
      <c r="Q69" s="200">
        <f t="shared" si="45"/>
        <v>2.1159999999999998E-3</v>
      </c>
      <c r="R69" s="200">
        <f t="shared" si="46"/>
        <v>183.5506086267763</v>
      </c>
      <c r="S69" s="200">
        <f t="shared" si="38"/>
        <v>1.2776032236135786</v>
      </c>
      <c r="T69" s="200">
        <f t="shared" ca="1" si="39"/>
        <v>113.59268614249804</v>
      </c>
      <c r="U69" s="200">
        <f t="shared" si="40"/>
        <v>0.28551925063531575</v>
      </c>
      <c r="V69" s="200">
        <f t="shared" ca="1" si="47"/>
        <v>4.3517364121263391</v>
      </c>
      <c r="W69" s="262">
        <f t="shared" ca="1" si="48"/>
        <v>20.599978162665362</v>
      </c>
      <c r="X69" s="200">
        <f t="shared" ca="1" si="49"/>
        <v>1.9603919577503774</v>
      </c>
    </row>
    <row r="70" spans="7:24">
      <c r="G70" s="200">
        <f t="shared" si="41"/>
        <v>72.000000000000014</v>
      </c>
      <c r="H70" s="200">
        <f t="shared" ca="1" si="50"/>
        <v>2.1238982184764277</v>
      </c>
      <c r="I70" s="200">
        <f t="shared" si="51"/>
        <v>1.8000000000000002E-2</v>
      </c>
      <c r="J70" s="200">
        <f t="shared" si="35"/>
        <v>7.2000000000000008E-2</v>
      </c>
      <c r="K70" s="200">
        <f t="shared" si="42"/>
        <v>4.8000000000000001E-2</v>
      </c>
      <c r="L70" s="200">
        <f t="shared" si="43"/>
        <v>4.6080000000000001E-3</v>
      </c>
      <c r="M70" s="200">
        <f ca="1">IF(【事例2】危険部品判断シート!$O$36=0,2.51*0.56*(O70/K70)^0.25+0.0000000567*$F$9*(($F$10+273+O70)^2+($F$10+273)^2)*(($F$10+273+O70)+($F$10+273)),3.86*(【事例2】危険部品判断シート!$O$36/K70)^0.5+0.0000000567*$F$9*(($F$10+273+O70)^2+($F$10+273)^2)*(($F$10+273+O70)+($F$10+273)))</f>
        <v>15.363847066525086</v>
      </c>
      <c r="N70" s="200">
        <f t="shared" ca="1" si="36"/>
        <v>14.993026205759506</v>
      </c>
      <c r="O70" s="200">
        <f t="shared" ca="1" si="37"/>
        <v>31.843661647983009</v>
      </c>
      <c r="P70" s="200">
        <f t="shared" si="44"/>
        <v>3.2400000000000007E-4</v>
      </c>
      <c r="Q70" s="200">
        <f t="shared" si="45"/>
        <v>2.3040000000000001E-3</v>
      </c>
      <c r="R70" s="200">
        <f t="shared" si="46"/>
        <v>171.56238882288281</v>
      </c>
      <c r="S70" s="200">
        <f t="shared" si="38"/>
        <v>1.0883286719671224</v>
      </c>
      <c r="T70" s="200">
        <f t="shared" ca="1" si="39"/>
        <v>106.67591204612039</v>
      </c>
      <c r="U70" s="200">
        <f t="shared" si="40"/>
        <v>0.26780693939903272</v>
      </c>
      <c r="V70" s="200">
        <f t="shared" ca="1" si="47"/>
        <v>3.9362741012661235</v>
      </c>
      <c r="W70" s="262">
        <f t="shared" ca="1" si="48"/>
        <v>18.929300307025628</v>
      </c>
      <c r="X70" s="200">
        <f t="shared" ca="1" si="49"/>
        <v>2.1238982184764277</v>
      </c>
    </row>
    <row r="71" spans="7:24">
      <c r="G71" s="200">
        <f t="shared" si="41"/>
        <v>80.000000000000014</v>
      </c>
      <c r="H71" s="200">
        <f t="shared" ca="1" si="50"/>
        <v>2.2935903482569064</v>
      </c>
      <c r="I71" s="200">
        <f t="shared" si="51"/>
        <v>2.0000000000000004E-2</v>
      </c>
      <c r="J71" s="200">
        <f t="shared" si="35"/>
        <v>8.0000000000000016E-2</v>
      </c>
      <c r="K71" s="200">
        <f t="shared" si="42"/>
        <v>0.05</v>
      </c>
      <c r="L71" s="200">
        <f t="shared" si="43"/>
        <v>5.000000000000001E-3</v>
      </c>
      <c r="M71" s="200">
        <f ca="1">IF(【事例2】危険部品判断シート!$O$36=0,2.51*0.56*(O71/K71)^0.25+0.0000000567*$F$9*(($F$10+273+O71)^2+($F$10+273)^2)*(($F$10+273+O71)+($F$10+273)),3.86*(【事例2】危険部品判断シート!$O$36/K71)^0.5+0.0000000567*$F$9*(($F$10+273+O71)^2+($F$10+273)^2)*(($F$10+273+O71)+($F$10+273)))</f>
        <v>15.290602321712708</v>
      </c>
      <c r="N71" s="200">
        <f t="shared" ca="1" si="36"/>
        <v>13.879929475112913</v>
      </c>
      <c r="O71" s="200">
        <f t="shared" ca="1" si="37"/>
        <v>31.834872278605527</v>
      </c>
      <c r="P71" s="200">
        <f t="shared" si="44"/>
        <v>4.0000000000000018E-4</v>
      </c>
      <c r="Q71" s="200">
        <f t="shared" si="45"/>
        <v>2.5000000000000005E-3</v>
      </c>
      <c r="R71" s="200">
        <f t="shared" si="46"/>
        <v>161.36655993663416</v>
      </c>
      <c r="S71" s="200">
        <f t="shared" si="38"/>
        <v>0.94031597257959332</v>
      </c>
      <c r="T71" s="200">
        <f t="shared" ca="1" si="39"/>
        <v>100.78904122029286</v>
      </c>
      <c r="U71" s="200">
        <f t="shared" si="40"/>
        <v>0.25259852023238644</v>
      </c>
      <c r="V71" s="200">
        <f t="shared" ca="1" si="47"/>
        <v>3.590856934371629</v>
      </c>
      <c r="W71" s="262">
        <f t="shared" ca="1" si="48"/>
        <v>17.470786409484543</v>
      </c>
      <c r="X71" s="200">
        <f t="shared" ca="1" si="49"/>
        <v>2.2935903482569064</v>
      </c>
    </row>
    <row r="72" spans="7:24">
      <c r="G72" s="200">
        <f t="shared" si="41"/>
        <v>88.000000000000028</v>
      </c>
      <c r="H72" s="200">
        <f t="shared" ca="1" si="50"/>
        <v>2.4694453986811427</v>
      </c>
      <c r="I72" s="200">
        <f t="shared" si="51"/>
        <v>2.2000000000000006E-2</v>
      </c>
      <c r="J72" s="200">
        <f t="shared" si="35"/>
        <v>8.8000000000000023E-2</v>
      </c>
      <c r="K72" s="200">
        <f t="shared" si="42"/>
        <v>5.2000000000000005E-2</v>
      </c>
      <c r="L72" s="200">
        <f t="shared" si="43"/>
        <v>5.4080000000000013E-3</v>
      </c>
      <c r="M72" s="200">
        <f ca="1">IF(【事例2】危険部品判断シート!$O$36=0,2.51*0.56*(O72/K72)^0.25+0.0000000567*$F$9*(($F$10+273+O72)^2+($F$10+273)^2)*(($F$10+273+O72)+($F$10+273)),3.86*(【事例2】危険部品判断シート!$O$36/K72)^0.5+0.0000000567*$F$9*(($F$10+273+O72)^2+($F$10+273)^2)*(($F$10+273+O72)+($F$10+273)))</f>
        <v>15.220940573724988</v>
      </c>
      <c r="N72" s="200">
        <f t="shared" ca="1" si="36"/>
        <v>12.888121715849474</v>
      </c>
      <c r="O72" s="200">
        <f t="shared" ca="1" si="37"/>
        <v>31.826512868846997</v>
      </c>
      <c r="P72" s="200">
        <f t="shared" si="44"/>
        <v>4.8400000000000027E-4</v>
      </c>
      <c r="Q72" s="200">
        <f t="shared" si="45"/>
        <v>2.7040000000000007E-3</v>
      </c>
      <c r="R72" s="200">
        <f t="shared" si="46"/>
        <v>152.53777616284754</v>
      </c>
      <c r="S72" s="200">
        <f t="shared" si="38"/>
        <v>0.82195452148565851</v>
      </c>
      <c r="T72" s="200">
        <f t="shared" ca="1" si="39"/>
        <v>95.685522307589125</v>
      </c>
      <c r="U72" s="200">
        <f t="shared" si="40"/>
        <v>0.23932732153638372</v>
      </c>
      <c r="V72" s="200">
        <f t="shared" ca="1" si="47"/>
        <v>3.2989680677906166</v>
      </c>
      <c r="W72" s="262">
        <f t="shared" ca="1" si="48"/>
        <v>16.18708978364009</v>
      </c>
      <c r="X72" s="200">
        <f t="shared" ca="1" si="49"/>
        <v>2.4694453986811427</v>
      </c>
    </row>
    <row r="73" spans="7:24">
      <c r="G73" s="200">
        <f t="shared" si="41"/>
        <v>96.000000000000028</v>
      </c>
      <c r="H73" s="200">
        <f t="shared" ca="1" si="50"/>
        <v>2.6514415433621843</v>
      </c>
      <c r="I73" s="200">
        <f t="shared" si="51"/>
        <v>2.4000000000000007E-2</v>
      </c>
      <c r="J73" s="200">
        <f t="shared" si="35"/>
        <v>9.600000000000003E-2</v>
      </c>
      <c r="K73" s="200">
        <f t="shared" si="42"/>
        <v>5.4000000000000006E-2</v>
      </c>
      <c r="L73" s="200">
        <f t="shared" si="43"/>
        <v>5.8320000000000012E-3</v>
      </c>
      <c r="M73" s="200">
        <f ca="1">IF(【事例2】危険部品判断シート!$O$36=0,2.51*0.56*(O73/K73)^0.25+0.0000000567*$F$9*(($F$10+273+O73)^2+($F$10+273)^2)*(($F$10+273+O73)+($F$10+273)),3.86*(【事例2】危険部品判断シート!$O$36/K73)^0.5+0.0000000567*$F$9*(($F$10+273+O73)^2+($F$10+273)^2)*(($F$10+273+O73)+($F$10+273)))</f>
        <v>15.154558432568496</v>
      </c>
      <c r="N73" s="200">
        <f t="shared" ca="1" si="36"/>
        <v>12.000470872746611</v>
      </c>
      <c r="O73" s="200">
        <f t="shared" ca="1" si="37"/>
        <v>31.818547011908212</v>
      </c>
      <c r="P73" s="200">
        <f t="shared" si="44"/>
        <v>5.7600000000000034E-4</v>
      </c>
      <c r="Q73" s="200">
        <f t="shared" si="45"/>
        <v>2.9160000000000006E-3</v>
      </c>
      <c r="R73" s="200">
        <f t="shared" si="46"/>
        <v>144.78385179317976</v>
      </c>
      <c r="S73" s="200">
        <f t="shared" si="38"/>
        <v>0.72555244797808138</v>
      </c>
      <c r="T73" s="200">
        <f t="shared" ca="1" si="39"/>
        <v>91.196556112370644</v>
      </c>
      <c r="U73" s="200">
        <f t="shared" si="40"/>
        <v>0.22759741783980311</v>
      </c>
      <c r="V73" s="200">
        <f t="shared" ca="1" si="47"/>
        <v>3.0489387483680233</v>
      </c>
      <c r="W73" s="262">
        <f t="shared" ca="1" si="48"/>
        <v>15.049409621114634</v>
      </c>
      <c r="X73" s="200">
        <f t="shared" ca="1" si="49"/>
        <v>2.6514415433621843</v>
      </c>
    </row>
    <row r="74" spans="7:24">
      <c r="G74" s="200">
        <f t="shared" si="41"/>
        <v>104.00000000000004</v>
      </c>
      <c r="H74" s="200">
        <f t="shared" ca="1" si="50"/>
        <v>2.8395579829207107</v>
      </c>
      <c r="I74" s="200">
        <f t="shared" si="51"/>
        <v>2.6000000000000009E-2</v>
      </c>
      <c r="J74" s="200">
        <f t="shared" si="35"/>
        <v>0.10400000000000004</v>
      </c>
      <c r="K74" s="200">
        <f t="shared" si="42"/>
        <v>5.6000000000000008E-2</v>
      </c>
      <c r="L74" s="200">
        <f t="shared" si="43"/>
        <v>6.2720000000000015E-3</v>
      </c>
      <c r="M74" s="200">
        <f ca="1">IF(【事例2】危険部品判断シート!$O$36=0,2.51*0.56*(O74/K74)^0.25+0.0000000567*$F$9*(($F$10+273+O74)^2+($F$10+273)^2)*(($F$10+273+O74)+($F$10+273)),3.86*(【事例2】危険部品判断シート!$O$36/K74)^0.5+0.0000000567*$F$9*(($F$10+273+O74)^2+($F$10+273)^2)*(($F$10+273+O74)+($F$10+273)))</f>
        <v>15.091188259570098</v>
      </c>
      <c r="N74" s="200">
        <f t="shared" ca="1" si="36"/>
        <v>11.20277972222576</v>
      </c>
      <c r="O74" s="200">
        <f t="shared" ca="1" si="37"/>
        <v>31.810942591148418</v>
      </c>
      <c r="P74" s="200">
        <f t="shared" si="44"/>
        <v>6.7600000000000049E-4</v>
      </c>
      <c r="Q74" s="200">
        <f t="shared" si="45"/>
        <v>3.1360000000000008E-3</v>
      </c>
      <c r="R74" s="200">
        <f t="shared" si="46"/>
        <v>137.89596697639038</v>
      </c>
      <c r="S74" s="200">
        <f t="shared" si="38"/>
        <v>0.6458214097387317</v>
      </c>
      <c r="T74" s="200">
        <f t="shared" ca="1" si="39"/>
        <v>87.201894514603566</v>
      </c>
      <c r="U74" s="200">
        <f t="shared" si="40"/>
        <v>0.21712182501765526</v>
      </c>
      <c r="V74" s="200">
        <f t="shared" ca="1" si="47"/>
        <v>2.8322802285469866</v>
      </c>
      <c r="W74" s="262">
        <f t="shared" ca="1" si="48"/>
        <v>14.035059950772746</v>
      </c>
      <c r="X74" s="200">
        <f t="shared" ca="1" si="49"/>
        <v>2.8395579829207103</v>
      </c>
    </row>
    <row r="75" spans="7:24">
      <c r="G75" s="200">
        <f t="shared" si="41"/>
        <v>112.00000000000004</v>
      </c>
      <c r="H75" s="200">
        <f t="shared" ca="1" si="50"/>
        <v>3.0337748611707545</v>
      </c>
      <c r="I75" s="200">
        <f t="shared" si="51"/>
        <v>2.8000000000000011E-2</v>
      </c>
      <c r="J75" s="200">
        <f t="shared" si="35"/>
        <v>0.11200000000000004</v>
      </c>
      <c r="K75" s="200">
        <f t="shared" si="42"/>
        <v>5.800000000000001E-2</v>
      </c>
      <c r="L75" s="200">
        <f t="shared" si="43"/>
        <v>6.7280000000000022E-3</v>
      </c>
      <c r="M75" s="200">
        <f ca="1">IF(【事例2】危険部品判断シート!$O$36=0,2.51*0.56*(O75/K75)^0.25+0.0000000567*$F$9*(($F$10+273+O75)^2+($F$10+273)^2)*(($F$10+273+O75)+($F$10+273)),3.86*(【事例2】危険部品判断シート!$O$36/K75)^0.5+0.0000000567*$F$9*(($F$10+273+O75)^2+($F$10+273)^2)*(($F$10+273+O75)+($F$10+273)))</f>
        <v>15.030592851618874</v>
      </c>
      <c r="N75" s="200">
        <f t="shared" ca="1" si="36"/>
        <v>10.483200829847014</v>
      </c>
      <c r="O75" s="200">
        <f t="shared" ca="1" si="37"/>
        <v>31.803671142194265</v>
      </c>
      <c r="P75" s="200">
        <f t="shared" si="44"/>
        <v>7.8400000000000063E-4</v>
      </c>
      <c r="Q75" s="200">
        <f t="shared" si="45"/>
        <v>3.3640000000000011E-3</v>
      </c>
      <c r="R75" s="200">
        <f t="shared" si="46"/>
        <v>131.71994083207377</v>
      </c>
      <c r="S75" s="200">
        <f t="shared" si="38"/>
        <v>0.57901229838644919</v>
      </c>
      <c r="T75" s="200">
        <f t="shared" ca="1" si="39"/>
        <v>83.613022901648833</v>
      </c>
      <c r="U75" s="200">
        <f t="shared" si="40"/>
        <v>0.20768608497974433</v>
      </c>
      <c r="V75" s="200">
        <f t="shared" ca="1" si="47"/>
        <v>2.64266434106968</v>
      </c>
      <c r="W75" s="262">
        <f t="shared" ca="1" si="48"/>
        <v>13.125865170916693</v>
      </c>
      <c r="X75" s="200">
        <f t="shared" ca="1" si="49"/>
        <v>3.0337748611707545</v>
      </c>
    </row>
    <row r="76" spans="7:24">
      <c r="G76" s="200">
        <f t="shared" si="41"/>
        <v>120.00000000000006</v>
      </c>
      <c r="H76" s="200">
        <f t="shared" ca="1" si="50"/>
        <v>3.2340731908404483</v>
      </c>
      <c r="I76" s="200">
        <f t="shared" si="51"/>
        <v>3.0000000000000013E-2</v>
      </c>
      <c r="J76" s="200">
        <f t="shared" si="35"/>
        <v>0.12000000000000005</v>
      </c>
      <c r="K76" s="200">
        <f t="shared" si="42"/>
        <v>6.0000000000000012E-2</v>
      </c>
      <c r="L76" s="200">
        <f t="shared" si="43"/>
        <v>7.2000000000000024E-3</v>
      </c>
      <c r="M76" s="200">
        <f ca="1">IF(【事例2】危険部品判断シート!$O$36=0,2.51*0.56*(O76/K76)^0.25+0.0000000567*$F$9*(($F$10+273+O76)^2+($F$10+273)^2)*(($F$10+273+O76)+($F$10+273)),3.86*(【事例2】危険部品判断シート!$O$36/K76)^0.5+0.0000000567*$F$9*(($F$10+273+O76)^2+($F$10+273)^2)*(($F$10+273+O76)+($F$10+273)))</f>
        <v>14.972561068705774</v>
      </c>
      <c r="N76" s="200">
        <f t="shared" ca="1" si="36"/>
        <v>9.831783466836626</v>
      </c>
      <c r="O76" s="200">
        <f t="shared" ca="1" si="37"/>
        <v>31.796707328244693</v>
      </c>
      <c r="P76" s="200">
        <f t="shared" si="44"/>
        <v>9.0000000000000073E-4</v>
      </c>
      <c r="Q76" s="200">
        <f t="shared" si="45"/>
        <v>3.6000000000000012E-3</v>
      </c>
      <c r="R76" s="200">
        <f t="shared" si="46"/>
        <v>126.13879994719511</v>
      </c>
      <c r="S76" s="200">
        <f t="shared" si="38"/>
        <v>0.52239776254421844</v>
      </c>
      <c r="T76" s="200">
        <f t="shared" ca="1" si="39"/>
        <v>80.362975036514499</v>
      </c>
      <c r="U76" s="200">
        <f t="shared" si="40"/>
        <v>0.19912578587866675</v>
      </c>
      <c r="V76" s="200">
        <f t="shared" ca="1" si="47"/>
        <v>2.4752745698582976</v>
      </c>
      <c r="W76" s="262">
        <f t="shared" ca="1" si="48"/>
        <v>12.307058036694924</v>
      </c>
      <c r="X76" s="200">
        <f t="shared" ca="1" si="49"/>
        <v>3.2340731908404483</v>
      </c>
    </row>
    <row r="77" spans="7:24">
      <c r="G77" s="200">
        <f t="shared" si="41"/>
        <v>128.00000000000006</v>
      </c>
      <c r="H77" s="200">
        <f t="shared" ca="1" si="50"/>
        <v>3.4404347874570611</v>
      </c>
      <c r="I77" s="200">
        <f t="shared" si="51"/>
        <v>3.2000000000000015E-2</v>
      </c>
      <c r="J77" s="200">
        <f t="shared" si="35"/>
        <v>0.12800000000000006</v>
      </c>
      <c r="K77" s="200">
        <f t="shared" si="42"/>
        <v>6.2000000000000013E-2</v>
      </c>
      <c r="L77" s="200">
        <f t="shared" si="43"/>
        <v>7.688000000000003E-3</v>
      </c>
      <c r="M77" s="200">
        <f ca="1">IF(【事例2】危険部品判断シート!$O$36=0,2.51*0.56*(O77/K77)^0.25+0.0000000567*$F$9*(($F$10+273+O77)^2+($F$10+273)^2)*(($F$10+273+O77)+($F$10+273)),3.86*(【事例2】危険部品判断シート!$O$36/K77)^0.5+0.0000000567*$F$9*(($F$10+273+O77)^2+($F$10+273)^2)*(($F$10+273+O77)+($F$10+273)))</f>
        <v>14.916904212005981</v>
      </c>
      <c r="N77" s="200">
        <f t="shared" ca="1" si="36"/>
        <v>9.2401194817989225</v>
      </c>
      <c r="O77" s="200">
        <f t="shared" ca="1" si="37"/>
        <v>31.790028505440727</v>
      </c>
      <c r="P77" s="200">
        <f t="shared" si="44"/>
        <v>1.024000000000001E-3</v>
      </c>
      <c r="Q77" s="200">
        <f t="shared" si="45"/>
        <v>3.8440000000000015E-3</v>
      </c>
      <c r="R77" s="200">
        <f t="shared" si="46"/>
        <v>121.06174188438237</v>
      </c>
      <c r="S77" s="200">
        <f t="shared" si="38"/>
        <v>0.47394958295342404</v>
      </c>
      <c r="T77" s="200">
        <f t="shared" ca="1" si="39"/>
        <v>77.399898210621018</v>
      </c>
      <c r="U77" s="200">
        <f t="shared" si="40"/>
        <v>0.19131212312621915</v>
      </c>
      <c r="V77" s="200">
        <f t="shared" ca="1" si="47"/>
        <v>2.3263787052833282</v>
      </c>
      <c r="W77" s="262">
        <f t="shared" ca="1" si="48"/>
        <v>11.566498187082251</v>
      </c>
      <c r="X77" s="200">
        <f t="shared" ca="1" si="49"/>
        <v>3.4404347874570611</v>
      </c>
    </row>
    <row r="78" spans="7:24">
      <c r="G78" s="200">
        <f t="shared" si="41"/>
        <v>136.00000000000006</v>
      </c>
      <c r="H78" s="200">
        <f t="shared" ca="1" si="50"/>
        <v>3.6528422102610856</v>
      </c>
      <c r="I78" s="200">
        <f t="shared" si="51"/>
        <v>3.4000000000000016E-2</v>
      </c>
      <c r="J78" s="200">
        <f t="shared" si="35"/>
        <v>0.13600000000000007</v>
      </c>
      <c r="K78" s="200">
        <f t="shared" si="42"/>
        <v>6.4000000000000015E-2</v>
      </c>
      <c r="L78" s="200">
        <f t="shared" si="43"/>
        <v>8.1920000000000031E-3</v>
      </c>
      <c r="M78" s="200">
        <f ca="1">IF(【事例2】危険部品判断シート!$O$36=0,2.51*0.56*(O78/K78)^0.25+0.0000000567*$F$9*(($F$10+273+O78)^2+($F$10+273)^2)*(($F$10+273+O78)+($F$10+273)),3.86*(【事例2】危険部品判断シート!$O$36/K78)^0.5+0.0000000567*$F$9*(($F$10+273+O78)^2+($F$10+273)^2)*(($F$10+273+O78)+($F$10+273)))</f>
        <v>14.863453003992039</v>
      </c>
      <c r="N78" s="200">
        <f t="shared" ca="1" si="36"/>
        <v>8.7010641388222822</v>
      </c>
      <c r="O78" s="200">
        <f t="shared" ca="1" si="37"/>
        <v>31.783614360479053</v>
      </c>
      <c r="P78" s="200">
        <f t="shared" si="44"/>
        <v>1.1560000000000012E-3</v>
      </c>
      <c r="Q78" s="200">
        <f t="shared" si="45"/>
        <v>4.0960000000000015E-3</v>
      </c>
      <c r="R78" s="200">
        <f t="shared" si="46"/>
        <v>116.41688965637776</v>
      </c>
      <c r="S78" s="200">
        <f t="shared" si="38"/>
        <v>0.43213050210459247</v>
      </c>
      <c r="T78" s="200">
        <f t="shared" ca="1" si="39"/>
        <v>74.682838332875221</v>
      </c>
      <c r="U78" s="200">
        <f t="shared" si="40"/>
        <v>0.18414230259364817</v>
      </c>
      <c r="V78" s="200">
        <f t="shared" ca="1" si="47"/>
        <v>2.1930391959415423</v>
      </c>
      <c r="W78" s="262">
        <f t="shared" ca="1" si="48"/>
        <v>10.894103334763825</v>
      </c>
      <c r="X78" s="200">
        <f t="shared" ca="1" si="49"/>
        <v>3.6528422102610851</v>
      </c>
    </row>
    <row r="79" spans="7:24">
      <c r="G79" s="200">
        <f t="shared" si="41"/>
        <v>144.00000000000009</v>
      </c>
      <c r="H79" s="200">
        <f t="shared" ca="1" si="50"/>
        <v>3.8712787092029997</v>
      </c>
      <c r="I79" s="200">
        <f t="shared" si="51"/>
        <v>3.6000000000000018E-2</v>
      </c>
      <c r="J79" s="200">
        <f t="shared" si="35"/>
        <v>0.14400000000000007</v>
      </c>
      <c r="K79" s="200">
        <f t="shared" si="42"/>
        <v>6.6000000000000017E-2</v>
      </c>
      <c r="L79" s="200">
        <f t="shared" si="43"/>
        <v>8.7120000000000045E-3</v>
      </c>
      <c r="M79" s="200">
        <f ca="1">IF(【事例2】危険部品判断シート!$O$36=0,2.51*0.56*(O79/K79)^0.25+0.0000000567*$F$9*(($F$10+273+O79)^2+($F$10+273)^2)*(($F$10+273+O79)+($F$10+273)),3.86*(【事例2】危険部品判断シート!$O$36/K79)^0.5+0.0000000567*$F$9*(($F$10+273+O79)^2+($F$10+273)^2)*(($F$10+273+O79)+($F$10+273)))</f>
        <v>14.812055055107891</v>
      </c>
      <c r="N79" s="200">
        <f t="shared" ca="1" si="36"/>
        <v>8.2085142903997035</v>
      </c>
      <c r="O79" s="200">
        <f t="shared" ca="1" si="37"/>
        <v>31.777446606612941</v>
      </c>
      <c r="P79" s="200">
        <f t="shared" si="44"/>
        <v>1.2960000000000014E-3</v>
      </c>
      <c r="Q79" s="200">
        <f t="shared" si="45"/>
        <v>4.3560000000000022E-3</v>
      </c>
      <c r="R79" s="200">
        <f t="shared" si="46"/>
        <v>112.14638379037939</v>
      </c>
      <c r="S79" s="200">
        <f t="shared" si="38"/>
        <v>0.39575588071531692</v>
      </c>
      <c r="T79" s="200">
        <f t="shared" ca="1" si="39"/>
        <v>72.178891648014059</v>
      </c>
      <c r="U79" s="200">
        <f t="shared" si="40"/>
        <v>0.17753296969025451</v>
      </c>
      <c r="V79" s="200">
        <f t="shared" ca="1" si="47"/>
        <v>2.0729118928251347</v>
      </c>
      <c r="W79" s="262">
        <f t="shared" ca="1" si="48"/>
        <v>10.281426183224838</v>
      </c>
      <c r="X79" s="200">
        <f t="shared" ca="1" si="49"/>
        <v>3.8712787092029997</v>
      </c>
    </row>
    <row r="80" spans="7:24">
      <c r="G80" s="200">
        <f t="shared" si="41"/>
        <v>152.00000000000009</v>
      </c>
      <c r="H80" s="200">
        <f t="shared" ca="1" si="50"/>
        <v>4.0957281772288994</v>
      </c>
      <c r="I80" s="200">
        <f t="shared" si="51"/>
        <v>3.800000000000002E-2</v>
      </c>
      <c r="J80" s="200">
        <f t="shared" si="35"/>
        <v>0.15200000000000008</v>
      </c>
      <c r="K80" s="200">
        <f t="shared" si="42"/>
        <v>6.8000000000000019E-2</v>
      </c>
      <c r="L80" s="200">
        <f t="shared" si="43"/>
        <v>9.2480000000000045E-3</v>
      </c>
      <c r="M80" s="200">
        <f ca="1">IF(【事例2】危険部品判断シート!$O$36=0,2.51*0.56*(O80/K80)^0.25+0.0000000567*$F$9*(($F$10+273+O80)^2+($F$10+273)^2)*(($F$10+273+O80)+($F$10+273)),3.86*(【事例2】危険部品判断シート!$O$36/K80)^0.5+0.0000000567*$F$9*(($F$10+273+O80)^2+($F$10+273)^2)*(($F$10+273+O80)+($F$10+273)))</f>
        <v>14.762572726459403</v>
      </c>
      <c r="N80" s="200">
        <f t="shared" ca="1" si="36"/>
        <v>7.7572307908068252</v>
      </c>
      <c r="O80" s="200">
        <f t="shared" ca="1" si="37"/>
        <v>31.771508727175132</v>
      </c>
      <c r="P80" s="200">
        <f t="shared" si="44"/>
        <v>1.4440000000000015E-3</v>
      </c>
      <c r="Q80" s="200">
        <f t="shared" si="45"/>
        <v>4.6240000000000022E-3</v>
      </c>
      <c r="R80" s="200">
        <f t="shared" si="46"/>
        <v>108.20296589767989</v>
      </c>
      <c r="S80" s="200">
        <f t="shared" si="38"/>
        <v>0.36389937019334101</v>
      </c>
      <c r="T80" s="200">
        <f t="shared" ca="1" si="39"/>
        <v>69.861226881465214</v>
      </c>
      <c r="U80" s="200">
        <f t="shared" si="40"/>
        <v>0.17141559147636184</v>
      </c>
      <c r="V80" s="200">
        <f t="shared" ca="1" si="47"/>
        <v>1.9641031468398522</v>
      </c>
      <c r="W80" s="262">
        <f t="shared" ca="1" si="48"/>
        <v>9.7213339376466781</v>
      </c>
      <c r="X80" s="200">
        <f t="shared" ca="1" si="49"/>
        <v>4.0957281772288994</v>
      </c>
    </row>
    <row r="81" spans="7:24">
      <c r="G81" s="200">
        <f t="shared" si="41"/>
        <v>160.00000000000009</v>
      </c>
      <c r="H81" s="200">
        <f t="shared" ca="1" si="50"/>
        <v>4.3261751071853594</v>
      </c>
      <c r="I81" s="200">
        <f t="shared" si="51"/>
        <v>4.0000000000000022E-2</v>
      </c>
      <c r="J81" s="200">
        <f t="shared" si="35"/>
        <v>0.16000000000000009</v>
      </c>
      <c r="K81" s="200">
        <f t="shared" si="42"/>
        <v>7.0000000000000021E-2</v>
      </c>
      <c r="L81" s="200">
        <f t="shared" si="43"/>
        <v>9.8000000000000049E-3</v>
      </c>
      <c r="M81" s="200">
        <f ca="1">IF(【事例2】危険部品判断シート!$O$36=0,2.51*0.56*(O81/K81)^0.25+0.0000000567*$F$9*(($F$10+273+O81)^2+($F$10+273)^2)*(($F$10+273+O81)+($F$10+273)),3.86*(【事例2】危険部品判断シート!$O$36/K81)^0.5+0.0000000567*$F$9*(($F$10+273+O81)^2+($F$10+273)^2)*(($F$10+273+O81)+($F$10+273)))</f>
        <v>14.714881316956994</v>
      </c>
      <c r="N81" s="200">
        <f t="shared" ca="1" si="36"/>
        <v>7.3426953304028171</v>
      </c>
      <c r="O81" s="200">
        <f t="shared" ca="1" si="37"/>
        <v>31.765785758034845</v>
      </c>
      <c r="P81" s="200">
        <f t="shared" si="44"/>
        <v>1.6000000000000018E-3</v>
      </c>
      <c r="Q81" s="200">
        <f t="shared" si="45"/>
        <v>4.9000000000000024E-3</v>
      </c>
      <c r="R81" s="200">
        <f t="shared" si="46"/>
        <v>104.54754281188151</v>
      </c>
      <c r="S81" s="200">
        <f t="shared" si="38"/>
        <v>0.33582713306414036</v>
      </c>
      <c r="T81" s="200">
        <f t="shared" ca="1" si="39"/>
        <v>67.707678538952422</v>
      </c>
      <c r="U81" s="200">
        <f t="shared" si="40"/>
        <v>0.16573313581951751</v>
      </c>
      <c r="V81" s="200">
        <f t="shared" ca="1" si="47"/>
        <v>1.8650663820215083</v>
      </c>
      <c r="W81" s="262">
        <f t="shared" ca="1" si="48"/>
        <v>9.2077617124243254</v>
      </c>
      <c r="X81" s="200">
        <f t="shared" ca="1" si="49"/>
        <v>4.3261751071853585</v>
      </c>
    </row>
    <row r="82" spans="7:24">
      <c r="G82" s="200">
        <f t="shared" si="41"/>
        <v>168.00000000000009</v>
      </c>
      <c r="H82" s="200">
        <f t="shared" ca="1" si="50"/>
        <v>4.562604552775638</v>
      </c>
      <c r="I82" s="200">
        <f t="shared" si="51"/>
        <v>4.2000000000000023E-2</v>
      </c>
      <c r="J82" s="200">
        <f t="shared" si="35"/>
        <v>0.16800000000000009</v>
      </c>
      <c r="K82" s="200">
        <f t="shared" si="42"/>
        <v>7.2000000000000022E-2</v>
      </c>
      <c r="L82" s="200">
        <f t="shared" si="43"/>
        <v>1.0368000000000006E-2</v>
      </c>
      <c r="M82" s="200">
        <f ca="1">IF(【事例2】危険部品判断シート!$O$36=0,2.51*0.56*(O82/K82)^0.25+0.0000000567*$F$9*(($F$10+273+O82)^2+($F$10+273)^2)*(($F$10+273+O82)+($F$10+273)),3.86*(【事例2】危険部品判断シート!$O$36/K82)^0.5+0.0000000567*$F$9*(($F$10+273+O82)^2+($F$10+273)^2)*(($F$10+273+O82)+($F$10+273)))</f>
        <v>14.668867517925785</v>
      </c>
      <c r="N82" s="200">
        <f t="shared" ca="1" si="36"/>
        <v>6.9609942599189072</v>
      </c>
      <c r="O82" s="200">
        <f t="shared" ca="1" si="37"/>
        <v>31.760264102151091</v>
      </c>
      <c r="P82" s="200">
        <f t="shared" si="44"/>
        <v>1.7640000000000019E-3</v>
      </c>
      <c r="Q82" s="200">
        <f t="shared" si="45"/>
        <v>5.1840000000000028E-3</v>
      </c>
      <c r="R82" s="200">
        <f t="shared" si="46"/>
        <v>101.14741265440861</v>
      </c>
      <c r="S82" s="200">
        <f t="shared" si="38"/>
        <v>0.31095104913346328</v>
      </c>
      <c r="T82" s="200">
        <f t="shared" ca="1" si="39"/>
        <v>65.699724983422485</v>
      </c>
      <c r="U82" s="200">
        <f t="shared" si="40"/>
        <v>0.16043763403361952</v>
      </c>
      <c r="V82" s="200">
        <f t="shared" ca="1" si="47"/>
        <v>1.7745259557411135</v>
      </c>
      <c r="W82" s="262">
        <f t="shared" ca="1" si="48"/>
        <v>8.7355202156600207</v>
      </c>
      <c r="X82" s="200">
        <f t="shared" ca="1" si="49"/>
        <v>4.562604552775638</v>
      </c>
    </row>
    <row r="83" spans="7:24">
      <c r="G83" s="200">
        <f t="shared" si="41"/>
        <v>176.00000000000011</v>
      </c>
      <c r="H83" s="200">
        <f t="shared" ca="1" si="50"/>
        <v>4.8050020930831208</v>
      </c>
      <c r="I83" s="200">
        <f t="shared" si="51"/>
        <v>4.4000000000000025E-2</v>
      </c>
      <c r="J83" s="200">
        <f t="shared" si="35"/>
        <v>0.1760000000000001</v>
      </c>
      <c r="K83" s="200">
        <f t="shared" si="42"/>
        <v>7.4000000000000024E-2</v>
      </c>
      <c r="L83" s="200">
        <f t="shared" si="43"/>
        <v>1.0952000000000007E-2</v>
      </c>
      <c r="M83" s="200">
        <f ca="1">IF(【事例2】危険部品判断シート!$O$36=0,2.51*0.56*(O83/K83)^0.25+0.0000000567*$F$9*(($F$10+273+O83)^2+($F$10+273)^2)*(($F$10+273+O83)+($F$10+273)),3.86*(【事例2】危険部品判断シート!$O$36/K83)^0.5+0.0000000567*$F$9*(($F$10+273+O83)^2+($F$10+273)^2)*(($F$10+273+O83)+($F$10+273)))</f>
        <v>14.624428089490863</v>
      </c>
      <c r="N83" s="200">
        <f t="shared" ca="1" si="36"/>
        <v>6.6087237332218116</v>
      </c>
      <c r="O83" s="200">
        <f t="shared" ca="1" si="37"/>
        <v>31.754931370738902</v>
      </c>
      <c r="P83" s="200">
        <f t="shared" si="44"/>
        <v>1.9360000000000022E-3</v>
      </c>
      <c r="Q83" s="200">
        <f t="shared" si="45"/>
        <v>5.4760000000000034E-3</v>
      </c>
      <c r="R83" s="200">
        <f t="shared" si="46"/>
        <v>97.974948360133624</v>
      </c>
      <c r="S83" s="200">
        <f t="shared" si="38"/>
        <v>0.28879483187333932</v>
      </c>
      <c r="T83" s="200">
        <f t="shared" ca="1" si="39"/>
        <v>63.82173187606773</v>
      </c>
      <c r="U83" s="200">
        <f t="shared" si="40"/>
        <v>0.1554883590761664</v>
      </c>
      <c r="V83" s="200">
        <f t="shared" ca="1" si="47"/>
        <v>1.6914202459597125</v>
      </c>
      <c r="W83" s="262">
        <f t="shared" ca="1" si="48"/>
        <v>8.3001439791815237</v>
      </c>
      <c r="X83" s="200">
        <f t="shared" ca="1" si="49"/>
        <v>4.8050020930831208</v>
      </c>
    </row>
    <row r="84" spans="7:24">
      <c r="G84" s="200">
        <f t="shared" si="41"/>
        <v>184.00000000000011</v>
      </c>
      <c r="H84" s="200">
        <f t="shared" ca="1" si="50"/>
        <v>5.0533538002474305</v>
      </c>
      <c r="I84" s="200">
        <f t="shared" si="51"/>
        <v>4.6000000000000027E-2</v>
      </c>
      <c r="J84" s="200">
        <f t="shared" si="35"/>
        <v>0.18400000000000011</v>
      </c>
      <c r="K84" s="200">
        <f t="shared" si="42"/>
        <v>7.6000000000000026E-2</v>
      </c>
      <c r="L84" s="200">
        <f t="shared" si="43"/>
        <v>1.1552000000000008E-2</v>
      </c>
      <c r="M84" s="200">
        <f ca="1">IF(【事例2】危険部品判断シート!$O$36=0,2.51*0.56*(O84/K84)^0.25+0.0000000567*$F$9*(($F$10+273+O84)^2+($F$10+273)^2)*(($F$10+273+O84)+($F$10+273)),3.86*(【事例2】危険部品判断シート!$O$36/K84)^0.5+0.0000000567*$F$9*(($F$10+273+O84)^2+($F$10+273)^2)*(($F$10+273+O84)+($F$10+273)))</f>
        <v>14.581468721858919</v>
      </c>
      <c r="N84" s="200">
        <f t="shared" ca="1" si="36"/>
        <v>6.2829118050409383</v>
      </c>
      <c r="O84" s="200">
        <f t="shared" ca="1" si="37"/>
        <v>31.749776246623068</v>
      </c>
      <c r="P84" s="200">
        <f t="shared" si="44"/>
        <v>2.1160000000000024E-3</v>
      </c>
      <c r="Q84" s="200">
        <f t="shared" si="45"/>
        <v>5.7760000000000042E-3</v>
      </c>
      <c r="R84" s="200">
        <f t="shared" si="46"/>
        <v>95.006604077305056</v>
      </c>
      <c r="S84" s="200">
        <f t="shared" si="38"/>
        <v>0.26896909970812155</v>
      </c>
      <c r="T84" s="200">
        <f t="shared" ca="1" si="39"/>
        <v>62.060382509013643</v>
      </c>
      <c r="U84" s="200">
        <f t="shared" si="40"/>
        <v>0.15085044143511225</v>
      </c>
      <c r="V84" s="200">
        <f t="shared" ca="1" si="47"/>
        <v>1.6148585213648252</v>
      </c>
      <c r="W84" s="262">
        <f t="shared" ca="1" si="48"/>
        <v>7.8977703264057633</v>
      </c>
      <c r="X84" s="200">
        <f t="shared" ca="1" si="49"/>
        <v>5.0533538002474305</v>
      </c>
    </row>
    <row r="85" spans="7:24">
      <c r="G85" s="200">
        <f t="shared" si="41"/>
        <v>192.00000000000011</v>
      </c>
      <c r="H85" s="200">
        <f t="shared" ca="1" si="50"/>
        <v>5.3076462099365802</v>
      </c>
      <c r="I85" s="200">
        <f t="shared" si="51"/>
        <v>4.8000000000000029E-2</v>
      </c>
      <c r="J85" s="200">
        <f t="shared" si="35"/>
        <v>0.19200000000000012</v>
      </c>
      <c r="K85" s="200">
        <f t="shared" si="42"/>
        <v>7.8000000000000028E-2</v>
      </c>
      <c r="L85" s="200">
        <f t="shared" si="43"/>
        <v>1.2168000000000009E-2</v>
      </c>
      <c r="M85" s="200">
        <f ca="1">IF(【事例2】危険部品判断シート!$O$36=0,2.51*0.56*(O85/K85)^0.25+0.0000000567*$F$9*(($F$10+273+O85)^2+($F$10+273)^2)*(($F$10+273+O85)+($F$10+273)),3.86*(【事例2】危険部品判断シート!$O$36/K85)^0.5+0.0000000567*$F$9*(($F$10+273+O85)^2+($F$10+273)^2)*(($F$10+273+O85)+($F$10+273)))</f>
        <v>14.539903051546611</v>
      </c>
      <c r="N85" s="200">
        <f t="shared" ca="1" si="36"/>
        <v>5.9809541010392469</v>
      </c>
      <c r="O85" s="200">
        <f t="shared" ca="1" si="37"/>
        <v>31.744788366185606</v>
      </c>
      <c r="P85" s="200">
        <f t="shared" si="44"/>
        <v>2.3040000000000027E-3</v>
      </c>
      <c r="Q85" s="200">
        <f t="shared" si="45"/>
        <v>6.0840000000000043E-3</v>
      </c>
      <c r="R85" s="200">
        <f t="shared" si="46"/>
        <v>92.222153805534703</v>
      </c>
      <c r="S85" s="200">
        <f t="shared" si="38"/>
        <v>0.25115277045395107</v>
      </c>
      <c r="T85" s="200">
        <f t="shared" ca="1" si="39"/>
        <v>60.404242274210567</v>
      </c>
      <c r="U85" s="200">
        <f t="shared" si="40"/>
        <v>0.14649380199203793</v>
      </c>
      <c r="V85" s="200">
        <f t="shared" ca="1" si="47"/>
        <v>1.5440878463278243</v>
      </c>
      <c r="W85" s="262">
        <f t="shared" ca="1" si="48"/>
        <v>7.5250419473670709</v>
      </c>
      <c r="X85" s="200">
        <f t="shared" ca="1" si="49"/>
        <v>5.3076462099365784</v>
      </c>
    </row>
    <row r="86" spans="7:24">
      <c r="G86" s="200">
        <f t="shared" si="41"/>
        <v>200.00000000000011</v>
      </c>
      <c r="H86" s="200">
        <f t="shared" ca="1" si="50"/>
        <v>5.5678662943070707</v>
      </c>
      <c r="I86" s="200">
        <f t="shared" si="51"/>
        <v>5.0000000000000031E-2</v>
      </c>
      <c r="J86" s="200">
        <f t="shared" si="35"/>
        <v>0.20000000000000012</v>
      </c>
      <c r="K86" s="200">
        <f t="shared" si="42"/>
        <v>8.0000000000000029E-2</v>
      </c>
      <c r="L86" s="200">
        <f t="shared" si="43"/>
        <v>1.2800000000000009E-2</v>
      </c>
      <c r="M86" s="200">
        <f ca="1">IF(【事例2】危険部品判断シート!$O$36=0,2.51*0.56*(O86/K86)^0.25+0.0000000567*$F$9*(($F$10+273+O86)^2+($F$10+273)^2)*(($F$10+273+O86)+($F$10+273)),3.86*(【事例2】危険部品判断シート!$O$36/K86)^0.5+0.0000000567*$F$9*(($F$10+273+O86)^2+($F$10+273)^2)*(($F$10+273+O86)+($F$10+273)))</f>
        <v>14.499651808091317</v>
      </c>
      <c r="N86" s="200">
        <f t="shared" ca="1" si="36"/>
        <v>5.7005604192442361</v>
      </c>
      <c r="O86" s="200">
        <f t="shared" ca="1" si="37"/>
        <v>31.739958216970965</v>
      </c>
      <c r="P86" s="200">
        <f t="shared" si="44"/>
        <v>2.5000000000000031E-3</v>
      </c>
      <c r="Q86" s="200">
        <f t="shared" si="45"/>
        <v>6.4000000000000046E-3</v>
      </c>
      <c r="R86" s="200">
        <f t="shared" si="46"/>
        <v>89.604099960396326</v>
      </c>
      <c r="S86" s="200">
        <f t="shared" si="38"/>
        <v>0.23507899314489825</v>
      </c>
      <c r="T86" s="200">
        <f t="shared" ca="1" si="39"/>
        <v>58.843421065294812</v>
      </c>
      <c r="U86" s="200">
        <f t="shared" si="40"/>
        <v>0.14239231828545371</v>
      </c>
      <c r="V86" s="200">
        <f t="shared" ca="1" si="47"/>
        <v>1.4784673955356116</v>
      </c>
      <c r="W86" s="262">
        <f t="shared" ca="1" si="48"/>
        <v>7.1790278147798476</v>
      </c>
      <c r="X86" s="200">
        <f t="shared" ca="1" si="49"/>
        <v>5.5678662943070698</v>
      </c>
    </row>
    <row r="88" spans="7:24">
      <c r="K88" s="200" t="s">
        <v>275</v>
      </c>
      <c r="L88" s="265">
        <f>L60+E33</f>
        <v>20</v>
      </c>
    </row>
    <row r="89" spans="7:24">
      <c r="H89" s="200" t="s">
        <v>203</v>
      </c>
      <c r="I89" s="200" t="s">
        <v>277</v>
      </c>
      <c r="J89" s="200" t="s">
        <v>253</v>
      </c>
      <c r="K89" s="200" t="s">
        <v>278</v>
      </c>
      <c r="L89" s="200" t="s">
        <v>279</v>
      </c>
      <c r="M89" s="200" t="s">
        <v>280</v>
      </c>
      <c r="N89" s="200" t="s">
        <v>281</v>
      </c>
      <c r="O89" s="200" t="s">
        <v>282</v>
      </c>
      <c r="P89" s="200" t="s">
        <v>283</v>
      </c>
      <c r="Q89" s="200" t="s">
        <v>284</v>
      </c>
      <c r="R89" s="200" t="s">
        <v>285</v>
      </c>
      <c r="S89" s="200" t="s">
        <v>286</v>
      </c>
      <c r="T89" s="200" t="s">
        <v>287</v>
      </c>
      <c r="U89" s="200" t="s">
        <v>288</v>
      </c>
      <c r="V89" s="200" t="s">
        <v>289</v>
      </c>
      <c r="W89" s="200" t="s">
        <v>290</v>
      </c>
      <c r="X89" s="200" t="s">
        <v>291</v>
      </c>
    </row>
    <row r="90" spans="7:24">
      <c r="G90" s="200">
        <f>J90*1000</f>
        <v>8</v>
      </c>
      <c r="H90" s="200">
        <f ca="1">X90</f>
        <v>1.6520351125508717</v>
      </c>
      <c r="I90" s="200">
        <v>2E-3</v>
      </c>
      <c r="J90" s="200">
        <f t="shared" ref="J90:J114" si="52">I90*4</f>
        <v>8.0000000000000002E-3</v>
      </c>
      <c r="K90" s="200">
        <f>I90+$L$88/1000*2</f>
        <v>4.2000000000000003E-2</v>
      </c>
      <c r="L90" s="200">
        <f>K90^2*2</f>
        <v>3.5280000000000003E-3</v>
      </c>
      <c r="M90" s="200">
        <f ca="1">IF(【事例2】危険部品判断シート!$O$36=0,2.51*0.56*(O90/K90)^0.25+0.0000000567*$F$9*(($F$10+273+O90)^2+($F$10+273)^2)*(($F$10+273+O90)+($F$10+273)),3.86*(【事例2】危険部品判断シート!$O$36/K90)^0.5+0.0000000567*$F$9*(($F$10+273+O90)^2+($F$10+273)^2)*(($F$10+273+O90)+($F$10+273)))</f>
        <v>15.608797359702111</v>
      </c>
      <c r="N90" s="200">
        <f t="shared" ref="N90:N114" ca="1" si="53">1/L90/M90+$F$8/$M$3/L90</f>
        <v>19.29320717278809</v>
      </c>
      <c r="O90" s="200">
        <f t="shared" ref="O90:O114" ca="1" si="54">H90*N90</f>
        <v>31.873055683164257</v>
      </c>
      <c r="P90" s="200">
        <f>I90^2</f>
        <v>3.9999999999999998E-6</v>
      </c>
      <c r="Q90" s="200">
        <f>K90^2</f>
        <v>1.7640000000000002E-3</v>
      </c>
      <c r="R90" s="200">
        <f>(PI()^1.5)/((Q90)^0.5)+1/(P90)^0.5</f>
        <v>632.57923801980257</v>
      </c>
      <c r="S90" s="200">
        <f t="shared" ref="S90:S114" si="55">$F$6*(Q90^0.5-P90^0.5)/($L$3*(PI()*Q90*P90)^0.5)</f>
        <v>14.925650358406251</v>
      </c>
      <c r="T90" s="200">
        <f t="shared" ref="T90:T114" ca="1" si="56">R90*$L$3*Q90*N90/$F$6</f>
        <v>387.51672174575987</v>
      </c>
      <c r="U90" s="200">
        <f t="shared" ref="U90:U114" si="57">TANH(R90*$F$8/$F$6)</f>
        <v>0.76664024133959741</v>
      </c>
      <c r="V90" s="200">
        <f ca="1">S90*(T90+U90)/(1+T90*U90)</f>
        <v>19.441984497287805</v>
      </c>
      <c r="W90" s="262">
        <f ca="1">N90+V90</f>
        <v>38.735191670075892</v>
      </c>
      <c r="X90" s="200">
        <f ca="1">L90*M90*$Q$3</f>
        <v>1.6520351125508717</v>
      </c>
    </row>
    <row r="91" spans="7:24">
      <c r="G91" s="200">
        <f t="shared" ref="G91:G114" si="58">J91*1000</f>
        <v>16</v>
      </c>
      <c r="H91" s="200">
        <f ca="1">X91</f>
        <v>1.8030957447733067</v>
      </c>
      <c r="I91" s="200">
        <f>I90+0.002</f>
        <v>4.0000000000000001E-3</v>
      </c>
      <c r="J91" s="200">
        <f t="shared" si="52"/>
        <v>1.6E-2</v>
      </c>
      <c r="K91" s="200">
        <f t="shared" ref="K91:K114" si="59">I91+$L$88/1000*2</f>
        <v>4.3999999999999997E-2</v>
      </c>
      <c r="L91" s="200">
        <f t="shared" ref="L91:L114" si="60">K91^2*2</f>
        <v>3.8719999999999996E-3</v>
      </c>
      <c r="M91" s="200">
        <f ca="1">IF(【事例2】危険部品判断シート!$O$36=0,2.51*0.56*(O91/K91)^0.25+0.0000000567*$F$9*(($F$10+273+O91)^2+($F$10+273)^2)*(($F$10+273+O91)+($F$10+273)),3.86*(【事例2】危険部品判断シート!$O$36/K91)^0.5+0.0000000567*$F$9*(($F$10+273+O91)^2+($F$10+273)^2)*(($F$10+273+O91)+($F$10+273)))</f>
        <v>15.52251846395753</v>
      </c>
      <c r="N91" s="200">
        <f t="shared" ca="1" si="53"/>
        <v>17.67110942834643</v>
      </c>
      <c r="O91" s="200">
        <f t="shared" ca="1" si="54"/>
        <v>31.862702215674908</v>
      </c>
      <c r="P91" s="200">
        <f t="shared" ref="P91:P114" si="61">I91^2</f>
        <v>1.5999999999999999E-5</v>
      </c>
      <c r="Q91" s="200">
        <f t="shared" ref="Q91:Q114" si="62">K91^2</f>
        <v>1.9359999999999998E-3</v>
      </c>
      <c r="R91" s="200">
        <f t="shared" ref="R91:R114" si="63">(PI()^1.5)/((Q91)^0.5)+1/(P91)^0.5</f>
        <v>376.55290901890248</v>
      </c>
      <c r="S91" s="200">
        <f t="shared" si="55"/>
        <v>7.12360585287571</v>
      </c>
      <c r="T91" s="200">
        <f t="shared" ca="1" si="56"/>
        <v>231.88234376478513</v>
      </c>
      <c r="U91" s="200">
        <f t="shared" si="57"/>
        <v>0.53881523213205573</v>
      </c>
      <c r="V91" s="200">
        <f t="shared" ref="V91:V114" ca="1" si="64">S91*(T91+U91)/(1+T91*U91)</f>
        <v>13.146370244271491</v>
      </c>
      <c r="W91" s="262">
        <f t="shared" ref="W91:W114" ca="1" si="65">N91+V91</f>
        <v>30.817479672617921</v>
      </c>
      <c r="X91" s="200">
        <f t="shared" ref="X91:X114" ca="1" si="66">L91*M91*$Q$3</f>
        <v>1.8030957447733065</v>
      </c>
    </row>
    <row r="92" spans="7:24">
      <c r="G92" s="200">
        <f t="shared" si="58"/>
        <v>24</v>
      </c>
      <c r="H92" s="200">
        <f t="shared" ref="H92:H114" ca="1" si="67">X92</f>
        <v>1.9603919577503779</v>
      </c>
      <c r="I92" s="200">
        <f t="shared" ref="I92:I114" si="68">I91+0.002</f>
        <v>6.0000000000000001E-3</v>
      </c>
      <c r="J92" s="200">
        <f t="shared" si="52"/>
        <v>2.4E-2</v>
      </c>
      <c r="K92" s="200">
        <f t="shared" si="59"/>
        <v>4.5999999999999999E-2</v>
      </c>
      <c r="L92" s="200">
        <f t="shared" si="60"/>
        <v>4.2319999999999997E-3</v>
      </c>
      <c r="M92" s="200">
        <f ca="1">IF(【事例2】危険部品判断シート!$O$36=0,2.51*0.56*(O92/K92)^0.25+0.0000000567*$F$9*(($F$10+273+O92)^2+($F$10+273)^2)*(($F$10+273+O92)+($F$10+273)),3.86*(【事例2】危険部品判断シート!$O$36/K92)^0.5+0.0000000567*$F$9*(($F$10+273+O92)^2+($F$10+273)^2)*(($F$10+273+O92)+($F$10+273)))</f>
        <v>15.441020461171847</v>
      </c>
      <c r="N92" s="200">
        <f t="shared" ca="1" si="53"/>
        <v>16.248241750539023</v>
      </c>
      <c r="O92" s="200">
        <f t="shared" ca="1" si="54"/>
        <v>31.852922455340622</v>
      </c>
      <c r="P92" s="200">
        <f t="shared" si="61"/>
        <v>3.6000000000000001E-5</v>
      </c>
      <c r="Q92" s="200">
        <f t="shared" si="62"/>
        <v>2.1159999999999998E-3</v>
      </c>
      <c r="R92" s="200">
        <f t="shared" si="63"/>
        <v>287.71727529344292</v>
      </c>
      <c r="S92" s="200">
        <f t="shared" si="55"/>
        <v>4.5425892395149461</v>
      </c>
      <c r="T92" s="200">
        <f t="shared" ca="1" si="56"/>
        <v>178.05758528776158</v>
      </c>
      <c r="U92" s="200">
        <f t="shared" si="57"/>
        <v>0.43036750560140707</v>
      </c>
      <c r="V92" s="200">
        <f t="shared" ca="1" si="64"/>
        <v>10.444356267578803</v>
      </c>
      <c r="W92" s="262">
        <f t="shared" ca="1" si="65"/>
        <v>26.692598018117828</v>
      </c>
      <c r="X92" s="200">
        <f t="shared" ca="1" si="66"/>
        <v>1.9603919577503774</v>
      </c>
    </row>
    <row r="93" spans="7:24">
      <c r="G93" s="200">
        <f t="shared" si="58"/>
        <v>32</v>
      </c>
      <c r="H93" s="200">
        <f t="shared" ca="1" si="67"/>
        <v>2.1238982184764277</v>
      </c>
      <c r="I93" s="200">
        <f t="shared" si="68"/>
        <v>8.0000000000000002E-3</v>
      </c>
      <c r="J93" s="200">
        <f t="shared" si="52"/>
        <v>3.2000000000000001E-2</v>
      </c>
      <c r="K93" s="200">
        <f t="shared" si="59"/>
        <v>4.8000000000000001E-2</v>
      </c>
      <c r="L93" s="200">
        <f t="shared" si="60"/>
        <v>4.6080000000000001E-3</v>
      </c>
      <c r="M93" s="200">
        <f ca="1">IF(【事例2】危険部品判断シート!$O$36=0,2.51*0.56*(O93/K93)^0.25+0.0000000567*$F$9*(($F$10+273+O93)^2+($F$10+273)^2)*(($F$10+273+O93)+($F$10+273)),3.86*(【事例2】危険部品判断シート!$O$36/K93)^0.5+0.0000000567*$F$9*(($F$10+273+O93)^2+($F$10+273)^2)*(($F$10+273+O93)+($F$10+273)))</f>
        <v>15.363847066525086</v>
      </c>
      <c r="N93" s="200">
        <f t="shared" ca="1" si="53"/>
        <v>14.993026205759506</v>
      </c>
      <c r="O93" s="200">
        <f t="shared" ca="1" si="54"/>
        <v>31.843661647983009</v>
      </c>
      <c r="P93" s="200">
        <f t="shared" si="61"/>
        <v>6.3999999999999997E-5</v>
      </c>
      <c r="Q93" s="200">
        <f t="shared" si="62"/>
        <v>2.3040000000000001E-3</v>
      </c>
      <c r="R93" s="200">
        <f t="shared" si="63"/>
        <v>241.00683326732727</v>
      </c>
      <c r="S93" s="200">
        <f t="shared" si="55"/>
        <v>3.2649860159013677</v>
      </c>
      <c r="T93" s="200">
        <f t="shared" ca="1" si="56"/>
        <v>149.85582751870777</v>
      </c>
      <c r="U93" s="200">
        <f t="shared" si="57"/>
        <v>0.3675702973974575</v>
      </c>
      <c r="V93" s="200">
        <f t="shared" ca="1" si="64"/>
        <v>8.7456309247231285</v>
      </c>
      <c r="W93" s="262">
        <f t="shared" ca="1" si="65"/>
        <v>23.738657130482636</v>
      </c>
      <c r="X93" s="200">
        <f t="shared" ca="1" si="66"/>
        <v>2.1238982184764277</v>
      </c>
    </row>
    <row r="94" spans="7:24">
      <c r="G94" s="200">
        <f t="shared" si="58"/>
        <v>40</v>
      </c>
      <c r="H94" s="200">
        <f t="shared" ca="1" si="67"/>
        <v>2.2935903482569064</v>
      </c>
      <c r="I94" s="200">
        <f t="shared" si="68"/>
        <v>0.01</v>
      </c>
      <c r="J94" s="200">
        <f t="shared" si="52"/>
        <v>0.04</v>
      </c>
      <c r="K94" s="200">
        <f t="shared" si="59"/>
        <v>0.05</v>
      </c>
      <c r="L94" s="200">
        <f t="shared" si="60"/>
        <v>5.000000000000001E-3</v>
      </c>
      <c r="M94" s="200">
        <f ca="1">IF(【事例2】危険部品判断シート!$O$36=0,2.51*0.56*(O94/K94)^0.25+0.0000000567*$F$9*(($F$10+273+O94)^2+($F$10+273)^2)*(($F$10+273+O94)+($F$10+273)),3.86*(【事例2】危険部品判断シート!$O$36/K94)^0.5+0.0000000567*$F$9*(($F$10+273+O94)^2+($F$10+273)^2)*(($F$10+273+O94)+($F$10+273)))</f>
        <v>15.290602321712708</v>
      </c>
      <c r="N94" s="200">
        <f t="shared" ca="1" si="53"/>
        <v>13.879929475112913</v>
      </c>
      <c r="O94" s="200">
        <f t="shared" ca="1" si="54"/>
        <v>31.834872278605527</v>
      </c>
      <c r="P94" s="200">
        <f t="shared" si="61"/>
        <v>1E-4</v>
      </c>
      <c r="Q94" s="200">
        <f t="shared" si="62"/>
        <v>2.5000000000000005E-3</v>
      </c>
      <c r="R94" s="200">
        <f t="shared" si="63"/>
        <v>211.36655993663419</v>
      </c>
      <c r="S94" s="200">
        <f t="shared" si="55"/>
        <v>2.5075092602122502</v>
      </c>
      <c r="T94" s="200">
        <f t="shared" ca="1" si="56"/>
        <v>132.01888253929692</v>
      </c>
      <c r="U94" s="200">
        <f t="shared" si="57"/>
        <v>0.32585741320471845</v>
      </c>
      <c r="V94" s="200">
        <f t="shared" ca="1" si="64"/>
        <v>7.5388618868681077</v>
      </c>
      <c r="W94" s="262">
        <f t="shared" ca="1" si="65"/>
        <v>21.418791361981022</v>
      </c>
      <c r="X94" s="200">
        <f t="shared" ca="1" si="66"/>
        <v>2.2935903482569064</v>
      </c>
    </row>
    <row r="95" spans="7:24">
      <c r="G95" s="200">
        <f t="shared" si="58"/>
        <v>48</v>
      </c>
      <c r="H95" s="200">
        <f t="shared" ca="1" si="67"/>
        <v>2.4694453986811427</v>
      </c>
      <c r="I95" s="200">
        <f t="shared" si="68"/>
        <v>1.2E-2</v>
      </c>
      <c r="J95" s="200">
        <f t="shared" si="52"/>
        <v>4.8000000000000001E-2</v>
      </c>
      <c r="K95" s="200">
        <f t="shared" si="59"/>
        <v>5.2000000000000005E-2</v>
      </c>
      <c r="L95" s="200">
        <f>K95^2*2</f>
        <v>5.4080000000000013E-3</v>
      </c>
      <c r="M95" s="200">
        <f ca="1">IF(【事例2】危険部品判断シート!$O$36=0,2.51*0.56*(O95/K95)^0.25+0.0000000567*$F$9*(($F$10+273+O95)^2+($F$10+273)^2)*(($F$10+273+O95)+($F$10+273)),3.86*(【事例2】危険部品判断シート!$O$36/K95)^0.5+0.0000000567*$F$9*(($F$10+273+O95)^2+($F$10+273)^2)*(($F$10+273+O95)+($F$10+273)))</f>
        <v>15.220940573724988</v>
      </c>
      <c r="N95" s="200">
        <f t="shared" ca="1" si="53"/>
        <v>12.888121715849474</v>
      </c>
      <c r="O95" s="200">
        <f t="shared" ca="1" si="54"/>
        <v>31.826512868846997</v>
      </c>
      <c r="P95" s="200">
        <f t="shared" si="61"/>
        <v>1.44E-4</v>
      </c>
      <c r="Q95" s="200">
        <f t="shared" si="62"/>
        <v>2.7040000000000007E-3</v>
      </c>
      <c r="R95" s="200">
        <f t="shared" si="63"/>
        <v>190.41656404163541</v>
      </c>
      <c r="S95" s="200">
        <f t="shared" si="55"/>
        <v>2.0092221636316108</v>
      </c>
      <c r="T95" s="200">
        <f t="shared" ca="1" si="56"/>
        <v>119.44653216190072</v>
      </c>
      <c r="U95" s="200">
        <f t="shared" si="57"/>
        <v>0.2955772729586848</v>
      </c>
      <c r="V95" s="200">
        <f t="shared" ca="1" si="64"/>
        <v>6.6267454183722991</v>
      </c>
      <c r="W95" s="262">
        <f t="shared" ca="1" si="65"/>
        <v>19.514867134221774</v>
      </c>
      <c r="X95" s="200">
        <f t="shared" ca="1" si="66"/>
        <v>2.4694453986811427</v>
      </c>
    </row>
    <row r="96" spans="7:24">
      <c r="G96" s="200">
        <f t="shared" si="58"/>
        <v>56</v>
      </c>
      <c r="H96" s="200">
        <f t="shared" ca="1" si="67"/>
        <v>2.6514415433621839</v>
      </c>
      <c r="I96" s="200">
        <f t="shared" si="68"/>
        <v>1.4E-2</v>
      </c>
      <c r="J96" s="200">
        <f t="shared" si="52"/>
        <v>5.6000000000000001E-2</v>
      </c>
      <c r="K96" s="200">
        <f t="shared" si="59"/>
        <v>5.3999999999999999E-2</v>
      </c>
      <c r="L96" s="200">
        <f t="shared" si="60"/>
        <v>5.8319999999999995E-3</v>
      </c>
      <c r="M96" s="200">
        <f ca="1">IF(【事例2】危険部品判断シート!$O$36=0,2.51*0.56*(O96/K96)^0.25+0.0000000567*$F$9*(($F$10+273+O96)^2+($F$10+273)^2)*(($F$10+273+O96)+($F$10+273)),3.86*(【事例2】危険部品判断シート!$O$36/K96)^0.5+0.0000000567*$F$9*(($F$10+273+O96)^2+($F$10+273)^2)*(($F$10+273+O96)+($F$10+273)))</f>
        <v>15.154558432568496</v>
      </c>
      <c r="N96" s="200">
        <f t="shared" ca="1" si="53"/>
        <v>12.000470872746615</v>
      </c>
      <c r="O96" s="200">
        <f t="shared" ca="1" si="54"/>
        <v>31.818547011908215</v>
      </c>
      <c r="P96" s="200">
        <f t="shared" si="61"/>
        <v>1.9600000000000002E-4</v>
      </c>
      <c r="Q96" s="200">
        <f t="shared" si="62"/>
        <v>2.9159999999999998E-3</v>
      </c>
      <c r="R96" s="200">
        <f t="shared" si="63"/>
        <v>174.54575655508455</v>
      </c>
      <c r="S96" s="200">
        <f t="shared" si="55"/>
        <v>1.6584055953784724</v>
      </c>
      <c r="T96" s="200">
        <f t="shared" ca="1" si="56"/>
        <v>109.94300596858271</v>
      </c>
      <c r="U96" s="200">
        <f t="shared" si="57"/>
        <v>0.27223228696026064</v>
      </c>
      <c r="V96" s="200">
        <f t="shared" ca="1" si="64"/>
        <v>5.9095168241567144</v>
      </c>
      <c r="W96" s="262">
        <f t="shared" ca="1" si="65"/>
        <v>17.909987696903329</v>
      </c>
      <c r="X96" s="200">
        <f t="shared" ca="1" si="66"/>
        <v>2.6514415433621839</v>
      </c>
    </row>
    <row r="97" spans="7:24">
      <c r="G97" s="200">
        <f t="shared" si="58"/>
        <v>64</v>
      </c>
      <c r="H97" s="200">
        <f t="shared" ca="1" si="67"/>
        <v>2.8395579829207103</v>
      </c>
      <c r="I97" s="200">
        <f t="shared" si="68"/>
        <v>1.6E-2</v>
      </c>
      <c r="J97" s="200">
        <f t="shared" si="52"/>
        <v>6.4000000000000001E-2</v>
      </c>
      <c r="K97" s="200">
        <f t="shared" si="59"/>
        <v>5.6000000000000001E-2</v>
      </c>
      <c r="L97" s="200">
        <f t="shared" si="60"/>
        <v>6.2720000000000007E-3</v>
      </c>
      <c r="M97" s="200">
        <f ca="1">IF(【事例2】危険部品判断シート!$O$36=0,2.51*0.56*(O97/K97)^0.25+0.0000000567*$F$9*(($F$10+273+O97)^2+($F$10+273)^2)*(($F$10+273+O97)+($F$10+273)),3.86*(【事例2】危険部品判断シート!$O$36/K97)^0.5+0.0000000567*$F$9*(($F$10+273+O97)^2+($F$10+273)^2)*(($F$10+273+O97)+($F$10+273)))</f>
        <v>15.091188259570099</v>
      </c>
      <c r="N97" s="200">
        <f t="shared" ca="1" si="53"/>
        <v>11.20277972222576</v>
      </c>
      <c r="O97" s="200">
        <f t="shared" ca="1" si="54"/>
        <v>31.810942591148414</v>
      </c>
      <c r="P97" s="200">
        <f t="shared" si="61"/>
        <v>2.5599999999999999E-4</v>
      </c>
      <c r="Q97" s="200">
        <f t="shared" si="62"/>
        <v>3.1360000000000003E-3</v>
      </c>
      <c r="R97" s="200">
        <f t="shared" si="63"/>
        <v>161.93442851485196</v>
      </c>
      <c r="S97" s="200">
        <f t="shared" si="55"/>
        <v>1.3992797211005861</v>
      </c>
      <c r="T97" s="200">
        <f t="shared" ca="1" si="56"/>
        <v>102.40320484537763</v>
      </c>
      <c r="U97" s="200">
        <f t="shared" si="57"/>
        <v>0.25344894105748683</v>
      </c>
      <c r="V97" s="200">
        <f t="shared" ca="1" si="64"/>
        <v>5.3292817414655795</v>
      </c>
      <c r="W97" s="262">
        <f t="shared" ca="1" si="65"/>
        <v>16.532061463691338</v>
      </c>
      <c r="X97" s="200">
        <f t="shared" ca="1" si="66"/>
        <v>2.8395579829207103</v>
      </c>
    </row>
    <row r="98" spans="7:24">
      <c r="G98" s="200">
        <f t="shared" si="58"/>
        <v>72.000000000000014</v>
      </c>
      <c r="H98" s="200">
        <f t="shared" ca="1" si="67"/>
        <v>3.0337748611707536</v>
      </c>
      <c r="I98" s="200">
        <f t="shared" si="68"/>
        <v>1.8000000000000002E-2</v>
      </c>
      <c r="J98" s="200">
        <f t="shared" si="52"/>
        <v>7.2000000000000008E-2</v>
      </c>
      <c r="K98" s="200">
        <f t="shared" si="59"/>
        <v>5.8000000000000003E-2</v>
      </c>
      <c r="L98" s="200">
        <f t="shared" si="60"/>
        <v>6.7280000000000005E-3</v>
      </c>
      <c r="M98" s="200">
        <f ca="1">IF(【事例2】危険部品判断シート!$O$36=0,2.51*0.56*(O98/K98)^0.25+0.0000000567*$F$9*(($F$10+273+O98)^2+($F$10+273)^2)*(($F$10+273+O98)+($F$10+273)),3.86*(【事例2】危険部品判断シート!$O$36/K98)^0.5+0.0000000567*$F$9*(($F$10+273+O98)^2+($F$10+273)^2)*(($F$10+273+O98)+($F$10+273)))</f>
        <v>15.030592851618874</v>
      </c>
      <c r="N98" s="200">
        <f t="shared" ca="1" si="53"/>
        <v>10.483200829847018</v>
      </c>
      <c r="O98" s="200">
        <f t="shared" ca="1" si="54"/>
        <v>31.803671142194265</v>
      </c>
      <c r="P98" s="200">
        <f t="shared" si="61"/>
        <v>3.2400000000000007E-4</v>
      </c>
      <c r="Q98" s="200">
        <f t="shared" si="62"/>
        <v>3.3640000000000002E-3</v>
      </c>
      <c r="R98" s="200">
        <f t="shared" si="63"/>
        <v>151.56121067334362</v>
      </c>
      <c r="S98" s="200">
        <f t="shared" si="55"/>
        <v>1.2009143966533762</v>
      </c>
      <c r="T98" s="200">
        <f t="shared" ca="1" si="56"/>
        <v>96.207839898650761</v>
      </c>
      <c r="U98" s="200">
        <f t="shared" si="57"/>
        <v>0.23785376338732289</v>
      </c>
      <c r="V98" s="200">
        <f t="shared" ca="1" si="64"/>
        <v>4.8495204867906381</v>
      </c>
      <c r="W98" s="262">
        <f t="shared" ca="1" si="65"/>
        <v>15.332721316637656</v>
      </c>
      <c r="X98" s="200">
        <f t="shared" ca="1" si="66"/>
        <v>3.0337748611707536</v>
      </c>
    </row>
    <row r="99" spans="7:24">
      <c r="G99" s="200">
        <f t="shared" si="58"/>
        <v>80.000000000000014</v>
      </c>
      <c r="H99" s="200">
        <f t="shared" ca="1" si="67"/>
        <v>3.2340731908404483</v>
      </c>
      <c r="I99" s="200">
        <f t="shared" si="68"/>
        <v>2.0000000000000004E-2</v>
      </c>
      <c r="J99" s="200">
        <f t="shared" si="52"/>
        <v>8.0000000000000016E-2</v>
      </c>
      <c r="K99" s="200">
        <f t="shared" si="59"/>
        <v>6.0000000000000005E-2</v>
      </c>
      <c r="L99" s="200">
        <f t="shared" si="60"/>
        <v>7.2000000000000015E-3</v>
      </c>
      <c r="M99" s="200">
        <f ca="1">IF(【事例2】危険部品判断シート!$O$36=0,2.51*0.56*(O99/K99)^0.25+0.0000000567*$F$9*(($F$10+273+O99)^2+($F$10+273)^2)*(($F$10+273+O99)+($F$10+273)),3.86*(【事例2】危険部品判断シート!$O$36/K99)^0.5+0.0000000567*$F$9*(($F$10+273+O99)^2+($F$10+273)^2)*(($F$10+273+O99)+($F$10+273)))</f>
        <v>14.972561068705774</v>
      </c>
      <c r="N99" s="200">
        <f t="shared" ca="1" si="53"/>
        <v>9.8317834668366277</v>
      </c>
      <c r="O99" s="200">
        <f t="shared" ca="1" si="54"/>
        <v>31.796707328244697</v>
      </c>
      <c r="P99" s="200">
        <f t="shared" si="61"/>
        <v>4.0000000000000018E-4</v>
      </c>
      <c r="Q99" s="200">
        <f t="shared" si="62"/>
        <v>3.6000000000000008E-3</v>
      </c>
      <c r="R99" s="200">
        <f t="shared" si="63"/>
        <v>142.8054666138618</v>
      </c>
      <c r="S99" s="200">
        <f t="shared" si="55"/>
        <v>1.0447955250884373</v>
      </c>
      <c r="T99" s="200">
        <f t="shared" ca="1" si="56"/>
        <v>90.981301180698082</v>
      </c>
      <c r="U99" s="200">
        <f t="shared" si="57"/>
        <v>0.22459381808382831</v>
      </c>
      <c r="V99" s="200">
        <f t="shared" ca="1" si="64"/>
        <v>4.4458445480970097</v>
      </c>
      <c r="W99" s="262">
        <f t="shared" ca="1" si="65"/>
        <v>14.277628014933637</v>
      </c>
      <c r="X99" s="200">
        <f t="shared" ca="1" si="66"/>
        <v>3.2340731908404483</v>
      </c>
    </row>
    <row r="100" spans="7:24">
      <c r="G100" s="200">
        <f t="shared" si="58"/>
        <v>88.000000000000028</v>
      </c>
      <c r="H100" s="200">
        <f t="shared" ca="1" si="67"/>
        <v>3.4404347874570602</v>
      </c>
      <c r="I100" s="200">
        <f t="shared" si="68"/>
        <v>2.2000000000000006E-2</v>
      </c>
      <c r="J100" s="200">
        <f t="shared" si="52"/>
        <v>8.8000000000000023E-2</v>
      </c>
      <c r="K100" s="200">
        <f t="shared" si="59"/>
        <v>6.2000000000000006E-2</v>
      </c>
      <c r="L100" s="200">
        <f t="shared" si="60"/>
        <v>7.6880000000000013E-3</v>
      </c>
      <c r="M100" s="200">
        <f ca="1">IF(【事例2】危険部品判断シート!$O$36=0,2.51*0.56*(O100/K100)^0.25+0.0000000567*$F$9*(($F$10+273+O100)^2+($F$10+273)^2)*(($F$10+273+O100)+($F$10+273)),3.86*(【事例2】危険部品判断シート!$O$36/K100)^0.5+0.0000000567*$F$9*(($F$10+273+O100)^2+($F$10+273)^2)*(($F$10+273+O100)+($F$10+273)))</f>
        <v>14.916904212005981</v>
      </c>
      <c r="N100" s="200">
        <f t="shared" ca="1" si="53"/>
        <v>9.2401194817989243</v>
      </c>
      <c r="O100" s="200">
        <f t="shared" ca="1" si="54"/>
        <v>31.790028505440723</v>
      </c>
      <c r="P100" s="200">
        <f t="shared" si="61"/>
        <v>4.8400000000000027E-4</v>
      </c>
      <c r="Q100" s="200">
        <f t="shared" si="62"/>
        <v>3.8440000000000006E-3</v>
      </c>
      <c r="R100" s="200">
        <f t="shared" si="63"/>
        <v>135.26628733892784</v>
      </c>
      <c r="S100" s="200">
        <f t="shared" si="55"/>
        <v>0.91917494875815586</v>
      </c>
      <c r="T100" s="200">
        <f t="shared" ca="1" si="56"/>
        <v>86.481465642220897</v>
      </c>
      <c r="U100" s="200">
        <f t="shared" si="57"/>
        <v>0.21310904434811101</v>
      </c>
      <c r="V100" s="200">
        <f t="shared" ca="1" si="64"/>
        <v>4.1012636659918069</v>
      </c>
      <c r="W100" s="262">
        <f t="shared" ca="1" si="65"/>
        <v>13.341383147790731</v>
      </c>
      <c r="X100" s="200">
        <f t="shared" ca="1" si="66"/>
        <v>3.4404347874570602</v>
      </c>
    </row>
    <row r="101" spans="7:24">
      <c r="G101" s="200">
        <f t="shared" si="58"/>
        <v>96.000000000000028</v>
      </c>
      <c r="H101" s="200">
        <f t="shared" ca="1" si="67"/>
        <v>3.6528422102610842</v>
      </c>
      <c r="I101" s="200">
        <f t="shared" si="68"/>
        <v>2.4000000000000007E-2</v>
      </c>
      <c r="J101" s="200">
        <f t="shared" si="52"/>
        <v>9.600000000000003E-2</v>
      </c>
      <c r="K101" s="200">
        <f t="shared" si="59"/>
        <v>6.4000000000000001E-2</v>
      </c>
      <c r="L101" s="200">
        <f t="shared" si="60"/>
        <v>8.1919999999999996E-3</v>
      </c>
      <c r="M101" s="200">
        <f ca="1">IF(【事例2】危険部品判断シート!$O$36=0,2.51*0.56*(O101/K101)^0.25+0.0000000567*$F$9*(($F$10+273+O101)^2+($F$10+273)^2)*(($F$10+273+O101)+($F$10+273)),3.86*(【事例2】危険部品判断シート!$O$36/K101)^0.5+0.0000000567*$F$9*(($F$10+273+O101)^2+($F$10+273)^2)*(($F$10+273+O101)+($F$10+273)))</f>
        <v>14.863453003992039</v>
      </c>
      <c r="N101" s="200">
        <f t="shared" ca="1" si="53"/>
        <v>8.701064138822284</v>
      </c>
      <c r="O101" s="200">
        <f t="shared" ca="1" si="54"/>
        <v>31.783614360479049</v>
      </c>
      <c r="P101" s="200">
        <f t="shared" si="61"/>
        <v>5.7600000000000034E-4</v>
      </c>
      <c r="Q101" s="200">
        <f t="shared" si="62"/>
        <v>4.0959999999999998E-3</v>
      </c>
      <c r="R101" s="200">
        <f t="shared" si="63"/>
        <v>128.67179161716211</v>
      </c>
      <c r="S101" s="200">
        <f t="shared" si="55"/>
        <v>0.81624650397534149</v>
      </c>
      <c r="T101" s="200">
        <f t="shared" ca="1" si="56"/>
        <v>82.544505695952296</v>
      </c>
      <c r="U101" s="200">
        <f t="shared" si="57"/>
        <v>0.20301471547384281</v>
      </c>
      <c r="V101" s="200">
        <f t="shared" ca="1" si="64"/>
        <v>3.8035436227669015</v>
      </c>
      <c r="W101" s="262">
        <f t="shared" ca="1" si="65"/>
        <v>12.504607761589185</v>
      </c>
      <c r="X101" s="200">
        <f t="shared" ca="1" si="66"/>
        <v>3.6528422102610834</v>
      </c>
    </row>
    <row r="102" spans="7:24">
      <c r="G102" s="200">
        <f t="shared" si="58"/>
        <v>104.00000000000004</v>
      </c>
      <c r="H102" s="200">
        <f t="shared" ca="1" si="67"/>
        <v>3.8712787092029992</v>
      </c>
      <c r="I102" s="200">
        <f t="shared" si="68"/>
        <v>2.6000000000000009E-2</v>
      </c>
      <c r="J102" s="200">
        <f t="shared" si="52"/>
        <v>0.10400000000000004</v>
      </c>
      <c r="K102" s="200">
        <f t="shared" si="59"/>
        <v>6.6000000000000003E-2</v>
      </c>
      <c r="L102" s="200">
        <f t="shared" si="60"/>
        <v>8.712000000000001E-3</v>
      </c>
      <c r="M102" s="200">
        <f ca="1">IF(【事例2】危険部品判断シート!$O$36=0,2.51*0.56*(O102/K102)^0.25+0.0000000567*$F$9*(($F$10+273+O102)^2+($F$10+273)^2)*(($F$10+273+O102)+($F$10+273)),3.86*(【事例2】危険部品判断シート!$O$36/K102)^0.5+0.0000000567*$F$9*(($F$10+273+O102)^2+($F$10+273)^2)*(($F$10+273+O102)+($F$10+273)))</f>
        <v>14.812055055107891</v>
      </c>
      <c r="N102" s="200">
        <f t="shared" ca="1" si="53"/>
        <v>8.208514290399707</v>
      </c>
      <c r="O102" s="200">
        <f t="shared" ca="1" si="54"/>
        <v>31.777446606612951</v>
      </c>
      <c r="P102" s="200">
        <f t="shared" si="61"/>
        <v>6.7600000000000049E-4</v>
      </c>
      <c r="Q102" s="200">
        <f t="shared" si="62"/>
        <v>4.3560000000000005E-3</v>
      </c>
      <c r="R102" s="200">
        <f t="shared" si="63"/>
        <v>122.8301444741401</v>
      </c>
      <c r="S102" s="200">
        <f t="shared" si="55"/>
        <v>0.73062624132058529</v>
      </c>
      <c r="T102" s="200">
        <f t="shared" ca="1" si="56"/>
        <v>79.055100926664295</v>
      </c>
      <c r="U102" s="200">
        <f t="shared" si="57"/>
        <v>0.19403652667591154</v>
      </c>
      <c r="V102" s="200">
        <f t="shared" ca="1" si="64"/>
        <v>3.5436351086279987</v>
      </c>
      <c r="W102" s="262">
        <f t="shared" ca="1" si="65"/>
        <v>11.752149399027706</v>
      </c>
      <c r="X102" s="200">
        <f t="shared" ca="1" si="66"/>
        <v>3.8712787092029992</v>
      </c>
    </row>
    <row r="103" spans="7:24">
      <c r="G103" s="200">
        <f t="shared" si="58"/>
        <v>112.00000000000004</v>
      </c>
      <c r="H103" s="200">
        <f t="shared" ca="1" si="67"/>
        <v>4.0957281772288985</v>
      </c>
      <c r="I103" s="200">
        <f t="shared" si="68"/>
        <v>2.8000000000000011E-2</v>
      </c>
      <c r="J103" s="200">
        <f t="shared" si="52"/>
        <v>0.11200000000000004</v>
      </c>
      <c r="K103" s="200">
        <f t="shared" si="59"/>
        <v>6.8000000000000005E-2</v>
      </c>
      <c r="L103" s="200">
        <f t="shared" si="60"/>
        <v>9.248000000000001E-3</v>
      </c>
      <c r="M103" s="200">
        <f ca="1">IF(【事例2】危険部品判断シート!$O$36=0,2.51*0.56*(O103/K103)^0.25+0.0000000567*$F$9*(($F$10+273+O103)^2+($F$10+273)^2)*(($F$10+273+O103)+($F$10+273)),3.86*(【事例2】危険部品判断シート!$O$36/K103)^0.5+0.0000000567*$F$9*(($F$10+273+O103)^2+($F$10+273)^2)*(($F$10+273+O103)+($F$10+273)))</f>
        <v>14.762572726459403</v>
      </c>
      <c r="N103" s="200">
        <f t="shared" ca="1" si="53"/>
        <v>7.7572307908068288</v>
      </c>
      <c r="O103" s="200">
        <f t="shared" ca="1" si="54"/>
        <v>31.771508727175139</v>
      </c>
      <c r="P103" s="200">
        <f t="shared" si="61"/>
        <v>7.8400000000000063E-4</v>
      </c>
      <c r="Q103" s="200">
        <f t="shared" si="62"/>
        <v>4.6240000000000005E-3</v>
      </c>
      <c r="R103" s="200">
        <f t="shared" si="63"/>
        <v>117.60146213828142</v>
      </c>
      <c r="S103" s="200">
        <f t="shared" si="55"/>
        <v>0.65848457463556942</v>
      </c>
      <c r="T103" s="200">
        <f t="shared" ca="1" si="56"/>
        <v>75.929364411356531</v>
      </c>
      <c r="U103" s="200">
        <f t="shared" si="57"/>
        <v>0.18597271043767025</v>
      </c>
      <c r="V103" s="200">
        <f t="shared" ca="1" si="64"/>
        <v>3.314692974222218</v>
      </c>
      <c r="W103" s="262">
        <f t="shared" ca="1" si="65"/>
        <v>11.071923765029046</v>
      </c>
      <c r="X103" s="200">
        <f t="shared" ca="1" si="66"/>
        <v>4.0957281772288976</v>
      </c>
    </row>
    <row r="104" spans="7:24">
      <c r="G104" s="200">
        <f t="shared" si="58"/>
        <v>120.00000000000006</v>
      </c>
      <c r="H104" s="200">
        <f t="shared" ca="1" si="67"/>
        <v>4.3261751071853576</v>
      </c>
      <c r="I104" s="200">
        <f t="shared" si="68"/>
        <v>3.0000000000000013E-2</v>
      </c>
      <c r="J104" s="200">
        <f t="shared" si="52"/>
        <v>0.12000000000000005</v>
      </c>
      <c r="K104" s="200">
        <f t="shared" si="59"/>
        <v>7.0000000000000007E-2</v>
      </c>
      <c r="L104" s="200">
        <f t="shared" si="60"/>
        <v>9.8000000000000014E-3</v>
      </c>
      <c r="M104" s="200">
        <f ca="1">IF(【事例2】危険部品判断シート!$O$36=0,2.51*0.56*(O104/K104)^0.25+0.0000000567*$F$9*(($F$10+273+O104)^2+($F$10+273)^2)*(($F$10+273+O104)+($F$10+273)),3.86*(【事例2】危険部品判断シート!$O$36/K104)^0.5+0.0000000567*$F$9*(($F$10+273+O104)^2+($F$10+273)^2)*(($F$10+273+O104)+($F$10+273)))</f>
        <v>14.714881316956994</v>
      </c>
      <c r="N104" s="200">
        <f t="shared" ca="1" si="53"/>
        <v>7.3426953304028197</v>
      </c>
      <c r="O104" s="200">
        <f t="shared" ca="1" si="54"/>
        <v>31.765785758034845</v>
      </c>
      <c r="P104" s="200">
        <f t="shared" si="61"/>
        <v>9.0000000000000073E-4</v>
      </c>
      <c r="Q104" s="200">
        <f t="shared" si="62"/>
        <v>4.9000000000000007E-3</v>
      </c>
      <c r="R104" s="200">
        <f t="shared" si="63"/>
        <v>112.88087614521487</v>
      </c>
      <c r="S104" s="200">
        <f t="shared" si="55"/>
        <v>0.59702601433624958</v>
      </c>
      <c r="T104" s="200">
        <f t="shared" ca="1" si="56"/>
        <v>73.104559606798517</v>
      </c>
      <c r="U104" s="200">
        <f t="shared" si="57"/>
        <v>0.17867088001114831</v>
      </c>
      <c r="V104" s="200">
        <f t="shared" ca="1" si="64"/>
        <v>3.1114397210506608</v>
      </c>
      <c r="W104" s="262">
        <f t="shared" ca="1" si="65"/>
        <v>10.454135051453481</v>
      </c>
      <c r="X104" s="200">
        <f t="shared" ca="1" si="66"/>
        <v>4.3261751071853567</v>
      </c>
    </row>
    <row r="105" spans="7:24">
      <c r="G105" s="200">
        <f t="shared" si="58"/>
        <v>128.00000000000006</v>
      </c>
      <c r="H105" s="200">
        <f t="shared" ca="1" si="67"/>
        <v>4.5626045527756371</v>
      </c>
      <c r="I105" s="200">
        <f t="shared" si="68"/>
        <v>3.2000000000000015E-2</v>
      </c>
      <c r="J105" s="200">
        <f t="shared" si="52"/>
        <v>0.12800000000000006</v>
      </c>
      <c r="K105" s="200">
        <f t="shared" si="59"/>
        <v>7.2000000000000008E-2</v>
      </c>
      <c r="L105" s="200">
        <f t="shared" si="60"/>
        <v>1.0368000000000002E-2</v>
      </c>
      <c r="M105" s="200">
        <f ca="1">IF(【事例2】危険部品判断シート!$O$36=0,2.51*0.56*(O105/K105)^0.25+0.0000000567*$F$9*(($F$10+273+O105)^2+($F$10+273)^2)*(($F$10+273+O105)+($F$10+273)),3.86*(【事例2】危険部品判断シート!$O$36/K105)^0.5+0.0000000567*$F$9*(($F$10+273+O105)^2+($F$10+273)^2)*(($F$10+273+O105)+($F$10+273)))</f>
        <v>14.668867517925785</v>
      </c>
      <c r="N105" s="200">
        <f t="shared" ca="1" si="53"/>
        <v>6.960994259918909</v>
      </c>
      <c r="O105" s="200">
        <f t="shared" ca="1" si="54"/>
        <v>31.760264102151091</v>
      </c>
      <c r="P105" s="200">
        <f t="shared" si="61"/>
        <v>1.024000000000001E-3</v>
      </c>
      <c r="Q105" s="200">
        <f t="shared" si="62"/>
        <v>5.1840000000000011E-3</v>
      </c>
      <c r="R105" s="200">
        <f t="shared" si="63"/>
        <v>108.58788884488482</v>
      </c>
      <c r="S105" s="200">
        <f t="shared" si="55"/>
        <v>0.54416433598356084</v>
      </c>
      <c r="T105" s="200">
        <f t="shared" ca="1" si="56"/>
        <v>70.532643855309033</v>
      </c>
      <c r="U105" s="200">
        <f t="shared" si="57"/>
        <v>0.17201330852143265</v>
      </c>
      <c r="V105" s="200">
        <f t="shared" ca="1" si="64"/>
        <v>2.9297389138005561</v>
      </c>
      <c r="W105" s="262">
        <f t="shared" ca="1" si="65"/>
        <v>9.8907331737194646</v>
      </c>
      <c r="X105" s="200">
        <f t="shared" ca="1" si="66"/>
        <v>4.5626045527756371</v>
      </c>
    </row>
    <row r="106" spans="7:24">
      <c r="G106" s="200">
        <f t="shared" si="58"/>
        <v>136.00000000000006</v>
      </c>
      <c r="H106" s="200">
        <f t="shared" ca="1" si="67"/>
        <v>4.8050020930831199</v>
      </c>
      <c r="I106" s="200">
        <f t="shared" si="68"/>
        <v>3.4000000000000016E-2</v>
      </c>
      <c r="J106" s="200">
        <f t="shared" si="52"/>
        <v>0.13600000000000007</v>
      </c>
      <c r="K106" s="200">
        <f t="shared" si="59"/>
        <v>7.400000000000001E-2</v>
      </c>
      <c r="L106" s="200">
        <f t="shared" si="60"/>
        <v>1.0952000000000003E-2</v>
      </c>
      <c r="M106" s="200">
        <f ca="1">IF(【事例2】危険部品判断シート!$O$36=0,2.51*0.56*(O106/K106)^0.25+0.0000000567*$F$9*(($F$10+273+O106)^2+($F$10+273)^2)*(($F$10+273+O106)+($F$10+273)),3.86*(【事例2】危険部品判断シート!$O$36/K106)^0.5+0.0000000567*$F$9*(($F$10+273+O106)^2+($F$10+273)^2)*(($F$10+273+O106)+($F$10+273)))</f>
        <v>14.624428089490863</v>
      </c>
      <c r="N106" s="200">
        <f t="shared" ca="1" si="53"/>
        <v>6.6087237332218134</v>
      </c>
      <c r="O106" s="200">
        <f t="shared" ca="1" si="54"/>
        <v>31.754931370738902</v>
      </c>
      <c r="P106" s="200">
        <f t="shared" si="61"/>
        <v>1.1560000000000012E-3</v>
      </c>
      <c r="Q106" s="200">
        <f t="shared" si="62"/>
        <v>5.4760000000000017E-3</v>
      </c>
      <c r="R106" s="200">
        <f t="shared" si="63"/>
        <v>104.65944033874325</v>
      </c>
      <c r="S106" s="200">
        <f t="shared" si="55"/>
        <v>0.49831265107556605</v>
      </c>
      <c r="T106" s="200">
        <f t="shared" ca="1" si="56"/>
        <v>68.176067978582481</v>
      </c>
      <c r="U106" s="200">
        <f t="shared" si="57"/>
        <v>0.16590724902676049</v>
      </c>
      <c r="V106" s="200">
        <f t="shared" ca="1" si="64"/>
        <v>2.766301415868627</v>
      </c>
      <c r="W106" s="262">
        <f t="shared" ca="1" si="65"/>
        <v>9.3750251490904404</v>
      </c>
      <c r="X106" s="200">
        <f t="shared" ca="1" si="66"/>
        <v>4.8050020930831199</v>
      </c>
    </row>
    <row r="107" spans="7:24">
      <c r="G107" s="200">
        <f t="shared" si="58"/>
        <v>144.00000000000009</v>
      </c>
      <c r="H107" s="200">
        <f t="shared" ca="1" si="67"/>
        <v>5.0533538002474279</v>
      </c>
      <c r="I107" s="200">
        <f t="shared" si="68"/>
        <v>3.6000000000000018E-2</v>
      </c>
      <c r="J107" s="200">
        <f t="shared" si="52"/>
        <v>0.14400000000000007</v>
      </c>
      <c r="K107" s="200">
        <f t="shared" si="59"/>
        <v>7.6000000000000012E-2</v>
      </c>
      <c r="L107" s="200">
        <f t="shared" si="60"/>
        <v>1.1552000000000003E-2</v>
      </c>
      <c r="M107" s="200">
        <f ca="1">IF(【事例2】危険部品判断シート!$O$36=0,2.51*0.56*(O107/K107)^0.25+0.0000000567*$F$9*(($F$10+273+O107)^2+($F$10+273)^2)*(($F$10+273+O107)+($F$10+273)),3.86*(【事例2】危険部品判断シート!$O$36/K107)^0.5+0.0000000567*$F$9*(($F$10+273+O107)^2+($F$10+273)^2)*(($F$10+273+O107)+($F$10+273)))</f>
        <v>14.581468721858919</v>
      </c>
      <c r="N107" s="200">
        <f t="shared" ca="1" si="53"/>
        <v>6.2829118050409418</v>
      </c>
      <c r="O107" s="200">
        <f t="shared" ca="1" si="54"/>
        <v>31.749776246623071</v>
      </c>
      <c r="P107" s="200">
        <f t="shared" si="61"/>
        <v>1.2960000000000014E-3</v>
      </c>
      <c r="Q107" s="200">
        <f t="shared" si="62"/>
        <v>5.7760000000000016E-3</v>
      </c>
      <c r="R107" s="200">
        <f t="shared" si="63"/>
        <v>101.04525142030025</v>
      </c>
      <c r="S107" s="200">
        <f t="shared" si="55"/>
        <v>0.45824365135457745</v>
      </c>
      <c r="T107" s="200">
        <f t="shared" ca="1" si="56"/>
        <v>66.004958442265448</v>
      </c>
      <c r="U107" s="200">
        <f t="shared" si="57"/>
        <v>0.16027837933062242</v>
      </c>
      <c r="V107" s="200">
        <f t="shared" ca="1" si="64"/>
        <v>2.618478315903698</v>
      </c>
      <c r="W107" s="262">
        <f t="shared" ca="1" si="65"/>
        <v>8.9013901209446402</v>
      </c>
      <c r="X107" s="200">
        <f t="shared" ca="1" si="66"/>
        <v>5.0533538002474279</v>
      </c>
    </row>
    <row r="108" spans="7:24">
      <c r="G108" s="200">
        <f t="shared" si="58"/>
        <v>152.00000000000009</v>
      </c>
      <c r="H108" s="200">
        <f t="shared" ca="1" si="67"/>
        <v>5.3076462099365784</v>
      </c>
      <c r="I108" s="200">
        <f t="shared" si="68"/>
        <v>3.800000000000002E-2</v>
      </c>
      <c r="J108" s="200">
        <f t="shared" si="52"/>
        <v>0.15200000000000008</v>
      </c>
      <c r="K108" s="200">
        <f t="shared" si="59"/>
        <v>7.8000000000000014E-2</v>
      </c>
      <c r="L108" s="200">
        <f t="shared" si="60"/>
        <v>1.2168000000000003E-2</v>
      </c>
      <c r="M108" s="200">
        <f ca="1">IF(【事例2】危険部品判断シート!$O$36=0,2.51*0.56*(O108/K108)^0.25+0.0000000567*$F$9*(($F$10+273+O108)^2+($F$10+273)^2)*(($F$10+273+O108)+($F$10+273)),3.86*(【事例2】危険部品判断シート!$O$36/K108)^0.5+0.0000000567*$F$9*(($F$10+273+O108)^2+($F$10+273)^2)*(($F$10+273+O108)+($F$10+273)))</f>
        <v>14.539903051546611</v>
      </c>
      <c r="N108" s="200">
        <f t="shared" ca="1" si="53"/>
        <v>5.9809541010392486</v>
      </c>
      <c r="O108" s="200">
        <f t="shared" ca="1" si="54"/>
        <v>31.744788366185603</v>
      </c>
      <c r="P108" s="200">
        <f t="shared" si="61"/>
        <v>1.4440000000000015E-3</v>
      </c>
      <c r="Q108" s="200">
        <f t="shared" si="62"/>
        <v>6.0840000000000017E-3</v>
      </c>
      <c r="R108" s="200">
        <f t="shared" si="63"/>
        <v>97.704609945885579</v>
      </c>
      <c r="S108" s="200">
        <f t="shared" si="55"/>
        <v>0.42299413971191768</v>
      </c>
      <c r="T108" s="200">
        <f t="shared" ca="1" si="56"/>
        <v>63.995175637768718</v>
      </c>
      <c r="U108" s="200">
        <f t="shared" si="57"/>
        <v>0.15506624664527685</v>
      </c>
      <c r="V108" s="200">
        <f t="shared" ca="1" si="64"/>
        <v>2.4841119624925447</v>
      </c>
      <c r="W108" s="262">
        <f t="shared" ca="1" si="65"/>
        <v>8.4650660635317934</v>
      </c>
      <c r="X108" s="200">
        <f t="shared" ca="1" si="66"/>
        <v>5.3076462099365767</v>
      </c>
    </row>
    <row r="109" spans="7:24">
      <c r="G109" s="200">
        <f t="shared" si="58"/>
        <v>160.00000000000009</v>
      </c>
      <c r="H109" s="200">
        <f t="shared" ca="1" si="67"/>
        <v>5.5678662943070698</v>
      </c>
      <c r="I109" s="200">
        <f t="shared" si="68"/>
        <v>4.0000000000000022E-2</v>
      </c>
      <c r="J109" s="200">
        <f t="shared" si="52"/>
        <v>0.16000000000000009</v>
      </c>
      <c r="K109" s="200">
        <f t="shared" si="59"/>
        <v>8.0000000000000016E-2</v>
      </c>
      <c r="L109" s="200">
        <f t="shared" si="60"/>
        <v>1.2800000000000006E-2</v>
      </c>
      <c r="M109" s="200">
        <f ca="1">IF(【事例2】危険部品判断シート!$O$36=0,2.51*0.56*(O109/K109)^0.25+0.0000000567*$F$9*(($F$10+273+O109)^2+($F$10+273)^2)*(($F$10+273+O109)+($F$10+273)),3.86*(【事例2】危険部品判断シート!$O$36/K109)^0.5+0.0000000567*$F$9*(($F$10+273+O109)^2+($F$10+273)^2)*(($F$10+273+O109)+($F$10+273)))</f>
        <v>14.499651808091317</v>
      </c>
      <c r="N109" s="200">
        <f t="shared" ca="1" si="53"/>
        <v>5.7005604192442378</v>
      </c>
      <c r="O109" s="200">
        <f t="shared" ca="1" si="54"/>
        <v>31.739958216970972</v>
      </c>
      <c r="P109" s="200">
        <f t="shared" si="61"/>
        <v>1.6000000000000018E-3</v>
      </c>
      <c r="Q109" s="200">
        <f t="shared" si="62"/>
        <v>6.4000000000000029E-3</v>
      </c>
      <c r="R109" s="200">
        <f t="shared" si="63"/>
        <v>94.604099960396326</v>
      </c>
      <c r="S109" s="200">
        <f t="shared" si="55"/>
        <v>0.39179832190816366</v>
      </c>
      <c r="T109" s="200">
        <f t="shared" ca="1" si="56"/>
        <v>62.126943866779492</v>
      </c>
      <c r="U109" s="200">
        <f t="shared" si="57"/>
        <v>0.15022102870941192</v>
      </c>
      <c r="V109" s="200">
        <f t="shared" ca="1" si="64"/>
        <v>2.3614268610767457</v>
      </c>
      <c r="W109" s="262">
        <f t="shared" ca="1" si="65"/>
        <v>8.0619872803209844</v>
      </c>
      <c r="X109" s="200">
        <f t="shared" ca="1" si="66"/>
        <v>5.567866294307068</v>
      </c>
    </row>
    <row r="110" spans="7:24">
      <c r="G110" s="200">
        <f t="shared" si="58"/>
        <v>168.00000000000009</v>
      </c>
      <c r="H110" s="200">
        <f t="shared" ca="1" si="67"/>
        <v>5.8340014371847095</v>
      </c>
      <c r="I110" s="200">
        <f t="shared" si="68"/>
        <v>4.2000000000000023E-2</v>
      </c>
      <c r="J110" s="200">
        <f t="shared" si="52"/>
        <v>0.16800000000000009</v>
      </c>
      <c r="K110" s="200">
        <f t="shared" si="59"/>
        <v>8.2000000000000017E-2</v>
      </c>
      <c r="L110" s="200">
        <f t="shared" si="60"/>
        <v>1.3448000000000005E-2</v>
      </c>
      <c r="M110" s="200">
        <f ca="1">IF(【事例2】危険部品判断シート!$O$36=0,2.51*0.56*(O110/K110)^0.25+0.0000000567*$F$9*(($F$10+273+O110)^2+($F$10+273)^2)*(($F$10+273+O110)+($F$10+273)),3.86*(【事例2】危険部品判断シート!$O$36/K110)^0.5+0.0000000567*$F$9*(($F$10+273+O110)^2+($F$10+273)^2)*(($F$10+273+O110)+($F$10+273)))</f>
        <v>14.460642071149881</v>
      </c>
      <c r="N110" s="200">
        <f t="shared" ca="1" si="53"/>
        <v>5.4397101869505793</v>
      </c>
      <c r="O110" s="200">
        <f t="shared" ca="1" si="54"/>
        <v>31.735277048537984</v>
      </c>
      <c r="P110" s="200">
        <f t="shared" si="61"/>
        <v>1.7640000000000019E-3</v>
      </c>
      <c r="Q110" s="200">
        <f t="shared" si="62"/>
        <v>6.7240000000000025E-3</v>
      </c>
      <c r="R110" s="200">
        <f t="shared" si="63"/>
        <v>91.715962795276326</v>
      </c>
      <c r="S110" s="200">
        <f t="shared" si="55"/>
        <v>0.3640402526440546</v>
      </c>
      <c r="T110" s="200">
        <f t="shared" ca="1" si="56"/>
        <v>60.383864176164813</v>
      </c>
      <c r="U110" s="200">
        <f t="shared" si="57"/>
        <v>0.14570118343383223</v>
      </c>
      <c r="V110" s="200">
        <f t="shared" ca="1" si="64"/>
        <v>2.2489484800157569</v>
      </c>
      <c r="W110" s="262">
        <f t="shared" ca="1" si="65"/>
        <v>7.6886586669663366</v>
      </c>
      <c r="X110" s="200">
        <f t="shared" ca="1" si="66"/>
        <v>5.8340014371847095</v>
      </c>
    </row>
    <row r="111" spans="7:24">
      <c r="G111" s="200">
        <f t="shared" si="58"/>
        <v>176.00000000000011</v>
      </c>
      <c r="H111" s="200">
        <f t="shared" ca="1" si="67"/>
        <v>6.1060394112335636</v>
      </c>
      <c r="I111" s="200">
        <f t="shared" si="68"/>
        <v>4.4000000000000025E-2</v>
      </c>
      <c r="J111" s="200">
        <f t="shared" si="52"/>
        <v>0.1760000000000001</v>
      </c>
      <c r="K111" s="200">
        <f t="shared" si="59"/>
        <v>8.4000000000000019E-2</v>
      </c>
      <c r="L111" s="200">
        <f t="shared" si="60"/>
        <v>1.4112000000000006E-2</v>
      </c>
      <c r="M111" s="200">
        <f ca="1">IF(【事例2】危険部品判断シート!$O$36=0,2.51*0.56*(O111/K111)^0.25+0.0000000567*$F$9*(($F$10+273+O111)^2+($F$10+273)^2)*(($F$10+273+O111)+($F$10+273)),3.86*(【事例2】危険部品判断シート!$O$36/K111)^0.5+0.0000000567*$F$9*(($F$10+273+O111)^2+($F$10+273)^2)*(($F$10+273+O111)+($F$10+273)))</f>
        <v>14.422806621394463</v>
      </c>
      <c r="N111" s="200">
        <f t="shared" ca="1" si="53"/>
        <v>5.1966151309457373</v>
      </c>
      <c r="O111" s="200">
        <f t="shared" ca="1" si="54"/>
        <v>31.730736794567338</v>
      </c>
      <c r="P111" s="200">
        <f t="shared" si="61"/>
        <v>1.9360000000000022E-3</v>
      </c>
      <c r="Q111" s="200">
        <f t="shared" si="62"/>
        <v>7.0560000000000032E-3</v>
      </c>
      <c r="R111" s="200">
        <f t="shared" si="63"/>
        <v>89.016891737173992</v>
      </c>
      <c r="S111" s="200">
        <f t="shared" si="55"/>
        <v>0.33921932632741447</v>
      </c>
      <c r="T111" s="200">
        <f t="shared" ca="1" si="56"/>
        <v>58.752189559129043</v>
      </c>
      <c r="U111" s="200">
        <f t="shared" si="57"/>
        <v>0.14147171181078483</v>
      </c>
      <c r="V111" s="200">
        <f t="shared" ca="1" si="64"/>
        <v>2.1454419547113761</v>
      </c>
      <c r="W111" s="262">
        <f t="shared" ca="1" si="65"/>
        <v>7.3420570856571139</v>
      </c>
      <c r="X111" s="200">
        <f t="shared" ca="1" si="66"/>
        <v>6.1060394112335628</v>
      </c>
    </row>
    <row r="112" spans="7:24">
      <c r="G112" s="200">
        <f t="shared" si="58"/>
        <v>184.00000000000011</v>
      </c>
      <c r="H112" s="200">
        <f t="shared" ca="1" si="67"/>
        <v>6.3839683569097101</v>
      </c>
      <c r="I112" s="200">
        <f t="shared" si="68"/>
        <v>4.6000000000000027E-2</v>
      </c>
      <c r="J112" s="200">
        <f t="shared" si="52"/>
        <v>0.18400000000000011</v>
      </c>
      <c r="K112" s="200">
        <f t="shared" si="59"/>
        <v>8.6000000000000021E-2</v>
      </c>
      <c r="L112" s="200">
        <f t="shared" si="60"/>
        <v>1.4792000000000007E-2</v>
      </c>
      <c r="M112" s="200">
        <f ca="1">IF(【事例2】危険部品判断シート!$O$36=0,2.51*0.56*(O112/K112)^0.25+0.0000000567*$F$9*(($F$10+273+O112)^2+($F$10+273)^2)*(($F$10+273+O112)+($F$10+273)),3.86*(【事例2】危険部品判断シート!$O$36/K112)^0.5+0.0000000567*$F$9*(($F$10+273+O112)^2+($F$10+273)^2)*(($F$10+273+O112)+($F$10+273)))</f>
        <v>14.386083371438858</v>
      </c>
      <c r="N112" s="200">
        <f t="shared" ca="1" si="53"/>
        <v>4.9696878541438192</v>
      </c>
      <c r="O112" s="200">
        <f t="shared" ca="1" si="54"/>
        <v>31.72633000457266</v>
      </c>
      <c r="P112" s="200">
        <f t="shared" si="61"/>
        <v>2.1160000000000024E-3</v>
      </c>
      <c r="Q112" s="200">
        <f t="shared" si="62"/>
        <v>7.3960000000000033E-3</v>
      </c>
      <c r="R112" s="200">
        <f t="shared" si="63"/>
        <v>86.487130397941982</v>
      </c>
      <c r="S112" s="200">
        <f t="shared" si="55"/>
        <v>0.31692483066383315</v>
      </c>
      <c r="T112" s="200">
        <f t="shared" ca="1" si="56"/>
        <v>57.220283713937121</v>
      </c>
      <c r="U112" s="200">
        <f t="shared" si="57"/>
        <v>0.1375028527025047</v>
      </c>
      <c r="V112" s="200">
        <f t="shared" ca="1" si="64"/>
        <v>2.0498652108779587</v>
      </c>
      <c r="W112" s="262">
        <f t="shared" ca="1" si="65"/>
        <v>7.0195530650217783</v>
      </c>
      <c r="X112" s="200">
        <f t="shared" ca="1" si="66"/>
        <v>6.3839683569097101</v>
      </c>
    </row>
    <row r="113" spans="7:24">
      <c r="G113" s="200">
        <f t="shared" si="58"/>
        <v>192.00000000000011</v>
      </c>
      <c r="H113" s="200">
        <f t="shared" ca="1" si="67"/>
        <v>6.6677767630217284</v>
      </c>
      <c r="I113" s="200">
        <f t="shared" si="68"/>
        <v>4.8000000000000029E-2</v>
      </c>
      <c r="J113" s="200">
        <f t="shared" si="52"/>
        <v>0.19200000000000012</v>
      </c>
      <c r="K113" s="200">
        <f t="shared" si="59"/>
        <v>8.8000000000000023E-2</v>
      </c>
      <c r="L113" s="200">
        <f t="shared" si="60"/>
        <v>1.5488000000000009E-2</v>
      </c>
      <c r="M113" s="200">
        <f ca="1">IF(【事例2】危険部品判断シート!$O$36=0,2.51*0.56*(O113/K113)^0.25+0.0000000567*$F$9*(($F$10+273+O113)^2+($F$10+273)^2)*(($F$10+273+O113)+($F$10+273)),3.86*(【事例2】危険部品判断シート!$O$36/K113)^0.5+0.0000000567*$F$9*(($F$10+273+O113)^2+($F$10+273)^2)*(($F$10+273+O113)+($F$10+273)))</f>
        <v>14.350414865318793</v>
      </c>
      <c r="N113" s="200">
        <f t="shared" ca="1" si="53"/>
        <v>4.7575152725212622</v>
      </c>
      <c r="O113" s="200">
        <f t="shared" ca="1" si="54"/>
        <v>31.722049783838258</v>
      </c>
      <c r="P113" s="200">
        <f t="shared" si="61"/>
        <v>2.3040000000000027E-3</v>
      </c>
      <c r="Q113" s="200">
        <f t="shared" si="62"/>
        <v>7.7440000000000044E-3</v>
      </c>
      <c r="R113" s="200">
        <f t="shared" si="63"/>
        <v>84.109787842784542</v>
      </c>
      <c r="S113" s="200">
        <f t="shared" si="55"/>
        <v>0.29681691053648762</v>
      </c>
      <c r="T113" s="200">
        <f t="shared" ca="1" si="56"/>
        <v>55.778210643339733</v>
      </c>
      <c r="U113" s="200">
        <f t="shared" si="57"/>
        <v>0.13376908736075438</v>
      </c>
      <c r="V113" s="200">
        <f t="shared" ca="1" si="64"/>
        <v>1.9613326912504261</v>
      </c>
      <c r="W113" s="262">
        <f t="shared" ca="1" si="65"/>
        <v>6.7188479637716885</v>
      </c>
      <c r="X113" s="200">
        <f t="shared" ca="1" si="66"/>
        <v>6.6677767630217284</v>
      </c>
    </row>
    <row r="114" spans="7:24">
      <c r="G114" s="200">
        <f t="shared" si="58"/>
        <v>200.00000000000011</v>
      </c>
      <c r="H114" s="200">
        <f t="shared" ca="1" si="67"/>
        <v>6.9574534487410808</v>
      </c>
      <c r="I114" s="200">
        <f t="shared" si="68"/>
        <v>5.0000000000000031E-2</v>
      </c>
      <c r="J114" s="200">
        <f t="shared" si="52"/>
        <v>0.20000000000000012</v>
      </c>
      <c r="K114" s="200">
        <f t="shared" si="59"/>
        <v>9.0000000000000024E-2</v>
      </c>
      <c r="L114" s="200">
        <f t="shared" si="60"/>
        <v>1.620000000000001E-2</v>
      </c>
      <c r="M114" s="200">
        <f ca="1">IF(【事例2】危険部品判断シート!$O$36=0,2.51*0.56*(O114/K114)^0.25+0.0000000567*$F$9*(($F$10+273+O114)^2+($F$10+273)^2)*(($F$10+273+O114)+($F$10+273)),3.86*(【事例2】危険部品判断シート!$O$36/K114)^0.5+0.0000000567*$F$9*(($F$10+273+O114)^2+($F$10+273)^2)*(($F$10+273+O114)+($F$10+273)))</f>
        <v>14.315747836915794</v>
      </c>
      <c r="N114" s="200">
        <f t="shared" ca="1" si="53"/>
        <v>4.5588360704258983</v>
      </c>
      <c r="O114" s="200">
        <f t="shared" ca="1" si="54"/>
        <v>31.717889740429904</v>
      </c>
      <c r="P114" s="200">
        <f t="shared" si="61"/>
        <v>2.5000000000000031E-3</v>
      </c>
      <c r="Q114" s="200">
        <f t="shared" si="62"/>
        <v>8.1000000000000048E-3</v>
      </c>
      <c r="R114" s="200">
        <f t="shared" si="63"/>
        <v>81.87031107590785</v>
      </c>
      <c r="S114" s="200">
        <f t="shared" si="55"/>
        <v>0.27861214002358309</v>
      </c>
      <c r="T114" s="200">
        <f t="shared" ca="1" si="56"/>
        <v>54.417419110110359</v>
      </c>
      <c r="U114" s="200">
        <f t="shared" si="57"/>
        <v>0.13024836978377824</v>
      </c>
      <c r="V114" s="200">
        <f t="shared" ca="1" si="64"/>
        <v>1.87908698448164</v>
      </c>
      <c r="W114" s="262">
        <f t="shared" ca="1" si="65"/>
        <v>6.4379230549075386</v>
      </c>
      <c r="X114" s="200">
        <f t="shared" ca="1" si="66"/>
        <v>6.95745344874108</v>
      </c>
    </row>
  </sheetData>
  <phoneticPr fontId="7"/>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0000FF"/>
  </sheetPr>
  <dimension ref="A2:X1744"/>
  <sheetViews>
    <sheetView showGridLines="0" zoomScale="85" zoomScaleNormal="85" workbookViewId="0">
      <selection activeCell="J50" sqref="J50"/>
    </sheetView>
  </sheetViews>
  <sheetFormatPr defaultColWidth="9" defaultRowHeight="13.2"/>
  <cols>
    <col min="1" max="12" width="10.109375" style="200" customWidth="1"/>
    <col min="13" max="13" width="9" style="200"/>
    <col min="14" max="14" width="11" style="200" customWidth="1"/>
    <col min="15" max="15" width="13.33203125" style="200" customWidth="1"/>
    <col min="16" max="16" width="9" style="200"/>
    <col min="17" max="17" width="12.77734375" style="200" customWidth="1"/>
    <col min="18" max="18" width="14.21875" style="200" customWidth="1"/>
    <col min="19" max="19" width="10.33203125" style="200" customWidth="1"/>
    <col min="20" max="20" width="12.77734375" style="200" bestFit="1" customWidth="1"/>
    <col min="21" max="16384" width="9" style="200"/>
  </cols>
  <sheetData>
    <row r="2" spans="3:18" ht="16.2">
      <c r="C2" s="201" t="s">
        <v>241</v>
      </c>
      <c r="K2" s="201" t="s">
        <v>242</v>
      </c>
    </row>
    <row r="4" spans="3:18">
      <c r="Q4" s="200" t="s">
        <v>243</v>
      </c>
    </row>
    <row r="5" spans="3:18">
      <c r="Q5" s="202" t="s">
        <v>244</v>
      </c>
      <c r="R5" s="202">
        <v>35.6</v>
      </c>
    </row>
    <row r="6" spans="3:18">
      <c r="Q6" s="203" t="s">
        <v>245</v>
      </c>
      <c r="R6" s="204"/>
    </row>
    <row r="7" spans="3:18">
      <c r="Q7" s="205" t="s">
        <v>246</v>
      </c>
      <c r="R7" s="202">
        <v>5</v>
      </c>
    </row>
    <row r="8" spans="3:18">
      <c r="Q8" s="205" t="s">
        <v>247</v>
      </c>
      <c r="R8" s="202">
        <v>20</v>
      </c>
    </row>
    <row r="35" spans="1:24" ht="27" customHeight="1" thickBot="1">
      <c r="A35" s="296" t="s">
        <v>294</v>
      </c>
      <c r="D35" s="206"/>
      <c r="G35" s="206" t="s">
        <v>248</v>
      </c>
    </row>
    <row r="36" spans="1:24" ht="24" customHeight="1" thickBot="1">
      <c r="A36" s="207" t="s">
        <v>249</v>
      </c>
      <c r="B36" s="208" t="s">
        <v>250</v>
      </c>
      <c r="C36" s="647" t="s">
        <v>251</v>
      </c>
      <c r="D36" s="648"/>
      <c r="E36" s="649"/>
      <c r="F36" s="209" t="s">
        <v>252</v>
      </c>
      <c r="G36" s="210" t="s">
        <v>253</v>
      </c>
      <c r="H36" s="211" t="s">
        <v>254</v>
      </c>
      <c r="I36" s="212" t="s">
        <v>255</v>
      </c>
      <c r="J36" s="650" t="s">
        <v>256</v>
      </c>
      <c r="K36" s="652" t="s">
        <v>257</v>
      </c>
      <c r="L36" s="213" t="s">
        <v>258</v>
      </c>
      <c r="M36" s="214">
        <v>55</v>
      </c>
      <c r="N36" s="215" t="s">
        <v>259</v>
      </c>
      <c r="O36" s="216">
        <v>0.66</v>
      </c>
      <c r="P36" s="654" t="s">
        <v>260</v>
      </c>
      <c r="Q36" s="656" t="s">
        <v>261</v>
      </c>
      <c r="R36" s="217"/>
    </row>
    <row r="37" spans="1:24" ht="21" customHeight="1" thickBot="1">
      <c r="A37" s="218"/>
      <c r="B37" s="219" t="s">
        <v>262</v>
      </c>
      <c r="C37" s="220" t="s">
        <v>263</v>
      </c>
      <c r="D37" s="220" t="s">
        <v>264</v>
      </c>
      <c r="E37" s="220" t="s">
        <v>265</v>
      </c>
      <c r="F37" s="221" t="s">
        <v>266</v>
      </c>
      <c r="G37" s="222" t="s">
        <v>197</v>
      </c>
      <c r="H37" s="223" t="s">
        <v>267</v>
      </c>
      <c r="I37" s="224" t="s">
        <v>268</v>
      </c>
      <c r="J37" s="651"/>
      <c r="K37" s="653"/>
      <c r="L37" s="225" t="s">
        <v>269</v>
      </c>
      <c r="M37" s="226" t="s">
        <v>270</v>
      </c>
      <c r="N37" s="227" t="s">
        <v>271</v>
      </c>
      <c r="O37" s="228" t="s">
        <v>272</v>
      </c>
      <c r="P37" s="655"/>
      <c r="Q37" s="657"/>
      <c r="R37" s="229"/>
    </row>
    <row r="38" spans="1:24">
      <c r="A38" s="517" t="s">
        <v>485</v>
      </c>
      <c r="B38" s="503">
        <v>90</v>
      </c>
      <c r="C38" s="504">
        <v>30</v>
      </c>
      <c r="D38" s="504">
        <v>30</v>
      </c>
      <c r="E38" s="504">
        <v>3</v>
      </c>
      <c r="F38" s="504">
        <v>80</v>
      </c>
      <c r="G38" s="273">
        <f>(C38+D38)*2</f>
        <v>120</v>
      </c>
      <c r="H38" s="274">
        <f t="shared" ref="H38:H46" si="0">(C38*D38+D38*E38+E38*C38)*2</f>
        <v>2160</v>
      </c>
      <c r="I38" s="275">
        <f t="shared" ref="I38:I46" si="1">F38/H38*1000000</f>
        <v>37037.037037037036</v>
      </c>
      <c r="J38" s="525">
        <f>1/H38/Q38*1000000</f>
        <v>17.440680492091069</v>
      </c>
      <c r="K38" s="527">
        <f>(B38-$M$36)/F38</f>
        <v>0.4375</v>
      </c>
      <c r="L38" s="282" t="str">
        <f t="shared" ref="L38:L46" si="2">IF(J38&lt;K38,"○","×")</f>
        <v>×</v>
      </c>
      <c r="M38" s="283" t="str">
        <f t="shared" ref="M38:M46" si="3">IF(OR(K38&gt;=30,L38="○"),"○","×")</f>
        <v>×</v>
      </c>
      <c r="N38" s="284">
        <f t="shared" ref="N38:N46" si="4">J38/K38</f>
        <v>39.864412553351016</v>
      </c>
      <c r="O38" s="285"/>
      <c r="P38" s="233">
        <v>0.9</v>
      </c>
      <c r="Q38" s="294">
        <f>IF($O$36&lt;&gt;0,3.86*($O$36/MIN(C38,D38)*1000)^0.5+0.0000000567*P38*(($M$36+273+(B38-$M$36))^2+($M$36+273)^2)*(($M$36+273+(B38-$M$36))+($M$36+273)),2.51*0.56*((B38-$M$36)/(MIN(C38,D38)/1000))^0.25+0.0000000567*P38*(($M$36+273+(B38-$M$36))^2+($M$36+273)^2)*(($M$36+273+(B38-$M$36))+($M$36+273)))</f>
        <v>26.545005693608438</v>
      </c>
      <c r="R38" s="229"/>
    </row>
    <row r="39" spans="1:24">
      <c r="A39" s="518" t="s">
        <v>486</v>
      </c>
      <c r="B39" s="505">
        <v>90</v>
      </c>
      <c r="C39" s="506">
        <v>37</v>
      </c>
      <c r="D39" s="506">
        <v>37</v>
      </c>
      <c r="E39" s="506">
        <v>4.5</v>
      </c>
      <c r="F39" s="506">
        <v>40</v>
      </c>
      <c r="G39" s="276">
        <f t="shared" ref="G39:G46" si="5">(C39+D39)*2</f>
        <v>148</v>
      </c>
      <c r="H39" s="277">
        <f t="shared" si="0"/>
        <v>3404</v>
      </c>
      <c r="I39" s="278">
        <f t="shared" si="1"/>
        <v>11750.881316098708</v>
      </c>
      <c r="J39" s="526">
        <f t="shared" ref="J39" si="6">1/H39/Q39*1000000</f>
        <v>11.873098922496343</v>
      </c>
      <c r="K39" s="528">
        <f>(B39-$M$36)/F39</f>
        <v>0.875</v>
      </c>
      <c r="L39" s="286" t="str">
        <f t="shared" si="2"/>
        <v>×</v>
      </c>
      <c r="M39" s="287" t="str">
        <f t="shared" si="3"/>
        <v>×</v>
      </c>
      <c r="N39" s="288">
        <f t="shared" si="4"/>
        <v>13.569255911424392</v>
      </c>
      <c r="O39" s="289"/>
      <c r="P39" s="236">
        <v>0.9</v>
      </c>
      <c r="Q39" s="294">
        <f>IF($O$36&lt;&gt;0,3.86*($O$36/MIN(C39,D39)*1000)^0.5+0.0000000567*P39*(($M$36+273+(B39-$M$36))^2+($M$36+273)^2)*(($M$36+273+(B39-$M$36))+($M$36+273)),2.51*0.56*((B39-$M$36)/(MIN(C39,D39)/1000))^0.25+0.0000000567*P39*(($M$36+273+(B39-$M$36))^2+($M$36+273)^2)*(($M$36+273+(B39-$M$36))+($M$36+273)))</f>
        <v>24.742658578027033</v>
      </c>
      <c r="R39" s="229"/>
    </row>
    <row r="40" spans="1:24">
      <c r="A40" s="519" t="s">
        <v>477</v>
      </c>
      <c r="B40" s="505">
        <v>90</v>
      </c>
      <c r="C40" s="506">
        <v>11</v>
      </c>
      <c r="D40" s="506">
        <v>11</v>
      </c>
      <c r="E40" s="506">
        <v>1.7</v>
      </c>
      <c r="F40" s="506">
        <v>1.1000000000000001</v>
      </c>
      <c r="G40" s="276">
        <f t="shared" si="5"/>
        <v>44</v>
      </c>
      <c r="H40" s="277">
        <f t="shared" si="0"/>
        <v>316.79999999999995</v>
      </c>
      <c r="I40" s="278">
        <f t="shared" si="1"/>
        <v>3472.2222222222231</v>
      </c>
      <c r="J40" s="526">
        <f>1/H40/Q40*1000000</f>
        <v>82.332091732827308</v>
      </c>
      <c r="K40" s="528">
        <f t="shared" ref="K40:K46" si="7">(B40-$M$36)/F40</f>
        <v>31.818181818181817</v>
      </c>
      <c r="L40" s="286" t="str">
        <f t="shared" si="2"/>
        <v>×</v>
      </c>
      <c r="M40" s="287" t="str">
        <f t="shared" si="3"/>
        <v>○</v>
      </c>
      <c r="N40" s="288">
        <f t="shared" si="4"/>
        <v>2.5875800258888586</v>
      </c>
      <c r="O40" s="289"/>
      <c r="P40" s="236">
        <v>0.9</v>
      </c>
      <c r="Q40" s="294">
        <f>IF($O$36&lt;&gt;0,3.86*($O$36/MIN(C40,D40)*1000)^0.5+0.0000000567*P40*(($M$36+273+(B40-$M$36))^2+($M$36+273)^2)*(($M$36+273+(B40-$M$36))+($M$36+273)),2.51*0.56*((B40-$M$36)/(MIN(C40,D40)/1000))^0.25+0.0000000567*P40*(($M$36+273+(B40-$M$36))^2+($M$36+273)^2)*(($M$36+273+(B40-$M$36))+($M$36+273)))</f>
        <v>38.339432293411257</v>
      </c>
      <c r="R40" s="237"/>
      <c r="S40" s="238"/>
      <c r="V40" s="239"/>
      <c r="W40" s="240"/>
    </row>
    <row r="41" spans="1:24">
      <c r="A41" s="520" t="s">
        <v>478</v>
      </c>
      <c r="B41" s="505">
        <v>90</v>
      </c>
      <c r="C41" s="507">
        <v>6</v>
      </c>
      <c r="D41" s="507">
        <v>6</v>
      </c>
      <c r="E41" s="507">
        <v>1</v>
      </c>
      <c r="F41" s="507">
        <v>0.15</v>
      </c>
      <c r="G41" s="276">
        <f t="shared" si="5"/>
        <v>24</v>
      </c>
      <c r="H41" s="277">
        <f t="shared" si="0"/>
        <v>96</v>
      </c>
      <c r="I41" s="278">
        <f t="shared" si="1"/>
        <v>1562.4999999999998</v>
      </c>
      <c r="J41" s="526">
        <f t="shared" ref="J41:J46" si="8">1/H41/Q41*1000000</f>
        <v>212.91517245839441</v>
      </c>
      <c r="K41" s="528">
        <f>(B41-$M$36)/F41</f>
        <v>233.33333333333334</v>
      </c>
      <c r="L41" s="286" t="str">
        <f>IF(J41&lt;K41,"○","×")</f>
        <v>○</v>
      </c>
      <c r="M41" s="287" t="str">
        <f t="shared" si="3"/>
        <v>○</v>
      </c>
      <c r="N41" s="288">
        <f t="shared" si="4"/>
        <v>0.91249359625026172</v>
      </c>
      <c r="O41" s="289"/>
      <c r="P41" s="236">
        <v>0.9</v>
      </c>
      <c r="Q41" s="294">
        <f t="shared" ref="Q41:Q46" si="9">IF($O$36&lt;&gt;0,3.86*($O$36/MIN(C41,D41)*1000)^0.5+0.0000000567*P41*(($M$36+273+(B41-$M$36))^2+($M$36+273)^2)*(($M$36+273+(B41-$M$36))+($M$36+273)),2.51*0.56*((B41-$M$36)/(MIN(C41,D41)/1000))^0.25+0.0000000567*P41*(($M$36+273+(B41-$M$36))^2+($M$36+273)^2)*(($M$36+273+(B41-$M$36))+($M$36+273)))</f>
        <v>48.924022400057844</v>
      </c>
      <c r="R41" s="237"/>
      <c r="S41" s="238"/>
      <c r="V41" s="239"/>
      <c r="W41" s="240"/>
      <c r="X41" s="240"/>
    </row>
    <row r="42" spans="1:24">
      <c r="A42" s="519" t="s">
        <v>479</v>
      </c>
      <c r="B42" s="505">
        <v>90</v>
      </c>
      <c r="C42" s="506">
        <v>10</v>
      </c>
      <c r="D42" s="508">
        <v>10</v>
      </c>
      <c r="E42" s="506">
        <v>1</v>
      </c>
      <c r="F42" s="506">
        <v>0.7</v>
      </c>
      <c r="G42" s="276">
        <f t="shared" si="5"/>
        <v>40</v>
      </c>
      <c r="H42" s="277">
        <f t="shared" si="0"/>
        <v>240</v>
      </c>
      <c r="I42" s="278">
        <f t="shared" si="1"/>
        <v>2916.6666666666665</v>
      </c>
      <c r="J42" s="526">
        <f t="shared" si="8"/>
        <v>104.69330250040333</v>
      </c>
      <c r="K42" s="528">
        <f t="shared" si="7"/>
        <v>50</v>
      </c>
      <c r="L42" s="286" t="str">
        <f t="shared" si="2"/>
        <v>×</v>
      </c>
      <c r="M42" s="287" t="str">
        <f t="shared" si="3"/>
        <v>○</v>
      </c>
      <c r="N42" s="288">
        <f t="shared" si="4"/>
        <v>2.0938660500080668</v>
      </c>
      <c r="O42" s="289"/>
      <c r="P42" s="236">
        <v>0.9</v>
      </c>
      <c r="Q42" s="294">
        <f t="shared" si="9"/>
        <v>39.798789102584806</v>
      </c>
      <c r="R42" s="237"/>
      <c r="W42" s="240"/>
      <c r="X42" s="240"/>
    </row>
    <row r="43" spans="1:24">
      <c r="A43" s="520" t="s">
        <v>480</v>
      </c>
      <c r="B43" s="505">
        <v>90</v>
      </c>
      <c r="C43" s="507">
        <v>29</v>
      </c>
      <c r="D43" s="507">
        <v>29</v>
      </c>
      <c r="E43" s="507">
        <v>2.6</v>
      </c>
      <c r="F43" s="507">
        <v>1.8</v>
      </c>
      <c r="G43" s="276">
        <f t="shared" si="5"/>
        <v>116</v>
      </c>
      <c r="H43" s="277">
        <f t="shared" si="0"/>
        <v>1983.6</v>
      </c>
      <c r="I43" s="278">
        <f t="shared" si="1"/>
        <v>907.44101633393836</v>
      </c>
      <c r="J43" s="526">
        <f t="shared" si="8"/>
        <v>18.772779583183315</v>
      </c>
      <c r="K43" s="528">
        <f t="shared" si="7"/>
        <v>19.444444444444443</v>
      </c>
      <c r="L43" s="286" t="str">
        <f t="shared" si="2"/>
        <v>○</v>
      </c>
      <c r="M43" s="287" t="str">
        <f t="shared" si="3"/>
        <v>○</v>
      </c>
      <c r="N43" s="288">
        <f t="shared" si="4"/>
        <v>0.9654572357065706</v>
      </c>
      <c r="O43" s="289"/>
      <c r="P43" s="236">
        <v>0.9</v>
      </c>
      <c r="Q43" s="294">
        <f t="shared" si="9"/>
        <v>26.854515375810571</v>
      </c>
      <c r="R43" s="237"/>
      <c r="W43" s="240"/>
      <c r="X43" s="240"/>
    </row>
    <row r="44" spans="1:24">
      <c r="A44" s="518" t="s">
        <v>481</v>
      </c>
      <c r="B44" s="505">
        <v>90</v>
      </c>
      <c r="C44" s="506">
        <v>10</v>
      </c>
      <c r="D44" s="506">
        <v>20</v>
      </c>
      <c r="E44" s="506">
        <v>1.5</v>
      </c>
      <c r="F44" s="506">
        <v>1.2</v>
      </c>
      <c r="G44" s="276">
        <f t="shared" si="5"/>
        <v>60</v>
      </c>
      <c r="H44" s="277">
        <f t="shared" si="0"/>
        <v>490</v>
      </c>
      <c r="I44" s="278">
        <f t="shared" si="1"/>
        <v>2448.9795918367345</v>
      </c>
      <c r="J44" s="526">
        <f t="shared" si="8"/>
        <v>51.278352245095512</v>
      </c>
      <c r="K44" s="528">
        <f t="shared" si="7"/>
        <v>29.166666666666668</v>
      </c>
      <c r="L44" s="286" t="str">
        <f>IF(J44&lt;K44,"○","×")</f>
        <v>×</v>
      </c>
      <c r="M44" s="287" t="str">
        <f>IF(OR(K44&gt;=30,L44="○"),"○","×")</f>
        <v>×</v>
      </c>
      <c r="N44" s="288">
        <f>J44/K44</f>
        <v>1.7581149341175604</v>
      </c>
      <c r="O44" s="289"/>
      <c r="P44" s="236">
        <v>0.9</v>
      </c>
      <c r="Q44" s="294">
        <f t="shared" si="9"/>
        <v>39.798789102584806</v>
      </c>
      <c r="R44" s="237"/>
      <c r="S44" s="238"/>
      <c r="V44" s="239"/>
      <c r="W44" s="240"/>
    </row>
    <row r="45" spans="1:24">
      <c r="A45" s="519" t="s">
        <v>487</v>
      </c>
      <c r="B45" s="505">
        <v>90</v>
      </c>
      <c r="C45" s="506">
        <v>19</v>
      </c>
      <c r="D45" s="506">
        <v>19</v>
      </c>
      <c r="E45" s="506">
        <v>2.2000000000000002</v>
      </c>
      <c r="F45" s="506">
        <v>2.2000000000000002</v>
      </c>
      <c r="G45" s="276">
        <f t="shared" si="5"/>
        <v>76</v>
      </c>
      <c r="H45" s="277">
        <f t="shared" si="0"/>
        <v>889.2</v>
      </c>
      <c r="I45" s="278">
        <f t="shared" si="1"/>
        <v>2474.1340530814214</v>
      </c>
      <c r="J45" s="526">
        <f>1/H45/Q45*1000000</f>
        <v>36.056567293849866</v>
      </c>
      <c r="K45" s="528">
        <f t="shared" si="7"/>
        <v>15.909090909090908</v>
      </c>
      <c r="L45" s="286" t="str">
        <f t="shared" si="2"/>
        <v>×</v>
      </c>
      <c r="M45" s="287" t="str">
        <f t="shared" si="3"/>
        <v>×</v>
      </c>
      <c r="N45" s="288">
        <f t="shared" si="4"/>
        <v>2.2664128013277058</v>
      </c>
      <c r="O45" s="289"/>
      <c r="P45" s="236">
        <v>0.9</v>
      </c>
      <c r="Q45" s="294">
        <f t="shared" si="9"/>
        <v>31.19005696241377</v>
      </c>
      <c r="R45" s="237"/>
      <c r="W45" s="240"/>
      <c r="X45" s="240"/>
    </row>
    <row r="46" spans="1:24">
      <c r="A46" s="519" t="s">
        <v>488</v>
      </c>
      <c r="B46" s="505">
        <v>90</v>
      </c>
      <c r="C46" s="506">
        <v>8</v>
      </c>
      <c r="D46" s="506">
        <v>12.5</v>
      </c>
      <c r="E46" s="506">
        <v>1.2</v>
      </c>
      <c r="F46" s="509">
        <v>0.3</v>
      </c>
      <c r="G46" s="276">
        <f t="shared" si="5"/>
        <v>41</v>
      </c>
      <c r="H46" s="277">
        <f t="shared" si="0"/>
        <v>249.2</v>
      </c>
      <c r="I46" s="278">
        <f t="shared" si="1"/>
        <v>1203.852327447833</v>
      </c>
      <c r="J46" s="526">
        <f t="shared" si="8"/>
        <v>92.248813409321571</v>
      </c>
      <c r="K46" s="528">
        <f t="shared" si="7"/>
        <v>116.66666666666667</v>
      </c>
      <c r="L46" s="286" t="str">
        <f t="shared" si="2"/>
        <v>○</v>
      </c>
      <c r="M46" s="287" t="str">
        <f t="shared" si="3"/>
        <v>○</v>
      </c>
      <c r="N46" s="288">
        <f t="shared" si="4"/>
        <v>0.79070411493704196</v>
      </c>
      <c r="O46" s="289"/>
      <c r="P46" s="236">
        <v>0.9</v>
      </c>
      <c r="Q46" s="294">
        <f t="shared" si="9"/>
        <v>43.500191961138952</v>
      </c>
      <c r="R46" s="237"/>
      <c r="W46" s="240"/>
      <c r="X46" s="240"/>
    </row>
    <row r="47" spans="1:24">
      <c r="A47" s="521" t="s">
        <v>489</v>
      </c>
      <c r="B47" s="510">
        <v>90</v>
      </c>
      <c r="C47" s="511">
        <v>31</v>
      </c>
      <c r="D47" s="512">
        <v>31</v>
      </c>
      <c r="E47" s="512">
        <v>2.23</v>
      </c>
      <c r="F47" s="512">
        <v>3.5</v>
      </c>
      <c r="G47" s="276">
        <f t="shared" ref="G47:G54" si="10">(C47+D47)*2</f>
        <v>124</v>
      </c>
      <c r="H47" s="277">
        <f t="shared" ref="H47:H53" si="11">(C47*D47+D47*E47+E47*C47)*2</f>
        <v>2198.5200000000004</v>
      </c>
      <c r="I47" s="278">
        <f t="shared" ref="I47:I54" si="12">F47/H47*1000000</f>
        <v>1591.9800593126281</v>
      </c>
      <c r="J47" s="526">
        <f t="shared" ref="J47:J54" si="13">1/H47/Q47*1000000</f>
        <v>17.327280867990083</v>
      </c>
      <c r="K47" s="528">
        <f t="shared" ref="K47:K54" si="14">(B47-$M$36)/F47</f>
        <v>10</v>
      </c>
      <c r="L47" s="286" t="str">
        <f t="shared" ref="L47:L54" si="15">IF(J47&lt;K47,"○","×")</f>
        <v>×</v>
      </c>
      <c r="M47" s="287" t="str">
        <f t="shared" ref="M47:M54" si="16">IF(OR(K47&gt;=30,L47="○"),"○","×")</f>
        <v>×</v>
      </c>
      <c r="N47" s="288">
        <f t="shared" ref="N47:N54" si="17">J47/K47</f>
        <v>1.7327280867990082</v>
      </c>
      <c r="O47" s="289"/>
      <c r="P47" s="236">
        <v>0.9</v>
      </c>
      <c r="Q47" s="294">
        <f t="shared" ref="Q47:Q54" si="18">IF($O$36&lt;&gt;0,3.86*($O$36/MIN(C47,D47)*1000)^0.5+0.0000000567*P47*(($M$36+273+(B47-$M$36))^2+($M$36+273)^2)*(($M$36+273+(B47-$M$36))+($M$36+273)),2.51*0.56*((B47-$M$36)/(MIN(C47,D47)/1000))^0.25+0.0000000567*P47*(($M$36+273+(B47-$M$36))^2+($M$36+273)^2)*(($M$36+273+(B47-$M$36))+($M$36+273)))</f>
        <v>26.250595750321864</v>
      </c>
      <c r="R47" s="237"/>
      <c r="S47" s="238"/>
      <c r="V47" s="239"/>
      <c r="W47" s="240"/>
    </row>
    <row r="48" spans="1:24">
      <c r="A48" s="522" t="s">
        <v>490</v>
      </c>
      <c r="B48" s="510">
        <v>90</v>
      </c>
      <c r="C48" s="513">
        <v>12</v>
      </c>
      <c r="D48" s="513">
        <v>12</v>
      </c>
      <c r="E48" s="513">
        <v>1.75</v>
      </c>
      <c r="F48" s="513">
        <v>1.1000000000000001</v>
      </c>
      <c r="G48" s="276">
        <f t="shared" si="10"/>
        <v>48</v>
      </c>
      <c r="H48" s="277">
        <f t="shared" si="11"/>
        <v>372</v>
      </c>
      <c r="I48" s="278">
        <f t="shared" si="12"/>
        <v>2956.9892473118284</v>
      </c>
      <c r="J48" s="526">
        <f t="shared" si="13"/>
        <v>72.522900284036027</v>
      </c>
      <c r="K48" s="528">
        <f t="shared" si="14"/>
        <v>31.818181818181817</v>
      </c>
      <c r="L48" s="286" t="str">
        <f t="shared" si="15"/>
        <v>×</v>
      </c>
      <c r="M48" s="287" t="str">
        <f t="shared" si="16"/>
        <v>○</v>
      </c>
      <c r="N48" s="288">
        <f t="shared" si="17"/>
        <v>2.2792911517839896</v>
      </c>
      <c r="O48" s="289"/>
      <c r="P48" s="236">
        <v>0.9</v>
      </c>
      <c r="Q48" s="294">
        <f t="shared" si="18"/>
        <v>37.066527020879256</v>
      </c>
      <c r="R48" s="237"/>
      <c r="W48" s="240"/>
      <c r="X48" s="240"/>
    </row>
    <row r="49" spans="1:24">
      <c r="A49" s="522" t="s">
        <v>491</v>
      </c>
      <c r="B49" s="510">
        <v>90</v>
      </c>
      <c r="C49" s="513">
        <v>24</v>
      </c>
      <c r="D49" s="513">
        <v>24</v>
      </c>
      <c r="E49" s="513">
        <v>1.5</v>
      </c>
      <c r="F49" s="513">
        <v>2</v>
      </c>
      <c r="G49" s="276">
        <f t="shared" si="10"/>
        <v>96</v>
      </c>
      <c r="H49" s="277">
        <f t="shared" si="11"/>
        <v>1296</v>
      </c>
      <c r="I49" s="278">
        <f t="shared" si="12"/>
        <v>1543.2098765432097</v>
      </c>
      <c r="J49" s="526">
        <f t="shared" si="13"/>
        <v>26.902050951491987</v>
      </c>
      <c r="K49" s="528">
        <f t="shared" si="14"/>
        <v>17.5</v>
      </c>
      <c r="L49" s="286" t="str">
        <f t="shared" si="15"/>
        <v>×</v>
      </c>
      <c r="M49" s="287" t="str">
        <f t="shared" si="16"/>
        <v>×</v>
      </c>
      <c r="N49" s="288">
        <f t="shared" si="17"/>
        <v>1.5372600543709707</v>
      </c>
      <c r="O49" s="289"/>
      <c r="P49" s="236">
        <v>0.9</v>
      </c>
      <c r="Q49" s="294">
        <f t="shared" si="18"/>
        <v>28.682011630373921</v>
      </c>
      <c r="R49" s="237"/>
      <c r="W49" s="240"/>
      <c r="X49" s="240"/>
    </row>
    <row r="50" spans="1:24">
      <c r="A50" s="522" t="s">
        <v>492</v>
      </c>
      <c r="B50" s="510">
        <v>90</v>
      </c>
      <c r="C50" s="513">
        <v>22.22</v>
      </c>
      <c r="D50" s="513">
        <v>11.75</v>
      </c>
      <c r="E50" s="513">
        <v>1.8</v>
      </c>
      <c r="F50" s="513">
        <v>1.23</v>
      </c>
      <c r="G50" s="276">
        <f t="shared" si="10"/>
        <v>67.94</v>
      </c>
      <c r="H50" s="277">
        <f t="shared" si="11"/>
        <v>644.46199999999988</v>
      </c>
      <c r="I50" s="278">
        <f t="shared" si="12"/>
        <v>1908.5686976113413</v>
      </c>
      <c r="J50" s="526">
        <f t="shared" si="13"/>
        <v>41.522724680982343</v>
      </c>
      <c r="K50" s="528">
        <f t="shared" si="14"/>
        <v>28.45528455284553</v>
      </c>
      <c r="L50" s="286" t="str">
        <f t="shared" si="15"/>
        <v>×</v>
      </c>
      <c r="M50" s="287" t="str">
        <f t="shared" si="16"/>
        <v>×</v>
      </c>
      <c r="N50" s="288">
        <f t="shared" si="17"/>
        <v>1.4592271816459508</v>
      </c>
      <c r="O50" s="289"/>
      <c r="P50" s="236">
        <v>0.9</v>
      </c>
      <c r="Q50" s="294">
        <f t="shared" si="18"/>
        <v>37.369461659807214</v>
      </c>
      <c r="R50" s="237"/>
      <c r="S50" s="238"/>
      <c r="V50" s="239"/>
      <c r="W50" s="240"/>
    </row>
    <row r="51" spans="1:24">
      <c r="A51" s="522" t="s">
        <v>493</v>
      </c>
      <c r="B51" s="510">
        <v>90</v>
      </c>
      <c r="C51" s="513">
        <v>12</v>
      </c>
      <c r="D51" s="513">
        <v>18.399999999999999</v>
      </c>
      <c r="E51" s="513">
        <v>1</v>
      </c>
      <c r="F51" s="513">
        <v>2.1</v>
      </c>
      <c r="G51" s="276">
        <f t="shared" si="10"/>
        <v>60.8</v>
      </c>
      <c r="H51" s="277">
        <f t="shared" si="11"/>
        <v>502.4</v>
      </c>
      <c r="I51" s="278">
        <f t="shared" si="12"/>
        <v>4179.9363057324845</v>
      </c>
      <c r="J51" s="526">
        <f t="shared" si="13"/>
        <v>53.699281261268702</v>
      </c>
      <c r="K51" s="528">
        <f t="shared" si="14"/>
        <v>16.666666666666664</v>
      </c>
      <c r="L51" s="286" t="str">
        <f t="shared" si="15"/>
        <v>×</v>
      </c>
      <c r="M51" s="287" t="str">
        <f t="shared" si="16"/>
        <v>×</v>
      </c>
      <c r="N51" s="288">
        <f t="shared" si="17"/>
        <v>3.2219568756761228</v>
      </c>
      <c r="O51" s="289"/>
      <c r="P51" s="236">
        <v>0.9</v>
      </c>
      <c r="Q51" s="294">
        <f t="shared" si="18"/>
        <v>37.066527020879256</v>
      </c>
      <c r="R51" s="237"/>
      <c r="V51" s="239"/>
      <c r="W51" s="240"/>
    </row>
    <row r="52" spans="1:24">
      <c r="A52" s="523" t="s">
        <v>494</v>
      </c>
      <c r="B52" s="514">
        <v>90</v>
      </c>
      <c r="C52" s="515">
        <v>55</v>
      </c>
      <c r="D52" s="515">
        <v>25</v>
      </c>
      <c r="E52" s="515">
        <v>2.5</v>
      </c>
      <c r="F52" s="516">
        <v>1.2</v>
      </c>
      <c r="G52" s="276">
        <f t="shared" si="10"/>
        <v>160</v>
      </c>
      <c r="H52" s="277">
        <f t="shared" si="11"/>
        <v>3150</v>
      </c>
      <c r="I52" s="278">
        <f t="shared" si="12"/>
        <v>380.95238095238096</v>
      </c>
      <c r="J52" s="526">
        <f t="shared" si="13"/>
        <v>11.22837579140139</v>
      </c>
      <c r="K52" s="528">
        <f t="shared" si="14"/>
        <v>29.166666666666668</v>
      </c>
      <c r="L52" s="286" t="str">
        <f t="shared" si="15"/>
        <v>○</v>
      </c>
      <c r="M52" s="287" t="str">
        <f t="shared" si="16"/>
        <v>○</v>
      </c>
      <c r="N52" s="288">
        <f t="shared" si="17"/>
        <v>0.38497288427661908</v>
      </c>
      <c r="O52" s="289"/>
      <c r="P52" s="236">
        <v>0.9</v>
      </c>
      <c r="Q52" s="294">
        <f t="shared" si="18"/>
        <v>28.273039962148957</v>
      </c>
      <c r="R52" s="237"/>
      <c r="V52" s="239"/>
      <c r="W52" s="240"/>
    </row>
    <row r="53" spans="1:24">
      <c r="A53" s="523" t="s">
        <v>495</v>
      </c>
      <c r="B53" s="514">
        <v>80</v>
      </c>
      <c r="C53" s="515">
        <v>150</v>
      </c>
      <c r="D53" s="515">
        <v>130</v>
      </c>
      <c r="E53" s="515">
        <v>100</v>
      </c>
      <c r="F53" s="516">
        <v>30</v>
      </c>
      <c r="G53" s="276">
        <f t="shared" si="10"/>
        <v>560</v>
      </c>
      <c r="H53" s="277">
        <f t="shared" si="11"/>
        <v>95000</v>
      </c>
      <c r="I53" s="278">
        <f t="shared" si="12"/>
        <v>315.78947368421052</v>
      </c>
      <c r="J53" s="526">
        <f t="shared" si="13"/>
        <v>0.62782199344900858</v>
      </c>
      <c r="K53" s="528">
        <f t="shared" si="14"/>
        <v>0.83333333333333337</v>
      </c>
      <c r="L53" s="286" t="str">
        <f t="shared" si="15"/>
        <v>○</v>
      </c>
      <c r="M53" s="287" t="str">
        <f t="shared" si="16"/>
        <v>○</v>
      </c>
      <c r="N53" s="288">
        <f t="shared" si="17"/>
        <v>0.7533863921388102</v>
      </c>
      <c r="O53" s="289"/>
      <c r="P53" s="236">
        <v>0.9</v>
      </c>
      <c r="Q53" s="294">
        <f t="shared" si="18"/>
        <v>16.766401781572227</v>
      </c>
      <c r="R53" s="237"/>
      <c r="V53" s="239"/>
      <c r="W53" s="240"/>
    </row>
    <row r="54" spans="1:24">
      <c r="A54" s="523" t="s">
        <v>496</v>
      </c>
      <c r="B54" s="514">
        <v>80</v>
      </c>
      <c r="C54" s="515">
        <v>100</v>
      </c>
      <c r="D54" s="515">
        <v>100</v>
      </c>
      <c r="E54" s="515">
        <v>70</v>
      </c>
      <c r="F54" s="516">
        <v>20</v>
      </c>
      <c r="G54" s="276">
        <f t="shared" si="10"/>
        <v>400</v>
      </c>
      <c r="H54" s="277">
        <f>(C54*D54+D54*E54+E54*C54)*2</f>
        <v>48000</v>
      </c>
      <c r="I54" s="278">
        <f t="shared" si="12"/>
        <v>416.66666666666669</v>
      </c>
      <c r="J54" s="526">
        <f t="shared" si="13"/>
        <v>1.1583367579309345</v>
      </c>
      <c r="K54" s="528">
        <f t="shared" si="14"/>
        <v>1.25</v>
      </c>
      <c r="L54" s="286" t="str">
        <f t="shared" si="15"/>
        <v>○</v>
      </c>
      <c r="M54" s="287" t="str">
        <f t="shared" si="16"/>
        <v>○</v>
      </c>
      <c r="N54" s="288">
        <f t="shared" si="17"/>
        <v>0.92666940634474759</v>
      </c>
      <c r="O54" s="289"/>
      <c r="P54" s="236">
        <v>0.9</v>
      </c>
      <c r="Q54" s="294">
        <f t="shared" si="18"/>
        <v>17.985558336719478</v>
      </c>
      <c r="R54" s="237"/>
      <c r="V54" s="239"/>
      <c r="W54" s="240"/>
    </row>
    <row r="55" spans="1:24">
      <c r="A55" s="523"/>
      <c r="B55" s="272"/>
      <c r="C55" s="241"/>
      <c r="D55" s="241"/>
      <c r="E55" s="241"/>
      <c r="F55" s="243"/>
      <c r="G55" s="276"/>
      <c r="H55" s="277"/>
      <c r="I55" s="278"/>
      <c r="J55" s="299"/>
      <c r="K55" s="300"/>
      <c r="L55" s="286"/>
      <c r="M55" s="287"/>
      <c r="N55" s="288"/>
      <c r="O55" s="289"/>
      <c r="P55" s="244"/>
      <c r="Q55" s="294"/>
      <c r="R55" s="237"/>
      <c r="S55" s="245"/>
    </row>
    <row r="56" spans="1:24">
      <c r="A56" s="522"/>
      <c r="B56" s="246"/>
      <c r="C56" s="235"/>
      <c r="D56" s="235"/>
      <c r="E56" s="235"/>
      <c r="F56" s="247"/>
      <c r="G56" s="276"/>
      <c r="H56" s="277"/>
      <c r="I56" s="278"/>
      <c r="J56" s="299"/>
      <c r="K56" s="300"/>
      <c r="L56" s="286"/>
      <c r="M56" s="287"/>
      <c r="N56" s="288"/>
      <c r="O56" s="289"/>
      <c r="P56" s="236"/>
      <c r="Q56" s="294"/>
      <c r="R56" s="237"/>
      <c r="S56" s="245"/>
    </row>
    <row r="57" spans="1:24" ht="13.8" thickBot="1">
      <c r="A57" s="524"/>
      <c r="B57" s="249"/>
      <c r="C57" s="250"/>
      <c r="D57" s="250"/>
      <c r="E57" s="250"/>
      <c r="F57" s="251"/>
      <c r="G57" s="279"/>
      <c r="H57" s="280"/>
      <c r="I57" s="281"/>
      <c r="J57" s="301"/>
      <c r="K57" s="302"/>
      <c r="L57" s="290"/>
      <c r="M57" s="291"/>
      <c r="N57" s="292"/>
      <c r="O57" s="293"/>
      <c r="P57" s="252"/>
      <c r="Q57" s="295"/>
      <c r="R57" s="237"/>
      <c r="S57" s="245"/>
    </row>
    <row r="58" spans="1:24">
      <c r="A58" s="253"/>
      <c r="B58" s="253"/>
      <c r="C58" s="253"/>
      <c r="D58" s="253"/>
      <c r="E58" s="253"/>
      <c r="F58" s="253"/>
      <c r="G58" s="253"/>
      <c r="H58" s="254"/>
      <c r="I58" s="255"/>
      <c r="J58" s="253"/>
      <c r="K58" s="253"/>
      <c r="L58" s="253"/>
      <c r="M58" s="253"/>
      <c r="N58" s="253"/>
      <c r="O58" s="253"/>
      <c r="P58" s="253"/>
      <c r="Q58" s="253"/>
    </row>
    <row r="59" spans="1:24">
      <c r="A59" s="253"/>
      <c r="B59" s="253"/>
      <c r="C59" s="253"/>
      <c r="D59" s="253"/>
      <c r="E59" s="253"/>
      <c r="F59" s="253"/>
      <c r="G59" s="253"/>
      <c r="H59" s="256"/>
      <c r="I59" s="255"/>
      <c r="J59" s="253"/>
      <c r="K59" s="253"/>
      <c r="L59" s="253"/>
      <c r="M59" s="253"/>
      <c r="N59" s="253"/>
      <c r="O59" s="253"/>
      <c r="P59" s="253"/>
      <c r="Q59" s="253"/>
    </row>
    <row r="60" spans="1:24">
      <c r="A60" s="253"/>
      <c r="B60" s="253"/>
      <c r="C60" s="253"/>
      <c r="D60" s="253"/>
      <c r="E60" s="253"/>
      <c r="F60" s="253"/>
      <c r="G60" s="253"/>
      <c r="H60" s="253"/>
      <c r="I60" s="253"/>
      <c r="J60" s="253"/>
      <c r="K60" s="253"/>
      <c r="L60" s="253"/>
      <c r="M60" s="253"/>
      <c r="N60" s="253"/>
      <c r="O60" s="253"/>
      <c r="P60" s="253"/>
      <c r="Q60" s="253"/>
    </row>
    <row r="61" spans="1:24">
      <c r="A61" s="253"/>
      <c r="B61" s="253"/>
      <c r="C61" s="253"/>
      <c r="D61" s="253"/>
      <c r="E61" s="253"/>
      <c r="F61" s="253"/>
      <c r="G61" s="253"/>
      <c r="H61" s="253"/>
      <c r="I61" s="253"/>
      <c r="J61" s="253"/>
      <c r="K61" s="253"/>
      <c r="L61" s="253"/>
      <c r="M61" s="253"/>
      <c r="N61" s="253"/>
      <c r="O61" s="253"/>
      <c r="P61" s="253"/>
      <c r="Q61" s="253"/>
    </row>
    <row r="62" spans="1:24">
      <c r="A62" s="253"/>
      <c r="B62" s="253"/>
      <c r="C62" s="253"/>
      <c r="D62" s="253"/>
      <c r="E62" s="253"/>
      <c r="F62" s="253"/>
      <c r="G62" s="253"/>
      <c r="H62" s="253"/>
      <c r="I62" s="253"/>
      <c r="J62" s="253"/>
      <c r="K62" s="253"/>
      <c r="L62" s="253"/>
      <c r="M62" s="253"/>
      <c r="N62" s="253"/>
      <c r="O62" s="253"/>
      <c r="P62" s="253"/>
      <c r="Q62" s="253"/>
    </row>
    <row r="63" spans="1:24">
      <c r="A63" s="253"/>
      <c r="B63" s="253"/>
      <c r="C63" s="253"/>
      <c r="D63" s="253"/>
      <c r="E63" s="253"/>
      <c r="F63" s="253"/>
      <c r="G63" s="253"/>
      <c r="H63" s="253"/>
      <c r="I63" s="253"/>
      <c r="J63" s="253"/>
      <c r="K63" s="253"/>
      <c r="L63" s="253"/>
      <c r="M63" s="253"/>
      <c r="N63" s="253"/>
      <c r="O63" s="253"/>
      <c r="P63" s="253"/>
      <c r="Q63" s="253"/>
    </row>
    <row r="64" spans="1:24">
      <c r="A64" s="253"/>
      <c r="B64" s="253"/>
      <c r="C64" s="253"/>
      <c r="D64" s="253"/>
      <c r="E64" s="253"/>
      <c r="F64" s="253"/>
      <c r="G64" s="253"/>
      <c r="H64" s="253"/>
      <c r="I64" s="253"/>
      <c r="J64" s="253"/>
      <c r="K64" s="253"/>
      <c r="L64" s="253"/>
      <c r="M64" s="253"/>
      <c r="N64" s="253"/>
      <c r="O64" s="253"/>
      <c r="P64" s="253"/>
      <c r="Q64" s="253"/>
    </row>
    <row r="65" spans="1:17">
      <c r="A65" s="253"/>
      <c r="B65" s="253"/>
      <c r="C65" s="253"/>
      <c r="D65" s="253"/>
      <c r="E65" s="253"/>
      <c r="F65" s="253"/>
      <c r="G65" s="253"/>
      <c r="H65" s="253"/>
      <c r="I65" s="253"/>
      <c r="J65" s="253"/>
      <c r="K65" s="253"/>
      <c r="L65" s="253"/>
      <c r="M65" s="253"/>
      <c r="N65" s="253"/>
      <c r="O65" s="253"/>
      <c r="P65" s="253"/>
      <c r="Q65" s="253"/>
    </row>
    <row r="66" spans="1:17">
      <c r="A66" s="253"/>
      <c r="B66" s="253"/>
      <c r="C66" s="253"/>
      <c r="D66" s="253"/>
      <c r="E66" s="253"/>
      <c r="F66" s="253"/>
      <c r="G66" s="253"/>
      <c r="H66" s="253"/>
      <c r="I66" s="253"/>
      <c r="J66" s="253"/>
      <c r="K66" s="253"/>
      <c r="L66" s="253"/>
      <c r="M66" s="253"/>
      <c r="N66" s="253"/>
      <c r="O66" s="253"/>
      <c r="P66" s="253"/>
      <c r="Q66" s="253"/>
    </row>
    <row r="67" spans="1:17">
      <c r="A67" s="253"/>
      <c r="B67" s="253"/>
      <c r="C67" s="253"/>
      <c r="D67" s="253"/>
      <c r="E67" s="253"/>
      <c r="F67" s="253"/>
      <c r="G67" s="253"/>
      <c r="H67" s="253"/>
      <c r="I67" s="253"/>
      <c r="J67" s="253"/>
      <c r="K67" s="253"/>
      <c r="L67" s="253"/>
      <c r="M67" s="253"/>
      <c r="N67" s="253"/>
      <c r="O67" s="253"/>
      <c r="P67" s="253"/>
      <c r="Q67" s="253"/>
    </row>
    <row r="68" spans="1:17">
      <c r="A68" s="253"/>
      <c r="B68" s="253"/>
      <c r="C68" s="253"/>
      <c r="D68" s="253"/>
      <c r="E68" s="253"/>
      <c r="F68" s="253"/>
      <c r="G68" s="253"/>
      <c r="H68" s="253"/>
      <c r="I68" s="253"/>
      <c r="J68" s="253"/>
      <c r="K68" s="253"/>
      <c r="L68" s="253"/>
      <c r="M68" s="253"/>
      <c r="N68" s="253"/>
      <c r="O68" s="253"/>
      <c r="P68" s="253"/>
      <c r="Q68" s="253"/>
    </row>
    <row r="69" spans="1:17">
      <c r="A69" s="253"/>
      <c r="B69" s="253"/>
      <c r="C69" s="253"/>
      <c r="D69" s="253"/>
      <c r="E69" s="253"/>
      <c r="F69" s="253"/>
      <c r="G69" s="253"/>
      <c r="H69" s="253"/>
      <c r="I69" s="253"/>
      <c r="J69" s="253"/>
      <c r="K69" s="253"/>
      <c r="L69" s="253"/>
      <c r="M69" s="253"/>
      <c r="N69" s="253"/>
      <c r="O69" s="253"/>
      <c r="P69" s="253"/>
      <c r="Q69" s="253"/>
    </row>
    <row r="70" spans="1:17">
      <c r="A70" s="253"/>
      <c r="B70" s="253"/>
      <c r="C70" s="253"/>
      <c r="D70" s="253"/>
      <c r="E70" s="253"/>
      <c r="F70" s="253"/>
      <c r="G70" s="253"/>
      <c r="H70" s="253"/>
      <c r="I70" s="253"/>
      <c r="J70" s="253"/>
      <c r="K70" s="253"/>
      <c r="L70" s="253"/>
      <c r="M70" s="253"/>
      <c r="N70" s="253"/>
      <c r="O70" s="253"/>
      <c r="P70" s="253"/>
      <c r="Q70" s="253"/>
    </row>
    <row r="71" spans="1:17">
      <c r="A71" s="253"/>
      <c r="B71" s="253"/>
      <c r="C71" s="253"/>
      <c r="D71" s="253"/>
      <c r="E71" s="253"/>
      <c r="F71" s="253"/>
      <c r="G71" s="253"/>
      <c r="H71" s="253"/>
      <c r="I71" s="253"/>
      <c r="J71" s="253"/>
      <c r="K71" s="253"/>
      <c r="L71" s="253"/>
      <c r="M71" s="253"/>
      <c r="N71" s="253"/>
      <c r="O71" s="253"/>
      <c r="P71" s="253"/>
      <c r="Q71" s="253"/>
    </row>
    <row r="72" spans="1:17">
      <c r="A72" s="253"/>
      <c r="B72" s="253"/>
      <c r="C72" s="253"/>
      <c r="D72" s="253"/>
      <c r="E72" s="253"/>
      <c r="F72" s="253"/>
      <c r="G72" s="253"/>
      <c r="H72" s="253"/>
      <c r="I72" s="253"/>
      <c r="J72" s="253"/>
      <c r="K72" s="253"/>
      <c r="L72" s="253"/>
      <c r="M72" s="253"/>
      <c r="N72" s="253"/>
      <c r="O72" s="253"/>
      <c r="P72" s="253"/>
      <c r="Q72" s="253"/>
    </row>
    <row r="73" spans="1:17">
      <c r="A73" s="253"/>
      <c r="B73" s="253"/>
      <c r="C73" s="253"/>
      <c r="D73" s="253"/>
      <c r="E73" s="253"/>
      <c r="F73" s="253"/>
      <c r="G73" s="253"/>
      <c r="H73" s="253"/>
      <c r="I73" s="253"/>
      <c r="J73" s="253"/>
      <c r="K73" s="253"/>
      <c r="L73" s="253"/>
      <c r="M73" s="253"/>
      <c r="N73" s="253"/>
      <c r="O73" s="253"/>
      <c r="P73" s="253"/>
      <c r="Q73" s="253"/>
    </row>
    <row r="74" spans="1:17">
      <c r="A74" s="253"/>
      <c r="B74" s="253"/>
      <c r="C74" s="253"/>
      <c r="D74" s="253"/>
      <c r="E74" s="253"/>
      <c r="F74" s="253"/>
      <c r="G74" s="253"/>
      <c r="H74" s="253"/>
      <c r="I74" s="253"/>
      <c r="J74" s="253"/>
      <c r="K74" s="253"/>
      <c r="L74" s="253"/>
      <c r="M74" s="253"/>
      <c r="N74" s="253"/>
      <c r="O74" s="253"/>
      <c r="P74" s="253"/>
      <c r="Q74" s="253"/>
    </row>
    <row r="75" spans="1:17">
      <c r="A75" s="253"/>
      <c r="B75" s="253"/>
      <c r="C75" s="253"/>
      <c r="D75" s="253"/>
      <c r="E75" s="253"/>
      <c r="F75" s="253"/>
      <c r="G75" s="253"/>
      <c r="H75" s="253"/>
      <c r="I75" s="253"/>
      <c r="J75" s="253"/>
      <c r="K75" s="253"/>
      <c r="L75" s="253"/>
      <c r="M75" s="253"/>
      <c r="N75" s="253"/>
      <c r="O75" s="253"/>
      <c r="P75" s="253"/>
      <c r="Q75" s="253"/>
    </row>
    <row r="76" spans="1:17">
      <c r="A76" s="253"/>
      <c r="B76" s="253"/>
      <c r="C76" s="253"/>
      <c r="D76" s="253"/>
      <c r="E76" s="253"/>
      <c r="F76" s="253"/>
      <c r="G76" s="253"/>
      <c r="H76" s="253"/>
      <c r="I76" s="253"/>
      <c r="J76" s="253"/>
      <c r="K76" s="253"/>
      <c r="L76" s="253"/>
      <c r="M76" s="253"/>
      <c r="N76" s="253"/>
      <c r="O76" s="253"/>
      <c r="P76" s="253"/>
      <c r="Q76" s="253"/>
    </row>
    <row r="77" spans="1:17">
      <c r="A77" s="253"/>
      <c r="B77" s="253"/>
      <c r="C77" s="253"/>
      <c r="D77" s="253"/>
      <c r="E77" s="253"/>
      <c r="F77" s="253"/>
      <c r="G77" s="253"/>
      <c r="H77" s="253"/>
      <c r="I77" s="253"/>
      <c r="J77" s="253"/>
      <c r="K77" s="253"/>
      <c r="L77" s="253"/>
      <c r="M77" s="253"/>
      <c r="N77" s="253"/>
      <c r="O77" s="253"/>
      <c r="P77" s="253"/>
      <c r="Q77" s="253"/>
    </row>
    <row r="78" spans="1:17">
      <c r="A78" s="253"/>
      <c r="B78" s="253"/>
      <c r="C78" s="253"/>
      <c r="D78" s="253"/>
      <c r="E78" s="253"/>
      <c r="F78" s="253"/>
      <c r="G78" s="253"/>
      <c r="H78" s="253"/>
      <c r="I78" s="253"/>
      <c r="J78" s="253"/>
      <c r="K78" s="253"/>
      <c r="L78" s="253"/>
      <c r="M78" s="253"/>
      <c r="N78" s="253"/>
      <c r="O78" s="253"/>
      <c r="P78" s="253"/>
      <c r="Q78" s="253"/>
    </row>
    <row r="79" spans="1:17">
      <c r="A79" s="253"/>
      <c r="B79" s="253"/>
      <c r="C79" s="253"/>
      <c r="D79" s="253"/>
      <c r="E79" s="253"/>
      <c r="F79" s="253"/>
      <c r="G79" s="253"/>
      <c r="H79" s="253"/>
      <c r="I79" s="253"/>
      <c r="J79" s="253"/>
      <c r="K79" s="253"/>
      <c r="L79" s="253"/>
      <c r="M79" s="253"/>
      <c r="N79" s="253"/>
      <c r="O79" s="253"/>
      <c r="P79" s="253"/>
      <c r="Q79" s="253"/>
    </row>
    <row r="80" spans="1:17">
      <c r="A80" s="253"/>
      <c r="B80" s="253"/>
      <c r="C80" s="253"/>
      <c r="D80" s="253"/>
      <c r="E80" s="253"/>
      <c r="F80" s="253"/>
      <c r="G80" s="253"/>
      <c r="H80" s="253"/>
      <c r="I80" s="253"/>
      <c r="J80" s="253"/>
      <c r="K80" s="253"/>
      <c r="L80" s="253"/>
      <c r="M80" s="253"/>
      <c r="N80" s="253"/>
      <c r="O80" s="253"/>
      <c r="P80" s="253"/>
      <c r="Q80" s="253"/>
    </row>
    <row r="81" spans="1:19">
      <c r="A81" s="253"/>
      <c r="B81" s="253"/>
      <c r="C81" s="253"/>
      <c r="D81" s="253"/>
      <c r="E81" s="253"/>
      <c r="F81" s="253"/>
      <c r="G81" s="253"/>
      <c r="H81" s="253"/>
      <c r="I81" s="253"/>
      <c r="J81" s="253"/>
      <c r="K81" s="253"/>
      <c r="L81" s="253"/>
      <c r="M81" s="253"/>
      <c r="N81" s="253"/>
      <c r="O81" s="253"/>
      <c r="P81" s="253"/>
      <c r="Q81" s="253"/>
    </row>
    <row r="82" spans="1:19">
      <c r="A82" s="253"/>
      <c r="B82" s="253"/>
      <c r="C82" s="253"/>
      <c r="D82" s="253"/>
      <c r="E82" s="253"/>
      <c r="F82" s="253"/>
      <c r="G82" s="253"/>
      <c r="H82" s="253"/>
      <c r="I82" s="253"/>
      <c r="J82" s="253"/>
      <c r="K82" s="253"/>
      <c r="L82" s="253"/>
      <c r="M82" s="253"/>
      <c r="N82" s="253"/>
      <c r="O82" s="253"/>
      <c r="P82" s="253"/>
      <c r="Q82" s="253"/>
    </row>
    <row r="83" spans="1:19">
      <c r="A83" s="253"/>
      <c r="B83" s="253"/>
      <c r="C83" s="253"/>
      <c r="D83" s="253"/>
      <c r="E83" s="253"/>
      <c r="F83" s="253"/>
      <c r="G83" s="253"/>
      <c r="H83" s="253"/>
      <c r="I83" s="253"/>
      <c r="J83" s="253"/>
      <c r="K83" s="253"/>
      <c r="L83" s="253"/>
      <c r="M83" s="253"/>
      <c r="N83" s="253"/>
      <c r="O83" s="253"/>
      <c r="P83" s="253"/>
      <c r="Q83" s="253"/>
    </row>
    <row r="84" spans="1:19">
      <c r="A84" s="253"/>
      <c r="B84" s="253"/>
      <c r="C84" s="253"/>
      <c r="D84" s="253"/>
      <c r="E84" s="253"/>
      <c r="F84" s="253"/>
      <c r="G84" s="253"/>
      <c r="H84" s="253"/>
      <c r="I84" s="253"/>
      <c r="J84" s="253"/>
      <c r="K84" s="253"/>
      <c r="L84" s="253"/>
      <c r="M84" s="253"/>
      <c r="N84" s="253"/>
      <c r="O84" s="253"/>
      <c r="P84" s="253"/>
      <c r="Q84" s="253"/>
    </row>
    <row r="85" spans="1:19">
      <c r="A85" s="253"/>
      <c r="B85" s="253"/>
      <c r="C85" s="253"/>
      <c r="D85" s="253"/>
      <c r="E85" s="253"/>
      <c r="F85" s="253"/>
      <c r="G85" s="253"/>
      <c r="H85" s="253"/>
      <c r="I85" s="253"/>
      <c r="J85" s="253"/>
      <c r="K85" s="253"/>
      <c r="L85" s="253"/>
      <c r="M85" s="253"/>
      <c r="N85" s="253"/>
      <c r="O85" s="253"/>
      <c r="P85" s="253"/>
      <c r="Q85" s="253"/>
    </row>
    <row r="86" spans="1:19">
      <c r="A86" s="253"/>
      <c r="B86" s="253"/>
      <c r="C86" s="253"/>
      <c r="D86" s="253"/>
      <c r="E86" s="257"/>
      <c r="F86" s="257"/>
      <c r="G86" s="257"/>
      <c r="H86" s="257"/>
      <c r="I86" s="257"/>
      <c r="J86" s="257"/>
      <c r="K86" s="257"/>
      <c r="L86" s="257"/>
      <c r="M86" s="257"/>
      <c r="N86" s="257"/>
      <c r="O86" s="257"/>
      <c r="P86" s="257"/>
      <c r="Q86" s="257"/>
      <c r="R86" s="258"/>
      <c r="S86" s="258"/>
    </row>
    <row r="87" spans="1:19">
      <c r="A87" s="253"/>
      <c r="B87" s="253"/>
      <c r="C87" s="253"/>
      <c r="D87" s="253"/>
      <c r="E87" s="257"/>
      <c r="F87" s="257"/>
      <c r="G87" s="257"/>
      <c r="H87" s="257"/>
      <c r="I87" s="257"/>
      <c r="J87" s="257"/>
      <c r="K87" s="257"/>
      <c r="L87" s="257"/>
      <c r="M87" s="257"/>
      <c r="N87" s="257"/>
      <c r="O87" s="257"/>
      <c r="P87" s="257"/>
      <c r="Q87" s="257"/>
      <c r="R87" s="258"/>
      <c r="S87" s="258"/>
    </row>
    <row r="88" spans="1:19">
      <c r="A88" s="253"/>
      <c r="B88" s="253"/>
      <c r="C88" s="253"/>
      <c r="D88" s="253"/>
      <c r="E88" s="257"/>
      <c r="F88" s="257"/>
      <c r="G88" s="257"/>
      <c r="H88" s="257"/>
      <c r="I88" s="257"/>
      <c r="J88" s="257"/>
      <c r="K88" s="257"/>
      <c r="L88" s="257"/>
      <c r="M88" s="257"/>
      <c r="N88" s="257"/>
      <c r="O88" s="257"/>
      <c r="P88" s="257"/>
      <c r="Q88" s="257"/>
      <c r="R88" s="258"/>
      <c r="S88" s="258"/>
    </row>
    <row r="89" spans="1:19">
      <c r="A89" s="253"/>
      <c r="B89" s="253"/>
      <c r="C89" s="253"/>
      <c r="D89" s="253"/>
      <c r="E89" s="257"/>
      <c r="F89" s="257"/>
      <c r="G89" s="257"/>
      <c r="H89" s="257"/>
      <c r="I89" s="257"/>
      <c r="J89" s="257"/>
      <c r="K89" s="257"/>
      <c r="L89" s="257"/>
      <c r="M89" s="257"/>
      <c r="N89" s="257"/>
      <c r="O89" s="257"/>
      <c r="P89" s="257"/>
      <c r="Q89" s="257"/>
      <c r="R89" s="258"/>
      <c r="S89" s="258"/>
    </row>
    <row r="90" spans="1:19">
      <c r="A90" s="253"/>
      <c r="B90" s="253"/>
      <c r="C90" s="253"/>
      <c r="D90" s="253"/>
      <c r="E90" s="257"/>
      <c r="F90" s="257"/>
      <c r="G90" s="257"/>
      <c r="H90" s="257"/>
      <c r="I90" s="257"/>
      <c r="J90" s="257"/>
      <c r="K90" s="257"/>
      <c r="L90" s="257"/>
      <c r="M90" s="257"/>
      <c r="N90" s="257"/>
      <c r="O90" s="257"/>
      <c r="P90" s="257"/>
      <c r="Q90" s="257"/>
      <c r="R90" s="258"/>
      <c r="S90" s="258"/>
    </row>
    <row r="91" spans="1:19">
      <c r="A91" s="253"/>
      <c r="B91" s="253"/>
      <c r="C91" s="253"/>
      <c r="D91" s="253"/>
      <c r="E91" s="257"/>
      <c r="F91" s="257"/>
      <c r="G91" s="257"/>
      <c r="H91" s="257"/>
      <c r="I91" s="257"/>
      <c r="J91" s="257"/>
      <c r="K91" s="257"/>
      <c r="L91" s="257"/>
      <c r="M91" s="257"/>
      <c r="N91" s="257"/>
      <c r="O91" s="257"/>
      <c r="P91" s="257"/>
      <c r="Q91" s="257"/>
      <c r="R91" s="258"/>
      <c r="S91" s="258"/>
    </row>
    <row r="92" spans="1:19">
      <c r="A92" s="253"/>
      <c r="B92" s="253"/>
      <c r="C92" s="253"/>
      <c r="D92" s="253"/>
      <c r="E92" s="257"/>
      <c r="F92" s="257"/>
      <c r="G92" s="257"/>
      <c r="H92" s="257"/>
      <c r="I92" s="257"/>
      <c r="J92" s="257"/>
      <c r="K92" s="257"/>
      <c r="L92" s="257"/>
      <c r="M92" s="257"/>
      <c r="N92" s="257"/>
      <c r="O92" s="257"/>
      <c r="P92" s="257"/>
      <c r="Q92" s="257"/>
      <c r="R92" s="258"/>
      <c r="S92" s="258"/>
    </row>
    <row r="93" spans="1:19">
      <c r="A93" s="253"/>
      <c r="B93" s="253"/>
      <c r="C93" s="253"/>
      <c r="D93" s="253"/>
      <c r="E93" s="257"/>
      <c r="F93" s="257"/>
      <c r="G93" s="257"/>
      <c r="H93" s="257"/>
      <c r="I93" s="257"/>
      <c r="J93" s="257"/>
      <c r="K93" s="257"/>
      <c r="L93" s="257"/>
      <c r="M93" s="257"/>
      <c r="N93" s="257"/>
      <c r="O93" s="257"/>
      <c r="P93" s="257"/>
      <c r="Q93" s="257"/>
      <c r="R93" s="258"/>
      <c r="S93" s="258"/>
    </row>
    <row r="94" spans="1:19">
      <c r="A94" s="253"/>
      <c r="B94" s="253"/>
      <c r="C94" s="253"/>
      <c r="D94" s="253"/>
      <c r="E94" s="257"/>
      <c r="F94" s="257"/>
      <c r="G94" s="257"/>
      <c r="H94" s="257"/>
      <c r="I94" s="257"/>
      <c r="J94" s="257"/>
      <c r="K94" s="257"/>
      <c r="L94" s="257"/>
      <c r="M94" s="257"/>
      <c r="N94" s="257"/>
      <c r="O94" s="257"/>
      <c r="P94" s="257"/>
      <c r="Q94" s="257"/>
      <c r="R94" s="258"/>
      <c r="S94" s="258"/>
    </row>
    <row r="95" spans="1:19">
      <c r="A95" s="253"/>
      <c r="B95" s="253"/>
      <c r="C95" s="253"/>
      <c r="D95" s="253"/>
      <c r="E95" s="257"/>
      <c r="F95" s="257"/>
      <c r="G95" s="257"/>
      <c r="H95" s="257"/>
      <c r="I95" s="257"/>
      <c r="J95" s="257"/>
      <c r="K95" s="257"/>
      <c r="L95" s="257"/>
      <c r="M95" s="257"/>
      <c r="N95" s="257"/>
      <c r="O95" s="257"/>
      <c r="P95" s="257"/>
      <c r="Q95" s="257"/>
      <c r="R95" s="258"/>
      <c r="S95" s="258"/>
    </row>
    <row r="96" spans="1:19">
      <c r="A96" s="253"/>
      <c r="B96" s="253"/>
      <c r="C96" s="253"/>
      <c r="D96" s="253"/>
      <c r="E96" s="257"/>
      <c r="F96" s="257"/>
      <c r="G96" s="257"/>
      <c r="H96" s="237"/>
      <c r="I96" s="259"/>
      <c r="J96" s="260"/>
      <c r="K96" s="260"/>
      <c r="L96" s="260"/>
      <c r="M96" s="260"/>
      <c r="N96" s="260"/>
      <c r="O96" s="260"/>
      <c r="P96" s="260"/>
      <c r="Q96" s="260"/>
      <c r="R96" s="258"/>
      <c r="S96" s="258"/>
    </row>
    <row r="97" spans="1:19">
      <c r="A97" s="253"/>
      <c r="B97" s="253"/>
      <c r="C97" s="253"/>
      <c r="D97" s="253"/>
      <c r="E97" s="257"/>
      <c r="F97" s="257"/>
      <c r="G97" s="257"/>
      <c r="H97" s="237"/>
      <c r="I97" s="259"/>
      <c r="J97" s="260"/>
      <c r="K97" s="261"/>
      <c r="L97" s="260"/>
      <c r="M97" s="260"/>
      <c r="N97" s="260"/>
      <c r="O97" s="260"/>
      <c r="P97" s="260"/>
      <c r="Q97" s="260"/>
      <c r="R97" s="258"/>
      <c r="S97" s="258"/>
    </row>
    <row r="98" spans="1:19">
      <c r="A98" s="253"/>
      <c r="B98" s="253"/>
      <c r="C98" s="253"/>
      <c r="D98" s="253"/>
      <c r="E98" s="257"/>
      <c r="F98" s="257"/>
      <c r="G98" s="257"/>
      <c r="H98" s="237"/>
      <c r="I98" s="259"/>
      <c r="J98" s="260"/>
      <c r="K98" s="261"/>
      <c r="L98" s="260"/>
      <c r="M98" s="260"/>
      <c r="N98" s="260"/>
      <c r="O98" s="260"/>
      <c r="P98" s="260"/>
      <c r="Q98" s="260"/>
      <c r="R98" s="258"/>
      <c r="S98" s="258"/>
    </row>
    <row r="99" spans="1:19">
      <c r="A99" s="253"/>
      <c r="B99" s="253"/>
      <c r="C99" s="253"/>
      <c r="D99" s="253"/>
      <c r="E99" s="257"/>
      <c r="F99" s="257"/>
      <c r="G99" s="257"/>
      <c r="H99" s="237"/>
      <c r="I99" s="259"/>
      <c r="J99" s="260"/>
      <c r="K99" s="261"/>
      <c r="L99" s="260"/>
      <c r="M99" s="260"/>
      <c r="N99" s="260"/>
      <c r="O99" s="260"/>
      <c r="P99" s="260"/>
      <c r="Q99" s="260"/>
      <c r="R99" s="258"/>
      <c r="S99" s="258"/>
    </row>
    <row r="100" spans="1:19">
      <c r="A100" s="253"/>
      <c r="B100" s="253"/>
      <c r="C100" s="253"/>
      <c r="D100" s="253"/>
      <c r="E100" s="257"/>
      <c r="F100" s="257"/>
      <c r="G100" s="257"/>
      <c r="H100" s="237"/>
      <c r="I100" s="259"/>
      <c r="J100" s="260"/>
      <c r="K100" s="261"/>
      <c r="L100" s="260"/>
      <c r="M100" s="260"/>
      <c r="N100" s="260"/>
      <c r="O100" s="260"/>
      <c r="P100" s="260"/>
      <c r="Q100" s="260"/>
      <c r="R100" s="258"/>
      <c r="S100" s="258"/>
    </row>
    <row r="101" spans="1:19">
      <c r="A101" s="253"/>
      <c r="B101" s="253"/>
      <c r="C101" s="253"/>
      <c r="D101" s="253"/>
      <c r="E101" s="257"/>
      <c r="F101" s="257"/>
      <c r="G101" s="257"/>
      <c r="H101" s="237"/>
      <c r="I101" s="259"/>
      <c r="J101" s="260"/>
      <c r="K101" s="261"/>
      <c r="L101" s="260"/>
      <c r="M101" s="260"/>
      <c r="N101" s="260"/>
      <c r="O101" s="260"/>
      <c r="P101" s="260"/>
      <c r="Q101" s="260"/>
      <c r="R101" s="258"/>
      <c r="S101" s="258"/>
    </row>
    <row r="102" spans="1:19">
      <c r="A102" s="253"/>
      <c r="B102" s="253"/>
      <c r="C102" s="253"/>
      <c r="D102" s="253"/>
      <c r="E102" s="257"/>
      <c r="F102" s="257"/>
      <c r="G102" s="257"/>
      <c r="H102" s="237"/>
      <c r="I102" s="259"/>
      <c r="J102" s="260"/>
      <c r="K102" s="261"/>
      <c r="L102" s="260"/>
      <c r="M102" s="260"/>
      <c r="N102" s="260"/>
      <c r="O102" s="260"/>
      <c r="P102" s="260"/>
      <c r="Q102" s="260"/>
      <c r="R102" s="258"/>
      <c r="S102" s="258"/>
    </row>
    <row r="103" spans="1:19">
      <c r="A103" s="253"/>
      <c r="B103" s="253"/>
      <c r="C103" s="253"/>
      <c r="D103" s="253"/>
      <c r="E103" s="257"/>
      <c r="F103" s="257"/>
      <c r="G103" s="257"/>
      <c r="H103" s="237"/>
      <c r="I103" s="259"/>
      <c r="J103" s="260"/>
      <c r="K103" s="261"/>
      <c r="L103" s="260"/>
      <c r="M103" s="260"/>
      <c r="N103" s="260"/>
      <c r="O103" s="260"/>
      <c r="P103" s="260"/>
      <c r="Q103" s="260"/>
      <c r="R103" s="258"/>
      <c r="S103" s="258"/>
    </row>
    <row r="104" spans="1:19">
      <c r="A104" s="253"/>
      <c r="B104" s="253"/>
      <c r="C104" s="253"/>
      <c r="D104" s="253"/>
      <c r="E104" s="257"/>
      <c r="F104" s="257"/>
      <c r="G104" s="257"/>
      <c r="H104" s="237"/>
      <c r="I104" s="259"/>
      <c r="J104" s="260"/>
      <c r="K104" s="261"/>
      <c r="L104" s="260"/>
      <c r="M104" s="260"/>
      <c r="N104" s="260"/>
      <c r="O104" s="260"/>
      <c r="P104" s="260"/>
      <c r="Q104" s="260"/>
      <c r="R104" s="258"/>
      <c r="S104" s="258"/>
    </row>
    <row r="105" spans="1:19">
      <c r="A105" s="253"/>
      <c r="B105" s="253"/>
      <c r="C105" s="253"/>
      <c r="D105" s="253"/>
      <c r="E105" s="257"/>
      <c r="F105" s="257"/>
      <c r="G105" s="257"/>
      <c r="H105" s="237"/>
      <c r="I105" s="259"/>
      <c r="J105" s="260"/>
      <c r="K105" s="261"/>
      <c r="L105" s="260"/>
      <c r="M105" s="260"/>
      <c r="N105" s="260"/>
      <c r="O105" s="260"/>
      <c r="P105" s="260"/>
      <c r="Q105" s="260"/>
      <c r="R105" s="258"/>
      <c r="S105" s="258"/>
    </row>
    <row r="106" spans="1:19">
      <c r="A106" s="253"/>
      <c r="B106" s="253"/>
      <c r="C106" s="253"/>
      <c r="D106" s="253"/>
      <c r="E106" s="257"/>
      <c r="F106" s="257"/>
      <c r="G106" s="257"/>
      <c r="H106" s="237"/>
      <c r="I106" s="259"/>
      <c r="J106" s="260"/>
      <c r="K106" s="261"/>
      <c r="L106" s="260"/>
      <c r="M106" s="260"/>
      <c r="N106" s="260"/>
      <c r="O106" s="260"/>
      <c r="P106" s="260"/>
      <c r="Q106" s="260"/>
      <c r="R106" s="258"/>
      <c r="S106" s="258"/>
    </row>
    <row r="107" spans="1:19">
      <c r="A107" s="253"/>
      <c r="B107" s="253"/>
      <c r="C107" s="253"/>
      <c r="D107" s="253"/>
      <c r="E107" s="257"/>
      <c r="F107" s="257"/>
      <c r="G107" s="257"/>
      <c r="H107" s="237"/>
      <c r="I107" s="259"/>
      <c r="J107" s="260"/>
      <c r="K107" s="261"/>
      <c r="L107" s="260"/>
      <c r="M107" s="260"/>
      <c r="N107" s="260"/>
      <c r="O107" s="260"/>
      <c r="P107" s="260"/>
      <c r="Q107" s="260"/>
      <c r="R107" s="258"/>
      <c r="S107" s="258"/>
    </row>
    <row r="108" spans="1:19">
      <c r="A108" s="253"/>
      <c r="B108" s="253"/>
      <c r="C108" s="253"/>
      <c r="D108" s="253"/>
      <c r="E108" s="257"/>
      <c r="F108" s="257"/>
      <c r="G108" s="257"/>
      <c r="H108" s="237"/>
      <c r="I108" s="259"/>
      <c r="J108" s="260"/>
      <c r="K108" s="261"/>
      <c r="L108" s="260"/>
      <c r="M108" s="260"/>
      <c r="N108" s="260"/>
      <c r="O108" s="260"/>
      <c r="P108" s="260"/>
      <c r="Q108" s="260"/>
      <c r="R108" s="258"/>
      <c r="S108" s="258"/>
    </row>
    <row r="109" spans="1:19">
      <c r="A109" s="253"/>
      <c r="B109" s="253"/>
      <c r="C109" s="253"/>
      <c r="D109" s="253"/>
      <c r="E109" s="257"/>
      <c r="F109" s="257"/>
      <c r="G109" s="257"/>
      <c r="H109" s="237"/>
      <c r="I109" s="259"/>
      <c r="J109" s="260"/>
      <c r="K109" s="261"/>
      <c r="L109" s="260"/>
      <c r="M109" s="260"/>
      <c r="N109" s="260"/>
      <c r="O109" s="260"/>
      <c r="P109" s="260"/>
      <c r="Q109" s="260"/>
      <c r="R109" s="258"/>
      <c r="S109" s="258"/>
    </row>
    <row r="110" spans="1:19">
      <c r="A110" s="253"/>
      <c r="B110" s="253"/>
      <c r="C110" s="253"/>
      <c r="D110" s="253"/>
      <c r="E110" s="257"/>
      <c r="F110" s="257"/>
      <c r="G110" s="257"/>
      <c r="H110" s="257"/>
      <c r="I110" s="257"/>
      <c r="J110" s="257"/>
      <c r="K110" s="257"/>
      <c r="L110" s="257"/>
      <c r="M110" s="257"/>
      <c r="N110" s="257"/>
      <c r="O110" s="257"/>
      <c r="P110" s="257"/>
      <c r="Q110" s="257"/>
      <c r="R110" s="258"/>
      <c r="S110" s="258"/>
    </row>
    <row r="111" spans="1:19">
      <c r="A111" s="253"/>
      <c r="B111" s="253"/>
      <c r="C111" s="253"/>
      <c r="D111" s="253"/>
      <c r="E111" s="257"/>
      <c r="F111" s="257"/>
      <c r="G111" s="257"/>
      <c r="H111" s="257"/>
      <c r="I111" s="257"/>
      <c r="J111" s="257"/>
      <c r="K111" s="257"/>
      <c r="L111" s="257"/>
      <c r="M111" s="257"/>
      <c r="N111" s="257"/>
      <c r="O111" s="257"/>
      <c r="P111" s="257"/>
      <c r="Q111" s="257"/>
      <c r="R111" s="258"/>
      <c r="S111" s="258"/>
    </row>
    <row r="112" spans="1:19">
      <c r="A112" s="253"/>
      <c r="B112" s="253"/>
      <c r="C112" s="253"/>
      <c r="D112" s="253"/>
      <c r="E112" s="257"/>
      <c r="F112" s="257"/>
      <c r="G112" s="257"/>
      <c r="H112" s="257"/>
      <c r="I112" s="257"/>
      <c r="J112" s="257"/>
      <c r="K112" s="257"/>
      <c r="L112" s="257"/>
      <c r="M112" s="257"/>
      <c r="N112" s="257"/>
      <c r="O112" s="257"/>
      <c r="P112" s="257"/>
      <c r="Q112" s="257"/>
      <c r="R112" s="258"/>
      <c r="S112" s="258"/>
    </row>
    <row r="113" spans="1:19">
      <c r="A113" s="253"/>
      <c r="B113" s="253"/>
      <c r="C113" s="253"/>
      <c r="D113" s="253"/>
      <c r="E113" s="257"/>
      <c r="F113" s="257"/>
      <c r="G113" s="257"/>
      <c r="H113" s="257"/>
      <c r="I113" s="257"/>
      <c r="J113" s="257"/>
      <c r="K113" s="257"/>
      <c r="L113" s="257"/>
      <c r="M113" s="257"/>
      <c r="N113" s="257"/>
      <c r="O113" s="257"/>
      <c r="P113" s="257"/>
      <c r="Q113" s="257"/>
      <c r="R113" s="258"/>
      <c r="S113" s="258"/>
    </row>
    <row r="114" spans="1:19">
      <c r="A114" s="253"/>
      <c r="B114" s="253"/>
      <c r="C114" s="253"/>
      <c r="D114" s="253"/>
      <c r="E114" s="257"/>
      <c r="F114" s="257"/>
      <c r="G114" s="257"/>
      <c r="H114" s="257"/>
      <c r="I114" s="257"/>
      <c r="J114" s="257"/>
      <c r="K114" s="257"/>
      <c r="L114" s="257"/>
      <c r="M114" s="257"/>
      <c r="N114" s="257"/>
      <c r="O114" s="257"/>
      <c r="P114" s="257"/>
      <c r="Q114" s="257"/>
      <c r="R114" s="258"/>
      <c r="S114" s="258"/>
    </row>
    <row r="115" spans="1:19">
      <c r="A115" s="253"/>
      <c r="B115" s="253"/>
      <c r="C115" s="253"/>
      <c r="D115" s="253"/>
      <c r="E115" s="257"/>
      <c r="F115" s="257"/>
      <c r="G115" s="257"/>
      <c r="H115" s="257"/>
      <c r="I115" s="257"/>
      <c r="J115" s="257"/>
      <c r="K115" s="257"/>
      <c r="L115" s="257"/>
      <c r="M115" s="257"/>
      <c r="N115" s="257"/>
      <c r="O115" s="257"/>
      <c r="P115" s="257"/>
      <c r="Q115" s="257"/>
      <c r="R115" s="258"/>
      <c r="S115" s="258"/>
    </row>
    <row r="116" spans="1:19">
      <c r="A116" s="253"/>
      <c r="B116" s="253"/>
      <c r="C116" s="253"/>
      <c r="D116" s="253"/>
      <c r="E116" s="257"/>
      <c r="F116" s="257"/>
      <c r="G116" s="257"/>
      <c r="H116" s="257"/>
      <c r="I116" s="257"/>
      <c r="J116" s="257"/>
      <c r="K116" s="257"/>
      <c r="L116" s="257"/>
      <c r="M116" s="257"/>
      <c r="N116" s="257"/>
      <c r="O116" s="257"/>
      <c r="P116" s="257"/>
      <c r="Q116" s="257"/>
      <c r="R116" s="258"/>
      <c r="S116" s="258"/>
    </row>
    <row r="117" spans="1:19">
      <c r="A117" s="253"/>
      <c r="B117" s="253"/>
      <c r="C117" s="253"/>
      <c r="D117" s="253"/>
      <c r="E117" s="257"/>
      <c r="F117" s="257"/>
      <c r="G117" s="257"/>
      <c r="H117" s="257"/>
      <c r="I117" s="257"/>
      <c r="J117" s="257"/>
      <c r="K117" s="257"/>
      <c r="L117" s="257"/>
      <c r="M117" s="257"/>
      <c r="N117" s="257"/>
      <c r="O117" s="257"/>
      <c r="P117" s="257"/>
      <c r="Q117" s="257"/>
      <c r="R117" s="258"/>
      <c r="S117" s="258"/>
    </row>
    <row r="118" spans="1:19">
      <c r="A118" s="253"/>
      <c r="B118" s="253"/>
      <c r="C118" s="253"/>
      <c r="D118" s="253"/>
      <c r="E118" s="257"/>
      <c r="F118" s="257"/>
      <c r="G118" s="257"/>
      <c r="H118" s="257"/>
      <c r="I118" s="257"/>
      <c r="J118" s="257"/>
      <c r="K118" s="257"/>
      <c r="L118" s="257"/>
      <c r="M118" s="257"/>
      <c r="N118" s="257"/>
      <c r="O118" s="257"/>
      <c r="P118" s="257"/>
      <c r="Q118" s="257"/>
      <c r="R118" s="258"/>
      <c r="S118" s="258"/>
    </row>
    <row r="119" spans="1:19">
      <c r="A119" s="253"/>
      <c r="B119" s="253"/>
      <c r="C119" s="253"/>
      <c r="D119" s="253"/>
      <c r="E119" s="257"/>
      <c r="F119" s="257"/>
      <c r="G119" s="257"/>
      <c r="H119" s="257"/>
      <c r="I119" s="257"/>
      <c r="J119" s="257"/>
      <c r="K119" s="257"/>
      <c r="L119" s="257"/>
      <c r="M119" s="257"/>
      <c r="N119" s="257"/>
      <c r="O119" s="257"/>
      <c r="P119" s="257"/>
      <c r="Q119" s="257"/>
      <c r="R119" s="258"/>
      <c r="S119" s="258"/>
    </row>
    <row r="120" spans="1:19">
      <c r="A120" s="253"/>
      <c r="B120" s="253"/>
      <c r="C120" s="253"/>
      <c r="D120" s="253"/>
      <c r="E120" s="257"/>
      <c r="F120" s="257"/>
      <c r="G120" s="257"/>
      <c r="H120" s="257"/>
      <c r="I120" s="257"/>
      <c r="J120" s="257"/>
      <c r="K120" s="257"/>
      <c r="L120" s="257"/>
      <c r="M120" s="257"/>
      <c r="N120" s="257"/>
      <c r="O120" s="257"/>
      <c r="P120" s="257"/>
      <c r="Q120" s="257"/>
      <c r="R120" s="258"/>
      <c r="S120" s="258"/>
    </row>
    <row r="121" spans="1:19">
      <c r="A121" s="253"/>
      <c r="B121" s="253"/>
      <c r="C121" s="253"/>
      <c r="D121" s="253"/>
      <c r="E121" s="257"/>
      <c r="F121" s="257"/>
      <c r="G121" s="257"/>
      <c r="H121" s="257"/>
      <c r="I121" s="257"/>
      <c r="J121" s="257"/>
      <c r="K121" s="257"/>
      <c r="L121" s="257"/>
      <c r="M121" s="257"/>
      <c r="N121" s="257"/>
      <c r="O121" s="257"/>
      <c r="P121" s="257"/>
      <c r="Q121" s="257"/>
      <c r="R121" s="258"/>
      <c r="S121" s="258"/>
    </row>
    <row r="122" spans="1:19">
      <c r="A122" s="253"/>
      <c r="B122" s="253"/>
      <c r="C122" s="253"/>
      <c r="D122" s="253"/>
      <c r="E122" s="257"/>
      <c r="F122" s="257"/>
      <c r="G122" s="257"/>
      <c r="H122" s="257"/>
      <c r="I122" s="257"/>
      <c r="J122" s="257"/>
      <c r="K122" s="257"/>
      <c r="L122" s="257"/>
      <c r="M122" s="257"/>
      <c r="N122" s="257"/>
      <c r="O122" s="257"/>
      <c r="P122" s="257"/>
      <c r="Q122" s="257"/>
      <c r="R122" s="258"/>
      <c r="S122" s="258"/>
    </row>
    <row r="123" spans="1:19">
      <c r="A123" s="253"/>
      <c r="B123" s="253"/>
      <c r="C123" s="253"/>
      <c r="D123" s="253"/>
      <c r="E123" s="257"/>
      <c r="F123" s="257"/>
      <c r="G123" s="257"/>
      <c r="H123" s="257"/>
      <c r="I123" s="257"/>
      <c r="J123" s="257"/>
      <c r="K123" s="257"/>
      <c r="L123" s="257"/>
      <c r="M123" s="257"/>
      <c r="N123" s="257"/>
      <c r="O123" s="257"/>
      <c r="P123" s="257"/>
      <c r="Q123" s="257"/>
      <c r="R123" s="258"/>
      <c r="S123" s="258"/>
    </row>
    <row r="124" spans="1:19">
      <c r="A124" s="253"/>
      <c r="B124" s="253"/>
      <c r="C124" s="253"/>
      <c r="D124" s="253"/>
      <c r="E124" s="257"/>
      <c r="F124" s="257"/>
      <c r="G124" s="257"/>
      <c r="H124" s="257"/>
      <c r="I124" s="257"/>
      <c r="J124" s="257"/>
      <c r="K124" s="257"/>
      <c r="L124" s="257"/>
      <c r="M124" s="257"/>
      <c r="N124" s="257"/>
      <c r="O124" s="257"/>
      <c r="P124" s="257"/>
      <c r="Q124" s="257"/>
      <c r="R124" s="258"/>
      <c r="S124" s="258"/>
    </row>
    <row r="125" spans="1:19">
      <c r="A125" s="253"/>
      <c r="B125" s="253"/>
      <c r="C125" s="253"/>
      <c r="D125" s="253"/>
      <c r="E125" s="257"/>
      <c r="F125" s="257"/>
      <c r="G125" s="257"/>
      <c r="H125" s="257"/>
      <c r="I125" s="257"/>
      <c r="J125" s="257"/>
      <c r="K125" s="257"/>
      <c r="L125" s="257"/>
      <c r="M125" s="257"/>
      <c r="N125" s="257"/>
      <c r="O125" s="257"/>
      <c r="P125" s="257"/>
      <c r="Q125" s="257"/>
      <c r="R125" s="258"/>
      <c r="S125" s="258"/>
    </row>
    <row r="126" spans="1:19">
      <c r="A126" s="253"/>
      <c r="B126" s="253"/>
      <c r="C126" s="253"/>
      <c r="D126" s="253"/>
      <c r="E126" s="257"/>
      <c r="F126" s="257"/>
      <c r="G126" s="257"/>
      <c r="H126" s="257"/>
      <c r="I126" s="257"/>
      <c r="J126" s="257"/>
      <c r="K126" s="257"/>
      <c r="L126" s="257"/>
      <c r="M126" s="257"/>
      <c r="N126" s="257"/>
      <c r="O126" s="257"/>
      <c r="P126" s="257"/>
      <c r="Q126" s="257"/>
      <c r="R126" s="258"/>
      <c r="S126" s="258"/>
    </row>
    <row r="127" spans="1:19">
      <c r="A127" s="253"/>
      <c r="B127" s="253"/>
      <c r="C127" s="253"/>
      <c r="D127" s="253"/>
      <c r="E127" s="257"/>
      <c r="F127" s="257"/>
      <c r="G127" s="257"/>
      <c r="H127" s="257"/>
      <c r="I127" s="257"/>
      <c r="J127" s="257"/>
      <c r="K127" s="257"/>
      <c r="L127" s="257"/>
      <c r="M127" s="257"/>
      <c r="N127" s="257"/>
      <c r="O127" s="257"/>
      <c r="P127" s="257"/>
      <c r="Q127" s="257"/>
      <c r="R127" s="258"/>
      <c r="S127" s="258"/>
    </row>
    <row r="128" spans="1:19">
      <c r="A128" s="253"/>
      <c r="B128" s="253"/>
      <c r="C128" s="253"/>
      <c r="D128" s="253"/>
      <c r="E128" s="257"/>
      <c r="F128" s="257"/>
      <c r="G128" s="257"/>
      <c r="H128" s="257"/>
      <c r="I128" s="257"/>
      <c r="J128" s="257"/>
      <c r="K128" s="257"/>
      <c r="L128" s="257"/>
      <c r="M128" s="257"/>
      <c r="N128" s="257"/>
      <c r="O128" s="257"/>
      <c r="P128" s="257"/>
      <c r="Q128" s="257"/>
      <c r="R128" s="258"/>
      <c r="S128" s="258"/>
    </row>
    <row r="129" spans="1:19">
      <c r="A129" s="253"/>
      <c r="B129" s="253"/>
      <c r="C129" s="253"/>
      <c r="D129" s="253"/>
      <c r="E129" s="257"/>
      <c r="F129" s="257"/>
      <c r="G129" s="257"/>
      <c r="H129" s="257"/>
      <c r="I129" s="257"/>
      <c r="J129" s="257"/>
      <c r="K129" s="257"/>
      <c r="L129" s="257"/>
      <c r="M129" s="257"/>
      <c r="N129" s="257"/>
      <c r="O129" s="257"/>
      <c r="P129" s="257"/>
      <c r="Q129" s="257"/>
      <c r="R129" s="258"/>
      <c r="S129" s="258"/>
    </row>
    <row r="130" spans="1:19">
      <c r="A130" s="253"/>
      <c r="B130" s="253"/>
      <c r="C130" s="253"/>
      <c r="D130" s="253"/>
      <c r="E130" s="257"/>
      <c r="F130" s="257"/>
      <c r="G130" s="257"/>
      <c r="H130" s="257"/>
      <c r="I130" s="257"/>
      <c r="J130" s="257"/>
      <c r="K130" s="257"/>
      <c r="L130" s="257"/>
      <c r="M130" s="257"/>
      <c r="N130" s="257"/>
      <c r="O130" s="257"/>
      <c r="P130" s="257"/>
      <c r="Q130" s="257"/>
      <c r="R130" s="258"/>
      <c r="S130" s="258"/>
    </row>
    <row r="131" spans="1:19">
      <c r="A131" s="253"/>
      <c r="B131" s="253"/>
      <c r="C131" s="253"/>
      <c r="D131" s="253"/>
      <c r="E131" s="257"/>
      <c r="F131" s="257"/>
      <c r="G131" s="257"/>
      <c r="H131" s="257"/>
      <c r="I131" s="257"/>
      <c r="J131" s="257"/>
      <c r="K131" s="257"/>
      <c r="L131" s="257"/>
      <c r="M131" s="257"/>
      <c r="N131" s="257"/>
      <c r="O131" s="257"/>
      <c r="P131" s="257"/>
      <c r="Q131" s="257"/>
      <c r="R131" s="258"/>
      <c r="S131" s="258"/>
    </row>
    <row r="132" spans="1:19">
      <c r="A132" s="253"/>
      <c r="B132" s="253"/>
      <c r="C132" s="253"/>
      <c r="D132" s="253"/>
      <c r="E132" s="257"/>
      <c r="F132" s="257"/>
      <c r="G132" s="257"/>
      <c r="H132" s="257"/>
      <c r="I132" s="257"/>
      <c r="J132" s="257"/>
      <c r="K132" s="257"/>
      <c r="L132" s="257"/>
      <c r="M132" s="257"/>
      <c r="N132" s="257"/>
      <c r="O132" s="257"/>
      <c r="P132" s="257"/>
      <c r="Q132" s="257"/>
      <c r="R132" s="258"/>
      <c r="S132" s="258"/>
    </row>
    <row r="133" spans="1:19">
      <c r="A133" s="253"/>
      <c r="B133" s="253"/>
      <c r="C133" s="253"/>
      <c r="D133" s="253"/>
      <c r="E133" s="257"/>
      <c r="F133" s="257"/>
      <c r="G133" s="257"/>
      <c r="H133" s="257"/>
      <c r="I133" s="257"/>
      <c r="J133" s="257"/>
      <c r="K133" s="257"/>
      <c r="L133" s="257"/>
      <c r="M133" s="257"/>
      <c r="N133" s="257"/>
      <c r="O133" s="257"/>
      <c r="P133" s="257"/>
      <c r="Q133" s="257"/>
      <c r="R133" s="258"/>
      <c r="S133" s="258"/>
    </row>
    <row r="134" spans="1:19">
      <c r="A134" s="253"/>
      <c r="B134" s="253"/>
      <c r="C134" s="253"/>
      <c r="D134" s="253"/>
      <c r="E134" s="257"/>
      <c r="F134" s="257"/>
      <c r="G134" s="257"/>
      <c r="H134" s="257"/>
      <c r="I134" s="257"/>
      <c r="J134" s="257"/>
      <c r="K134" s="257"/>
      <c r="L134" s="257"/>
      <c r="M134" s="257"/>
      <c r="N134" s="257"/>
      <c r="O134" s="257"/>
      <c r="P134" s="257"/>
      <c r="Q134" s="257"/>
      <c r="R134" s="258"/>
      <c r="S134" s="258"/>
    </row>
    <row r="135" spans="1:19">
      <c r="A135" s="253"/>
      <c r="B135" s="253"/>
      <c r="C135" s="253"/>
      <c r="D135" s="253"/>
      <c r="E135" s="257"/>
      <c r="F135" s="257"/>
      <c r="G135" s="257"/>
      <c r="H135" s="257"/>
      <c r="I135" s="257"/>
      <c r="J135" s="257"/>
      <c r="K135" s="257"/>
      <c r="L135" s="257"/>
      <c r="M135" s="257"/>
      <c r="N135" s="257"/>
      <c r="O135" s="257"/>
      <c r="P135" s="257"/>
      <c r="Q135" s="257"/>
      <c r="R135" s="258"/>
      <c r="S135" s="258"/>
    </row>
    <row r="136" spans="1:19">
      <c r="A136" s="253"/>
      <c r="B136" s="253"/>
      <c r="C136" s="253"/>
      <c r="D136" s="253"/>
      <c r="E136" s="257"/>
      <c r="F136" s="257"/>
      <c r="G136" s="257"/>
      <c r="H136" s="257"/>
      <c r="I136" s="257"/>
      <c r="J136" s="257"/>
      <c r="K136" s="257"/>
      <c r="L136" s="257"/>
      <c r="M136" s="257"/>
      <c r="N136" s="257"/>
      <c r="O136" s="257"/>
      <c r="P136" s="257"/>
      <c r="Q136" s="257"/>
      <c r="R136" s="258"/>
      <c r="S136" s="258"/>
    </row>
    <row r="137" spans="1:19">
      <c r="A137" s="253"/>
      <c r="B137" s="253"/>
      <c r="C137" s="253"/>
      <c r="D137" s="253"/>
      <c r="E137" s="257"/>
      <c r="F137" s="257"/>
      <c r="G137" s="257"/>
      <c r="H137" s="257"/>
      <c r="I137" s="257"/>
      <c r="J137" s="257"/>
      <c r="K137" s="257"/>
      <c r="L137" s="257"/>
      <c r="M137" s="257"/>
      <c r="N137" s="257"/>
      <c r="O137" s="257"/>
      <c r="P137" s="257"/>
      <c r="Q137" s="257"/>
      <c r="R137" s="258"/>
      <c r="S137" s="258"/>
    </row>
    <row r="138" spans="1:19">
      <c r="A138" s="253"/>
      <c r="B138" s="253"/>
      <c r="C138" s="253"/>
      <c r="D138" s="253"/>
      <c r="E138" s="257"/>
      <c r="F138" s="257"/>
      <c r="G138" s="257"/>
      <c r="H138" s="257"/>
      <c r="I138" s="257"/>
      <c r="J138" s="257"/>
      <c r="K138" s="257"/>
      <c r="L138" s="257"/>
      <c r="M138" s="257"/>
      <c r="N138" s="257"/>
      <c r="O138" s="257"/>
      <c r="P138" s="257"/>
      <c r="Q138" s="257"/>
      <c r="R138" s="258"/>
      <c r="S138" s="258"/>
    </row>
    <row r="139" spans="1:19">
      <c r="A139" s="253"/>
      <c r="B139" s="253"/>
      <c r="C139" s="253"/>
      <c r="D139" s="253"/>
      <c r="E139" s="257"/>
      <c r="F139" s="257"/>
      <c r="G139" s="257"/>
      <c r="H139" s="257"/>
      <c r="I139" s="257"/>
      <c r="J139" s="257"/>
      <c r="K139" s="257"/>
      <c r="L139" s="257"/>
      <c r="M139" s="257"/>
      <c r="N139" s="257"/>
      <c r="O139" s="257"/>
      <c r="P139" s="257"/>
      <c r="Q139" s="257"/>
      <c r="R139" s="258"/>
      <c r="S139" s="258"/>
    </row>
    <row r="140" spans="1:19">
      <c r="A140" s="253"/>
      <c r="B140" s="253"/>
      <c r="C140" s="253"/>
      <c r="D140" s="253"/>
      <c r="E140" s="257"/>
      <c r="F140" s="257"/>
      <c r="G140" s="257"/>
      <c r="H140" s="257"/>
      <c r="I140" s="257"/>
      <c r="J140" s="257"/>
      <c r="K140" s="257"/>
      <c r="L140" s="257"/>
      <c r="M140" s="257"/>
      <c r="N140" s="257"/>
      <c r="O140" s="257"/>
      <c r="P140" s="257"/>
      <c r="Q140" s="257"/>
      <c r="R140" s="258"/>
      <c r="S140" s="258"/>
    </row>
    <row r="141" spans="1:19">
      <c r="A141" s="253"/>
      <c r="B141" s="253"/>
      <c r="C141" s="253"/>
      <c r="D141" s="253"/>
      <c r="E141" s="257"/>
      <c r="F141" s="257"/>
      <c r="G141" s="257"/>
      <c r="H141" s="257"/>
      <c r="I141" s="257"/>
      <c r="J141" s="257"/>
      <c r="K141" s="257"/>
      <c r="L141" s="257"/>
      <c r="M141" s="257"/>
      <c r="N141" s="257"/>
      <c r="O141" s="257"/>
      <c r="P141" s="257"/>
      <c r="Q141" s="257"/>
      <c r="R141" s="258"/>
      <c r="S141" s="258"/>
    </row>
    <row r="142" spans="1:19">
      <c r="A142" s="253"/>
      <c r="B142" s="253"/>
      <c r="C142" s="253"/>
      <c r="D142" s="253"/>
      <c r="E142" s="257"/>
      <c r="F142" s="257"/>
      <c r="G142" s="257"/>
      <c r="H142" s="257"/>
      <c r="I142" s="257"/>
      <c r="J142" s="257"/>
      <c r="K142" s="257"/>
      <c r="L142" s="257"/>
      <c r="M142" s="257"/>
      <c r="N142" s="257"/>
      <c r="O142" s="257"/>
      <c r="P142" s="257"/>
      <c r="Q142" s="257"/>
      <c r="R142" s="258"/>
      <c r="S142" s="258"/>
    </row>
    <row r="143" spans="1:19">
      <c r="A143" s="253"/>
      <c r="B143" s="253"/>
      <c r="C143" s="253"/>
      <c r="D143" s="253"/>
      <c r="E143" s="257"/>
      <c r="F143" s="257"/>
      <c r="G143" s="257"/>
      <c r="H143" s="257"/>
      <c r="I143" s="257"/>
      <c r="J143" s="257"/>
      <c r="K143" s="257"/>
      <c r="L143" s="257"/>
      <c r="M143" s="257"/>
      <c r="N143" s="257"/>
      <c r="O143" s="257"/>
      <c r="P143" s="257"/>
      <c r="Q143" s="257"/>
      <c r="R143" s="258"/>
      <c r="S143" s="258"/>
    </row>
    <row r="144" spans="1:19">
      <c r="A144" s="253"/>
      <c r="B144" s="253"/>
      <c r="C144" s="253"/>
      <c r="D144" s="253"/>
      <c r="E144" s="257"/>
      <c r="F144" s="257"/>
      <c r="G144" s="257"/>
      <c r="H144" s="257"/>
      <c r="I144" s="257"/>
      <c r="J144" s="257"/>
      <c r="K144" s="257"/>
      <c r="L144" s="257"/>
      <c r="M144" s="257"/>
      <c r="N144" s="257"/>
      <c r="O144" s="257"/>
      <c r="P144" s="257"/>
      <c r="Q144" s="257"/>
      <c r="R144" s="258"/>
      <c r="S144" s="258"/>
    </row>
    <row r="145" spans="1:19">
      <c r="A145" s="253"/>
      <c r="B145" s="253"/>
      <c r="C145" s="253"/>
      <c r="D145" s="253"/>
      <c r="E145" s="257"/>
      <c r="F145" s="257"/>
      <c r="G145" s="257"/>
      <c r="H145" s="257"/>
      <c r="I145" s="257"/>
      <c r="J145" s="257"/>
      <c r="K145" s="257"/>
      <c r="L145" s="257"/>
      <c r="M145" s="257"/>
      <c r="N145" s="257"/>
      <c r="O145" s="257"/>
      <c r="P145" s="257"/>
      <c r="Q145" s="257"/>
      <c r="R145" s="258"/>
      <c r="S145" s="258"/>
    </row>
    <row r="146" spans="1:19">
      <c r="A146" s="253"/>
      <c r="B146" s="253"/>
      <c r="C146" s="253"/>
      <c r="D146" s="253"/>
      <c r="E146" s="257"/>
      <c r="F146" s="257"/>
      <c r="G146" s="257"/>
      <c r="H146" s="257"/>
      <c r="I146" s="257"/>
      <c r="J146" s="257"/>
      <c r="K146" s="257"/>
      <c r="L146" s="257"/>
      <c r="M146" s="257"/>
      <c r="N146" s="257"/>
      <c r="O146" s="257"/>
      <c r="P146" s="257"/>
      <c r="Q146" s="257"/>
      <c r="R146" s="258"/>
      <c r="S146" s="258"/>
    </row>
    <row r="147" spans="1:19">
      <c r="A147" s="253"/>
      <c r="B147" s="253"/>
      <c r="C147" s="253"/>
      <c r="D147" s="253"/>
      <c r="E147" s="257"/>
      <c r="F147" s="257"/>
      <c r="G147" s="257"/>
      <c r="H147" s="257"/>
      <c r="I147" s="257"/>
      <c r="J147" s="257"/>
      <c r="K147" s="257"/>
      <c r="L147" s="257"/>
      <c r="M147" s="257"/>
      <c r="N147" s="257"/>
      <c r="O147" s="257"/>
      <c r="P147" s="257"/>
      <c r="Q147" s="257"/>
      <c r="R147" s="258"/>
      <c r="S147" s="258"/>
    </row>
    <row r="148" spans="1:19">
      <c r="A148" s="253"/>
      <c r="B148" s="253"/>
      <c r="C148" s="253"/>
      <c r="D148" s="253"/>
      <c r="E148" s="257"/>
      <c r="F148" s="257"/>
      <c r="G148" s="257"/>
      <c r="H148" s="257"/>
      <c r="I148" s="257"/>
      <c r="J148" s="257"/>
      <c r="K148" s="257"/>
      <c r="L148" s="257"/>
      <c r="M148" s="257"/>
      <c r="N148" s="257"/>
      <c r="O148" s="257"/>
      <c r="P148" s="257"/>
      <c r="Q148" s="257"/>
      <c r="R148" s="258"/>
      <c r="S148" s="258"/>
    </row>
    <row r="149" spans="1:19">
      <c r="A149" s="253"/>
      <c r="B149" s="253"/>
      <c r="C149" s="253"/>
      <c r="D149" s="253"/>
      <c r="E149" s="257"/>
      <c r="F149" s="257"/>
      <c r="G149" s="257"/>
      <c r="H149" s="257"/>
      <c r="I149" s="257"/>
      <c r="J149" s="257"/>
      <c r="K149" s="257"/>
      <c r="L149" s="257"/>
      <c r="M149" s="257"/>
      <c r="N149" s="257"/>
      <c r="O149" s="257"/>
      <c r="P149" s="257"/>
      <c r="Q149" s="257"/>
      <c r="R149" s="258"/>
      <c r="S149" s="258"/>
    </row>
    <row r="150" spans="1:19">
      <c r="A150" s="253"/>
      <c r="B150" s="253"/>
      <c r="C150" s="253"/>
      <c r="D150" s="253"/>
      <c r="E150" s="257"/>
      <c r="F150" s="257"/>
      <c r="G150" s="257"/>
      <c r="H150" s="257"/>
      <c r="I150" s="257"/>
      <c r="J150" s="257"/>
      <c r="K150" s="257"/>
      <c r="L150" s="257"/>
      <c r="M150" s="257"/>
      <c r="N150" s="257"/>
      <c r="O150" s="257"/>
      <c r="P150" s="257"/>
      <c r="Q150" s="257"/>
      <c r="R150" s="258"/>
      <c r="S150" s="258"/>
    </row>
    <row r="151" spans="1:19">
      <c r="A151" s="253"/>
      <c r="B151" s="253"/>
      <c r="C151" s="253"/>
      <c r="D151" s="253"/>
      <c r="E151" s="257"/>
      <c r="F151" s="257"/>
      <c r="G151" s="257"/>
      <c r="H151" s="257"/>
      <c r="I151" s="257"/>
      <c r="J151" s="257"/>
      <c r="K151" s="257"/>
      <c r="L151" s="257"/>
      <c r="M151" s="257"/>
      <c r="N151" s="257"/>
      <c r="O151" s="257"/>
      <c r="P151" s="257"/>
      <c r="Q151" s="257"/>
      <c r="R151" s="258"/>
      <c r="S151" s="258"/>
    </row>
    <row r="152" spans="1:19">
      <c r="A152" s="253"/>
      <c r="B152" s="253"/>
      <c r="C152" s="253"/>
      <c r="D152" s="253"/>
      <c r="E152" s="257"/>
      <c r="F152" s="257"/>
      <c r="G152" s="257"/>
      <c r="H152" s="257"/>
      <c r="I152" s="257"/>
      <c r="J152" s="257"/>
      <c r="K152" s="257"/>
      <c r="L152" s="257"/>
      <c r="M152" s="257"/>
      <c r="N152" s="257"/>
      <c r="O152" s="257"/>
      <c r="P152" s="257"/>
      <c r="Q152" s="257"/>
      <c r="R152" s="258"/>
      <c r="S152" s="258"/>
    </row>
    <row r="153" spans="1:19">
      <c r="A153" s="253"/>
      <c r="B153" s="253"/>
      <c r="C153" s="253"/>
      <c r="D153" s="253"/>
      <c r="E153" s="253"/>
      <c r="F153" s="253"/>
      <c r="G153" s="253"/>
      <c r="H153" s="253"/>
      <c r="I153" s="253"/>
      <c r="J153" s="253"/>
      <c r="K153" s="253"/>
      <c r="L153" s="253"/>
      <c r="M153" s="253"/>
      <c r="N153" s="253"/>
      <c r="O153" s="253"/>
      <c r="P153" s="253"/>
      <c r="Q153" s="253"/>
    </row>
    <row r="154" spans="1:19">
      <c r="A154" s="253"/>
      <c r="B154" s="253"/>
      <c r="C154" s="253"/>
      <c r="D154" s="253"/>
      <c r="E154" s="253"/>
      <c r="F154" s="253"/>
      <c r="G154" s="253"/>
      <c r="H154" s="253"/>
      <c r="I154" s="253"/>
      <c r="J154" s="253"/>
      <c r="K154" s="253"/>
      <c r="L154" s="253"/>
      <c r="M154" s="253"/>
      <c r="N154" s="253"/>
      <c r="O154" s="253"/>
      <c r="P154" s="253"/>
      <c r="Q154" s="253"/>
    </row>
    <row r="155" spans="1:19">
      <c r="A155" s="253"/>
      <c r="B155" s="253"/>
      <c r="C155" s="253"/>
      <c r="D155" s="253"/>
      <c r="E155" s="253"/>
      <c r="F155" s="253"/>
      <c r="G155" s="253"/>
      <c r="H155" s="253"/>
      <c r="I155" s="253"/>
      <c r="J155" s="253"/>
      <c r="K155" s="253"/>
      <c r="L155" s="253"/>
      <c r="M155" s="253"/>
      <c r="N155" s="253"/>
      <c r="O155" s="253"/>
      <c r="P155" s="253"/>
      <c r="Q155" s="253"/>
    </row>
    <row r="156" spans="1:19">
      <c r="A156" s="253"/>
      <c r="B156" s="253"/>
      <c r="C156" s="253"/>
      <c r="D156" s="253"/>
      <c r="E156" s="253"/>
      <c r="F156" s="253"/>
      <c r="G156" s="253"/>
      <c r="H156" s="253"/>
      <c r="I156" s="253"/>
      <c r="J156" s="253"/>
      <c r="K156" s="253"/>
      <c r="L156" s="253"/>
      <c r="M156" s="253"/>
      <c r="N156" s="253"/>
      <c r="O156" s="253"/>
      <c r="P156" s="253"/>
      <c r="Q156" s="253"/>
    </row>
    <row r="157" spans="1:19">
      <c r="A157" s="253"/>
      <c r="B157" s="253"/>
      <c r="C157" s="253"/>
      <c r="D157" s="253"/>
      <c r="E157" s="253"/>
      <c r="F157" s="253"/>
      <c r="G157" s="253"/>
      <c r="H157" s="253"/>
      <c r="I157" s="253"/>
      <c r="J157" s="253"/>
      <c r="K157" s="253"/>
      <c r="L157" s="253"/>
      <c r="M157" s="253"/>
      <c r="N157" s="253"/>
      <c r="O157" s="253"/>
      <c r="P157" s="253"/>
      <c r="Q157" s="253"/>
    </row>
    <row r="158" spans="1:19">
      <c r="A158" s="253"/>
      <c r="B158" s="253"/>
      <c r="C158" s="253"/>
      <c r="D158" s="253"/>
      <c r="E158" s="253"/>
      <c r="F158" s="253"/>
      <c r="G158" s="253"/>
      <c r="H158" s="253"/>
      <c r="I158" s="253"/>
      <c r="J158" s="253"/>
      <c r="K158" s="253"/>
      <c r="L158" s="253"/>
      <c r="M158" s="253"/>
      <c r="N158" s="253"/>
      <c r="O158" s="253"/>
      <c r="P158" s="253"/>
      <c r="Q158" s="253"/>
    </row>
    <row r="159" spans="1:19">
      <c r="A159" s="253"/>
      <c r="B159" s="253"/>
      <c r="C159" s="253"/>
      <c r="D159" s="253"/>
      <c r="E159" s="253"/>
      <c r="F159" s="253"/>
      <c r="G159" s="253"/>
      <c r="H159" s="253"/>
      <c r="I159" s="253"/>
      <c r="J159" s="253"/>
      <c r="K159" s="253"/>
      <c r="L159" s="253"/>
      <c r="M159" s="253"/>
      <c r="N159" s="253"/>
      <c r="O159" s="253"/>
      <c r="P159" s="253"/>
      <c r="Q159" s="253"/>
    </row>
    <row r="160" spans="1:19">
      <c r="A160" s="253"/>
      <c r="B160" s="253"/>
      <c r="C160" s="253"/>
      <c r="D160" s="253"/>
      <c r="E160" s="253"/>
      <c r="F160" s="253"/>
      <c r="G160" s="253"/>
      <c r="H160" s="253"/>
      <c r="I160" s="253"/>
      <c r="J160" s="253"/>
      <c r="K160" s="253"/>
      <c r="L160" s="253"/>
      <c r="M160" s="253"/>
      <c r="N160" s="253"/>
      <c r="O160" s="253"/>
      <c r="P160" s="253"/>
      <c r="Q160" s="253"/>
    </row>
    <row r="161" spans="1:17">
      <c r="A161" s="253"/>
      <c r="B161" s="253"/>
      <c r="C161" s="253"/>
      <c r="D161" s="253"/>
      <c r="E161" s="253"/>
      <c r="F161" s="253"/>
      <c r="G161" s="253"/>
      <c r="H161" s="253"/>
      <c r="I161" s="253"/>
      <c r="J161" s="253"/>
      <c r="K161" s="253"/>
      <c r="L161" s="253"/>
      <c r="M161" s="253"/>
      <c r="N161" s="253"/>
      <c r="O161" s="253"/>
      <c r="P161" s="253"/>
      <c r="Q161" s="253"/>
    </row>
    <row r="162" spans="1:17">
      <c r="A162" s="253"/>
      <c r="B162" s="253"/>
      <c r="C162" s="253"/>
      <c r="D162" s="253"/>
      <c r="E162" s="253"/>
      <c r="F162" s="253"/>
      <c r="G162" s="253"/>
      <c r="H162" s="253"/>
      <c r="I162" s="253"/>
      <c r="J162" s="253"/>
      <c r="K162" s="253"/>
      <c r="L162" s="253"/>
      <c r="M162" s="253"/>
      <c r="N162" s="253"/>
      <c r="O162" s="253"/>
      <c r="P162" s="253"/>
      <c r="Q162" s="253"/>
    </row>
    <row r="163" spans="1:17">
      <c r="A163" s="253"/>
      <c r="B163" s="253"/>
      <c r="C163" s="253"/>
      <c r="D163" s="253"/>
      <c r="E163" s="253"/>
      <c r="F163" s="253"/>
      <c r="G163" s="253"/>
      <c r="H163" s="253"/>
      <c r="I163" s="253"/>
      <c r="J163" s="253"/>
      <c r="K163" s="253"/>
      <c r="L163" s="253"/>
      <c r="M163" s="253"/>
      <c r="N163" s="253"/>
      <c r="O163" s="253"/>
      <c r="P163" s="253"/>
      <c r="Q163" s="253"/>
    </row>
    <row r="164" spans="1:17">
      <c r="A164" s="253"/>
      <c r="B164" s="253"/>
      <c r="C164" s="253"/>
      <c r="D164" s="253"/>
      <c r="E164" s="253"/>
      <c r="F164" s="253"/>
      <c r="G164" s="253"/>
      <c r="H164" s="253"/>
      <c r="I164" s="253"/>
      <c r="J164" s="253"/>
      <c r="K164" s="253"/>
      <c r="L164" s="253"/>
      <c r="M164" s="253"/>
      <c r="N164" s="253"/>
      <c r="O164" s="253"/>
      <c r="P164" s="253"/>
      <c r="Q164" s="253"/>
    </row>
    <row r="165" spans="1:17">
      <c r="A165" s="253"/>
      <c r="B165" s="253"/>
      <c r="C165" s="253"/>
      <c r="D165" s="253"/>
      <c r="E165" s="253"/>
      <c r="F165" s="253"/>
      <c r="G165" s="253"/>
      <c r="H165" s="253"/>
      <c r="I165" s="253"/>
      <c r="J165" s="253"/>
      <c r="K165" s="253"/>
      <c r="L165" s="253"/>
      <c r="M165" s="253"/>
      <c r="N165" s="253"/>
      <c r="O165" s="253"/>
      <c r="P165" s="253"/>
      <c r="Q165" s="253"/>
    </row>
    <row r="166" spans="1:17">
      <c r="A166" s="253"/>
      <c r="B166" s="253"/>
      <c r="C166" s="253"/>
      <c r="D166" s="253"/>
      <c r="E166" s="253"/>
      <c r="F166" s="253"/>
      <c r="G166" s="253"/>
      <c r="H166" s="253"/>
      <c r="I166" s="253"/>
      <c r="J166" s="253"/>
      <c r="K166" s="253"/>
      <c r="L166" s="253"/>
      <c r="M166" s="253"/>
      <c r="N166" s="253"/>
      <c r="O166" s="253"/>
      <c r="P166" s="253"/>
      <c r="Q166" s="253"/>
    </row>
    <row r="167" spans="1:17">
      <c r="A167" s="253"/>
      <c r="B167" s="253"/>
      <c r="C167" s="253"/>
      <c r="D167" s="253"/>
      <c r="E167" s="253"/>
      <c r="F167" s="253"/>
      <c r="G167" s="253"/>
      <c r="H167" s="253"/>
      <c r="I167" s="253"/>
      <c r="J167" s="253"/>
      <c r="K167" s="253"/>
      <c r="L167" s="253"/>
      <c r="M167" s="253"/>
      <c r="N167" s="253"/>
      <c r="O167" s="253"/>
      <c r="P167" s="253"/>
      <c r="Q167" s="253"/>
    </row>
    <row r="168" spans="1:17">
      <c r="A168" s="253"/>
      <c r="B168" s="253"/>
      <c r="C168" s="253"/>
      <c r="D168" s="253"/>
      <c r="E168" s="253"/>
      <c r="F168" s="253"/>
      <c r="G168" s="253"/>
      <c r="H168" s="253"/>
      <c r="I168" s="253"/>
      <c r="J168" s="253"/>
      <c r="K168" s="253"/>
      <c r="L168" s="253"/>
      <c r="M168" s="253"/>
      <c r="N168" s="253"/>
      <c r="O168" s="253"/>
      <c r="P168" s="253"/>
      <c r="Q168" s="253"/>
    </row>
    <row r="169" spans="1:17">
      <c r="A169" s="253"/>
      <c r="B169" s="253"/>
      <c r="C169" s="253"/>
      <c r="D169" s="253"/>
      <c r="E169" s="253"/>
      <c r="F169" s="253"/>
      <c r="G169" s="253"/>
      <c r="H169" s="253"/>
      <c r="I169" s="253"/>
      <c r="J169" s="253"/>
      <c r="K169" s="253"/>
      <c r="L169" s="253"/>
      <c r="M169" s="253"/>
      <c r="N169" s="253"/>
      <c r="O169" s="253"/>
      <c r="P169" s="253"/>
      <c r="Q169" s="253"/>
    </row>
    <row r="170" spans="1:17">
      <c r="A170" s="253"/>
      <c r="B170" s="253"/>
      <c r="C170" s="253"/>
      <c r="D170" s="253"/>
      <c r="E170" s="253"/>
      <c r="F170" s="253"/>
      <c r="G170" s="253"/>
      <c r="H170" s="253"/>
      <c r="I170" s="253"/>
      <c r="J170" s="253"/>
      <c r="K170" s="253"/>
      <c r="L170" s="253"/>
      <c r="M170" s="253"/>
      <c r="N170" s="253"/>
      <c r="O170" s="253"/>
      <c r="P170" s="253"/>
      <c r="Q170" s="253"/>
    </row>
    <row r="171" spans="1:17">
      <c r="A171" s="253"/>
      <c r="B171" s="253"/>
      <c r="C171" s="253"/>
      <c r="D171" s="253"/>
      <c r="E171" s="253"/>
      <c r="F171" s="253"/>
      <c r="G171" s="253"/>
      <c r="H171" s="253"/>
      <c r="I171" s="253"/>
      <c r="J171" s="253"/>
      <c r="K171" s="253"/>
      <c r="L171" s="253"/>
      <c r="M171" s="253"/>
      <c r="N171" s="253"/>
      <c r="O171" s="253"/>
      <c r="P171" s="253"/>
      <c r="Q171" s="253"/>
    </row>
    <row r="172" spans="1:17">
      <c r="A172" s="253"/>
      <c r="B172" s="253"/>
      <c r="C172" s="253"/>
      <c r="D172" s="253"/>
      <c r="E172" s="253"/>
      <c r="F172" s="253"/>
      <c r="G172" s="253"/>
      <c r="H172" s="253"/>
      <c r="I172" s="253"/>
      <c r="J172" s="253"/>
      <c r="K172" s="253"/>
      <c r="L172" s="253"/>
      <c r="M172" s="253"/>
      <c r="N172" s="253"/>
      <c r="O172" s="253"/>
      <c r="P172" s="253"/>
      <c r="Q172" s="253"/>
    </row>
    <row r="173" spans="1:17">
      <c r="A173" s="253"/>
      <c r="B173" s="253"/>
      <c r="C173" s="253"/>
      <c r="D173" s="253"/>
      <c r="E173" s="253"/>
      <c r="F173" s="253"/>
      <c r="G173" s="253"/>
      <c r="H173" s="253"/>
      <c r="I173" s="253"/>
      <c r="J173" s="253"/>
      <c r="K173" s="253"/>
      <c r="L173" s="253"/>
      <c r="M173" s="253"/>
      <c r="N173" s="253"/>
      <c r="O173" s="253"/>
      <c r="P173" s="253"/>
      <c r="Q173" s="253"/>
    </row>
    <row r="174" spans="1:17">
      <c r="A174" s="253"/>
      <c r="B174" s="253"/>
      <c r="C174" s="253"/>
      <c r="D174" s="253"/>
      <c r="E174" s="253"/>
      <c r="F174" s="253"/>
      <c r="G174" s="253"/>
      <c r="H174" s="253"/>
      <c r="I174" s="253"/>
      <c r="J174" s="253"/>
      <c r="K174" s="253"/>
      <c r="L174" s="253"/>
      <c r="M174" s="253"/>
      <c r="N174" s="253"/>
      <c r="O174" s="253"/>
      <c r="P174" s="253"/>
      <c r="Q174" s="253"/>
    </row>
    <row r="175" spans="1:17">
      <c r="A175" s="253"/>
      <c r="B175" s="253"/>
      <c r="C175" s="253"/>
      <c r="D175" s="253"/>
      <c r="E175" s="253"/>
      <c r="F175" s="253"/>
      <c r="G175" s="253"/>
      <c r="H175" s="253"/>
      <c r="I175" s="253"/>
      <c r="J175" s="253"/>
      <c r="K175" s="253"/>
      <c r="L175" s="253"/>
      <c r="M175" s="253"/>
      <c r="N175" s="253"/>
      <c r="O175" s="253"/>
      <c r="P175" s="253"/>
      <c r="Q175" s="253"/>
    </row>
    <row r="176" spans="1:17">
      <c r="A176" s="253"/>
      <c r="B176" s="253"/>
      <c r="C176" s="253"/>
      <c r="D176" s="253"/>
      <c r="E176" s="253"/>
      <c r="F176" s="253"/>
      <c r="G176" s="253"/>
      <c r="H176" s="253"/>
      <c r="I176" s="253"/>
      <c r="J176" s="253"/>
      <c r="K176" s="253"/>
      <c r="L176" s="253"/>
      <c r="M176" s="253"/>
      <c r="N176" s="253"/>
      <c r="O176" s="253"/>
      <c r="P176" s="253"/>
      <c r="Q176" s="253"/>
    </row>
    <row r="177" spans="1:17">
      <c r="A177" s="253"/>
      <c r="B177" s="253"/>
      <c r="C177" s="253"/>
      <c r="D177" s="253"/>
      <c r="E177" s="253"/>
      <c r="F177" s="253"/>
      <c r="G177" s="253"/>
      <c r="H177" s="253"/>
      <c r="I177" s="253"/>
      <c r="J177" s="253"/>
      <c r="K177" s="253"/>
      <c r="L177" s="253"/>
      <c r="M177" s="253"/>
      <c r="N177" s="253"/>
      <c r="O177" s="253"/>
      <c r="P177" s="253"/>
      <c r="Q177" s="253"/>
    </row>
    <row r="178" spans="1:17">
      <c r="A178" s="253"/>
      <c r="B178" s="253"/>
      <c r="C178" s="253"/>
      <c r="D178" s="253"/>
      <c r="E178" s="253"/>
      <c r="F178" s="253"/>
      <c r="G178" s="253"/>
      <c r="H178" s="253"/>
      <c r="I178" s="253"/>
      <c r="J178" s="253"/>
      <c r="K178" s="253"/>
      <c r="L178" s="253"/>
      <c r="M178" s="253"/>
      <c r="N178" s="253"/>
      <c r="O178" s="253"/>
      <c r="P178" s="253"/>
      <c r="Q178" s="253"/>
    </row>
    <row r="179" spans="1:17">
      <c r="A179" s="253"/>
      <c r="B179" s="253"/>
      <c r="C179" s="253"/>
      <c r="D179" s="253"/>
      <c r="E179" s="253"/>
      <c r="F179" s="253"/>
      <c r="G179" s="253"/>
      <c r="H179" s="253"/>
      <c r="I179" s="253"/>
      <c r="J179" s="253"/>
      <c r="K179" s="253"/>
      <c r="L179" s="253"/>
      <c r="M179" s="253"/>
      <c r="N179" s="253"/>
      <c r="O179" s="253"/>
      <c r="P179" s="253"/>
      <c r="Q179" s="253"/>
    </row>
    <row r="180" spans="1:17">
      <c r="A180" s="253"/>
      <c r="B180" s="253"/>
      <c r="C180" s="253"/>
      <c r="D180" s="253"/>
      <c r="E180" s="253"/>
      <c r="F180" s="253"/>
      <c r="G180" s="253"/>
      <c r="H180" s="253"/>
      <c r="I180" s="253"/>
      <c r="J180" s="253"/>
      <c r="K180" s="253"/>
      <c r="L180" s="253"/>
      <c r="M180" s="253"/>
      <c r="N180" s="253"/>
      <c r="O180" s="253"/>
      <c r="P180" s="253"/>
      <c r="Q180" s="253"/>
    </row>
    <row r="181" spans="1:17">
      <c r="A181" s="253"/>
      <c r="B181" s="253"/>
      <c r="C181" s="253"/>
      <c r="D181" s="253"/>
      <c r="E181" s="253"/>
      <c r="F181" s="253"/>
      <c r="G181" s="253"/>
      <c r="H181" s="253"/>
      <c r="I181" s="253"/>
      <c r="J181" s="253"/>
      <c r="K181" s="253"/>
      <c r="L181" s="253"/>
      <c r="M181" s="253"/>
      <c r="N181" s="253"/>
      <c r="O181" s="253"/>
      <c r="P181" s="253"/>
      <c r="Q181" s="253"/>
    </row>
    <row r="182" spans="1:17">
      <c r="A182" s="253"/>
      <c r="B182" s="253"/>
      <c r="C182" s="253"/>
      <c r="D182" s="253"/>
      <c r="E182" s="253"/>
      <c r="F182" s="253"/>
      <c r="G182" s="253"/>
      <c r="H182" s="253"/>
      <c r="I182" s="253"/>
      <c r="J182" s="253"/>
      <c r="K182" s="253"/>
      <c r="L182" s="253"/>
      <c r="M182" s="253"/>
      <c r="N182" s="253"/>
      <c r="O182" s="253"/>
      <c r="P182" s="253"/>
      <c r="Q182" s="253"/>
    </row>
    <row r="183" spans="1:17">
      <c r="A183" s="253"/>
      <c r="B183" s="253"/>
      <c r="C183" s="253"/>
      <c r="D183" s="253"/>
      <c r="E183" s="253"/>
      <c r="F183" s="253"/>
      <c r="G183" s="253"/>
      <c r="H183" s="253"/>
      <c r="I183" s="253"/>
      <c r="J183" s="253"/>
      <c r="K183" s="253"/>
      <c r="L183" s="253"/>
      <c r="M183" s="253"/>
      <c r="N183" s="253"/>
      <c r="O183" s="253"/>
      <c r="P183" s="253"/>
      <c r="Q183" s="253"/>
    </row>
    <row r="184" spans="1:17">
      <c r="A184" s="253"/>
      <c r="B184" s="253"/>
      <c r="C184" s="253"/>
      <c r="D184" s="253"/>
      <c r="E184" s="253"/>
      <c r="F184" s="253"/>
      <c r="G184" s="253"/>
      <c r="H184" s="253"/>
      <c r="I184" s="253"/>
      <c r="J184" s="253"/>
      <c r="K184" s="253"/>
      <c r="L184" s="253"/>
      <c r="M184" s="253"/>
      <c r="N184" s="253"/>
      <c r="O184" s="253"/>
      <c r="P184" s="253"/>
      <c r="Q184" s="253"/>
    </row>
    <row r="185" spans="1:17">
      <c r="A185" s="253"/>
      <c r="B185" s="253"/>
      <c r="C185" s="253"/>
      <c r="D185" s="253"/>
      <c r="E185" s="253"/>
      <c r="F185" s="253"/>
      <c r="G185" s="253"/>
      <c r="H185" s="253"/>
      <c r="I185" s="253"/>
      <c r="J185" s="253"/>
      <c r="K185" s="253"/>
      <c r="L185" s="253"/>
      <c r="M185" s="253"/>
      <c r="N185" s="253"/>
      <c r="O185" s="253"/>
      <c r="P185" s="253"/>
      <c r="Q185" s="253"/>
    </row>
    <row r="186" spans="1:17">
      <c r="A186" s="253"/>
      <c r="B186" s="253"/>
      <c r="C186" s="253"/>
      <c r="D186" s="253"/>
      <c r="E186" s="253"/>
      <c r="F186" s="253"/>
      <c r="G186" s="253"/>
      <c r="H186" s="253"/>
      <c r="I186" s="253"/>
      <c r="J186" s="253"/>
      <c r="K186" s="253"/>
      <c r="L186" s="253"/>
      <c r="M186" s="253"/>
      <c r="N186" s="253"/>
      <c r="O186" s="253"/>
      <c r="P186" s="253"/>
      <c r="Q186" s="253"/>
    </row>
    <row r="187" spans="1:17">
      <c r="A187" s="253"/>
      <c r="B187" s="253"/>
      <c r="C187" s="253"/>
      <c r="D187" s="253"/>
      <c r="E187" s="253"/>
      <c r="F187" s="253"/>
      <c r="G187" s="253"/>
      <c r="H187" s="253"/>
      <c r="I187" s="253"/>
      <c r="J187" s="253"/>
      <c r="K187" s="253"/>
      <c r="L187" s="253"/>
      <c r="M187" s="253"/>
      <c r="N187" s="253"/>
      <c r="O187" s="253"/>
      <c r="P187" s="253"/>
      <c r="Q187" s="253"/>
    </row>
    <row r="188" spans="1:17">
      <c r="A188" s="253"/>
      <c r="B188" s="253"/>
      <c r="C188" s="253"/>
      <c r="D188" s="253"/>
      <c r="E188" s="253"/>
      <c r="F188" s="253"/>
      <c r="G188" s="253"/>
      <c r="H188" s="253"/>
      <c r="I188" s="253"/>
      <c r="J188" s="253"/>
      <c r="K188" s="253"/>
      <c r="L188" s="253"/>
      <c r="M188" s="253"/>
      <c r="N188" s="253"/>
      <c r="O188" s="253"/>
      <c r="P188" s="253"/>
      <c r="Q188" s="253"/>
    </row>
    <row r="189" spans="1:17">
      <c r="A189" s="253"/>
      <c r="B189" s="253"/>
      <c r="C189" s="253"/>
      <c r="D189" s="253"/>
      <c r="E189" s="253"/>
      <c r="F189" s="253"/>
      <c r="G189" s="253"/>
      <c r="H189" s="253"/>
      <c r="I189" s="253"/>
      <c r="J189" s="253"/>
      <c r="K189" s="253"/>
      <c r="L189" s="253"/>
      <c r="M189" s="253"/>
      <c r="N189" s="253"/>
      <c r="O189" s="253"/>
      <c r="P189" s="253"/>
      <c r="Q189" s="253"/>
    </row>
    <row r="190" spans="1:17">
      <c r="A190" s="253"/>
      <c r="B190" s="253"/>
      <c r="C190" s="253"/>
      <c r="D190" s="253"/>
      <c r="E190" s="253"/>
      <c r="F190" s="253"/>
      <c r="G190" s="253"/>
      <c r="H190" s="253"/>
      <c r="I190" s="253"/>
      <c r="J190" s="253"/>
      <c r="K190" s="253"/>
      <c r="L190" s="253"/>
      <c r="M190" s="253"/>
      <c r="N190" s="253"/>
      <c r="O190" s="253"/>
      <c r="P190" s="253"/>
      <c r="Q190" s="253"/>
    </row>
    <row r="191" spans="1:17">
      <c r="A191" s="253"/>
      <c r="B191" s="253"/>
      <c r="C191" s="253"/>
      <c r="D191" s="253"/>
      <c r="E191" s="253"/>
      <c r="F191" s="253"/>
      <c r="G191" s="253"/>
      <c r="H191" s="253"/>
      <c r="I191" s="253"/>
      <c r="J191" s="253"/>
      <c r="K191" s="253"/>
      <c r="L191" s="253"/>
      <c r="M191" s="253"/>
      <c r="N191" s="253"/>
      <c r="O191" s="253"/>
      <c r="P191" s="253"/>
      <c r="Q191" s="253"/>
    </row>
    <row r="192" spans="1:17">
      <c r="A192" s="253"/>
      <c r="B192" s="253"/>
      <c r="C192" s="253"/>
      <c r="D192" s="253"/>
      <c r="E192" s="253"/>
      <c r="F192" s="253"/>
      <c r="G192" s="253"/>
      <c r="H192" s="253"/>
      <c r="I192" s="253"/>
      <c r="J192" s="253"/>
      <c r="K192" s="253"/>
      <c r="L192" s="253"/>
      <c r="M192" s="253"/>
      <c r="N192" s="253"/>
      <c r="O192" s="253"/>
      <c r="P192" s="253"/>
      <c r="Q192" s="253"/>
    </row>
    <row r="193" spans="1:17">
      <c r="A193" s="253"/>
      <c r="B193" s="253"/>
      <c r="C193" s="253"/>
      <c r="D193" s="253"/>
      <c r="E193" s="253"/>
      <c r="F193" s="253"/>
      <c r="G193" s="253"/>
      <c r="H193" s="253"/>
      <c r="I193" s="253"/>
      <c r="J193" s="253"/>
      <c r="K193" s="253"/>
      <c r="L193" s="253"/>
      <c r="M193" s="253"/>
      <c r="N193" s="253"/>
      <c r="O193" s="253"/>
      <c r="P193" s="253"/>
      <c r="Q193" s="253"/>
    </row>
    <row r="194" spans="1:17">
      <c r="A194" s="253"/>
      <c r="B194" s="253"/>
      <c r="C194" s="253"/>
      <c r="D194" s="253"/>
      <c r="E194" s="253"/>
      <c r="F194" s="253"/>
      <c r="G194" s="253"/>
      <c r="H194" s="253"/>
      <c r="I194" s="253"/>
      <c r="J194" s="253"/>
      <c r="K194" s="253"/>
      <c r="L194" s="253"/>
      <c r="M194" s="253"/>
      <c r="N194" s="253"/>
      <c r="O194" s="253"/>
      <c r="P194" s="253"/>
      <c r="Q194" s="253"/>
    </row>
    <row r="195" spans="1:17">
      <c r="A195" s="253"/>
      <c r="B195" s="253"/>
      <c r="C195" s="253"/>
      <c r="D195" s="253"/>
      <c r="E195" s="253"/>
      <c r="F195" s="253"/>
      <c r="G195" s="253"/>
      <c r="H195" s="253"/>
      <c r="I195" s="253"/>
      <c r="J195" s="253"/>
      <c r="K195" s="253"/>
      <c r="L195" s="253"/>
      <c r="M195" s="253"/>
      <c r="N195" s="253"/>
      <c r="O195" s="253"/>
      <c r="P195" s="253"/>
      <c r="Q195" s="253"/>
    </row>
    <row r="196" spans="1:17">
      <c r="A196" s="253"/>
      <c r="B196" s="253"/>
      <c r="C196" s="253"/>
      <c r="D196" s="253"/>
      <c r="E196" s="253"/>
      <c r="F196" s="253"/>
      <c r="G196" s="253"/>
      <c r="H196" s="253"/>
      <c r="I196" s="253"/>
      <c r="J196" s="253"/>
      <c r="K196" s="253"/>
      <c r="L196" s="253"/>
      <c r="M196" s="253"/>
      <c r="N196" s="253"/>
      <c r="O196" s="253"/>
      <c r="P196" s="253"/>
      <c r="Q196" s="253"/>
    </row>
    <row r="197" spans="1:17">
      <c r="A197" s="253"/>
      <c r="B197" s="253"/>
      <c r="C197" s="253"/>
      <c r="D197" s="253"/>
      <c r="E197" s="253"/>
      <c r="F197" s="253"/>
      <c r="G197" s="253"/>
      <c r="H197" s="253"/>
      <c r="I197" s="253"/>
      <c r="J197" s="253"/>
      <c r="K197" s="253"/>
      <c r="L197" s="253"/>
      <c r="M197" s="253"/>
      <c r="N197" s="253"/>
      <c r="O197" s="253"/>
      <c r="P197" s="253"/>
      <c r="Q197" s="253"/>
    </row>
    <row r="198" spans="1:17">
      <c r="A198" s="253"/>
      <c r="B198" s="253"/>
      <c r="C198" s="253"/>
      <c r="D198" s="253"/>
      <c r="E198" s="253"/>
      <c r="F198" s="253"/>
      <c r="G198" s="253"/>
      <c r="H198" s="253"/>
      <c r="I198" s="253"/>
      <c r="J198" s="253"/>
      <c r="K198" s="253"/>
      <c r="L198" s="253"/>
      <c r="M198" s="253"/>
      <c r="N198" s="253"/>
      <c r="O198" s="253"/>
      <c r="P198" s="253"/>
      <c r="Q198" s="253"/>
    </row>
    <row r="199" spans="1:17">
      <c r="A199" s="253"/>
      <c r="B199" s="253"/>
      <c r="C199" s="253"/>
      <c r="D199" s="253"/>
      <c r="E199" s="253"/>
      <c r="F199" s="253"/>
      <c r="G199" s="253"/>
      <c r="H199" s="253"/>
      <c r="I199" s="253"/>
      <c r="J199" s="253"/>
      <c r="K199" s="253"/>
      <c r="L199" s="253"/>
      <c r="M199" s="253"/>
      <c r="N199" s="253"/>
      <c r="O199" s="253"/>
      <c r="P199" s="253"/>
      <c r="Q199" s="253"/>
    </row>
    <row r="200" spans="1:17">
      <c r="A200" s="253"/>
      <c r="B200" s="253"/>
      <c r="C200" s="253"/>
      <c r="D200" s="253"/>
      <c r="E200" s="253"/>
      <c r="F200" s="253"/>
      <c r="G200" s="253"/>
      <c r="H200" s="253"/>
      <c r="I200" s="253"/>
      <c r="J200" s="253"/>
      <c r="K200" s="253"/>
      <c r="L200" s="253"/>
      <c r="M200" s="253"/>
      <c r="N200" s="253"/>
      <c r="O200" s="253"/>
      <c r="P200" s="253"/>
      <c r="Q200" s="253"/>
    </row>
    <row r="201" spans="1:17">
      <c r="A201" s="253"/>
      <c r="B201" s="253"/>
      <c r="C201" s="253"/>
      <c r="D201" s="253"/>
      <c r="E201" s="253"/>
      <c r="F201" s="253"/>
      <c r="G201" s="253"/>
      <c r="H201" s="253"/>
      <c r="I201" s="253"/>
      <c r="J201" s="253"/>
      <c r="K201" s="253"/>
      <c r="L201" s="253"/>
      <c r="M201" s="253"/>
      <c r="N201" s="253"/>
      <c r="O201" s="253"/>
      <c r="P201" s="253"/>
      <c r="Q201" s="253"/>
    </row>
    <row r="202" spans="1:17">
      <c r="A202" s="253"/>
      <c r="B202" s="253"/>
      <c r="C202" s="253"/>
      <c r="D202" s="253"/>
      <c r="E202" s="253"/>
      <c r="F202" s="253"/>
      <c r="G202" s="253"/>
      <c r="H202" s="253"/>
      <c r="I202" s="253"/>
      <c r="J202" s="253"/>
      <c r="K202" s="253"/>
      <c r="L202" s="253"/>
      <c r="M202" s="253"/>
      <c r="N202" s="253"/>
      <c r="O202" s="253"/>
      <c r="P202" s="253"/>
      <c r="Q202" s="253"/>
    </row>
    <row r="203" spans="1:17">
      <c r="A203" s="253"/>
      <c r="B203" s="253"/>
      <c r="C203" s="253"/>
      <c r="D203" s="253"/>
      <c r="E203" s="253"/>
      <c r="F203" s="253"/>
      <c r="G203" s="253"/>
      <c r="H203" s="253"/>
      <c r="I203" s="253"/>
      <c r="J203" s="253"/>
      <c r="K203" s="253"/>
      <c r="L203" s="253"/>
      <c r="M203" s="253"/>
      <c r="N203" s="253"/>
      <c r="O203" s="253"/>
      <c r="P203" s="253"/>
      <c r="Q203" s="253"/>
    </row>
    <row r="204" spans="1:17">
      <c r="A204" s="253"/>
      <c r="B204" s="253"/>
      <c r="C204" s="253"/>
      <c r="D204" s="253"/>
      <c r="E204" s="253"/>
      <c r="F204" s="253"/>
      <c r="G204" s="253"/>
      <c r="H204" s="253"/>
      <c r="I204" s="253"/>
      <c r="J204" s="253"/>
      <c r="K204" s="253"/>
      <c r="L204" s="253"/>
      <c r="M204" s="253"/>
      <c r="N204" s="253"/>
      <c r="O204" s="253"/>
      <c r="P204" s="253"/>
      <c r="Q204" s="253"/>
    </row>
    <row r="205" spans="1:17">
      <c r="A205" s="253"/>
      <c r="B205" s="253"/>
      <c r="C205" s="253"/>
      <c r="D205" s="253"/>
      <c r="E205" s="253"/>
      <c r="F205" s="253"/>
      <c r="G205" s="253"/>
      <c r="H205" s="253"/>
      <c r="I205" s="253"/>
      <c r="J205" s="253"/>
      <c r="K205" s="253"/>
      <c r="L205" s="253"/>
      <c r="M205" s="253"/>
      <c r="N205" s="253"/>
      <c r="O205" s="253"/>
      <c r="P205" s="253"/>
      <c r="Q205" s="253"/>
    </row>
    <row r="206" spans="1:17">
      <c r="A206" s="253"/>
      <c r="B206" s="253"/>
      <c r="C206" s="253"/>
      <c r="D206" s="253"/>
      <c r="E206" s="253"/>
      <c r="F206" s="253"/>
      <c r="G206" s="253"/>
      <c r="H206" s="253"/>
      <c r="I206" s="253"/>
      <c r="J206" s="253"/>
      <c r="K206" s="253"/>
      <c r="L206" s="253"/>
      <c r="M206" s="253"/>
      <c r="N206" s="253"/>
      <c r="O206" s="253"/>
      <c r="P206" s="253"/>
      <c r="Q206" s="253"/>
    </row>
    <row r="207" spans="1:17">
      <c r="A207" s="253"/>
      <c r="B207" s="253"/>
      <c r="C207" s="253"/>
      <c r="D207" s="253"/>
      <c r="E207" s="253"/>
      <c r="F207" s="253"/>
      <c r="G207" s="253"/>
      <c r="H207" s="253"/>
      <c r="I207" s="253"/>
      <c r="J207" s="253"/>
      <c r="K207" s="253"/>
      <c r="L207" s="253"/>
      <c r="M207" s="253"/>
      <c r="N207" s="253"/>
      <c r="O207" s="253"/>
      <c r="P207" s="253"/>
      <c r="Q207" s="253"/>
    </row>
    <row r="208" spans="1:17">
      <c r="A208" s="253"/>
      <c r="B208" s="253"/>
      <c r="C208" s="253"/>
      <c r="D208" s="253"/>
      <c r="E208" s="253"/>
      <c r="F208" s="253"/>
      <c r="G208" s="253"/>
      <c r="H208" s="253"/>
      <c r="I208" s="253"/>
      <c r="J208" s="253"/>
      <c r="K208" s="253"/>
      <c r="L208" s="253"/>
      <c r="M208" s="253"/>
      <c r="N208" s="253"/>
      <c r="O208" s="253"/>
      <c r="P208" s="253"/>
      <c r="Q208" s="253"/>
    </row>
    <row r="209" spans="1:17">
      <c r="A209" s="253"/>
      <c r="B209" s="253"/>
      <c r="C209" s="253"/>
      <c r="D209" s="253"/>
      <c r="E209" s="253"/>
      <c r="F209" s="253"/>
      <c r="G209" s="253"/>
      <c r="H209" s="253"/>
      <c r="I209" s="253"/>
      <c r="J209" s="253"/>
      <c r="K209" s="253"/>
      <c r="L209" s="253"/>
      <c r="M209" s="253"/>
      <c r="N209" s="253"/>
      <c r="O209" s="253"/>
      <c r="P209" s="253"/>
      <c r="Q209" s="253"/>
    </row>
    <row r="210" spans="1:17">
      <c r="A210" s="253"/>
      <c r="B210" s="253"/>
      <c r="C210" s="253"/>
      <c r="D210" s="253"/>
      <c r="E210" s="253"/>
      <c r="F210" s="253"/>
      <c r="G210" s="253"/>
      <c r="H210" s="253"/>
      <c r="I210" s="253"/>
      <c r="J210" s="253"/>
      <c r="K210" s="253"/>
      <c r="L210" s="253"/>
      <c r="M210" s="253"/>
      <c r="N210" s="253"/>
      <c r="O210" s="253"/>
      <c r="P210" s="253"/>
      <c r="Q210" s="253"/>
    </row>
    <row r="211" spans="1:17">
      <c r="A211" s="253"/>
      <c r="B211" s="253"/>
      <c r="C211" s="253"/>
      <c r="D211" s="253"/>
      <c r="E211" s="253"/>
      <c r="F211" s="253"/>
      <c r="G211" s="253"/>
      <c r="H211" s="253"/>
      <c r="I211" s="253"/>
      <c r="J211" s="253"/>
      <c r="K211" s="253"/>
      <c r="L211" s="253"/>
      <c r="M211" s="253"/>
      <c r="N211" s="253"/>
      <c r="O211" s="253"/>
      <c r="P211" s="253"/>
      <c r="Q211" s="253"/>
    </row>
    <row r="212" spans="1:17">
      <c r="A212" s="253"/>
      <c r="B212" s="253"/>
      <c r="C212" s="253"/>
      <c r="D212" s="253"/>
      <c r="E212" s="253"/>
      <c r="F212" s="253"/>
      <c r="G212" s="253"/>
      <c r="H212" s="253"/>
      <c r="I212" s="253"/>
      <c r="J212" s="253"/>
      <c r="K212" s="253"/>
      <c r="L212" s="253"/>
      <c r="M212" s="253"/>
      <c r="N212" s="253"/>
      <c r="O212" s="253"/>
      <c r="P212" s="253"/>
      <c r="Q212" s="253"/>
    </row>
    <row r="213" spans="1:17">
      <c r="A213" s="253"/>
      <c r="B213" s="253"/>
      <c r="C213" s="253"/>
      <c r="D213" s="253"/>
      <c r="E213" s="253"/>
      <c r="F213" s="253"/>
      <c r="G213" s="253"/>
      <c r="H213" s="253"/>
      <c r="I213" s="253"/>
      <c r="J213" s="253"/>
      <c r="K213" s="253"/>
      <c r="L213" s="253"/>
      <c r="M213" s="253"/>
      <c r="N213" s="253"/>
      <c r="O213" s="253"/>
      <c r="P213" s="253"/>
      <c r="Q213" s="253"/>
    </row>
    <row r="214" spans="1:17">
      <c r="A214" s="253"/>
      <c r="B214" s="253"/>
      <c r="C214" s="253"/>
      <c r="D214" s="253"/>
      <c r="E214" s="253"/>
      <c r="F214" s="253"/>
      <c r="G214" s="253"/>
      <c r="H214" s="253"/>
      <c r="I214" s="253"/>
      <c r="J214" s="253"/>
      <c r="K214" s="253"/>
      <c r="L214" s="253"/>
      <c r="M214" s="253"/>
      <c r="N214" s="253"/>
      <c r="O214" s="253"/>
      <c r="P214" s="253"/>
      <c r="Q214" s="253"/>
    </row>
    <row r="215" spans="1:17">
      <c r="A215" s="253"/>
      <c r="B215" s="253"/>
      <c r="C215" s="253"/>
      <c r="D215" s="253"/>
      <c r="E215" s="253"/>
      <c r="F215" s="253"/>
      <c r="G215" s="253"/>
      <c r="H215" s="253"/>
      <c r="I215" s="253"/>
      <c r="J215" s="253"/>
      <c r="K215" s="253"/>
      <c r="L215" s="253"/>
      <c r="M215" s="253"/>
      <c r="N215" s="253"/>
      <c r="O215" s="253"/>
      <c r="P215" s="253"/>
      <c r="Q215" s="253"/>
    </row>
    <row r="216" spans="1:17">
      <c r="A216" s="253"/>
      <c r="B216" s="253"/>
      <c r="C216" s="253"/>
      <c r="D216" s="253"/>
      <c r="E216" s="253"/>
      <c r="F216" s="253"/>
      <c r="G216" s="253"/>
      <c r="H216" s="253"/>
      <c r="I216" s="253"/>
      <c r="J216" s="253"/>
      <c r="K216" s="253"/>
      <c r="L216" s="253"/>
      <c r="M216" s="253"/>
      <c r="N216" s="253"/>
      <c r="O216" s="253"/>
      <c r="P216" s="253"/>
      <c r="Q216" s="253"/>
    </row>
    <row r="217" spans="1:17">
      <c r="A217" s="253"/>
      <c r="B217" s="253"/>
      <c r="C217" s="253"/>
      <c r="D217" s="253"/>
      <c r="E217" s="253"/>
      <c r="F217" s="253"/>
      <c r="G217" s="253"/>
      <c r="H217" s="253"/>
      <c r="I217" s="253"/>
      <c r="J217" s="253"/>
      <c r="K217" s="253"/>
      <c r="L217" s="253"/>
      <c r="M217" s="253"/>
      <c r="N217" s="253"/>
      <c r="O217" s="253"/>
      <c r="P217" s="253"/>
      <c r="Q217" s="253"/>
    </row>
    <row r="218" spans="1:17">
      <c r="A218" s="253"/>
      <c r="B218" s="253"/>
      <c r="C218" s="253"/>
      <c r="D218" s="253"/>
      <c r="E218" s="253"/>
      <c r="F218" s="253"/>
      <c r="G218" s="253"/>
      <c r="H218" s="253"/>
      <c r="I218" s="253"/>
      <c r="J218" s="253"/>
      <c r="K218" s="253"/>
      <c r="L218" s="253"/>
      <c r="M218" s="253"/>
      <c r="N218" s="253"/>
      <c r="O218" s="253"/>
      <c r="P218" s="253"/>
      <c r="Q218" s="253"/>
    </row>
    <row r="219" spans="1:17">
      <c r="A219" s="253"/>
      <c r="B219" s="253"/>
      <c r="C219" s="253"/>
      <c r="D219" s="253"/>
      <c r="E219" s="253"/>
      <c r="F219" s="253"/>
      <c r="G219" s="253"/>
      <c r="H219" s="253"/>
      <c r="I219" s="253"/>
      <c r="J219" s="253"/>
      <c r="K219" s="253"/>
      <c r="L219" s="253"/>
      <c r="M219" s="253"/>
      <c r="N219" s="253"/>
      <c r="O219" s="253"/>
      <c r="P219" s="253"/>
      <c r="Q219" s="253"/>
    </row>
    <row r="220" spans="1:17">
      <c r="A220" s="253"/>
      <c r="B220" s="253"/>
      <c r="C220" s="253"/>
      <c r="D220" s="253"/>
      <c r="E220" s="253"/>
      <c r="F220" s="253"/>
      <c r="G220" s="253"/>
      <c r="H220" s="253"/>
      <c r="I220" s="253"/>
      <c r="J220" s="253"/>
      <c r="K220" s="253"/>
      <c r="L220" s="253"/>
      <c r="M220" s="253"/>
      <c r="N220" s="253"/>
      <c r="O220" s="253"/>
      <c r="P220" s="253"/>
      <c r="Q220" s="253"/>
    </row>
    <row r="221" spans="1:17">
      <c r="A221" s="253"/>
      <c r="B221" s="253"/>
      <c r="C221" s="253"/>
      <c r="D221" s="253"/>
      <c r="E221" s="253"/>
      <c r="F221" s="253"/>
      <c r="G221" s="253"/>
      <c r="H221" s="253"/>
      <c r="I221" s="253"/>
      <c r="J221" s="253"/>
      <c r="K221" s="253"/>
      <c r="L221" s="253"/>
      <c r="M221" s="253"/>
      <c r="N221" s="253"/>
      <c r="O221" s="253"/>
      <c r="P221" s="253"/>
      <c r="Q221" s="253"/>
    </row>
    <row r="222" spans="1:17">
      <c r="A222" s="253"/>
      <c r="B222" s="253"/>
      <c r="C222" s="253"/>
      <c r="D222" s="253"/>
      <c r="E222" s="253"/>
      <c r="F222" s="253"/>
      <c r="G222" s="253"/>
      <c r="H222" s="253"/>
      <c r="I222" s="253"/>
      <c r="J222" s="253"/>
      <c r="K222" s="253"/>
      <c r="L222" s="253"/>
      <c r="M222" s="253"/>
      <c r="N222" s="253"/>
      <c r="O222" s="253"/>
      <c r="P222" s="253"/>
      <c r="Q222" s="253"/>
    </row>
    <row r="223" spans="1:17">
      <c r="A223" s="253"/>
      <c r="B223" s="253"/>
      <c r="C223" s="253"/>
      <c r="D223" s="253"/>
      <c r="E223" s="253"/>
      <c r="F223" s="253"/>
      <c r="G223" s="253"/>
      <c r="H223" s="253"/>
      <c r="I223" s="253"/>
      <c r="J223" s="253"/>
      <c r="K223" s="253"/>
      <c r="L223" s="253"/>
      <c r="M223" s="253"/>
      <c r="N223" s="253"/>
      <c r="O223" s="253"/>
      <c r="P223" s="253"/>
      <c r="Q223" s="253"/>
    </row>
    <row r="224" spans="1:17">
      <c r="A224" s="253"/>
      <c r="B224" s="253"/>
      <c r="C224" s="253"/>
      <c r="D224" s="253"/>
      <c r="E224" s="253"/>
      <c r="F224" s="253"/>
      <c r="G224" s="253"/>
      <c r="H224" s="253"/>
      <c r="I224" s="253"/>
      <c r="J224" s="253"/>
      <c r="K224" s="253"/>
      <c r="L224" s="253"/>
      <c r="M224" s="253"/>
      <c r="N224" s="253"/>
      <c r="O224" s="253"/>
      <c r="P224" s="253"/>
      <c r="Q224" s="253"/>
    </row>
    <row r="225" spans="1:17">
      <c r="A225" s="253"/>
      <c r="B225" s="253"/>
      <c r="C225" s="253"/>
      <c r="D225" s="253"/>
      <c r="E225" s="253"/>
      <c r="F225" s="253"/>
      <c r="G225" s="253"/>
      <c r="H225" s="253"/>
      <c r="I225" s="253"/>
      <c r="J225" s="253"/>
      <c r="K225" s="253"/>
      <c r="L225" s="253"/>
      <c r="M225" s="253"/>
      <c r="N225" s="253"/>
      <c r="O225" s="253"/>
      <c r="P225" s="253"/>
      <c r="Q225" s="253"/>
    </row>
    <row r="226" spans="1:17">
      <c r="A226" s="253"/>
      <c r="B226" s="253"/>
      <c r="C226" s="253"/>
      <c r="D226" s="253"/>
      <c r="E226" s="253"/>
      <c r="F226" s="253"/>
      <c r="G226" s="253"/>
      <c r="H226" s="253"/>
      <c r="I226" s="253"/>
      <c r="J226" s="253"/>
      <c r="K226" s="253"/>
      <c r="L226" s="253"/>
      <c r="M226" s="253"/>
      <c r="N226" s="253"/>
      <c r="O226" s="253"/>
      <c r="P226" s="253"/>
      <c r="Q226" s="253"/>
    </row>
    <row r="227" spans="1:17">
      <c r="A227" s="253"/>
      <c r="B227" s="253"/>
      <c r="C227" s="253"/>
      <c r="D227" s="253"/>
      <c r="E227" s="253"/>
      <c r="F227" s="253"/>
      <c r="G227" s="253"/>
      <c r="H227" s="253"/>
      <c r="I227" s="253"/>
      <c r="J227" s="253"/>
      <c r="K227" s="253"/>
      <c r="L227" s="253"/>
      <c r="M227" s="253"/>
      <c r="N227" s="253"/>
      <c r="O227" s="253"/>
      <c r="P227" s="253"/>
      <c r="Q227" s="253"/>
    </row>
    <row r="228" spans="1:17">
      <c r="A228" s="253"/>
      <c r="B228" s="253"/>
      <c r="C228" s="253"/>
      <c r="D228" s="253"/>
      <c r="E228" s="253"/>
      <c r="F228" s="253"/>
      <c r="G228" s="253"/>
      <c r="H228" s="253"/>
      <c r="I228" s="253"/>
      <c r="J228" s="253"/>
      <c r="K228" s="253"/>
      <c r="L228" s="253"/>
      <c r="M228" s="253"/>
      <c r="N228" s="253"/>
      <c r="O228" s="253"/>
      <c r="P228" s="253"/>
      <c r="Q228" s="253"/>
    </row>
    <row r="229" spans="1:17">
      <c r="A229" s="253"/>
      <c r="B229" s="253"/>
      <c r="C229" s="253"/>
      <c r="D229" s="253"/>
      <c r="E229" s="253"/>
      <c r="F229" s="253"/>
      <c r="G229" s="253"/>
      <c r="H229" s="253"/>
      <c r="I229" s="253"/>
      <c r="J229" s="253"/>
      <c r="K229" s="253"/>
      <c r="L229" s="253"/>
      <c r="M229" s="253"/>
      <c r="N229" s="253"/>
      <c r="O229" s="253"/>
      <c r="P229" s="253"/>
      <c r="Q229" s="253"/>
    </row>
    <row r="230" spans="1:17">
      <c r="A230" s="253"/>
      <c r="B230" s="253"/>
      <c r="C230" s="253"/>
      <c r="D230" s="253"/>
      <c r="E230" s="253"/>
      <c r="F230" s="253"/>
      <c r="G230" s="253"/>
      <c r="H230" s="253"/>
      <c r="I230" s="253"/>
      <c r="J230" s="253"/>
      <c r="K230" s="253"/>
      <c r="L230" s="253"/>
      <c r="M230" s="253"/>
      <c r="N230" s="253"/>
      <c r="O230" s="253"/>
      <c r="P230" s="253"/>
      <c r="Q230" s="253"/>
    </row>
    <row r="231" spans="1:17">
      <c r="A231" s="253"/>
      <c r="B231" s="253"/>
      <c r="C231" s="253"/>
      <c r="D231" s="253"/>
      <c r="E231" s="253"/>
      <c r="F231" s="253"/>
      <c r="G231" s="253"/>
      <c r="H231" s="253"/>
      <c r="I231" s="253"/>
      <c r="J231" s="253"/>
      <c r="K231" s="253"/>
      <c r="L231" s="253"/>
      <c r="M231" s="253"/>
      <c r="N231" s="253"/>
      <c r="O231" s="253"/>
      <c r="P231" s="253"/>
      <c r="Q231" s="253"/>
    </row>
    <row r="232" spans="1:17">
      <c r="A232" s="253"/>
      <c r="B232" s="253"/>
      <c r="C232" s="253"/>
      <c r="D232" s="253"/>
      <c r="E232" s="253"/>
      <c r="F232" s="253"/>
      <c r="G232" s="253"/>
      <c r="H232" s="253"/>
      <c r="I232" s="253"/>
      <c r="J232" s="253"/>
      <c r="K232" s="253"/>
      <c r="L232" s="253"/>
      <c r="M232" s="253"/>
      <c r="N232" s="253"/>
      <c r="O232" s="253"/>
      <c r="P232" s="253"/>
      <c r="Q232" s="253"/>
    </row>
    <row r="233" spans="1:17">
      <c r="A233" s="253"/>
      <c r="B233" s="253"/>
      <c r="C233" s="253"/>
      <c r="D233" s="253"/>
      <c r="E233" s="253"/>
      <c r="F233" s="253"/>
      <c r="G233" s="253"/>
      <c r="H233" s="253"/>
      <c r="I233" s="253"/>
      <c r="J233" s="253"/>
      <c r="K233" s="253"/>
      <c r="L233" s="253"/>
      <c r="M233" s="253"/>
      <c r="N233" s="253"/>
      <c r="O233" s="253"/>
      <c r="P233" s="253"/>
      <c r="Q233" s="253"/>
    </row>
    <row r="234" spans="1:17">
      <c r="A234" s="253"/>
      <c r="B234" s="253"/>
      <c r="C234" s="253"/>
      <c r="D234" s="253"/>
      <c r="E234" s="253"/>
      <c r="F234" s="253"/>
      <c r="G234" s="253"/>
      <c r="H234" s="253"/>
      <c r="I234" s="253"/>
      <c r="J234" s="253"/>
      <c r="K234" s="253"/>
      <c r="L234" s="253"/>
      <c r="M234" s="253"/>
      <c r="N234" s="253"/>
      <c r="O234" s="253"/>
      <c r="P234" s="253"/>
      <c r="Q234" s="253"/>
    </row>
    <row r="235" spans="1:17">
      <c r="A235" s="253"/>
      <c r="B235" s="253"/>
      <c r="C235" s="253"/>
      <c r="D235" s="253"/>
      <c r="E235" s="253"/>
      <c r="F235" s="253"/>
      <c r="G235" s="253"/>
      <c r="H235" s="253"/>
      <c r="I235" s="253"/>
      <c r="J235" s="253"/>
      <c r="K235" s="253"/>
      <c r="L235" s="253"/>
      <c r="M235" s="253"/>
      <c r="N235" s="253"/>
      <c r="O235" s="253"/>
      <c r="P235" s="253"/>
      <c r="Q235" s="253"/>
    </row>
    <row r="236" spans="1:17">
      <c r="A236" s="253"/>
      <c r="B236" s="253"/>
      <c r="C236" s="253"/>
      <c r="D236" s="253"/>
      <c r="E236" s="253"/>
      <c r="F236" s="253"/>
      <c r="G236" s="253"/>
      <c r="H236" s="253"/>
      <c r="I236" s="253"/>
      <c r="J236" s="253"/>
      <c r="K236" s="253"/>
      <c r="L236" s="253"/>
      <c r="M236" s="253"/>
      <c r="N236" s="253"/>
      <c r="O236" s="253"/>
      <c r="P236" s="253"/>
      <c r="Q236" s="253"/>
    </row>
    <row r="237" spans="1:17">
      <c r="A237" s="253"/>
      <c r="B237" s="253"/>
      <c r="C237" s="253"/>
      <c r="D237" s="253"/>
      <c r="E237" s="253"/>
      <c r="F237" s="253"/>
      <c r="G237" s="253"/>
      <c r="H237" s="253"/>
      <c r="I237" s="253"/>
      <c r="J237" s="253"/>
      <c r="K237" s="253"/>
      <c r="L237" s="253"/>
      <c r="M237" s="253"/>
      <c r="N237" s="253"/>
      <c r="O237" s="253"/>
      <c r="P237" s="253"/>
      <c r="Q237" s="253"/>
    </row>
    <row r="238" spans="1:17">
      <c r="A238" s="253"/>
      <c r="B238" s="253"/>
      <c r="C238" s="253"/>
      <c r="D238" s="253"/>
      <c r="E238" s="253"/>
      <c r="F238" s="253"/>
      <c r="G238" s="253"/>
      <c r="H238" s="253"/>
      <c r="I238" s="253"/>
      <c r="J238" s="253"/>
      <c r="K238" s="253"/>
      <c r="L238" s="253"/>
      <c r="M238" s="253"/>
      <c r="N238" s="253"/>
      <c r="O238" s="253"/>
      <c r="P238" s="253"/>
      <c r="Q238" s="253"/>
    </row>
    <row r="239" spans="1:17">
      <c r="A239" s="253"/>
      <c r="B239" s="253"/>
      <c r="C239" s="253"/>
      <c r="D239" s="253"/>
      <c r="E239" s="253"/>
      <c r="F239" s="253"/>
      <c r="G239" s="253"/>
      <c r="H239" s="253"/>
      <c r="I239" s="253"/>
      <c r="J239" s="253"/>
      <c r="K239" s="253"/>
      <c r="L239" s="253"/>
      <c r="M239" s="253"/>
      <c r="N239" s="253"/>
      <c r="O239" s="253"/>
      <c r="P239" s="253"/>
      <c r="Q239" s="253"/>
    </row>
    <row r="240" spans="1:17">
      <c r="A240" s="253"/>
      <c r="B240" s="253"/>
      <c r="C240" s="253"/>
      <c r="D240" s="253"/>
      <c r="E240" s="253"/>
      <c r="F240" s="253"/>
      <c r="G240" s="253"/>
      <c r="H240" s="253"/>
      <c r="I240" s="253"/>
      <c r="J240" s="253"/>
      <c r="K240" s="253"/>
      <c r="L240" s="253"/>
      <c r="M240" s="253"/>
      <c r="N240" s="253"/>
      <c r="O240" s="253"/>
      <c r="P240" s="253"/>
      <c r="Q240" s="253"/>
    </row>
    <row r="241" spans="1:17">
      <c r="A241" s="253"/>
      <c r="B241" s="253"/>
      <c r="C241" s="253"/>
      <c r="D241" s="253"/>
      <c r="E241" s="253"/>
      <c r="F241" s="253"/>
      <c r="G241" s="253"/>
      <c r="H241" s="253"/>
      <c r="I241" s="253"/>
      <c r="J241" s="253"/>
      <c r="K241" s="253"/>
      <c r="L241" s="253"/>
      <c r="M241" s="253"/>
      <c r="N241" s="253"/>
      <c r="O241" s="253"/>
      <c r="P241" s="253"/>
      <c r="Q241" s="253"/>
    </row>
    <row r="242" spans="1:17">
      <c r="A242" s="253"/>
      <c r="B242" s="253"/>
      <c r="C242" s="253"/>
      <c r="D242" s="253"/>
      <c r="E242" s="253"/>
      <c r="F242" s="253"/>
      <c r="G242" s="253"/>
      <c r="H242" s="253"/>
      <c r="I242" s="253"/>
      <c r="J242" s="253"/>
      <c r="K242" s="253"/>
      <c r="L242" s="253"/>
      <c r="M242" s="253"/>
      <c r="N242" s="253"/>
      <c r="O242" s="253"/>
      <c r="P242" s="253"/>
      <c r="Q242" s="253"/>
    </row>
    <row r="243" spans="1:17">
      <c r="A243" s="253"/>
      <c r="B243" s="253"/>
      <c r="C243" s="253"/>
      <c r="D243" s="253"/>
      <c r="E243" s="253"/>
      <c r="F243" s="253"/>
      <c r="G243" s="253"/>
      <c r="H243" s="253"/>
      <c r="I243" s="253"/>
      <c r="J243" s="253"/>
      <c r="K243" s="253"/>
      <c r="L243" s="253"/>
      <c r="M243" s="253"/>
      <c r="N243" s="253"/>
      <c r="O243" s="253"/>
      <c r="P243" s="253"/>
      <c r="Q243" s="253"/>
    </row>
    <row r="244" spans="1:17">
      <c r="A244" s="253"/>
      <c r="B244" s="253"/>
      <c r="C244" s="253"/>
      <c r="D244" s="253"/>
      <c r="E244" s="253"/>
      <c r="F244" s="253"/>
      <c r="G244" s="253"/>
      <c r="H244" s="253"/>
      <c r="I244" s="253"/>
      <c r="J244" s="253"/>
      <c r="K244" s="253"/>
      <c r="L244" s="253"/>
      <c r="M244" s="253"/>
      <c r="N244" s="253"/>
      <c r="O244" s="253"/>
      <c r="P244" s="253"/>
      <c r="Q244" s="253"/>
    </row>
    <row r="245" spans="1:17">
      <c r="A245" s="253"/>
      <c r="B245" s="253"/>
      <c r="C245" s="253"/>
      <c r="D245" s="253"/>
      <c r="E245" s="253"/>
      <c r="F245" s="253"/>
      <c r="G245" s="253"/>
      <c r="H245" s="253"/>
      <c r="I245" s="253"/>
      <c r="J245" s="253"/>
      <c r="K245" s="253"/>
      <c r="L245" s="253"/>
      <c r="M245" s="253"/>
      <c r="N245" s="253"/>
      <c r="O245" s="253"/>
      <c r="P245" s="253"/>
      <c r="Q245" s="253"/>
    </row>
    <row r="246" spans="1:17">
      <c r="A246" s="253"/>
      <c r="B246" s="253"/>
      <c r="C246" s="253"/>
      <c r="D246" s="253"/>
      <c r="E246" s="253"/>
      <c r="F246" s="253"/>
      <c r="G246" s="253"/>
      <c r="H246" s="253"/>
      <c r="I246" s="253"/>
      <c r="J246" s="253"/>
      <c r="K246" s="253"/>
      <c r="L246" s="253"/>
      <c r="M246" s="253"/>
      <c r="N246" s="253"/>
      <c r="O246" s="253"/>
      <c r="P246" s="253"/>
      <c r="Q246" s="253"/>
    </row>
    <row r="247" spans="1:17">
      <c r="A247" s="253"/>
      <c r="B247" s="253"/>
      <c r="C247" s="253"/>
      <c r="D247" s="253"/>
      <c r="E247" s="253"/>
      <c r="F247" s="253"/>
      <c r="G247" s="253"/>
      <c r="H247" s="253"/>
      <c r="I247" s="253"/>
      <c r="J247" s="253"/>
      <c r="K247" s="253"/>
      <c r="L247" s="253"/>
      <c r="M247" s="253"/>
      <c r="N247" s="253"/>
      <c r="O247" s="253"/>
      <c r="P247" s="253"/>
      <c r="Q247" s="253"/>
    </row>
    <row r="248" spans="1:17">
      <c r="A248" s="253"/>
      <c r="B248" s="253"/>
      <c r="C248" s="253"/>
      <c r="D248" s="253"/>
      <c r="E248" s="253"/>
      <c r="F248" s="253"/>
      <c r="G248" s="253"/>
      <c r="H248" s="253"/>
      <c r="I248" s="253"/>
      <c r="J248" s="253"/>
      <c r="K248" s="253"/>
      <c r="L248" s="253"/>
      <c r="M248" s="253"/>
      <c r="N248" s="253"/>
      <c r="O248" s="253"/>
      <c r="P248" s="253"/>
      <c r="Q248" s="253"/>
    </row>
    <row r="249" spans="1:17">
      <c r="A249" s="253"/>
      <c r="B249" s="253"/>
      <c r="C249" s="253"/>
      <c r="D249" s="253"/>
      <c r="E249" s="253"/>
      <c r="F249" s="253"/>
      <c r="G249" s="253"/>
      <c r="H249" s="253"/>
      <c r="I249" s="253"/>
      <c r="J249" s="253"/>
      <c r="K249" s="253"/>
      <c r="L249" s="253"/>
      <c r="M249" s="253"/>
      <c r="N249" s="253"/>
      <c r="O249" s="253"/>
      <c r="P249" s="253"/>
      <c r="Q249" s="253"/>
    </row>
    <row r="250" spans="1:17">
      <c r="A250" s="253"/>
      <c r="B250" s="253"/>
      <c r="C250" s="253"/>
      <c r="D250" s="253"/>
      <c r="E250" s="253"/>
      <c r="F250" s="253"/>
      <c r="G250" s="253"/>
      <c r="H250" s="253"/>
      <c r="I250" s="253"/>
      <c r="J250" s="253"/>
      <c r="K250" s="253"/>
      <c r="L250" s="253"/>
      <c r="M250" s="253"/>
      <c r="N250" s="253"/>
      <c r="O250" s="253"/>
      <c r="P250" s="253"/>
      <c r="Q250" s="253"/>
    </row>
    <row r="251" spans="1:17">
      <c r="A251" s="253"/>
      <c r="B251" s="253"/>
      <c r="C251" s="253"/>
      <c r="D251" s="253"/>
      <c r="E251" s="253"/>
      <c r="F251" s="253"/>
      <c r="G251" s="253"/>
      <c r="H251" s="253"/>
      <c r="I251" s="253"/>
      <c r="J251" s="253"/>
      <c r="K251" s="253"/>
      <c r="L251" s="253"/>
      <c r="M251" s="253"/>
      <c r="N251" s="253"/>
      <c r="O251" s="253"/>
      <c r="P251" s="253"/>
      <c r="Q251" s="253"/>
    </row>
    <row r="252" spans="1:17">
      <c r="A252" s="253"/>
      <c r="B252" s="253"/>
      <c r="C252" s="253"/>
      <c r="D252" s="253"/>
      <c r="E252" s="253"/>
      <c r="F252" s="253"/>
      <c r="G252" s="253"/>
      <c r="H252" s="253"/>
      <c r="I252" s="253"/>
      <c r="J252" s="253"/>
      <c r="K252" s="253"/>
      <c r="L252" s="253"/>
      <c r="M252" s="253"/>
      <c r="N252" s="253"/>
      <c r="O252" s="253"/>
      <c r="P252" s="253"/>
      <c r="Q252" s="253"/>
    </row>
    <row r="253" spans="1:17">
      <c r="A253" s="253"/>
      <c r="B253" s="253"/>
      <c r="C253" s="253"/>
      <c r="D253" s="253"/>
      <c r="E253" s="253"/>
      <c r="F253" s="253"/>
      <c r="G253" s="253"/>
      <c r="H253" s="253"/>
      <c r="I253" s="253"/>
      <c r="J253" s="253"/>
      <c r="K253" s="253"/>
      <c r="L253" s="253"/>
      <c r="M253" s="253"/>
      <c r="N253" s="253"/>
      <c r="O253" s="253"/>
      <c r="P253" s="253"/>
      <c r="Q253" s="253"/>
    </row>
    <row r="254" spans="1:17">
      <c r="A254" s="253"/>
      <c r="B254" s="253"/>
      <c r="C254" s="253"/>
      <c r="D254" s="253"/>
      <c r="E254" s="253"/>
      <c r="F254" s="253"/>
      <c r="G254" s="253"/>
      <c r="H254" s="253"/>
      <c r="I254" s="253"/>
      <c r="J254" s="253"/>
      <c r="K254" s="253"/>
      <c r="L254" s="253"/>
      <c r="M254" s="253"/>
      <c r="N254" s="253"/>
      <c r="O254" s="253"/>
      <c r="P254" s="253"/>
      <c r="Q254" s="253"/>
    </row>
    <row r="255" spans="1:17">
      <c r="A255" s="253"/>
      <c r="B255" s="253"/>
      <c r="C255" s="253"/>
      <c r="D255" s="253"/>
      <c r="E255" s="253"/>
      <c r="F255" s="253"/>
      <c r="G255" s="253"/>
      <c r="H255" s="253"/>
      <c r="I255" s="253"/>
      <c r="J255" s="253"/>
      <c r="K255" s="253"/>
      <c r="L255" s="253"/>
      <c r="M255" s="253"/>
      <c r="N255" s="253"/>
      <c r="O255" s="253"/>
      <c r="P255" s="253"/>
      <c r="Q255" s="253"/>
    </row>
    <row r="256" spans="1:17">
      <c r="A256" s="253"/>
      <c r="B256" s="253"/>
      <c r="C256" s="253"/>
      <c r="D256" s="253"/>
      <c r="E256" s="253"/>
      <c r="F256" s="253"/>
      <c r="G256" s="253"/>
      <c r="H256" s="253"/>
      <c r="I256" s="253"/>
      <c r="J256" s="253"/>
      <c r="K256" s="253"/>
      <c r="L256" s="253"/>
      <c r="M256" s="253"/>
      <c r="N256" s="253"/>
      <c r="O256" s="253"/>
      <c r="P256" s="253"/>
      <c r="Q256" s="253"/>
    </row>
    <row r="257" spans="1:17">
      <c r="A257" s="253"/>
      <c r="B257" s="253"/>
      <c r="C257" s="253"/>
      <c r="D257" s="253"/>
      <c r="E257" s="253"/>
      <c r="F257" s="253"/>
      <c r="G257" s="253"/>
      <c r="H257" s="253"/>
      <c r="I257" s="253"/>
      <c r="J257" s="253"/>
      <c r="K257" s="253"/>
      <c r="L257" s="253"/>
      <c r="M257" s="253"/>
      <c r="N257" s="253"/>
      <c r="O257" s="253"/>
      <c r="P257" s="253"/>
      <c r="Q257" s="253"/>
    </row>
    <row r="258" spans="1:17">
      <c r="A258" s="253"/>
      <c r="B258" s="253"/>
      <c r="C258" s="253"/>
      <c r="D258" s="253"/>
      <c r="E258" s="253"/>
      <c r="F258" s="253"/>
      <c r="G258" s="253"/>
      <c r="H258" s="253"/>
      <c r="I258" s="253"/>
      <c r="J258" s="253"/>
      <c r="K258" s="253"/>
      <c r="L258" s="253"/>
      <c r="M258" s="253"/>
      <c r="N258" s="253"/>
      <c r="O258" s="253"/>
      <c r="P258" s="253"/>
      <c r="Q258" s="253"/>
    </row>
    <row r="259" spans="1:17">
      <c r="A259" s="253"/>
      <c r="B259" s="253"/>
      <c r="C259" s="253"/>
      <c r="D259" s="253"/>
      <c r="E259" s="253"/>
      <c r="F259" s="253"/>
      <c r="G259" s="253"/>
      <c r="H259" s="253"/>
      <c r="I259" s="253"/>
      <c r="J259" s="253"/>
      <c r="K259" s="253"/>
      <c r="L259" s="253"/>
      <c r="M259" s="253"/>
      <c r="N259" s="253"/>
      <c r="O259" s="253"/>
      <c r="P259" s="253"/>
      <c r="Q259" s="253"/>
    </row>
    <row r="260" spans="1:17">
      <c r="A260" s="253"/>
      <c r="B260" s="253"/>
      <c r="C260" s="253"/>
      <c r="D260" s="253"/>
      <c r="E260" s="253"/>
      <c r="F260" s="253"/>
      <c r="G260" s="253"/>
      <c r="H260" s="253"/>
      <c r="I260" s="253"/>
      <c r="J260" s="253"/>
      <c r="K260" s="253"/>
      <c r="L260" s="253"/>
      <c r="M260" s="253"/>
      <c r="N260" s="253"/>
      <c r="O260" s="253"/>
      <c r="P260" s="253"/>
      <c r="Q260" s="253"/>
    </row>
    <row r="261" spans="1:17">
      <c r="A261" s="253"/>
      <c r="B261" s="253"/>
      <c r="C261" s="253"/>
      <c r="D261" s="253"/>
      <c r="E261" s="253"/>
      <c r="F261" s="253"/>
      <c r="G261" s="253"/>
      <c r="H261" s="253"/>
      <c r="I261" s="253"/>
      <c r="J261" s="253"/>
      <c r="K261" s="253"/>
      <c r="L261" s="253"/>
      <c r="M261" s="253"/>
      <c r="N261" s="253"/>
      <c r="O261" s="253"/>
      <c r="P261" s="253"/>
      <c r="Q261" s="253"/>
    </row>
    <row r="262" spans="1:17">
      <c r="A262" s="253"/>
      <c r="B262" s="253"/>
      <c r="C262" s="253"/>
      <c r="D262" s="253"/>
      <c r="E262" s="253"/>
      <c r="F262" s="253"/>
      <c r="G262" s="253"/>
      <c r="H262" s="253"/>
      <c r="I262" s="253"/>
      <c r="J262" s="253"/>
      <c r="K262" s="253"/>
      <c r="L262" s="253"/>
      <c r="M262" s="253"/>
      <c r="N262" s="253"/>
      <c r="O262" s="253"/>
      <c r="P262" s="253"/>
      <c r="Q262" s="253"/>
    </row>
    <row r="263" spans="1:17">
      <c r="A263" s="253"/>
      <c r="B263" s="253"/>
      <c r="C263" s="253"/>
      <c r="D263" s="253"/>
      <c r="E263" s="253"/>
      <c r="F263" s="253"/>
      <c r="G263" s="253"/>
      <c r="H263" s="253"/>
      <c r="I263" s="253"/>
      <c r="J263" s="253"/>
      <c r="K263" s="253"/>
      <c r="L263" s="253"/>
      <c r="M263" s="253"/>
      <c r="N263" s="253"/>
      <c r="O263" s="253"/>
      <c r="P263" s="253"/>
      <c r="Q263" s="253"/>
    </row>
    <row r="264" spans="1:17">
      <c r="A264" s="253"/>
      <c r="B264" s="253"/>
      <c r="C264" s="253"/>
      <c r="D264" s="253"/>
      <c r="E264" s="253"/>
      <c r="F264" s="253"/>
      <c r="G264" s="253"/>
      <c r="H264" s="253"/>
      <c r="I264" s="253"/>
      <c r="J264" s="253"/>
      <c r="K264" s="253"/>
      <c r="L264" s="253"/>
      <c r="M264" s="253"/>
      <c r="N264" s="253"/>
      <c r="O264" s="253"/>
      <c r="P264" s="253"/>
      <c r="Q264" s="253"/>
    </row>
    <row r="265" spans="1:17">
      <c r="A265" s="253"/>
      <c r="B265" s="253"/>
      <c r="C265" s="253"/>
      <c r="D265" s="253"/>
      <c r="E265" s="253"/>
      <c r="F265" s="253"/>
      <c r="G265" s="253"/>
      <c r="H265" s="253"/>
      <c r="I265" s="253"/>
      <c r="J265" s="253"/>
      <c r="K265" s="253"/>
      <c r="L265" s="253"/>
      <c r="M265" s="253"/>
      <c r="N265" s="253"/>
      <c r="O265" s="253"/>
      <c r="P265" s="253"/>
      <c r="Q265" s="253"/>
    </row>
    <row r="266" spans="1:17">
      <c r="A266" s="253"/>
      <c r="B266" s="253"/>
      <c r="C266" s="253"/>
      <c r="D266" s="253"/>
      <c r="E266" s="253"/>
      <c r="F266" s="253"/>
      <c r="G266" s="253"/>
      <c r="H266" s="253"/>
      <c r="I266" s="253"/>
      <c r="J266" s="253"/>
      <c r="K266" s="253"/>
      <c r="L266" s="253"/>
      <c r="M266" s="253"/>
      <c r="N266" s="253"/>
      <c r="O266" s="253"/>
      <c r="P266" s="253"/>
      <c r="Q266" s="253"/>
    </row>
    <row r="267" spans="1:17">
      <c r="A267" s="253"/>
      <c r="B267" s="253"/>
      <c r="C267" s="253"/>
      <c r="D267" s="253"/>
      <c r="E267" s="253"/>
      <c r="F267" s="253"/>
      <c r="G267" s="253"/>
      <c r="H267" s="253"/>
      <c r="I267" s="253"/>
      <c r="J267" s="253"/>
      <c r="K267" s="253"/>
      <c r="L267" s="253"/>
      <c r="M267" s="253"/>
      <c r="N267" s="253"/>
      <c r="O267" s="253"/>
      <c r="P267" s="253"/>
      <c r="Q267" s="253"/>
    </row>
    <row r="268" spans="1:17">
      <c r="A268" s="253"/>
      <c r="B268" s="253"/>
      <c r="C268" s="253"/>
      <c r="D268" s="253"/>
      <c r="E268" s="253"/>
      <c r="F268" s="253"/>
      <c r="G268" s="253"/>
      <c r="H268" s="253"/>
      <c r="I268" s="253"/>
      <c r="J268" s="253"/>
      <c r="K268" s="253"/>
      <c r="L268" s="253"/>
      <c r="M268" s="253"/>
      <c r="N268" s="253"/>
      <c r="O268" s="253"/>
      <c r="P268" s="253"/>
      <c r="Q268" s="253"/>
    </row>
    <row r="269" spans="1:17">
      <c r="A269" s="253"/>
      <c r="B269" s="253"/>
      <c r="C269" s="253"/>
      <c r="D269" s="253"/>
      <c r="E269" s="253"/>
      <c r="F269" s="253"/>
      <c r="G269" s="253"/>
      <c r="H269" s="253"/>
      <c r="I269" s="253"/>
      <c r="J269" s="253"/>
      <c r="K269" s="253"/>
      <c r="L269" s="253"/>
      <c r="M269" s="253"/>
      <c r="N269" s="253"/>
      <c r="O269" s="253"/>
      <c r="P269" s="253"/>
      <c r="Q269" s="253"/>
    </row>
    <row r="270" spans="1:17">
      <c r="A270" s="253"/>
      <c r="B270" s="253"/>
      <c r="C270" s="253"/>
      <c r="D270" s="253"/>
      <c r="E270" s="253"/>
      <c r="F270" s="253"/>
      <c r="G270" s="253"/>
      <c r="H270" s="253"/>
      <c r="I270" s="253"/>
      <c r="J270" s="253"/>
      <c r="K270" s="253"/>
      <c r="L270" s="253"/>
      <c r="M270" s="253"/>
      <c r="N270" s="253"/>
      <c r="O270" s="253"/>
      <c r="P270" s="253"/>
      <c r="Q270" s="253"/>
    </row>
    <row r="271" spans="1:17">
      <c r="A271" s="253"/>
      <c r="B271" s="253"/>
      <c r="C271" s="253"/>
      <c r="D271" s="253"/>
      <c r="E271" s="253"/>
      <c r="F271" s="253"/>
      <c r="G271" s="253"/>
      <c r="H271" s="253"/>
      <c r="I271" s="253"/>
      <c r="J271" s="253"/>
      <c r="K271" s="253"/>
      <c r="L271" s="253"/>
      <c r="M271" s="253"/>
      <c r="N271" s="253"/>
      <c r="O271" s="253"/>
      <c r="P271" s="253"/>
      <c r="Q271" s="253"/>
    </row>
    <row r="272" spans="1:17">
      <c r="A272" s="253"/>
      <c r="B272" s="253"/>
      <c r="C272" s="253"/>
      <c r="D272" s="253"/>
      <c r="E272" s="253"/>
      <c r="F272" s="253"/>
      <c r="G272" s="253"/>
      <c r="H272" s="253"/>
      <c r="I272" s="253"/>
      <c r="J272" s="253"/>
      <c r="K272" s="253"/>
      <c r="L272" s="253"/>
      <c r="M272" s="253"/>
      <c r="N272" s="253"/>
      <c r="O272" s="253"/>
      <c r="P272" s="253"/>
      <c r="Q272" s="253"/>
    </row>
    <row r="273" spans="1:17">
      <c r="A273" s="253"/>
      <c r="B273" s="253"/>
      <c r="C273" s="253"/>
      <c r="D273" s="253"/>
      <c r="E273" s="253"/>
      <c r="F273" s="253"/>
      <c r="G273" s="253"/>
      <c r="H273" s="253"/>
      <c r="I273" s="253"/>
      <c r="J273" s="253"/>
      <c r="K273" s="253"/>
      <c r="L273" s="253"/>
      <c r="M273" s="253"/>
      <c r="N273" s="253"/>
      <c r="O273" s="253"/>
      <c r="P273" s="253"/>
      <c r="Q273" s="253"/>
    </row>
    <row r="274" spans="1:17">
      <c r="A274" s="253"/>
      <c r="B274" s="253"/>
      <c r="C274" s="253"/>
      <c r="D274" s="253"/>
      <c r="E274" s="253"/>
      <c r="F274" s="253"/>
      <c r="G274" s="253"/>
      <c r="H274" s="253"/>
      <c r="I274" s="253"/>
      <c r="J274" s="253"/>
      <c r="K274" s="253"/>
      <c r="L274" s="253"/>
      <c r="M274" s="253"/>
      <c r="N274" s="253"/>
      <c r="O274" s="253"/>
      <c r="P274" s="253"/>
      <c r="Q274" s="253"/>
    </row>
    <row r="275" spans="1:17">
      <c r="A275" s="253"/>
      <c r="B275" s="253"/>
      <c r="C275" s="253"/>
      <c r="D275" s="253"/>
      <c r="E275" s="253"/>
      <c r="F275" s="253"/>
      <c r="G275" s="253"/>
      <c r="H275" s="253"/>
      <c r="I275" s="253"/>
      <c r="J275" s="253"/>
      <c r="K275" s="253"/>
      <c r="L275" s="253"/>
      <c r="M275" s="253"/>
      <c r="N275" s="253"/>
      <c r="O275" s="253"/>
      <c r="P275" s="253"/>
      <c r="Q275" s="253"/>
    </row>
    <row r="276" spans="1:17">
      <c r="A276" s="253"/>
      <c r="B276" s="253"/>
      <c r="C276" s="253"/>
      <c r="D276" s="253"/>
      <c r="E276" s="253"/>
      <c r="F276" s="253"/>
      <c r="G276" s="253"/>
      <c r="H276" s="253"/>
      <c r="I276" s="253"/>
      <c r="J276" s="253"/>
      <c r="K276" s="253"/>
      <c r="L276" s="253"/>
      <c r="M276" s="253"/>
      <c r="N276" s="253"/>
      <c r="O276" s="253"/>
      <c r="P276" s="253"/>
      <c r="Q276" s="253"/>
    </row>
    <row r="277" spans="1:17">
      <c r="A277" s="253"/>
      <c r="B277" s="253"/>
      <c r="C277" s="253"/>
      <c r="D277" s="253"/>
      <c r="E277" s="253"/>
      <c r="F277" s="253"/>
      <c r="G277" s="253"/>
      <c r="H277" s="253"/>
      <c r="I277" s="253"/>
      <c r="J277" s="253"/>
      <c r="K277" s="253"/>
      <c r="L277" s="253"/>
      <c r="M277" s="253"/>
      <c r="N277" s="253"/>
      <c r="O277" s="253"/>
      <c r="P277" s="253"/>
      <c r="Q277" s="253"/>
    </row>
    <row r="278" spans="1:17">
      <c r="A278" s="253"/>
      <c r="B278" s="253"/>
      <c r="C278" s="253"/>
      <c r="D278" s="253"/>
      <c r="E278" s="253"/>
      <c r="F278" s="253"/>
      <c r="G278" s="253"/>
      <c r="H278" s="253"/>
      <c r="I278" s="253"/>
      <c r="J278" s="253"/>
      <c r="K278" s="253"/>
      <c r="L278" s="253"/>
      <c r="M278" s="253"/>
      <c r="N278" s="253"/>
      <c r="O278" s="253"/>
      <c r="P278" s="253"/>
      <c r="Q278" s="253"/>
    </row>
    <row r="279" spans="1:17">
      <c r="A279" s="253"/>
      <c r="B279" s="253"/>
      <c r="C279" s="253"/>
      <c r="D279" s="253"/>
      <c r="E279" s="253"/>
      <c r="F279" s="253"/>
      <c r="G279" s="253"/>
      <c r="H279" s="253"/>
      <c r="I279" s="253"/>
      <c r="J279" s="253"/>
      <c r="K279" s="253"/>
      <c r="L279" s="253"/>
      <c r="M279" s="253"/>
      <c r="N279" s="253"/>
      <c r="O279" s="253"/>
      <c r="P279" s="253"/>
      <c r="Q279" s="253"/>
    </row>
    <row r="280" spans="1:17">
      <c r="A280" s="253"/>
      <c r="B280" s="253"/>
      <c r="C280" s="253"/>
      <c r="D280" s="253"/>
      <c r="E280" s="253"/>
      <c r="F280" s="253"/>
      <c r="G280" s="253"/>
      <c r="H280" s="253"/>
      <c r="I280" s="253"/>
      <c r="J280" s="253"/>
      <c r="K280" s="253"/>
      <c r="L280" s="253"/>
      <c r="M280" s="253"/>
      <c r="N280" s="253"/>
      <c r="O280" s="253"/>
      <c r="P280" s="253"/>
      <c r="Q280" s="253"/>
    </row>
    <row r="281" spans="1:17">
      <c r="A281" s="253"/>
      <c r="B281" s="253"/>
      <c r="C281" s="253"/>
      <c r="D281" s="253"/>
      <c r="E281" s="253"/>
      <c r="F281" s="253"/>
      <c r="G281" s="253"/>
      <c r="H281" s="253"/>
      <c r="I281" s="253"/>
      <c r="J281" s="253"/>
      <c r="K281" s="253"/>
      <c r="L281" s="253"/>
      <c r="M281" s="253"/>
      <c r="N281" s="253"/>
      <c r="O281" s="253"/>
      <c r="P281" s="253"/>
      <c r="Q281" s="253"/>
    </row>
    <row r="282" spans="1:17">
      <c r="A282" s="253"/>
      <c r="B282" s="253"/>
      <c r="C282" s="253"/>
      <c r="D282" s="253"/>
      <c r="E282" s="253"/>
      <c r="F282" s="253"/>
      <c r="G282" s="253"/>
      <c r="H282" s="253"/>
      <c r="I282" s="253"/>
      <c r="J282" s="253"/>
      <c r="K282" s="253"/>
      <c r="L282" s="253"/>
      <c r="M282" s="253"/>
      <c r="N282" s="253"/>
      <c r="O282" s="253"/>
      <c r="P282" s="253"/>
      <c r="Q282" s="253"/>
    </row>
    <row r="283" spans="1:17">
      <c r="A283" s="253"/>
      <c r="B283" s="253"/>
      <c r="C283" s="253"/>
      <c r="D283" s="253"/>
      <c r="E283" s="253"/>
      <c r="F283" s="253"/>
      <c r="G283" s="253"/>
      <c r="H283" s="253"/>
      <c r="I283" s="253"/>
      <c r="J283" s="253"/>
      <c r="K283" s="253"/>
      <c r="L283" s="253"/>
      <c r="M283" s="253"/>
      <c r="N283" s="253"/>
      <c r="O283" s="253"/>
      <c r="P283" s="253"/>
      <c r="Q283" s="253"/>
    </row>
    <row r="284" spans="1:17">
      <c r="A284" s="253"/>
      <c r="B284" s="253"/>
      <c r="C284" s="253"/>
      <c r="D284" s="253"/>
      <c r="E284" s="253"/>
      <c r="F284" s="253"/>
      <c r="G284" s="253"/>
      <c r="H284" s="253"/>
      <c r="I284" s="253"/>
      <c r="J284" s="253"/>
      <c r="K284" s="253"/>
      <c r="L284" s="253"/>
      <c r="M284" s="253"/>
      <c r="N284" s="253"/>
      <c r="O284" s="253"/>
      <c r="P284" s="253"/>
      <c r="Q284" s="253"/>
    </row>
    <row r="285" spans="1:17">
      <c r="A285" s="253"/>
      <c r="B285" s="253"/>
      <c r="C285" s="253"/>
      <c r="D285" s="253"/>
      <c r="E285" s="253"/>
      <c r="F285" s="253"/>
      <c r="G285" s="253"/>
      <c r="H285" s="253"/>
      <c r="I285" s="253"/>
      <c r="J285" s="253"/>
      <c r="K285" s="253"/>
      <c r="L285" s="253"/>
      <c r="M285" s="253"/>
      <c r="N285" s="253"/>
      <c r="O285" s="253"/>
      <c r="P285" s="253"/>
      <c r="Q285" s="253"/>
    </row>
    <row r="286" spans="1:17">
      <c r="A286" s="253"/>
      <c r="B286" s="253"/>
      <c r="C286" s="253"/>
      <c r="D286" s="253"/>
      <c r="E286" s="253"/>
      <c r="F286" s="253"/>
      <c r="G286" s="253"/>
      <c r="H286" s="253"/>
      <c r="I286" s="253"/>
      <c r="J286" s="253"/>
      <c r="K286" s="253"/>
      <c r="L286" s="253"/>
      <c r="M286" s="253"/>
      <c r="N286" s="253"/>
      <c r="O286" s="253"/>
      <c r="P286" s="253"/>
      <c r="Q286" s="253"/>
    </row>
    <row r="287" spans="1:17">
      <c r="A287" s="253"/>
      <c r="B287" s="253"/>
      <c r="C287" s="253"/>
      <c r="D287" s="253"/>
      <c r="E287" s="253"/>
      <c r="F287" s="253"/>
      <c r="G287" s="253"/>
      <c r="H287" s="253"/>
      <c r="I287" s="253"/>
      <c r="J287" s="253"/>
      <c r="K287" s="253"/>
      <c r="L287" s="253"/>
      <c r="M287" s="253"/>
      <c r="N287" s="253"/>
      <c r="O287" s="253"/>
      <c r="P287" s="253"/>
      <c r="Q287" s="253"/>
    </row>
    <row r="288" spans="1:17">
      <c r="A288" s="253"/>
      <c r="B288" s="253"/>
      <c r="C288" s="253"/>
      <c r="D288" s="253"/>
      <c r="E288" s="253"/>
      <c r="F288" s="253"/>
      <c r="G288" s="253"/>
      <c r="H288" s="253"/>
      <c r="I288" s="253"/>
      <c r="J288" s="253"/>
      <c r="K288" s="253"/>
      <c r="L288" s="253"/>
      <c r="M288" s="253"/>
      <c r="N288" s="253"/>
      <c r="O288" s="253"/>
      <c r="P288" s="253"/>
      <c r="Q288" s="253"/>
    </row>
    <row r="289" spans="1:17">
      <c r="A289" s="253"/>
      <c r="B289" s="253"/>
      <c r="C289" s="253"/>
      <c r="D289" s="253"/>
      <c r="E289" s="253"/>
      <c r="F289" s="253"/>
      <c r="G289" s="253"/>
      <c r="H289" s="253"/>
      <c r="I289" s="253"/>
      <c r="J289" s="253"/>
      <c r="K289" s="253"/>
      <c r="L289" s="253"/>
      <c r="M289" s="253"/>
      <c r="N289" s="253"/>
      <c r="O289" s="253"/>
      <c r="P289" s="253"/>
      <c r="Q289" s="253"/>
    </row>
    <row r="290" spans="1:17">
      <c r="A290" s="253"/>
      <c r="B290" s="253"/>
      <c r="C290" s="253"/>
      <c r="D290" s="253"/>
      <c r="E290" s="253"/>
      <c r="F290" s="253"/>
      <c r="G290" s="253"/>
      <c r="H290" s="253"/>
      <c r="I290" s="253"/>
      <c r="J290" s="253"/>
      <c r="K290" s="253"/>
      <c r="L290" s="253"/>
      <c r="M290" s="253"/>
      <c r="N290" s="253"/>
      <c r="O290" s="253"/>
      <c r="P290" s="253"/>
      <c r="Q290" s="253"/>
    </row>
    <row r="291" spans="1:17">
      <c r="A291" s="253"/>
      <c r="B291" s="253"/>
      <c r="C291" s="253"/>
      <c r="D291" s="253"/>
      <c r="E291" s="253"/>
      <c r="F291" s="253"/>
      <c r="G291" s="253"/>
      <c r="H291" s="253"/>
      <c r="I291" s="253"/>
      <c r="J291" s="253"/>
      <c r="K291" s="253"/>
      <c r="L291" s="253"/>
      <c r="M291" s="253"/>
      <c r="N291" s="253"/>
      <c r="O291" s="253"/>
      <c r="P291" s="253"/>
      <c r="Q291" s="253"/>
    </row>
    <row r="292" spans="1:17">
      <c r="A292" s="253"/>
      <c r="B292" s="253"/>
      <c r="C292" s="253"/>
      <c r="D292" s="253"/>
      <c r="E292" s="253"/>
      <c r="F292" s="253"/>
      <c r="G292" s="253"/>
      <c r="H292" s="253"/>
      <c r="I292" s="253"/>
      <c r="J292" s="253"/>
      <c r="K292" s="253"/>
      <c r="L292" s="253"/>
      <c r="M292" s="253"/>
      <c r="N292" s="253"/>
      <c r="O292" s="253"/>
      <c r="P292" s="253"/>
      <c r="Q292" s="253"/>
    </row>
    <row r="293" spans="1:17">
      <c r="A293" s="253"/>
      <c r="B293" s="253"/>
      <c r="C293" s="253"/>
      <c r="D293" s="253"/>
      <c r="E293" s="253"/>
      <c r="F293" s="253"/>
      <c r="G293" s="253"/>
      <c r="H293" s="253"/>
      <c r="I293" s="253"/>
      <c r="J293" s="253"/>
      <c r="K293" s="253"/>
      <c r="L293" s="253"/>
      <c r="M293" s="253"/>
      <c r="N293" s="253"/>
      <c r="O293" s="253"/>
      <c r="P293" s="253"/>
      <c r="Q293" s="253"/>
    </row>
    <row r="294" spans="1:17">
      <c r="A294" s="253"/>
      <c r="B294" s="253"/>
      <c r="C294" s="253"/>
      <c r="D294" s="253"/>
      <c r="E294" s="253"/>
      <c r="F294" s="253"/>
      <c r="G294" s="253"/>
      <c r="H294" s="253"/>
      <c r="I294" s="253"/>
      <c r="J294" s="253"/>
      <c r="K294" s="253"/>
      <c r="L294" s="253"/>
      <c r="M294" s="253"/>
      <c r="N294" s="253"/>
      <c r="O294" s="253"/>
      <c r="P294" s="253"/>
      <c r="Q294" s="253"/>
    </row>
    <row r="295" spans="1:17">
      <c r="A295" s="253"/>
      <c r="B295" s="253"/>
      <c r="C295" s="253"/>
      <c r="D295" s="253"/>
      <c r="E295" s="253"/>
      <c r="F295" s="253"/>
      <c r="G295" s="253"/>
      <c r="H295" s="253"/>
      <c r="I295" s="253"/>
      <c r="J295" s="253"/>
      <c r="K295" s="253"/>
      <c r="L295" s="253"/>
      <c r="M295" s="253"/>
      <c r="N295" s="253"/>
      <c r="O295" s="253"/>
      <c r="P295" s="253"/>
      <c r="Q295" s="253"/>
    </row>
    <row r="296" spans="1:17">
      <c r="A296" s="253"/>
      <c r="B296" s="253"/>
      <c r="C296" s="253"/>
      <c r="D296" s="253"/>
      <c r="E296" s="253"/>
      <c r="F296" s="253"/>
      <c r="G296" s="253"/>
      <c r="H296" s="253"/>
      <c r="I296" s="253"/>
      <c r="J296" s="253"/>
      <c r="K296" s="253"/>
      <c r="L296" s="253"/>
      <c r="M296" s="253"/>
      <c r="N296" s="253"/>
      <c r="O296" s="253"/>
      <c r="P296" s="253"/>
      <c r="Q296" s="253"/>
    </row>
    <row r="297" spans="1:17">
      <c r="A297" s="253"/>
      <c r="B297" s="253"/>
      <c r="C297" s="253"/>
      <c r="D297" s="253"/>
      <c r="E297" s="253"/>
      <c r="F297" s="253"/>
      <c r="G297" s="253"/>
      <c r="H297" s="253"/>
      <c r="I297" s="253"/>
      <c r="J297" s="253"/>
      <c r="K297" s="253"/>
      <c r="L297" s="253"/>
      <c r="M297" s="253"/>
      <c r="N297" s="253"/>
      <c r="O297" s="253"/>
      <c r="P297" s="253"/>
      <c r="Q297" s="253"/>
    </row>
    <row r="298" spans="1:17">
      <c r="A298" s="253"/>
      <c r="B298" s="253"/>
      <c r="C298" s="253"/>
      <c r="D298" s="253"/>
      <c r="E298" s="253"/>
      <c r="F298" s="253"/>
      <c r="G298" s="253"/>
      <c r="H298" s="253"/>
      <c r="I298" s="253"/>
      <c r="J298" s="253"/>
      <c r="K298" s="253"/>
      <c r="L298" s="253"/>
      <c r="M298" s="253"/>
      <c r="N298" s="253"/>
      <c r="O298" s="253"/>
      <c r="P298" s="253"/>
      <c r="Q298" s="253"/>
    </row>
    <row r="299" spans="1:17">
      <c r="A299" s="253"/>
      <c r="B299" s="253"/>
      <c r="C299" s="253"/>
      <c r="D299" s="253"/>
      <c r="E299" s="253"/>
      <c r="F299" s="253"/>
      <c r="G299" s="253"/>
      <c r="H299" s="253"/>
      <c r="I299" s="253"/>
      <c r="J299" s="253"/>
      <c r="K299" s="253"/>
      <c r="L299" s="253"/>
      <c r="M299" s="253"/>
      <c r="N299" s="253"/>
      <c r="O299" s="253"/>
      <c r="P299" s="253"/>
      <c r="Q299" s="253"/>
    </row>
    <row r="300" spans="1:17">
      <c r="A300" s="253"/>
      <c r="B300" s="253"/>
      <c r="C300" s="253"/>
      <c r="D300" s="253"/>
      <c r="E300" s="253"/>
      <c r="F300" s="253"/>
      <c r="G300" s="253"/>
      <c r="H300" s="253"/>
      <c r="I300" s="253"/>
      <c r="J300" s="253"/>
      <c r="K300" s="253"/>
      <c r="L300" s="253"/>
      <c r="M300" s="253"/>
      <c r="N300" s="253"/>
      <c r="O300" s="253"/>
      <c r="P300" s="253"/>
      <c r="Q300" s="253"/>
    </row>
    <row r="301" spans="1:17">
      <c r="A301" s="253"/>
      <c r="B301" s="253"/>
      <c r="C301" s="253"/>
      <c r="D301" s="253"/>
      <c r="E301" s="253"/>
      <c r="F301" s="253"/>
      <c r="G301" s="253"/>
      <c r="H301" s="253"/>
      <c r="I301" s="253"/>
      <c r="J301" s="253"/>
      <c r="K301" s="253"/>
      <c r="L301" s="253"/>
      <c r="M301" s="253"/>
      <c r="N301" s="253"/>
      <c r="O301" s="253"/>
      <c r="P301" s="253"/>
      <c r="Q301" s="253"/>
    </row>
    <row r="302" spans="1:17">
      <c r="A302" s="253"/>
      <c r="B302" s="253"/>
      <c r="C302" s="253"/>
      <c r="D302" s="253"/>
      <c r="E302" s="253"/>
      <c r="F302" s="253"/>
      <c r="G302" s="253"/>
      <c r="H302" s="253"/>
      <c r="I302" s="253"/>
      <c r="J302" s="253"/>
      <c r="K302" s="253"/>
      <c r="L302" s="253"/>
      <c r="M302" s="253"/>
      <c r="N302" s="253"/>
      <c r="O302" s="253"/>
      <c r="P302" s="253"/>
      <c r="Q302" s="253"/>
    </row>
    <row r="303" spans="1:17">
      <c r="A303" s="253"/>
      <c r="B303" s="253"/>
      <c r="C303" s="253"/>
      <c r="D303" s="253"/>
      <c r="E303" s="253"/>
      <c r="F303" s="253"/>
      <c r="G303" s="253"/>
      <c r="H303" s="253"/>
      <c r="I303" s="253"/>
      <c r="J303" s="253"/>
      <c r="K303" s="253"/>
      <c r="L303" s="253"/>
      <c r="M303" s="253"/>
      <c r="N303" s="253"/>
      <c r="O303" s="253"/>
      <c r="P303" s="253"/>
      <c r="Q303" s="253"/>
    </row>
    <row r="304" spans="1:17">
      <c r="A304" s="253"/>
      <c r="B304" s="253"/>
      <c r="C304" s="253"/>
      <c r="D304" s="253"/>
      <c r="E304" s="253"/>
      <c r="F304" s="253"/>
      <c r="G304" s="253"/>
      <c r="H304" s="253"/>
      <c r="I304" s="253"/>
      <c r="J304" s="253"/>
      <c r="K304" s="253"/>
      <c r="L304" s="253"/>
      <c r="M304" s="253"/>
      <c r="N304" s="253"/>
      <c r="O304" s="253"/>
      <c r="P304" s="253"/>
      <c r="Q304" s="253"/>
    </row>
    <row r="305" spans="1:17">
      <c r="A305" s="253"/>
      <c r="B305" s="253"/>
      <c r="C305" s="253"/>
      <c r="D305" s="253"/>
      <c r="E305" s="253"/>
      <c r="F305" s="253"/>
      <c r="G305" s="253"/>
      <c r="H305" s="253"/>
      <c r="I305" s="253"/>
      <c r="J305" s="253"/>
      <c r="K305" s="253"/>
      <c r="L305" s="253"/>
      <c r="M305" s="253"/>
      <c r="N305" s="253"/>
      <c r="O305" s="253"/>
      <c r="P305" s="253"/>
      <c r="Q305" s="253"/>
    </row>
    <row r="306" spans="1:17">
      <c r="A306" s="253"/>
      <c r="B306" s="253"/>
      <c r="C306" s="253"/>
      <c r="D306" s="253"/>
      <c r="E306" s="253"/>
      <c r="F306" s="253"/>
      <c r="G306" s="253"/>
      <c r="H306" s="253"/>
      <c r="I306" s="253"/>
      <c r="J306" s="253"/>
      <c r="K306" s="253"/>
      <c r="L306" s="253"/>
      <c r="M306" s="253"/>
      <c r="N306" s="253"/>
      <c r="O306" s="253"/>
      <c r="P306" s="253"/>
      <c r="Q306" s="253"/>
    </row>
    <row r="307" spans="1:17">
      <c r="A307" s="253"/>
      <c r="B307" s="253"/>
      <c r="C307" s="253"/>
      <c r="D307" s="253"/>
      <c r="E307" s="253"/>
      <c r="F307" s="253"/>
      <c r="G307" s="253"/>
      <c r="H307" s="253"/>
      <c r="I307" s="253"/>
      <c r="J307" s="253"/>
      <c r="K307" s="253"/>
      <c r="L307" s="253"/>
      <c r="M307" s="253"/>
      <c r="N307" s="253"/>
      <c r="O307" s="253"/>
      <c r="P307" s="253"/>
      <c r="Q307" s="253"/>
    </row>
    <row r="308" spans="1:17">
      <c r="A308" s="253"/>
      <c r="B308" s="253"/>
      <c r="C308" s="253"/>
      <c r="D308" s="253"/>
      <c r="E308" s="253"/>
      <c r="F308" s="253"/>
      <c r="G308" s="253"/>
      <c r="H308" s="253"/>
      <c r="I308" s="253"/>
      <c r="J308" s="253"/>
      <c r="K308" s="253"/>
      <c r="L308" s="253"/>
      <c r="M308" s="253"/>
      <c r="N308" s="253"/>
      <c r="O308" s="253"/>
      <c r="P308" s="253"/>
      <c r="Q308" s="253"/>
    </row>
    <row r="309" spans="1:17">
      <c r="A309" s="253"/>
      <c r="B309" s="253"/>
      <c r="C309" s="253"/>
      <c r="D309" s="253"/>
      <c r="E309" s="253"/>
      <c r="F309" s="253"/>
      <c r="G309" s="253"/>
      <c r="H309" s="253"/>
      <c r="I309" s="253"/>
      <c r="J309" s="253"/>
      <c r="K309" s="253"/>
      <c r="L309" s="253"/>
      <c r="M309" s="253"/>
      <c r="N309" s="253"/>
      <c r="O309" s="253"/>
      <c r="P309" s="253"/>
      <c r="Q309" s="253"/>
    </row>
    <row r="310" spans="1:17">
      <c r="A310" s="253"/>
      <c r="B310" s="253"/>
      <c r="C310" s="253"/>
      <c r="D310" s="253"/>
      <c r="E310" s="253"/>
      <c r="F310" s="253"/>
      <c r="G310" s="253"/>
      <c r="H310" s="253"/>
      <c r="I310" s="253"/>
      <c r="J310" s="253"/>
      <c r="K310" s="253"/>
      <c r="L310" s="253"/>
      <c r="M310" s="253"/>
      <c r="N310" s="253"/>
      <c r="O310" s="253"/>
      <c r="P310" s="253"/>
      <c r="Q310" s="253"/>
    </row>
    <row r="311" spans="1:17">
      <c r="A311" s="253"/>
      <c r="B311" s="253"/>
      <c r="C311" s="253"/>
      <c r="D311" s="253"/>
      <c r="E311" s="253"/>
      <c r="F311" s="253"/>
      <c r="G311" s="253"/>
      <c r="H311" s="253"/>
      <c r="I311" s="253"/>
      <c r="J311" s="253"/>
      <c r="K311" s="253"/>
      <c r="L311" s="253"/>
      <c r="M311" s="253"/>
      <c r="N311" s="253"/>
      <c r="O311" s="253"/>
      <c r="P311" s="253"/>
      <c r="Q311" s="253"/>
    </row>
    <row r="312" spans="1:17">
      <c r="A312" s="253"/>
      <c r="B312" s="253"/>
      <c r="C312" s="253"/>
      <c r="D312" s="253"/>
      <c r="E312" s="253"/>
      <c r="F312" s="253"/>
      <c r="G312" s="253"/>
      <c r="H312" s="253"/>
      <c r="I312" s="253"/>
      <c r="J312" s="253"/>
      <c r="K312" s="253"/>
      <c r="L312" s="253"/>
      <c r="M312" s="253"/>
      <c r="N312" s="253"/>
      <c r="O312" s="253"/>
      <c r="P312" s="253"/>
      <c r="Q312" s="253"/>
    </row>
    <row r="313" spans="1:17">
      <c r="A313" s="253"/>
      <c r="B313" s="253"/>
      <c r="C313" s="253"/>
      <c r="D313" s="253"/>
      <c r="E313" s="253"/>
      <c r="F313" s="253"/>
      <c r="G313" s="253"/>
      <c r="H313" s="253"/>
      <c r="I313" s="253"/>
      <c r="J313" s="253"/>
      <c r="K313" s="253"/>
      <c r="L313" s="253"/>
      <c r="M313" s="253"/>
      <c r="N313" s="253"/>
      <c r="O313" s="253"/>
      <c r="P313" s="253"/>
      <c r="Q313" s="253"/>
    </row>
    <row r="314" spans="1:17">
      <c r="A314" s="253"/>
      <c r="B314" s="253"/>
      <c r="C314" s="253"/>
      <c r="D314" s="253"/>
      <c r="E314" s="253"/>
      <c r="F314" s="253"/>
      <c r="G314" s="253"/>
      <c r="H314" s="253"/>
      <c r="I314" s="253"/>
      <c r="J314" s="253"/>
      <c r="K314" s="253"/>
      <c r="L314" s="253"/>
      <c r="M314" s="253"/>
      <c r="N314" s="253"/>
      <c r="O314" s="253"/>
      <c r="P314" s="253"/>
      <c r="Q314" s="253"/>
    </row>
    <row r="315" spans="1:17">
      <c r="A315" s="253"/>
      <c r="B315" s="253"/>
      <c r="C315" s="253"/>
      <c r="D315" s="253"/>
      <c r="E315" s="253"/>
      <c r="F315" s="253"/>
      <c r="G315" s="253"/>
      <c r="H315" s="253"/>
      <c r="I315" s="253"/>
      <c r="J315" s="253"/>
      <c r="K315" s="253"/>
      <c r="L315" s="253"/>
      <c r="M315" s="253"/>
      <c r="N315" s="253"/>
      <c r="O315" s="253"/>
      <c r="P315" s="253"/>
      <c r="Q315" s="253"/>
    </row>
    <row r="316" spans="1:17">
      <c r="A316" s="253"/>
      <c r="B316" s="253"/>
      <c r="C316" s="253"/>
      <c r="D316" s="253"/>
      <c r="E316" s="253"/>
      <c r="F316" s="253"/>
      <c r="G316" s="253"/>
      <c r="H316" s="253"/>
      <c r="I316" s="253"/>
      <c r="J316" s="253"/>
      <c r="K316" s="253"/>
      <c r="L316" s="253"/>
      <c r="M316" s="253"/>
      <c r="N316" s="253"/>
      <c r="O316" s="253"/>
      <c r="P316" s="253"/>
      <c r="Q316" s="253"/>
    </row>
    <row r="317" spans="1:17">
      <c r="A317" s="253"/>
      <c r="B317" s="253"/>
      <c r="C317" s="253"/>
      <c r="D317" s="253"/>
      <c r="E317" s="253"/>
      <c r="F317" s="253"/>
      <c r="G317" s="253"/>
      <c r="H317" s="253"/>
      <c r="I317" s="253"/>
      <c r="J317" s="253"/>
      <c r="K317" s="253"/>
      <c r="L317" s="253"/>
      <c r="M317" s="253"/>
      <c r="N317" s="253"/>
      <c r="O317" s="253"/>
      <c r="P317" s="253"/>
      <c r="Q317" s="253"/>
    </row>
    <row r="318" spans="1:17">
      <c r="A318" s="253"/>
      <c r="B318" s="253"/>
      <c r="C318" s="253"/>
      <c r="D318" s="253"/>
      <c r="E318" s="253"/>
      <c r="F318" s="253"/>
      <c r="G318" s="253"/>
      <c r="H318" s="253"/>
      <c r="I318" s="253"/>
      <c r="J318" s="253"/>
      <c r="K318" s="253"/>
      <c r="L318" s="253"/>
      <c r="M318" s="253"/>
      <c r="N318" s="253"/>
      <c r="O318" s="253"/>
      <c r="P318" s="253"/>
      <c r="Q318" s="253"/>
    </row>
    <row r="319" spans="1:17">
      <c r="A319" s="253"/>
      <c r="B319" s="253"/>
      <c r="C319" s="253"/>
      <c r="D319" s="253"/>
      <c r="E319" s="253"/>
      <c r="F319" s="253"/>
      <c r="G319" s="253"/>
      <c r="H319" s="253"/>
      <c r="I319" s="253"/>
      <c r="J319" s="253"/>
      <c r="K319" s="253"/>
      <c r="L319" s="253"/>
      <c r="M319" s="253"/>
      <c r="N319" s="253"/>
      <c r="O319" s="253"/>
      <c r="P319" s="253"/>
      <c r="Q319" s="253"/>
    </row>
    <row r="320" spans="1:17">
      <c r="A320" s="253"/>
      <c r="B320" s="253"/>
      <c r="C320" s="253"/>
      <c r="D320" s="253"/>
      <c r="E320" s="253"/>
      <c r="F320" s="253"/>
      <c r="G320" s="253"/>
      <c r="H320" s="253"/>
      <c r="I320" s="253"/>
      <c r="J320" s="253"/>
      <c r="K320" s="253"/>
      <c r="L320" s="253"/>
      <c r="M320" s="253"/>
      <c r="N320" s="253"/>
      <c r="O320" s="253"/>
      <c r="P320" s="253"/>
      <c r="Q320" s="253"/>
    </row>
    <row r="321" spans="1:17">
      <c r="A321" s="253"/>
      <c r="B321" s="253"/>
      <c r="C321" s="253"/>
      <c r="D321" s="253"/>
      <c r="E321" s="253"/>
      <c r="F321" s="253"/>
      <c r="G321" s="253"/>
      <c r="H321" s="253"/>
      <c r="I321" s="253"/>
      <c r="J321" s="253"/>
      <c r="K321" s="253"/>
      <c r="L321" s="253"/>
      <c r="M321" s="253"/>
      <c r="N321" s="253"/>
      <c r="O321" s="253"/>
      <c r="P321" s="253"/>
      <c r="Q321" s="253"/>
    </row>
    <row r="322" spans="1:17">
      <c r="A322" s="253"/>
      <c r="B322" s="253"/>
      <c r="C322" s="253"/>
      <c r="D322" s="253"/>
      <c r="E322" s="253"/>
      <c r="F322" s="253"/>
      <c r="G322" s="253"/>
      <c r="H322" s="253"/>
      <c r="I322" s="253"/>
      <c r="J322" s="253"/>
      <c r="K322" s="253"/>
      <c r="L322" s="253"/>
      <c r="M322" s="253"/>
      <c r="N322" s="253"/>
      <c r="O322" s="253"/>
      <c r="P322" s="253"/>
      <c r="Q322" s="253"/>
    </row>
    <row r="323" spans="1:17">
      <c r="A323" s="253"/>
      <c r="B323" s="253"/>
      <c r="C323" s="253"/>
      <c r="D323" s="253"/>
      <c r="E323" s="253"/>
      <c r="F323" s="253"/>
      <c r="G323" s="253"/>
      <c r="H323" s="253"/>
      <c r="I323" s="253"/>
      <c r="J323" s="253"/>
      <c r="K323" s="253"/>
      <c r="L323" s="253"/>
      <c r="M323" s="253"/>
      <c r="N323" s="253"/>
      <c r="O323" s="253"/>
      <c r="P323" s="253"/>
      <c r="Q323" s="253"/>
    </row>
    <row r="324" spans="1:17">
      <c r="A324" s="253"/>
      <c r="B324" s="253"/>
      <c r="C324" s="253"/>
      <c r="D324" s="253"/>
      <c r="E324" s="253"/>
      <c r="F324" s="253"/>
      <c r="G324" s="253"/>
      <c r="H324" s="253"/>
      <c r="I324" s="253"/>
      <c r="J324" s="253"/>
      <c r="K324" s="253"/>
      <c r="L324" s="253"/>
      <c r="M324" s="253"/>
      <c r="N324" s="253"/>
      <c r="O324" s="253"/>
      <c r="P324" s="253"/>
      <c r="Q324" s="253"/>
    </row>
    <row r="325" spans="1:17">
      <c r="A325" s="253"/>
      <c r="B325" s="253"/>
      <c r="C325" s="253"/>
      <c r="D325" s="253"/>
      <c r="E325" s="253"/>
      <c r="F325" s="253"/>
      <c r="G325" s="253"/>
      <c r="H325" s="253"/>
      <c r="I325" s="253"/>
      <c r="J325" s="253"/>
      <c r="K325" s="253"/>
      <c r="L325" s="253"/>
      <c r="M325" s="253"/>
      <c r="N325" s="253"/>
      <c r="O325" s="253"/>
      <c r="P325" s="253"/>
      <c r="Q325" s="253"/>
    </row>
    <row r="326" spans="1:17">
      <c r="A326" s="253"/>
      <c r="B326" s="253"/>
      <c r="C326" s="253"/>
      <c r="D326" s="253"/>
      <c r="E326" s="253"/>
      <c r="F326" s="253"/>
      <c r="G326" s="253"/>
      <c r="H326" s="253"/>
      <c r="I326" s="253"/>
      <c r="J326" s="253"/>
      <c r="K326" s="253"/>
      <c r="L326" s="253"/>
      <c r="M326" s="253"/>
      <c r="N326" s="253"/>
      <c r="O326" s="253"/>
      <c r="P326" s="253"/>
      <c r="Q326" s="253"/>
    </row>
    <row r="327" spans="1:17">
      <c r="A327" s="253"/>
      <c r="B327" s="253"/>
      <c r="C327" s="253"/>
      <c r="D327" s="253"/>
      <c r="E327" s="253"/>
      <c r="F327" s="253"/>
      <c r="G327" s="253"/>
      <c r="H327" s="253"/>
      <c r="I327" s="253"/>
      <c r="J327" s="253"/>
      <c r="K327" s="253"/>
      <c r="L327" s="253"/>
      <c r="M327" s="253"/>
      <c r="N327" s="253"/>
      <c r="O327" s="253"/>
      <c r="P327" s="253"/>
      <c r="Q327" s="253"/>
    </row>
    <row r="328" spans="1:17">
      <c r="A328" s="253"/>
      <c r="B328" s="253"/>
      <c r="C328" s="253"/>
      <c r="D328" s="253"/>
      <c r="E328" s="253"/>
      <c r="F328" s="253"/>
      <c r="G328" s="253"/>
      <c r="H328" s="253"/>
      <c r="I328" s="253"/>
      <c r="J328" s="253"/>
      <c r="K328" s="253"/>
      <c r="L328" s="253"/>
      <c r="M328" s="253"/>
      <c r="N328" s="253"/>
      <c r="O328" s="253"/>
      <c r="P328" s="253"/>
      <c r="Q328" s="253"/>
    </row>
    <row r="329" spans="1:17">
      <c r="A329" s="253"/>
      <c r="B329" s="253"/>
      <c r="C329" s="253"/>
      <c r="D329" s="253"/>
      <c r="E329" s="253"/>
      <c r="F329" s="253"/>
      <c r="G329" s="253"/>
      <c r="H329" s="253"/>
      <c r="I329" s="253"/>
      <c r="J329" s="253"/>
      <c r="K329" s="253"/>
      <c r="L329" s="253"/>
      <c r="M329" s="253"/>
      <c r="N329" s="253"/>
      <c r="O329" s="253"/>
      <c r="P329" s="253"/>
      <c r="Q329" s="253"/>
    </row>
    <row r="330" spans="1:17">
      <c r="A330" s="253"/>
      <c r="B330" s="253"/>
      <c r="C330" s="253"/>
      <c r="D330" s="253"/>
      <c r="E330" s="253"/>
      <c r="F330" s="253"/>
      <c r="G330" s="253"/>
      <c r="H330" s="253"/>
      <c r="I330" s="253"/>
      <c r="J330" s="253"/>
      <c r="K330" s="253"/>
      <c r="L330" s="253"/>
      <c r="M330" s="253"/>
      <c r="N330" s="253"/>
      <c r="O330" s="253"/>
      <c r="P330" s="253"/>
      <c r="Q330" s="253"/>
    </row>
    <row r="331" spans="1:17">
      <c r="A331" s="253"/>
      <c r="B331" s="253"/>
      <c r="C331" s="253"/>
      <c r="D331" s="253"/>
      <c r="E331" s="253"/>
      <c r="F331" s="253"/>
      <c r="G331" s="253"/>
      <c r="H331" s="253"/>
      <c r="I331" s="253"/>
      <c r="J331" s="253"/>
      <c r="K331" s="253"/>
      <c r="L331" s="253"/>
      <c r="M331" s="253"/>
      <c r="N331" s="253"/>
      <c r="O331" s="253"/>
      <c r="P331" s="253"/>
      <c r="Q331" s="253"/>
    </row>
    <row r="332" spans="1:17">
      <c r="A332" s="253"/>
      <c r="B332" s="253"/>
      <c r="C332" s="253"/>
      <c r="D332" s="253"/>
      <c r="E332" s="253"/>
      <c r="F332" s="253"/>
      <c r="G332" s="253"/>
      <c r="H332" s="253"/>
      <c r="I332" s="253"/>
      <c r="J332" s="253"/>
      <c r="K332" s="253"/>
      <c r="L332" s="253"/>
      <c r="M332" s="253"/>
      <c r="N332" s="253"/>
      <c r="O332" s="253"/>
      <c r="P332" s="253"/>
      <c r="Q332" s="253"/>
    </row>
    <row r="333" spans="1:17">
      <c r="A333" s="253"/>
      <c r="B333" s="253"/>
      <c r="C333" s="253"/>
      <c r="D333" s="253"/>
      <c r="E333" s="253"/>
      <c r="F333" s="253"/>
      <c r="G333" s="253"/>
      <c r="H333" s="253"/>
      <c r="I333" s="253"/>
      <c r="J333" s="253"/>
      <c r="K333" s="253"/>
      <c r="L333" s="253"/>
      <c r="M333" s="253"/>
      <c r="N333" s="253"/>
      <c r="O333" s="253"/>
      <c r="P333" s="253"/>
      <c r="Q333" s="253"/>
    </row>
    <row r="334" spans="1:17">
      <c r="A334" s="253"/>
      <c r="B334" s="253"/>
      <c r="C334" s="253"/>
      <c r="D334" s="253"/>
      <c r="E334" s="253"/>
      <c r="F334" s="253"/>
      <c r="G334" s="253"/>
      <c r="H334" s="253"/>
      <c r="I334" s="253"/>
      <c r="J334" s="253"/>
      <c r="K334" s="253"/>
      <c r="L334" s="253"/>
      <c r="M334" s="253"/>
      <c r="N334" s="253"/>
      <c r="O334" s="253"/>
      <c r="P334" s="253"/>
      <c r="Q334" s="253"/>
    </row>
    <row r="335" spans="1:17">
      <c r="A335" s="253"/>
      <c r="B335" s="253"/>
      <c r="C335" s="253"/>
      <c r="D335" s="253"/>
      <c r="E335" s="253"/>
      <c r="F335" s="253"/>
      <c r="G335" s="253"/>
      <c r="H335" s="253"/>
      <c r="I335" s="253"/>
      <c r="J335" s="253"/>
      <c r="K335" s="253"/>
      <c r="L335" s="253"/>
      <c r="M335" s="253"/>
      <c r="N335" s="253"/>
      <c r="O335" s="253"/>
      <c r="P335" s="253"/>
      <c r="Q335" s="253"/>
    </row>
    <row r="336" spans="1:17">
      <c r="A336" s="253"/>
      <c r="B336" s="253"/>
      <c r="C336" s="253"/>
      <c r="D336" s="253"/>
      <c r="E336" s="253"/>
      <c r="F336" s="253"/>
      <c r="G336" s="253"/>
      <c r="H336" s="253"/>
      <c r="I336" s="253"/>
      <c r="J336" s="253"/>
      <c r="K336" s="253"/>
      <c r="L336" s="253"/>
      <c r="M336" s="253"/>
      <c r="N336" s="253"/>
      <c r="O336" s="253"/>
      <c r="P336" s="253"/>
      <c r="Q336" s="253"/>
    </row>
    <row r="337" spans="1:17">
      <c r="A337" s="253"/>
      <c r="B337" s="253"/>
      <c r="C337" s="253"/>
      <c r="D337" s="253"/>
      <c r="E337" s="253"/>
      <c r="F337" s="253"/>
      <c r="G337" s="253"/>
      <c r="H337" s="253"/>
      <c r="I337" s="253"/>
      <c r="J337" s="253"/>
      <c r="K337" s="253"/>
      <c r="L337" s="253"/>
      <c r="M337" s="253"/>
      <c r="N337" s="253"/>
      <c r="O337" s="253"/>
      <c r="P337" s="253"/>
      <c r="Q337" s="253"/>
    </row>
    <row r="338" spans="1:17">
      <c r="A338" s="253"/>
      <c r="B338" s="253"/>
      <c r="C338" s="253"/>
      <c r="D338" s="253"/>
      <c r="E338" s="253"/>
      <c r="F338" s="253"/>
      <c r="G338" s="253"/>
      <c r="H338" s="253"/>
      <c r="I338" s="253"/>
      <c r="J338" s="253"/>
      <c r="K338" s="253"/>
      <c r="L338" s="253"/>
      <c r="M338" s="253"/>
      <c r="N338" s="253"/>
      <c r="O338" s="253"/>
      <c r="P338" s="253"/>
      <c r="Q338" s="253"/>
    </row>
    <row r="339" spans="1:17">
      <c r="A339" s="253"/>
      <c r="B339" s="253"/>
      <c r="C339" s="253"/>
      <c r="D339" s="253"/>
      <c r="E339" s="253"/>
      <c r="F339" s="253"/>
      <c r="G339" s="253"/>
      <c r="H339" s="253"/>
      <c r="I339" s="253"/>
      <c r="J339" s="253"/>
      <c r="K339" s="253"/>
      <c r="L339" s="253"/>
      <c r="M339" s="253"/>
      <c r="N339" s="253"/>
      <c r="O339" s="253"/>
      <c r="P339" s="253"/>
      <c r="Q339" s="253"/>
    </row>
    <row r="340" spans="1:17">
      <c r="A340" s="253"/>
      <c r="B340" s="253"/>
      <c r="C340" s="253"/>
      <c r="D340" s="253"/>
      <c r="E340" s="253"/>
      <c r="F340" s="253"/>
      <c r="G340" s="253"/>
      <c r="H340" s="253"/>
      <c r="I340" s="253"/>
      <c r="J340" s="253"/>
      <c r="K340" s="253"/>
      <c r="L340" s="253"/>
      <c r="M340" s="253"/>
      <c r="N340" s="253"/>
      <c r="O340" s="253"/>
      <c r="P340" s="253"/>
      <c r="Q340" s="253"/>
    </row>
    <row r="341" spans="1:17">
      <c r="A341" s="253"/>
      <c r="B341" s="253"/>
      <c r="C341" s="253"/>
      <c r="D341" s="253"/>
      <c r="E341" s="253"/>
      <c r="F341" s="253"/>
      <c r="G341" s="253"/>
      <c r="H341" s="253"/>
      <c r="I341" s="253"/>
      <c r="J341" s="253"/>
      <c r="K341" s="253"/>
      <c r="L341" s="253"/>
      <c r="M341" s="253"/>
      <c r="N341" s="253"/>
      <c r="O341" s="253"/>
      <c r="P341" s="253"/>
      <c r="Q341" s="253"/>
    </row>
    <row r="342" spans="1:17">
      <c r="A342" s="253"/>
      <c r="B342" s="253"/>
      <c r="C342" s="253"/>
      <c r="D342" s="253"/>
      <c r="E342" s="253"/>
      <c r="F342" s="253"/>
      <c r="G342" s="253"/>
      <c r="H342" s="253"/>
      <c r="I342" s="253"/>
      <c r="J342" s="253"/>
      <c r="K342" s="253"/>
      <c r="L342" s="253"/>
      <c r="M342" s="253"/>
      <c r="N342" s="253"/>
      <c r="O342" s="253"/>
      <c r="P342" s="253"/>
      <c r="Q342" s="253"/>
    </row>
    <row r="343" spans="1:17">
      <c r="A343" s="253"/>
      <c r="B343" s="253"/>
      <c r="C343" s="253"/>
      <c r="D343" s="253"/>
      <c r="E343" s="253"/>
      <c r="F343" s="253"/>
      <c r="G343" s="253"/>
      <c r="H343" s="253"/>
      <c r="I343" s="253"/>
      <c r="J343" s="253"/>
      <c r="K343" s="253"/>
      <c r="L343" s="253"/>
      <c r="M343" s="253"/>
      <c r="N343" s="253"/>
      <c r="O343" s="253"/>
      <c r="P343" s="253"/>
      <c r="Q343" s="253"/>
    </row>
    <row r="344" spans="1:17">
      <c r="A344" s="253"/>
      <c r="B344" s="253"/>
      <c r="C344" s="253"/>
      <c r="D344" s="253"/>
      <c r="E344" s="253"/>
      <c r="F344" s="253"/>
      <c r="G344" s="253"/>
      <c r="H344" s="253"/>
      <c r="I344" s="253"/>
      <c r="J344" s="253"/>
      <c r="K344" s="253"/>
      <c r="L344" s="253"/>
      <c r="M344" s="253"/>
      <c r="N344" s="253"/>
      <c r="O344" s="253"/>
      <c r="P344" s="253"/>
      <c r="Q344" s="253"/>
    </row>
    <row r="345" spans="1:17">
      <c r="A345" s="253"/>
      <c r="B345" s="253"/>
      <c r="C345" s="253"/>
      <c r="D345" s="253"/>
      <c r="E345" s="253"/>
      <c r="F345" s="253"/>
      <c r="G345" s="253"/>
      <c r="H345" s="253"/>
      <c r="I345" s="253"/>
      <c r="J345" s="253"/>
      <c r="K345" s="253"/>
      <c r="L345" s="253"/>
      <c r="M345" s="253"/>
      <c r="N345" s="253"/>
      <c r="O345" s="253"/>
      <c r="P345" s="253"/>
      <c r="Q345" s="253"/>
    </row>
    <row r="346" spans="1:17">
      <c r="A346" s="253"/>
      <c r="B346" s="253"/>
      <c r="C346" s="253"/>
      <c r="D346" s="253"/>
      <c r="E346" s="253"/>
      <c r="F346" s="253"/>
      <c r="G346" s="253"/>
      <c r="H346" s="253"/>
      <c r="I346" s="253"/>
      <c r="J346" s="253"/>
      <c r="K346" s="253"/>
      <c r="L346" s="253"/>
      <c r="M346" s="253"/>
      <c r="N346" s="253"/>
      <c r="O346" s="253"/>
      <c r="P346" s="253"/>
      <c r="Q346" s="253"/>
    </row>
    <row r="347" spans="1:17">
      <c r="A347" s="253"/>
      <c r="B347" s="253"/>
      <c r="C347" s="253"/>
      <c r="D347" s="253"/>
      <c r="E347" s="253"/>
      <c r="F347" s="253"/>
      <c r="G347" s="253"/>
      <c r="H347" s="253"/>
      <c r="I347" s="253"/>
      <c r="J347" s="253"/>
      <c r="K347" s="253"/>
      <c r="L347" s="253"/>
      <c r="M347" s="253"/>
      <c r="N347" s="253"/>
      <c r="O347" s="253"/>
      <c r="P347" s="253"/>
      <c r="Q347" s="253"/>
    </row>
    <row r="348" spans="1:17">
      <c r="A348" s="253"/>
      <c r="B348" s="253"/>
      <c r="C348" s="253"/>
      <c r="D348" s="253"/>
      <c r="E348" s="253"/>
      <c r="F348" s="253"/>
      <c r="G348" s="253"/>
      <c r="H348" s="253"/>
      <c r="I348" s="253"/>
      <c r="J348" s="253"/>
      <c r="K348" s="253"/>
      <c r="L348" s="253"/>
      <c r="M348" s="253"/>
      <c r="N348" s="253"/>
      <c r="O348" s="253"/>
      <c r="P348" s="253"/>
      <c r="Q348" s="253"/>
    </row>
    <row r="349" spans="1:17">
      <c r="A349" s="253"/>
      <c r="B349" s="253"/>
      <c r="C349" s="253"/>
      <c r="D349" s="253"/>
      <c r="E349" s="253"/>
      <c r="F349" s="253"/>
      <c r="G349" s="253"/>
      <c r="H349" s="253"/>
      <c r="I349" s="253"/>
      <c r="J349" s="253"/>
      <c r="K349" s="253"/>
      <c r="L349" s="253"/>
      <c r="M349" s="253"/>
      <c r="N349" s="253"/>
      <c r="O349" s="253"/>
      <c r="P349" s="253"/>
      <c r="Q349" s="253"/>
    </row>
    <row r="350" spans="1:17">
      <c r="A350" s="253"/>
      <c r="B350" s="253"/>
      <c r="C350" s="253"/>
      <c r="D350" s="253"/>
      <c r="E350" s="253"/>
      <c r="F350" s="253"/>
      <c r="G350" s="253"/>
      <c r="H350" s="253"/>
      <c r="I350" s="253"/>
      <c r="J350" s="253"/>
      <c r="K350" s="253"/>
      <c r="L350" s="253"/>
      <c r="M350" s="253"/>
      <c r="N350" s="253"/>
      <c r="O350" s="253"/>
      <c r="P350" s="253"/>
      <c r="Q350" s="253"/>
    </row>
    <row r="351" spans="1:17">
      <c r="A351" s="253"/>
      <c r="B351" s="253"/>
      <c r="C351" s="253"/>
      <c r="D351" s="253"/>
      <c r="E351" s="253"/>
      <c r="F351" s="253"/>
      <c r="G351" s="253"/>
      <c r="H351" s="253"/>
      <c r="I351" s="253"/>
      <c r="J351" s="253"/>
      <c r="K351" s="253"/>
      <c r="L351" s="253"/>
      <c r="M351" s="253"/>
      <c r="N351" s="253"/>
      <c r="O351" s="253"/>
      <c r="P351" s="253"/>
      <c r="Q351" s="253"/>
    </row>
    <row r="352" spans="1:17">
      <c r="A352" s="253"/>
      <c r="B352" s="253"/>
      <c r="C352" s="253"/>
      <c r="D352" s="253"/>
      <c r="E352" s="253"/>
      <c r="F352" s="253"/>
      <c r="G352" s="253"/>
      <c r="H352" s="253"/>
      <c r="I352" s="253"/>
      <c r="J352" s="253"/>
      <c r="K352" s="253"/>
      <c r="L352" s="253"/>
      <c r="M352" s="253"/>
      <c r="N352" s="253"/>
      <c r="O352" s="253"/>
      <c r="P352" s="253"/>
      <c r="Q352" s="253"/>
    </row>
    <row r="353" spans="1:17">
      <c r="A353" s="253"/>
      <c r="B353" s="253"/>
      <c r="C353" s="253"/>
      <c r="D353" s="253"/>
      <c r="E353" s="253"/>
      <c r="F353" s="253"/>
      <c r="G353" s="253"/>
      <c r="H353" s="253"/>
      <c r="I353" s="253"/>
      <c r="J353" s="253"/>
      <c r="K353" s="253"/>
      <c r="L353" s="253"/>
      <c r="M353" s="253"/>
      <c r="N353" s="253"/>
      <c r="O353" s="253"/>
      <c r="P353" s="253"/>
      <c r="Q353" s="253"/>
    </row>
    <row r="354" spans="1:17">
      <c r="A354" s="253"/>
      <c r="B354" s="253"/>
      <c r="C354" s="253"/>
      <c r="D354" s="253"/>
      <c r="E354" s="253"/>
      <c r="F354" s="253"/>
      <c r="G354" s="253"/>
      <c r="H354" s="253"/>
      <c r="I354" s="253"/>
      <c r="J354" s="253"/>
      <c r="K354" s="253"/>
      <c r="L354" s="253"/>
      <c r="M354" s="253"/>
      <c r="N354" s="253"/>
      <c r="O354" s="253"/>
      <c r="P354" s="253"/>
      <c r="Q354" s="253"/>
    </row>
    <row r="355" spans="1:17">
      <c r="A355" s="253"/>
      <c r="B355" s="253"/>
      <c r="C355" s="253"/>
      <c r="D355" s="253"/>
      <c r="E355" s="253"/>
      <c r="F355" s="253"/>
      <c r="G355" s="253"/>
      <c r="H355" s="253"/>
      <c r="I355" s="253"/>
      <c r="J355" s="253"/>
      <c r="K355" s="253"/>
      <c r="L355" s="253"/>
      <c r="M355" s="253"/>
      <c r="N355" s="253"/>
      <c r="O355" s="253"/>
      <c r="P355" s="253"/>
      <c r="Q355" s="253"/>
    </row>
    <row r="356" spans="1:17">
      <c r="A356" s="253"/>
      <c r="B356" s="253"/>
      <c r="C356" s="253"/>
      <c r="D356" s="253"/>
      <c r="E356" s="253"/>
      <c r="F356" s="253"/>
      <c r="G356" s="253"/>
      <c r="H356" s="253"/>
      <c r="I356" s="253"/>
      <c r="J356" s="253"/>
      <c r="K356" s="253"/>
      <c r="L356" s="253"/>
      <c r="M356" s="253"/>
      <c r="N356" s="253"/>
      <c r="O356" s="253"/>
      <c r="P356" s="253"/>
      <c r="Q356" s="253"/>
    </row>
    <row r="357" spans="1:17">
      <c r="A357" s="253"/>
      <c r="B357" s="253"/>
      <c r="C357" s="253"/>
      <c r="D357" s="253"/>
      <c r="E357" s="253"/>
      <c r="F357" s="253"/>
      <c r="G357" s="253"/>
      <c r="H357" s="253"/>
      <c r="I357" s="253"/>
      <c r="J357" s="253"/>
      <c r="K357" s="253"/>
      <c r="L357" s="253"/>
      <c r="M357" s="253"/>
      <c r="N357" s="253"/>
      <c r="O357" s="253"/>
      <c r="P357" s="253"/>
      <c r="Q357" s="253"/>
    </row>
    <row r="358" spans="1:17">
      <c r="A358" s="253"/>
      <c r="B358" s="253"/>
      <c r="C358" s="253"/>
      <c r="D358" s="253"/>
      <c r="E358" s="253"/>
      <c r="F358" s="253"/>
      <c r="G358" s="253"/>
      <c r="H358" s="253"/>
      <c r="I358" s="253"/>
      <c r="J358" s="253"/>
      <c r="K358" s="253"/>
      <c r="L358" s="253"/>
      <c r="M358" s="253"/>
      <c r="N358" s="253"/>
      <c r="O358" s="253"/>
      <c r="P358" s="253"/>
      <c r="Q358" s="253"/>
    </row>
    <row r="359" spans="1:17">
      <c r="A359" s="253"/>
      <c r="B359" s="253"/>
      <c r="C359" s="253"/>
      <c r="D359" s="253"/>
      <c r="E359" s="253"/>
      <c r="F359" s="253"/>
      <c r="G359" s="253"/>
      <c r="H359" s="253"/>
      <c r="I359" s="253"/>
      <c r="J359" s="253"/>
      <c r="K359" s="253"/>
      <c r="L359" s="253"/>
      <c r="M359" s="253"/>
      <c r="N359" s="253"/>
      <c r="O359" s="253"/>
      <c r="P359" s="253"/>
      <c r="Q359" s="253"/>
    </row>
    <row r="360" spans="1:17">
      <c r="A360" s="253"/>
      <c r="B360" s="253"/>
      <c r="C360" s="253"/>
      <c r="D360" s="253"/>
      <c r="E360" s="253"/>
      <c r="F360" s="253"/>
      <c r="G360" s="253"/>
      <c r="H360" s="253"/>
      <c r="I360" s="253"/>
      <c r="J360" s="253"/>
      <c r="K360" s="253"/>
      <c r="L360" s="253"/>
      <c r="M360" s="253"/>
      <c r="N360" s="253"/>
      <c r="O360" s="253"/>
      <c r="P360" s="253"/>
      <c r="Q360" s="253"/>
    </row>
    <row r="361" spans="1:17">
      <c r="A361" s="253"/>
      <c r="B361" s="253"/>
      <c r="C361" s="253"/>
      <c r="D361" s="253"/>
      <c r="E361" s="253"/>
      <c r="F361" s="253"/>
      <c r="G361" s="253"/>
      <c r="H361" s="253"/>
      <c r="I361" s="253"/>
      <c r="J361" s="253"/>
      <c r="K361" s="253"/>
      <c r="L361" s="253"/>
      <c r="M361" s="253"/>
      <c r="N361" s="253"/>
      <c r="O361" s="253"/>
      <c r="P361" s="253"/>
      <c r="Q361" s="253"/>
    </row>
    <row r="362" spans="1:17">
      <c r="A362" s="253"/>
      <c r="B362" s="253"/>
      <c r="C362" s="253"/>
      <c r="D362" s="253"/>
      <c r="E362" s="253"/>
      <c r="F362" s="253"/>
      <c r="G362" s="253"/>
      <c r="H362" s="253"/>
      <c r="I362" s="253"/>
      <c r="J362" s="253"/>
      <c r="K362" s="253"/>
      <c r="L362" s="253"/>
      <c r="M362" s="253"/>
      <c r="N362" s="253"/>
      <c r="O362" s="253"/>
      <c r="P362" s="253"/>
      <c r="Q362" s="253"/>
    </row>
    <row r="363" spans="1:17">
      <c r="A363" s="253"/>
      <c r="B363" s="253"/>
      <c r="C363" s="253"/>
      <c r="D363" s="253"/>
      <c r="E363" s="253"/>
      <c r="F363" s="253"/>
      <c r="G363" s="253"/>
      <c r="H363" s="253"/>
      <c r="I363" s="253"/>
      <c r="J363" s="253"/>
      <c r="K363" s="253"/>
      <c r="L363" s="253"/>
      <c r="M363" s="253"/>
      <c r="N363" s="253"/>
      <c r="O363" s="253"/>
      <c r="P363" s="253"/>
      <c r="Q363" s="253"/>
    </row>
    <row r="364" spans="1:17">
      <c r="A364" s="253"/>
      <c r="B364" s="253"/>
      <c r="C364" s="253"/>
      <c r="D364" s="253"/>
      <c r="E364" s="253"/>
      <c r="F364" s="253"/>
      <c r="G364" s="253"/>
      <c r="H364" s="253"/>
      <c r="I364" s="253"/>
      <c r="J364" s="253"/>
      <c r="K364" s="253"/>
      <c r="L364" s="253"/>
      <c r="M364" s="253"/>
      <c r="N364" s="253"/>
      <c r="O364" s="253"/>
      <c r="P364" s="253"/>
      <c r="Q364" s="253"/>
    </row>
    <row r="365" spans="1:17">
      <c r="A365" s="253"/>
      <c r="B365" s="253"/>
      <c r="C365" s="253"/>
      <c r="D365" s="253"/>
      <c r="E365" s="253"/>
      <c r="F365" s="253"/>
      <c r="G365" s="253"/>
      <c r="H365" s="253"/>
      <c r="I365" s="253"/>
      <c r="J365" s="253"/>
      <c r="K365" s="253"/>
      <c r="L365" s="253"/>
      <c r="M365" s="253"/>
      <c r="N365" s="253"/>
      <c r="O365" s="253"/>
      <c r="P365" s="253"/>
      <c r="Q365" s="253"/>
    </row>
    <row r="366" spans="1:17">
      <c r="A366" s="253"/>
      <c r="B366" s="253"/>
      <c r="C366" s="253"/>
      <c r="D366" s="253"/>
      <c r="E366" s="253"/>
      <c r="F366" s="253"/>
      <c r="G366" s="253"/>
      <c r="H366" s="253"/>
      <c r="I366" s="253"/>
      <c r="J366" s="253"/>
      <c r="K366" s="253"/>
      <c r="L366" s="253"/>
      <c r="M366" s="253"/>
      <c r="N366" s="253"/>
      <c r="O366" s="253"/>
      <c r="P366" s="253"/>
      <c r="Q366" s="253"/>
    </row>
    <row r="367" spans="1:17">
      <c r="A367" s="253"/>
      <c r="B367" s="253"/>
      <c r="C367" s="253"/>
      <c r="D367" s="253"/>
      <c r="E367" s="253"/>
      <c r="F367" s="253"/>
      <c r="G367" s="253"/>
      <c r="H367" s="253"/>
      <c r="I367" s="253"/>
      <c r="J367" s="253"/>
      <c r="K367" s="253"/>
      <c r="L367" s="253"/>
      <c r="M367" s="253"/>
      <c r="N367" s="253"/>
      <c r="O367" s="253"/>
      <c r="P367" s="253"/>
      <c r="Q367" s="253"/>
    </row>
    <row r="368" spans="1:17">
      <c r="A368" s="253"/>
      <c r="B368" s="253"/>
      <c r="C368" s="253"/>
      <c r="D368" s="253"/>
      <c r="E368" s="253"/>
      <c r="F368" s="253"/>
      <c r="G368" s="253"/>
      <c r="H368" s="253"/>
      <c r="I368" s="253"/>
      <c r="J368" s="253"/>
      <c r="K368" s="253"/>
      <c r="L368" s="253"/>
      <c r="M368" s="253"/>
      <c r="N368" s="253"/>
      <c r="O368" s="253"/>
      <c r="P368" s="253"/>
      <c r="Q368" s="253"/>
    </row>
    <row r="369" spans="1:17">
      <c r="A369" s="253"/>
      <c r="B369" s="253"/>
      <c r="C369" s="253"/>
      <c r="D369" s="253"/>
      <c r="E369" s="253"/>
      <c r="F369" s="253"/>
      <c r="G369" s="253"/>
      <c r="H369" s="253"/>
      <c r="I369" s="253"/>
      <c r="J369" s="253"/>
      <c r="K369" s="253"/>
      <c r="L369" s="253"/>
      <c r="M369" s="253"/>
      <c r="N369" s="253"/>
      <c r="O369" s="253"/>
      <c r="P369" s="253"/>
      <c r="Q369" s="253"/>
    </row>
    <row r="370" spans="1:17">
      <c r="A370" s="253"/>
      <c r="B370" s="253"/>
      <c r="C370" s="253"/>
      <c r="D370" s="253"/>
      <c r="E370" s="253"/>
      <c r="F370" s="253"/>
      <c r="G370" s="253"/>
      <c r="H370" s="253"/>
      <c r="I370" s="253"/>
      <c r="J370" s="253"/>
      <c r="K370" s="253"/>
      <c r="L370" s="253"/>
      <c r="M370" s="253"/>
      <c r="N370" s="253"/>
      <c r="O370" s="253"/>
      <c r="P370" s="253"/>
      <c r="Q370" s="253"/>
    </row>
    <row r="371" spans="1:17">
      <c r="A371" s="253"/>
      <c r="B371" s="253"/>
      <c r="C371" s="253"/>
      <c r="D371" s="253"/>
      <c r="E371" s="253"/>
      <c r="F371" s="253"/>
      <c r="G371" s="253"/>
      <c r="H371" s="253"/>
      <c r="I371" s="253"/>
      <c r="J371" s="253"/>
      <c r="K371" s="253"/>
      <c r="L371" s="253"/>
      <c r="M371" s="253"/>
      <c r="N371" s="253"/>
      <c r="O371" s="253"/>
      <c r="P371" s="253"/>
      <c r="Q371" s="253"/>
    </row>
    <row r="372" spans="1:17">
      <c r="A372" s="253"/>
      <c r="B372" s="253"/>
      <c r="C372" s="253"/>
      <c r="D372" s="253"/>
      <c r="E372" s="253"/>
      <c r="F372" s="253"/>
      <c r="G372" s="253"/>
      <c r="H372" s="253"/>
      <c r="I372" s="253"/>
      <c r="J372" s="253"/>
      <c r="K372" s="253"/>
      <c r="L372" s="253"/>
      <c r="M372" s="253"/>
      <c r="N372" s="253"/>
      <c r="O372" s="253"/>
      <c r="P372" s="253"/>
      <c r="Q372" s="253"/>
    </row>
    <row r="373" spans="1:17">
      <c r="A373" s="253"/>
      <c r="B373" s="253"/>
      <c r="C373" s="253"/>
      <c r="D373" s="253"/>
      <c r="E373" s="253"/>
      <c r="F373" s="253"/>
      <c r="G373" s="253"/>
      <c r="H373" s="253"/>
      <c r="I373" s="253"/>
      <c r="J373" s="253"/>
      <c r="K373" s="253"/>
      <c r="L373" s="253"/>
      <c r="M373" s="253"/>
      <c r="N373" s="253"/>
      <c r="O373" s="253"/>
      <c r="P373" s="253"/>
      <c r="Q373" s="253"/>
    </row>
    <row r="374" spans="1:17">
      <c r="A374" s="253"/>
      <c r="B374" s="253"/>
      <c r="C374" s="253"/>
      <c r="D374" s="253"/>
      <c r="E374" s="253"/>
      <c r="F374" s="253"/>
      <c r="G374" s="253"/>
      <c r="H374" s="253"/>
      <c r="I374" s="253"/>
      <c r="J374" s="253"/>
      <c r="K374" s="253"/>
      <c r="L374" s="253"/>
      <c r="M374" s="253"/>
      <c r="N374" s="253"/>
      <c r="O374" s="253"/>
      <c r="P374" s="253"/>
      <c r="Q374" s="253"/>
    </row>
    <row r="375" spans="1:17">
      <c r="A375" s="253"/>
      <c r="B375" s="253"/>
      <c r="C375" s="253"/>
      <c r="D375" s="253"/>
      <c r="E375" s="253"/>
      <c r="F375" s="253"/>
      <c r="G375" s="253"/>
      <c r="H375" s="253"/>
      <c r="I375" s="253"/>
      <c r="J375" s="253"/>
      <c r="K375" s="253"/>
      <c r="L375" s="253"/>
      <c r="M375" s="253"/>
      <c r="N375" s="253"/>
      <c r="O375" s="253"/>
      <c r="P375" s="253"/>
      <c r="Q375" s="253"/>
    </row>
    <row r="376" spans="1:17">
      <c r="A376" s="253"/>
      <c r="B376" s="253"/>
      <c r="C376" s="253"/>
      <c r="D376" s="253"/>
      <c r="E376" s="253"/>
      <c r="F376" s="253"/>
      <c r="G376" s="253"/>
      <c r="H376" s="253"/>
      <c r="I376" s="253"/>
      <c r="J376" s="253"/>
      <c r="K376" s="253"/>
      <c r="L376" s="253"/>
      <c r="M376" s="253"/>
      <c r="N376" s="253"/>
      <c r="O376" s="253"/>
      <c r="P376" s="253"/>
      <c r="Q376" s="253"/>
    </row>
    <row r="377" spans="1:17">
      <c r="A377" s="253"/>
      <c r="B377" s="253"/>
      <c r="C377" s="253"/>
      <c r="D377" s="253"/>
      <c r="E377" s="253"/>
      <c r="F377" s="253"/>
      <c r="G377" s="253"/>
      <c r="H377" s="253"/>
      <c r="I377" s="253"/>
      <c r="J377" s="253"/>
      <c r="K377" s="253"/>
      <c r="L377" s="253"/>
      <c r="M377" s="253"/>
      <c r="N377" s="253"/>
      <c r="O377" s="253"/>
      <c r="P377" s="253"/>
      <c r="Q377" s="253"/>
    </row>
    <row r="378" spans="1:17">
      <c r="A378" s="253"/>
      <c r="B378" s="253"/>
      <c r="C378" s="253"/>
      <c r="D378" s="253"/>
      <c r="E378" s="253"/>
      <c r="F378" s="253"/>
      <c r="G378" s="253"/>
      <c r="H378" s="253"/>
      <c r="I378" s="253"/>
      <c r="J378" s="253"/>
      <c r="K378" s="253"/>
      <c r="L378" s="253"/>
      <c r="M378" s="253"/>
      <c r="N378" s="253"/>
      <c r="O378" s="253"/>
      <c r="P378" s="253"/>
      <c r="Q378" s="253"/>
    </row>
    <row r="379" spans="1:17">
      <c r="A379" s="253"/>
      <c r="B379" s="253"/>
      <c r="C379" s="253"/>
      <c r="D379" s="253"/>
      <c r="E379" s="253"/>
      <c r="F379" s="253"/>
      <c r="G379" s="253"/>
      <c r="H379" s="253"/>
      <c r="I379" s="253"/>
      <c r="J379" s="253"/>
      <c r="K379" s="253"/>
      <c r="L379" s="253"/>
      <c r="M379" s="253"/>
      <c r="N379" s="253"/>
      <c r="O379" s="253"/>
      <c r="P379" s="253"/>
      <c r="Q379" s="253"/>
    </row>
    <row r="380" spans="1:17">
      <c r="A380" s="253"/>
      <c r="B380" s="253"/>
      <c r="C380" s="253"/>
      <c r="D380" s="253"/>
      <c r="E380" s="253"/>
      <c r="F380" s="253"/>
      <c r="G380" s="253"/>
      <c r="H380" s="253"/>
      <c r="I380" s="253"/>
      <c r="J380" s="253"/>
      <c r="K380" s="253"/>
      <c r="L380" s="253"/>
      <c r="M380" s="253"/>
      <c r="N380" s="253"/>
      <c r="O380" s="253"/>
      <c r="P380" s="253"/>
      <c r="Q380" s="253"/>
    </row>
    <row r="381" spans="1:17">
      <c r="A381" s="253"/>
      <c r="B381" s="253"/>
      <c r="C381" s="253"/>
      <c r="D381" s="253"/>
      <c r="E381" s="253"/>
      <c r="F381" s="253"/>
      <c r="G381" s="253"/>
      <c r="H381" s="253"/>
      <c r="I381" s="253"/>
      <c r="J381" s="253"/>
      <c r="K381" s="253"/>
      <c r="L381" s="253"/>
      <c r="M381" s="253"/>
      <c r="N381" s="253"/>
      <c r="O381" s="253"/>
      <c r="P381" s="253"/>
      <c r="Q381" s="253"/>
    </row>
    <row r="382" spans="1:17">
      <c r="A382" s="253"/>
      <c r="B382" s="253"/>
      <c r="C382" s="253"/>
      <c r="D382" s="253"/>
      <c r="E382" s="253"/>
      <c r="F382" s="253"/>
      <c r="G382" s="253"/>
      <c r="H382" s="253"/>
      <c r="I382" s="253"/>
      <c r="J382" s="253"/>
      <c r="K382" s="253"/>
      <c r="L382" s="253"/>
      <c r="M382" s="253"/>
      <c r="N382" s="253"/>
      <c r="O382" s="253"/>
      <c r="P382" s="253"/>
      <c r="Q382" s="253"/>
    </row>
    <row r="383" spans="1:17">
      <c r="A383" s="253"/>
      <c r="B383" s="253"/>
      <c r="C383" s="253"/>
      <c r="D383" s="253"/>
      <c r="E383" s="253"/>
      <c r="F383" s="253"/>
      <c r="G383" s="253"/>
      <c r="H383" s="253"/>
      <c r="I383" s="253"/>
      <c r="J383" s="253"/>
      <c r="K383" s="253"/>
      <c r="L383" s="253"/>
      <c r="M383" s="253"/>
      <c r="N383" s="253"/>
      <c r="O383" s="253"/>
      <c r="P383" s="253"/>
      <c r="Q383" s="253"/>
    </row>
    <row r="384" spans="1:17">
      <c r="A384" s="253"/>
      <c r="B384" s="253"/>
      <c r="C384" s="253"/>
      <c r="D384" s="253"/>
      <c r="E384" s="253"/>
      <c r="F384" s="253"/>
      <c r="G384" s="253"/>
      <c r="H384" s="253"/>
      <c r="I384" s="253"/>
      <c r="J384" s="253"/>
      <c r="K384" s="253"/>
      <c r="L384" s="253"/>
      <c r="M384" s="253"/>
      <c r="N384" s="253"/>
      <c r="O384" s="253"/>
      <c r="P384" s="253"/>
      <c r="Q384" s="253"/>
    </row>
    <row r="385" spans="1:17">
      <c r="A385" s="253"/>
      <c r="B385" s="253"/>
      <c r="C385" s="253"/>
      <c r="D385" s="253"/>
      <c r="E385" s="253"/>
      <c r="F385" s="253"/>
      <c r="G385" s="253"/>
      <c r="H385" s="253"/>
      <c r="I385" s="253"/>
      <c r="J385" s="253"/>
      <c r="K385" s="253"/>
      <c r="L385" s="253"/>
      <c r="M385" s="253"/>
      <c r="N385" s="253"/>
      <c r="O385" s="253"/>
      <c r="P385" s="253"/>
      <c r="Q385" s="253"/>
    </row>
    <row r="386" spans="1:17">
      <c r="A386" s="253"/>
      <c r="B386" s="253"/>
      <c r="C386" s="253"/>
      <c r="D386" s="253"/>
      <c r="E386" s="253"/>
      <c r="F386" s="253"/>
      <c r="G386" s="253"/>
      <c r="H386" s="253"/>
      <c r="I386" s="253"/>
      <c r="J386" s="253"/>
      <c r="K386" s="253"/>
      <c r="L386" s="253"/>
      <c r="M386" s="253"/>
      <c r="N386" s="253"/>
      <c r="O386" s="253"/>
      <c r="P386" s="253"/>
      <c r="Q386" s="253"/>
    </row>
    <row r="387" spans="1:17">
      <c r="A387" s="253"/>
      <c r="B387" s="253"/>
      <c r="C387" s="253"/>
      <c r="D387" s="253"/>
      <c r="E387" s="253"/>
      <c r="F387" s="253"/>
      <c r="G387" s="253"/>
      <c r="H387" s="253"/>
      <c r="I387" s="253"/>
      <c r="J387" s="253"/>
      <c r="K387" s="253"/>
      <c r="L387" s="253"/>
      <c r="M387" s="253"/>
      <c r="N387" s="253"/>
      <c r="O387" s="253"/>
      <c r="P387" s="253"/>
      <c r="Q387" s="253"/>
    </row>
    <row r="388" spans="1:17">
      <c r="A388" s="253"/>
      <c r="B388" s="253"/>
      <c r="C388" s="253"/>
      <c r="D388" s="253"/>
      <c r="E388" s="253"/>
      <c r="F388" s="253"/>
      <c r="G388" s="253"/>
      <c r="H388" s="253"/>
      <c r="I388" s="253"/>
      <c r="J388" s="253"/>
      <c r="K388" s="253"/>
      <c r="L388" s="253"/>
      <c r="M388" s="253"/>
      <c r="N388" s="253"/>
      <c r="O388" s="253"/>
      <c r="P388" s="253"/>
      <c r="Q388" s="253"/>
    </row>
    <row r="389" spans="1:17">
      <c r="A389" s="253"/>
      <c r="B389" s="253"/>
      <c r="C389" s="253"/>
      <c r="D389" s="253"/>
      <c r="E389" s="253"/>
      <c r="F389" s="253"/>
      <c r="G389" s="253"/>
      <c r="H389" s="253"/>
      <c r="I389" s="253"/>
      <c r="J389" s="253"/>
      <c r="K389" s="253"/>
      <c r="L389" s="253"/>
      <c r="M389" s="253"/>
      <c r="N389" s="253"/>
      <c r="O389" s="253"/>
      <c r="P389" s="253"/>
      <c r="Q389" s="253"/>
    </row>
    <row r="390" spans="1:17">
      <c r="A390" s="253"/>
      <c r="B390" s="253"/>
      <c r="C390" s="253"/>
      <c r="D390" s="253"/>
      <c r="E390" s="253"/>
      <c r="F390" s="253"/>
      <c r="G390" s="253"/>
      <c r="H390" s="253"/>
      <c r="I390" s="253"/>
      <c r="J390" s="253"/>
      <c r="K390" s="253"/>
      <c r="L390" s="253"/>
      <c r="M390" s="253"/>
      <c r="N390" s="253"/>
      <c r="O390" s="253"/>
      <c r="P390" s="253"/>
      <c r="Q390" s="253"/>
    </row>
    <row r="391" spans="1:17">
      <c r="A391" s="253"/>
      <c r="B391" s="253"/>
      <c r="C391" s="253"/>
      <c r="D391" s="253"/>
      <c r="E391" s="253"/>
      <c r="F391" s="253"/>
      <c r="G391" s="253"/>
      <c r="H391" s="253"/>
      <c r="I391" s="253"/>
      <c r="J391" s="253"/>
      <c r="K391" s="253"/>
      <c r="L391" s="253"/>
      <c r="M391" s="253"/>
      <c r="N391" s="253"/>
      <c r="O391" s="253"/>
      <c r="P391" s="253"/>
      <c r="Q391" s="253"/>
    </row>
    <row r="392" spans="1:17">
      <c r="A392" s="253"/>
      <c r="B392" s="253"/>
      <c r="C392" s="253"/>
      <c r="D392" s="253"/>
      <c r="E392" s="253"/>
      <c r="F392" s="253"/>
      <c r="G392" s="253"/>
      <c r="H392" s="253"/>
      <c r="I392" s="253"/>
      <c r="J392" s="253"/>
      <c r="K392" s="253"/>
      <c r="L392" s="253"/>
      <c r="M392" s="253"/>
      <c r="N392" s="253"/>
      <c r="O392" s="253"/>
      <c r="P392" s="253"/>
      <c r="Q392" s="253"/>
    </row>
    <row r="393" spans="1:17">
      <c r="A393" s="253"/>
      <c r="B393" s="253"/>
      <c r="C393" s="253"/>
      <c r="D393" s="253"/>
      <c r="E393" s="253"/>
      <c r="F393" s="253"/>
      <c r="G393" s="253"/>
      <c r="H393" s="253"/>
      <c r="I393" s="253"/>
      <c r="J393" s="253"/>
      <c r="K393" s="253"/>
      <c r="L393" s="253"/>
      <c r="M393" s="253"/>
      <c r="N393" s="253"/>
      <c r="O393" s="253"/>
      <c r="P393" s="253"/>
      <c r="Q393" s="253"/>
    </row>
    <row r="394" spans="1:17">
      <c r="A394" s="253"/>
      <c r="B394" s="253"/>
      <c r="C394" s="253"/>
      <c r="D394" s="253"/>
      <c r="E394" s="253"/>
      <c r="F394" s="253"/>
      <c r="G394" s="253"/>
      <c r="H394" s="253"/>
      <c r="I394" s="253"/>
      <c r="J394" s="253"/>
      <c r="K394" s="253"/>
      <c r="L394" s="253"/>
      <c r="M394" s="253"/>
      <c r="N394" s="253"/>
      <c r="O394" s="253"/>
      <c r="P394" s="253"/>
      <c r="Q394" s="253"/>
    </row>
    <row r="395" spans="1:17">
      <c r="A395" s="253"/>
      <c r="B395" s="253"/>
      <c r="C395" s="253"/>
      <c r="D395" s="253"/>
      <c r="E395" s="253"/>
      <c r="F395" s="253"/>
      <c r="G395" s="253"/>
      <c r="H395" s="253"/>
      <c r="I395" s="253"/>
      <c r="J395" s="253"/>
      <c r="K395" s="253"/>
      <c r="L395" s="253"/>
      <c r="M395" s="253"/>
      <c r="N395" s="253"/>
      <c r="O395" s="253"/>
      <c r="P395" s="253"/>
      <c r="Q395" s="253"/>
    </row>
    <row r="396" spans="1:17">
      <c r="A396" s="253"/>
      <c r="B396" s="253"/>
      <c r="C396" s="253"/>
      <c r="D396" s="253"/>
      <c r="E396" s="253"/>
      <c r="F396" s="253"/>
      <c r="G396" s="253"/>
      <c r="H396" s="253"/>
      <c r="I396" s="253"/>
      <c r="J396" s="253"/>
      <c r="K396" s="253"/>
      <c r="L396" s="253"/>
      <c r="M396" s="253"/>
      <c r="N396" s="253"/>
      <c r="O396" s="253"/>
      <c r="P396" s="253"/>
      <c r="Q396" s="253"/>
    </row>
    <row r="397" spans="1:17">
      <c r="A397" s="253"/>
      <c r="B397" s="253"/>
      <c r="C397" s="253"/>
      <c r="D397" s="253"/>
      <c r="E397" s="253"/>
      <c r="F397" s="253"/>
      <c r="G397" s="253"/>
      <c r="H397" s="253"/>
      <c r="I397" s="253"/>
      <c r="J397" s="253"/>
      <c r="K397" s="253"/>
      <c r="L397" s="253"/>
      <c r="M397" s="253"/>
      <c r="N397" s="253"/>
      <c r="O397" s="253"/>
      <c r="P397" s="253"/>
      <c r="Q397" s="253"/>
    </row>
    <row r="398" spans="1:17">
      <c r="A398" s="253"/>
      <c r="B398" s="253"/>
      <c r="C398" s="253"/>
      <c r="D398" s="253"/>
      <c r="E398" s="253"/>
      <c r="F398" s="253"/>
      <c r="G398" s="253"/>
      <c r="H398" s="253"/>
      <c r="I398" s="253"/>
      <c r="J398" s="253"/>
      <c r="K398" s="253"/>
      <c r="L398" s="253"/>
      <c r="M398" s="253"/>
      <c r="N398" s="253"/>
      <c r="O398" s="253"/>
      <c r="P398" s="253"/>
      <c r="Q398" s="253"/>
    </row>
    <row r="399" spans="1:17">
      <c r="A399" s="253"/>
      <c r="B399" s="253"/>
      <c r="C399" s="253"/>
      <c r="D399" s="253"/>
      <c r="E399" s="253"/>
      <c r="F399" s="253"/>
      <c r="G399" s="253"/>
      <c r="H399" s="253"/>
      <c r="I399" s="253"/>
      <c r="J399" s="253"/>
      <c r="K399" s="253"/>
      <c r="L399" s="253"/>
      <c r="M399" s="253"/>
      <c r="N399" s="253"/>
      <c r="O399" s="253"/>
      <c r="P399" s="253"/>
      <c r="Q399" s="253"/>
    </row>
    <row r="400" spans="1:17">
      <c r="A400" s="253"/>
      <c r="B400" s="253"/>
      <c r="C400" s="253"/>
      <c r="D400" s="253"/>
      <c r="E400" s="253"/>
      <c r="F400" s="253"/>
      <c r="G400" s="253"/>
      <c r="H400" s="253"/>
      <c r="I400" s="253"/>
      <c r="J400" s="253"/>
      <c r="K400" s="253"/>
      <c r="L400" s="253"/>
      <c r="M400" s="253"/>
      <c r="N400" s="253"/>
      <c r="O400" s="253"/>
      <c r="P400" s="253"/>
      <c r="Q400" s="253"/>
    </row>
    <row r="401" spans="1:17">
      <c r="A401" s="253"/>
      <c r="B401" s="253"/>
      <c r="C401" s="253"/>
      <c r="D401" s="253"/>
      <c r="E401" s="253"/>
      <c r="F401" s="253"/>
      <c r="G401" s="253"/>
      <c r="H401" s="253"/>
      <c r="I401" s="253"/>
      <c r="J401" s="253"/>
      <c r="K401" s="253"/>
      <c r="L401" s="253"/>
      <c r="M401" s="253"/>
      <c r="N401" s="253"/>
      <c r="O401" s="253"/>
      <c r="P401" s="253"/>
      <c r="Q401" s="253"/>
    </row>
    <row r="402" spans="1:17">
      <c r="A402" s="253"/>
      <c r="B402" s="253"/>
      <c r="C402" s="253"/>
      <c r="D402" s="253"/>
      <c r="E402" s="253"/>
      <c r="F402" s="253"/>
      <c r="G402" s="253"/>
      <c r="H402" s="253"/>
      <c r="I402" s="253"/>
      <c r="J402" s="253"/>
      <c r="K402" s="253"/>
      <c r="L402" s="253"/>
      <c r="M402" s="253"/>
      <c r="N402" s="253"/>
      <c r="O402" s="253"/>
      <c r="P402" s="253"/>
      <c r="Q402" s="253"/>
    </row>
    <row r="403" spans="1:17">
      <c r="A403" s="253"/>
      <c r="B403" s="253"/>
      <c r="C403" s="253"/>
      <c r="D403" s="253"/>
      <c r="E403" s="253"/>
      <c r="F403" s="253"/>
      <c r="G403" s="253"/>
      <c r="H403" s="253"/>
      <c r="I403" s="253"/>
      <c r="J403" s="253"/>
      <c r="K403" s="253"/>
      <c r="L403" s="253"/>
      <c r="M403" s="253"/>
      <c r="N403" s="253"/>
      <c r="O403" s="253"/>
      <c r="P403" s="253"/>
      <c r="Q403" s="253"/>
    </row>
    <row r="404" spans="1:17">
      <c r="A404" s="253"/>
      <c r="B404" s="253"/>
      <c r="C404" s="253"/>
      <c r="D404" s="253"/>
      <c r="E404" s="253"/>
      <c r="F404" s="253"/>
      <c r="G404" s="253"/>
      <c r="H404" s="253"/>
      <c r="I404" s="253"/>
      <c r="J404" s="253"/>
      <c r="K404" s="253"/>
      <c r="L404" s="253"/>
      <c r="M404" s="253"/>
      <c r="N404" s="253"/>
      <c r="O404" s="253"/>
      <c r="P404" s="253"/>
      <c r="Q404" s="253"/>
    </row>
    <row r="405" spans="1:17">
      <c r="A405" s="253"/>
      <c r="B405" s="253"/>
      <c r="C405" s="253"/>
      <c r="D405" s="253"/>
      <c r="E405" s="253"/>
      <c r="F405" s="253"/>
      <c r="G405" s="253"/>
      <c r="H405" s="253"/>
      <c r="I405" s="253"/>
      <c r="J405" s="253"/>
      <c r="K405" s="253"/>
      <c r="L405" s="253"/>
      <c r="M405" s="253"/>
      <c r="N405" s="253"/>
      <c r="O405" s="253"/>
      <c r="P405" s="253"/>
      <c r="Q405" s="253"/>
    </row>
    <row r="406" spans="1:17">
      <c r="A406" s="253"/>
      <c r="B406" s="253"/>
      <c r="C406" s="253"/>
      <c r="D406" s="253"/>
      <c r="E406" s="253"/>
      <c r="F406" s="253"/>
      <c r="G406" s="253"/>
      <c r="H406" s="253"/>
      <c r="I406" s="253"/>
      <c r="J406" s="253"/>
      <c r="K406" s="253"/>
      <c r="L406" s="253"/>
      <c r="M406" s="253"/>
      <c r="N406" s="253"/>
      <c r="O406" s="253"/>
      <c r="P406" s="253"/>
      <c r="Q406" s="253"/>
    </row>
    <row r="407" spans="1:17">
      <c r="A407" s="253"/>
      <c r="B407" s="253"/>
      <c r="C407" s="253"/>
      <c r="D407" s="253"/>
      <c r="E407" s="253"/>
      <c r="F407" s="253"/>
      <c r="G407" s="253"/>
      <c r="H407" s="253"/>
      <c r="I407" s="253"/>
      <c r="J407" s="253"/>
      <c r="K407" s="253"/>
      <c r="L407" s="253"/>
      <c r="M407" s="253"/>
      <c r="N407" s="253"/>
      <c r="O407" s="253"/>
      <c r="P407" s="253"/>
      <c r="Q407" s="253"/>
    </row>
    <row r="408" spans="1:17">
      <c r="A408" s="253"/>
      <c r="B408" s="253"/>
      <c r="C408" s="253"/>
      <c r="D408" s="253"/>
      <c r="E408" s="253"/>
      <c r="F408" s="253"/>
      <c r="G408" s="253"/>
      <c r="H408" s="253"/>
      <c r="I408" s="253"/>
      <c r="J408" s="253"/>
      <c r="K408" s="253"/>
      <c r="L408" s="253"/>
      <c r="M408" s="253"/>
      <c r="N408" s="253"/>
      <c r="O408" s="253"/>
      <c r="P408" s="253"/>
      <c r="Q408" s="253"/>
    </row>
    <row r="409" spans="1:17">
      <c r="A409" s="253"/>
      <c r="B409" s="253"/>
      <c r="C409" s="253"/>
      <c r="D409" s="253"/>
      <c r="E409" s="253"/>
      <c r="F409" s="253"/>
      <c r="G409" s="253"/>
      <c r="H409" s="253"/>
      <c r="I409" s="253"/>
      <c r="J409" s="253"/>
      <c r="K409" s="253"/>
      <c r="L409" s="253"/>
      <c r="M409" s="253"/>
      <c r="N409" s="253"/>
      <c r="O409" s="253"/>
      <c r="P409" s="253"/>
      <c r="Q409" s="253"/>
    </row>
    <row r="410" spans="1:17">
      <c r="A410" s="253"/>
      <c r="B410" s="253"/>
      <c r="C410" s="253"/>
      <c r="D410" s="253"/>
      <c r="E410" s="253"/>
      <c r="F410" s="253"/>
      <c r="G410" s="253"/>
      <c r="H410" s="253"/>
      <c r="I410" s="253"/>
      <c r="J410" s="253"/>
      <c r="K410" s="253"/>
      <c r="L410" s="253"/>
      <c r="M410" s="253"/>
      <c r="N410" s="253"/>
      <c r="O410" s="253"/>
      <c r="P410" s="253"/>
      <c r="Q410" s="253"/>
    </row>
    <row r="411" spans="1:17">
      <c r="A411" s="253"/>
      <c r="B411" s="253"/>
      <c r="C411" s="253"/>
      <c r="D411" s="253"/>
      <c r="E411" s="253"/>
      <c r="F411" s="253"/>
      <c r="G411" s="253"/>
      <c r="H411" s="253"/>
      <c r="I411" s="253"/>
      <c r="J411" s="253"/>
      <c r="K411" s="253"/>
      <c r="L411" s="253"/>
      <c r="M411" s="253"/>
      <c r="N411" s="253"/>
      <c r="O411" s="253"/>
      <c r="P411" s="253"/>
      <c r="Q411" s="253"/>
    </row>
    <row r="412" spans="1:17">
      <c r="A412" s="253"/>
      <c r="B412" s="253"/>
      <c r="C412" s="253"/>
      <c r="D412" s="253"/>
      <c r="E412" s="253"/>
      <c r="F412" s="253"/>
      <c r="G412" s="253"/>
      <c r="H412" s="253"/>
      <c r="I412" s="253"/>
      <c r="J412" s="253"/>
      <c r="K412" s="253"/>
      <c r="L412" s="253"/>
      <c r="M412" s="253"/>
      <c r="N412" s="253"/>
      <c r="O412" s="253"/>
      <c r="P412" s="253"/>
      <c r="Q412" s="253"/>
    </row>
    <row r="413" spans="1:17">
      <c r="A413" s="253"/>
      <c r="B413" s="253"/>
      <c r="C413" s="253"/>
      <c r="D413" s="253"/>
      <c r="E413" s="253"/>
      <c r="F413" s="253"/>
      <c r="G413" s="253"/>
      <c r="H413" s="253"/>
      <c r="I413" s="253"/>
      <c r="J413" s="253"/>
      <c r="K413" s="253"/>
      <c r="L413" s="253"/>
      <c r="M413" s="253"/>
      <c r="N413" s="253"/>
      <c r="O413" s="253"/>
      <c r="P413" s="253"/>
      <c r="Q413" s="253"/>
    </row>
    <row r="414" spans="1:17">
      <c r="A414" s="253"/>
      <c r="B414" s="253"/>
      <c r="C414" s="253"/>
      <c r="D414" s="253"/>
      <c r="E414" s="253"/>
      <c r="F414" s="253"/>
      <c r="G414" s="253"/>
      <c r="H414" s="253"/>
      <c r="I414" s="253"/>
      <c r="J414" s="253"/>
      <c r="K414" s="253"/>
      <c r="L414" s="253"/>
      <c r="M414" s="253"/>
      <c r="N414" s="253"/>
      <c r="O414" s="253"/>
      <c r="P414" s="253"/>
      <c r="Q414" s="253"/>
    </row>
    <row r="415" spans="1:17">
      <c r="A415" s="253"/>
      <c r="B415" s="253"/>
      <c r="C415" s="253"/>
      <c r="D415" s="253"/>
      <c r="E415" s="253"/>
      <c r="F415" s="253"/>
      <c r="G415" s="253"/>
      <c r="H415" s="253"/>
      <c r="I415" s="253"/>
      <c r="J415" s="253"/>
      <c r="K415" s="253"/>
      <c r="L415" s="253"/>
      <c r="M415" s="253"/>
      <c r="N415" s="253"/>
      <c r="O415" s="253"/>
      <c r="P415" s="253"/>
      <c r="Q415" s="253"/>
    </row>
    <row r="416" spans="1:17">
      <c r="A416" s="253"/>
      <c r="B416" s="253"/>
      <c r="C416" s="253"/>
      <c r="D416" s="253"/>
      <c r="E416" s="253"/>
      <c r="F416" s="253"/>
      <c r="G416" s="253"/>
      <c r="H416" s="253"/>
      <c r="I416" s="253"/>
      <c r="J416" s="253"/>
      <c r="K416" s="253"/>
      <c r="L416" s="253"/>
      <c r="M416" s="253"/>
      <c r="N416" s="253"/>
      <c r="O416" s="253"/>
      <c r="P416" s="253"/>
      <c r="Q416" s="253"/>
    </row>
    <row r="417" spans="1:17">
      <c r="A417" s="253"/>
      <c r="B417" s="253"/>
      <c r="C417" s="253"/>
      <c r="D417" s="253"/>
      <c r="E417" s="253"/>
      <c r="F417" s="253"/>
      <c r="G417" s="253"/>
      <c r="H417" s="253"/>
      <c r="I417" s="253"/>
      <c r="J417" s="253"/>
      <c r="K417" s="253"/>
      <c r="L417" s="253"/>
      <c r="M417" s="253"/>
      <c r="N417" s="253"/>
      <c r="O417" s="253"/>
      <c r="P417" s="253"/>
      <c r="Q417" s="253"/>
    </row>
    <row r="418" spans="1:17">
      <c r="A418" s="253"/>
      <c r="B418" s="253"/>
      <c r="C418" s="253"/>
      <c r="D418" s="253"/>
      <c r="E418" s="253"/>
      <c r="F418" s="253"/>
      <c r="G418" s="253"/>
      <c r="H418" s="253"/>
      <c r="I418" s="253"/>
      <c r="J418" s="253"/>
      <c r="K418" s="253"/>
      <c r="L418" s="253"/>
      <c r="M418" s="253"/>
      <c r="N418" s="253"/>
      <c r="O418" s="253"/>
      <c r="P418" s="253"/>
      <c r="Q418" s="253"/>
    </row>
    <row r="419" spans="1:17">
      <c r="A419" s="253"/>
      <c r="B419" s="253"/>
      <c r="C419" s="253"/>
      <c r="D419" s="253"/>
      <c r="E419" s="253"/>
      <c r="F419" s="253"/>
      <c r="G419" s="253"/>
      <c r="H419" s="253"/>
      <c r="I419" s="253"/>
      <c r="J419" s="253"/>
      <c r="K419" s="253"/>
      <c r="L419" s="253"/>
      <c r="M419" s="253"/>
      <c r="N419" s="253"/>
      <c r="O419" s="253"/>
      <c r="P419" s="253"/>
      <c r="Q419" s="253"/>
    </row>
    <row r="420" spans="1:17">
      <c r="A420" s="253"/>
      <c r="B420" s="253"/>
      <c r="C420" s="253"/>
      <c r="D420" s="253"/>
      <c r="E420" s="253"/>
      <c r="F420" s="253"/>
      <c r="G420" s="253"/>
      <c r="H420" s="253"/>
      <c r="I420" s="253"/>
      <c r="J420" s="253"/>
      <c r="K420" s="253"/>
      <c r="L420" s="253"/>
      <c r="M420" s="253"/>
      <c r="N420" s="253"/>
      <c r="O420" s="253"/>
      <c r="P420" s="253"/>
      <c r="Q420" s="253"/>
    </row>
    <row r="421" spans="1:17">
      <c r="A421" s="253"/>
      <c r="B421" s="253"/>
      <c r="C421" s="253"/>
      <c r="D421" s="253"/>
      <c r="E421" s="253"/>
      <c r="F421" s="253"/>
      <c r="G421" s="253"/>
      <c r="H421" s="253"/>
      <c r="I421" s="253"/>
      <c r="J421" s="253"/>
      <c r="K421" s="253"/>
      <c r="L421" s="253"/>
      <c r="M421" s="253"/>
      <c r="N421" s="253"/>
      <c r="O421" s="253"/>
      <c r="P421" s="253"/>
      <c r="Q421" s="253"/>
    </row>
    <row r="422" spans="1:17">
      <c r="A422" s="253"/>
      <c r="B422" s="253"/>
      <c r="C422" s="253"/>
      <c r="D422" s="253"/>
      <c r="E422" s="253"/>
      <c r="F422" s="253"/>
      <c r="G422" s="253"/>
      <c r="H422" s="253"/>
      <c r="I422" s="253"/>
      <c r="J422" s="253"/>
      <c r="K422" s="253"/>
      <c r="L422" s="253"/>
      <c r="M422" s="253"/>
      <c r="N422" s="253"/>
      <c r="O422" s="253"/>
      <c r="P422" s="253"/>
      <c r="Q422" s="253"/>
    </row>
    <row r="423" spans="1:17">
      <c r="A423" s="253"/>
      <c r="B423" s="253"/>
      <c r="C423" s="253"/>
      <c r="D423" s="253"/>
      <c r="E423" s="253"/>
      <c r="F423" s="253"/>
      <c r="G423" s="253"/>
      <c r="H423" s="253"/>
      <c r="I423" s="253"/>
      <c r="J423" s="253"/>
      <c r="K423" s="253"/>
      <c r="L423" s="253"/>
      <c r="M423" s="253"/>
      <c r="N423" s="253"/>
      <c r="O423" s="253"/>
      <c r="P423" s="253"/>
      <c r="Q423" s="253"/>
    </row>
    <row r="424" spans="1:17">
      <c r="A424" s="253"/>
      <c r="B424" s="253"/>
      <c r="C424" s="253"/>
      <c r="D424" s="253"/>
      <c r="E424" s="253"/>
      <c r="F424" s="253"/>
      <c r="G424" s="253"/>
      <c r="H424" s="253"/>
      <c r="I424" s="253"/>
      <c r="J424" s="253"/>
      <c r="K424" s="253"/>
      <c r="L424" s="253"/>
      <c r="M424" s="253"/>
      <c r="N424" s="253"/>
      <c r="O424" s="253"/>
      <c r="P424" s="253"/>
      <c r="Q424" s="253"/>
    </row>
    <row r="425" spans="1:17">
      <c r="A425" s="253"/>
      <c r="B425" s="253"/>
      <c r="C425" s="253"/>
      <c r="D425" s="253"/>
      <c r="E425" s="253"/>
      <c r="F425" s="253"/>
      <c r="G425" s="253"/>
      <c r="H425" s="253"/>
      <c r="I425" s="253"/>
      <c r="J425" s="253"/>
      <c r="K425" s="253"/>
      <c r="L425" s="253"/>
      <c r="M425" s="253"/>
      <c r="N425" s="253"/>
      <c r="O425" s="253"/>
      <c r="P425" s="253"/>
      <c r="Q425" s="253"/>
    </row>
    <row r="426" spans="1:17">
      <c r="A426" s="253"/>
      <c r="B426" s="253"/>
      <c r="C426" s="253"/>
      <c r="D426" s="253"/>
      <c r="E426" s="253"/>
      <c r="F426" s="253"/>
      <c r="G426" s="253"/>
      <c r="H426" s="253"/>
      <c r="I426" s="253"/>
      <c r="J426" s="253"/>
      <c r="K426" s="253"/>
      <c r="L426" s="253"/>
      <c r="M426" s="253"/>
      <c r="N426" s="253"/>
      <c r="O426" s="253"/>
      <c r="P426" s="253"/>
      <c r="Q426" s="253"/>
    </row>
    <row r="427" spans="1:17">
      <c r="A427" s="253"/>
      <c r="B427" s="253"/>
      <c r="C427" s="253"/>
      <c r="D427" s="253"/>
      <c r="E427" s="253"/>
      <c r="F427" s="253"/>
      <c r="G427" s="253"/>
      <c r="H427" s="253"/>
      <c r="I427" s="253"/>
      <c r="J427" s="253"/>
      <c r="K427" s="253"/>
      <c r="L427" s="253"/>
      <c r="M427" s="253"/>
      <c r="N427" s="253"/>
      <c r="O427" s="253"/>
      <c r="P427" s="253"/>
      <c r="Q427" s="253"/>
    </row>
    <row r="428" spans="1:17">
      <c r="A428" s="253"/>
      <c r="B428" s="253"/>
      <c r="C428" s="253"/>
      <c r="D428" s="253"/>
      <c r="E428" s="253"/>
      <c r="F428" s="253"/>
      <c r="G428" s="253"/>
      <c r="H428" s="253"/>
      <c r="I428" s="253"/>
      <c r="J428" s="253"/>
      <c r="K428" s="253"/>
      <c r="L428" s="253"/>
      <c r="M428" s="253"/>
      <c r="N428" s="253"/>
      <c r="O428" s="253"/>
      <c r="P428" s="253"/>
      <c r="Q428" s="253"/>
    </row>
    <row r="429" spans="1:17">
      <c r="A429" s="253"/>
      <c r="B429" s="253"/>
      <c r="C429" s="253"/>
      <c r="D429" s="253"/>
      <c r="E429" s="253"/>
      <c r="F429" s="253"/>
      <c r="G429" s="253"/>
      <c r="H429" s="253"/>
      <c r="I429" s="253"/>
      <c r="J429" s="253"/>
      <c r="K429" s="253"/>
      <c r="L429" s="253"/>
      <c r="M429" s="253"/>
      <c r="N429" s="253"/>
      <c r="O429" s="253"/>
      <c r="P429" s="253"/>
      <c r="Q429" s="253"/>
    </row>
    <row r="430" spans="1:17">
      <c r="A430" s="253"/>
      <c r="B430" s="253"/>
      <c r="C430" s="253"/>
      <c r="D430" s="253"/>
      <c r="E430" s="253"/>
      <c r="F430" s="253"/>
      <c r="G430" s="253"/>
      <c r="H430" s="253"/>
      <c r="I430" s="253"/>
      <c r="J430" s="253"/>
      <c r="K430" s="253"/>
      <c r="L430" s="253"/>
      <c r="M430" s="253"/>
      <c r="N430" s="253"/>
      <c r="O430" s="253"/>
      <c r="P430" s="253"/>
      <c r="Q430" s="253"/>
    </row>
    <row r="431" spans="1:17">
      <c r="A431" s="253"/>
      <c r="B431" s="253"/>
      <c r="C431" s="253"/>
      <c r="D431" s="253"/>
      <c r="E431" s="253"/>
      <c r="F431" s="253"/>
      <c r="G431" s="253"/>
      <c r="H431" s="253"/>
      <c r="I431" s="253"/>
      <c r="J431" s="253"/>
      <c r="K431" s="253"/>
      <c r="L431" s="253"/>
      <c r="M431" s="253"/>
      <c r="N431" s="253"/>
      <c r="O431" s="253"/>
      <c r="P431" s="253"/>
      <c r="Q431" s="253"/>
    </row>
    <row r="432" spans="1:17">
      <c r="A432" s="253"/>
      <c r="B432" s="253"/>
      <c r="C432" s="253"/>
      <c r="D432" s="253"/>
      <c r="E432" s="253"/>
      <c r="F432" s="253"/>
      <c r="G432" s="253"/>
      <c r="H432" s="253"/>
      <c r="I432" s="253"/>
      <c r="J432" s="253"/>
      <c r="K432" s="253"/>
      <c r="L432" s="253"/>
      <c r="M432" s="253"/>
      <c r="N432" s="253"/>
      <c r="O432" s="253"/>
      <c r="P432" s="253"/>
      <c r="Q432" s="253"/>
    </row>
    <row r="433" spans="1:17">
      <c r="A433" s="253"/>
      <c r="B433" s="253"/>
      <c r="C433" s="253"/>
      <c r="D433" s="253"/>
      <c r="E433" s="253"/>
      <c r="F433" s="253"/>
      <c r="G433" s="253"/>
      <c r="H433" s="253"/>
      <c r="I433" s="253"/>
      <c r="J433" s="253"/>
      <c r="K433" s="253"/>
      <c r="L433" s="253"/>
      <c r="M433" s="253"/>
      <c r="N433" s="253"/>
      <c r="O433" s="253"/>
      <c r="P433" s="253"/>
      <c r="Q433" s="253"/>
    </row>
    <row r="434" spans="1:17">
      <c r="A434" s="253"/>
      <c r="B434" s="253"/>
      <c r="C434" s="253"/>
      <c r="D434" s="253"/>
      <c r="E434" s="253"/>
      <c r="F434" s="253"/>
      <c r="G434" s="253"/>
      <c r="H434" s="253"/>
      <c r="I434" s="253"/>
      <c r="J434" s="253"/>
      <c r="K434" s="253"/>
      <c r="L434" s="253"/>
      <c r="M434" s="253"/>
      <c r="N434" s="253"/>
      <c r="O434" s="253"/>
      <c r="P434" s="253"/>
      <c r="Q434" s="253"/>
    </row>
    <row r="435" spans="1:17">
      <c r="A435" s="253"/>
      <c r="B435" s="253"/>
      <c r="C435" s="253"/>
      <c r="D435" s="253"/>
      <c r="E435" s="253"/>
      <c r="F435" s="253"/>
      <c r="G435" s="253"/>
      <c r="H435" s="253"/>
      <c r="I435" s="253"/>
      <c r="J435" s="253"/>
      <c r="K435" s="253"/>
      <c r="L435" s="253"/>
      <c r="M435" s="253"/>
      <c r="N435" s="253"/>
      <c r="O435" s="253"/>
      <c r="P435" s="253"/>
      <c r="Q435" s="253"/>
    </row>
    <row r="436" spans="1:17">
      <c r="A436" s="253"/>
      <c r="B436" s="253"/>
      <c r="C436" s="253"/>
      <c r="D436" s="253"/>
      <c r="E436" s="253"/>
      <c r="F436" s="253"/>
      <c r="G436" s="253"/>
      <c r="H436" s="253"/>
      <c r="I436" s="253"/>
      <c r="J436" s="253"/>
      <c r="K436" s="253"/>
      <c r="L436" s="253"/>
      <c r="M436" s="253"/>
      <c r="N436" s="253"/>
      <c r="O436" s="253"/>
      <c r="P436" s="253"/>
      <c r="Q436" s="253"/>
    </row>
    <row r="437" spans="1:17">
      <c r="A437" s="253"/>
      <c r="B437" s="253"/>
      <c r="C437" s="253"/>
      <c r="D437" s="253"/>
      <c r="E437" s="253"/>
      <c r="F437" s="253"/>
      <c r="G437" s="253"/>
      <c r="H437" s="253"/>
      <c r="I437" s="253"/>
      <c r="J437" s="253"/>
      <c r="K437" s="253"/>
      <c r="L437" s="253"/>
      <c r="M437" s="253"/>
      <c r="N437" s="253"/>
      <c r="O437" s="253"/>
      <c r="P437" s="253"/>
      <c r="Q437" s="253"/>
    </row>
    <row r="438" spans="1:17">
      <c r="A438" s="253"/>
      <c r="B438" s="253"/>
      <c r="C438" s="253"/>
      <c r="D438" s="253"/>
      <c r="E438" s="253"/>
      <c r="F438" s="253"/>
      <c r="G438" s="253"/>
      <c r="H438" s="253"/>
      <c r="I438" s="253"/>
      <c r="J438" s="253"/>
      <c r="K438" s="253"/>
      <c r="L438" s="253"/>
      <c r="M438" s="253"/>
      <c r="N438" s="253"/>
      <c r="O438" s="253"/>
      <c r="P438" s="253"/>
      <c r="Q438" s="253"/>
    </row>
    <row r="439" spans="1:17">
      <c r="A439" s="253"/>
      <c r="B439" s="253"/>
      <c r="C439" s="253"/>
      <c r="D439" s="253"/>
      <c r="E439" s="253"/>
      <c r="F439" s="253"/>
      <c r="G439" s="253"/>
      <c r="H439" s="253"/>
      <c r="I439" s="253"/>
      <c r="J439" s="253"/>
      <c r="K439" s="253"/>
      <c r="L439" s="253"/>
      <c r="M439" s="253"/>
      <c r="N439" s="253"/>
      <c r="O439" s="253"/>
      <c r="P439" s="253"/>
      <c r="Q439" s="253"/>
    </row>
    <row r="440" spans="1:17">
      <c r="A440" s="253"/>
      <c r="B440" s="253"/>
      <c r="C440" s="253"/>
      <c r="D440" s="253"/>
      <c r="E440" s="253"/>
      <c r="F440" s="253"/>
      <c r="G440" s="253"/>
      <c r="H440" s="253"/>
      <c r="I440" s="253"/>
      <c r="J440" s="253"/>
      <c r="K440" s="253"/>
      <c r="L440" s="253"/>
      <c r="M440" s="253"/>
      <c r="N440" s="253"/>
      <c r="O440" s="253"/>
      <c r="P440" s="253"/>
      <c r="Q440" s="253"/>
    </row>
    <row r="441" spans="1:17">
      <c r="A441" s="253"/>
      <c r="B441" s="253"/>
      <c r="C441" s="253"/>
      <c r="D441" s="253"/>
      <c r="E441" s="253"/>
      <c r="F441" s="253"/>
      <c r="G441" s="253"/>
      <c r="H441" s="253"/>
      <c r="I441" s="253"/>
      <c r="J441" s="253"/>
      <c r="K441" s="253"/>
      <c r="L441" s="253"/>
      <c r="M441" s="253"/>
      <c r="N441" s="253"/>
      <c r="O441" s="253"/>
      <c r="P441" s="253"/>
      <c r="Q441" s="253"/>
    </row>
    <row r="442" spans="1:17">
      <c r="A442" s="253"/>
      <c r="B442" s="253"/>
      <c r="C442" s="253"/>
      <c r="D442" s="253"/>
      <c r="E442" s="253"/>
      <c r="F442" s="253"/>
      <c r="G442" s="253"/>
      <c r="H442" s="253"/>
      <c r="I442" s="253"/>
      <c r="J442" s="253"/>
      <c r="K442" s="253"/>
      <c r="L442" s="253"/>
      <c r="M442" s="253"/>
      <c r="N442" s="253"/>
      <c r="O442" s="253"/>
      <c r="P442" s="253"/>
      <c r="Q442" s="253"/>
    </row>
    <row r="443" spans="1:17">
      <c r="A443" s="253"/>
      <c r="B443" s="253"/>
      <c r="C443" s="253"/>
      <c r="D443" s="253"/>
      <c r="E443" s="253"/>
      <c r="F443" s="253"/>
      <c r="G443" s="253"/>
      <c r="H443" s="253"/>
      <c r="I443" s="253"/>
      <c r="J443" s="253"/>
      <c r="K443" s="253"/>
      <c r="L443" s="253"/>
      <c r="M443" s="253"/>
      <c r="N443" s="253"/>
      <c r="O443" s="253"/>
      <c r="P443" s="253"/>
      <c r="Q443" s="253"/>
    </row>
    <row r="444" spans="1:17">
      <c r="A444" s="253"/>
      <c r="B444" s="253"/>
      <c r="C444" s="253"/>
      <c r="D444" s="253"/>
      <c r="E444" s="253"/>
      <c r="F444" s="253"/>
      <c r="G444" s="253"/>
      <c r="H444" s="253"/>
      <c r="I444" s="253"/>
      <c r="J444" s="253"/>
      <c r="K444" s="253"/>
      <c r="L444" s="253"/>
      <c r="M444" s="253"/>
      <c r="N444" s="253"/>
      <c r="O444" s="253"/>
      <c r="P444" s="253"/>
      <c r="Q444" s="253"/>
    </row>
    <row r="445" spans="1:17">
      <c r="A445" s="253"/>
      <c r="B445" s="253"/>
      <c r="C445" s="253"/>
      <c r="D445" s="253"/>
      <c r="E445" s="253"/>
      <c r="F445" s="253"/>
      <c r="G445" s="253"/>
      <c r="H445" s="253"/>
      <c r="I445" s="253"/>
      <c r="J445" s="253"/>
      <c r="K445" s="253"/>
      <c r="L445" s="253"/>
      <c r="M445" s="253"/>
      <c r="N445" s="253"/>
      <c r="O445" s="253"/>
      <c r="P445" s="253"/>
      <c r="Q445" s="253"/>
    </row>
    <row r="446" spans="1:17">
      <c r="A446" s="253"/>
      <c r="B446" s="253"/>
      <c r="C446" s="253"/>
      <c r="D446" s="253"/>
      <c r="E446" s="253"/>
      <c r="F446" s="253"/>
      <c r="G446" s="253"/>
      <c r="H446" s="253"/>
      <c r="I446" s="253"/>
      <c r="J446" s="253"/>
      <c r="K446" s="253"/>
      <c r="L446" s="253"/>
      <c r="M446" s="253"/>
      <c r="N446" s="253"/>
      <c r="O446" s="253"/>
      <c r="P446" s="253"/>
      <c r="Q446" s="253"/>
    </row>
    <row r="447" spans="1:17">
      <c r="A447" s="253"/>
      <c r="B447" s="253"/>
      <c r="C447" s="253"/>
      <c r="D447" s="253"/>
      <c r="E447" s="253"/>
      <c r="F447" s="253"/>
      <c r="G447" s="253"/>
      <c r="H447" s="253"/>
      <c r="I447" s="253"/>
      <c r="J447" s="253"/>
      <c r="K447" s="253"/>
      <c r="L447" s="253"/>
      <c r="M447" s="253"/>
      <c r="N447" s="253"/>
      <c r="O447" s="253"/>
      <c r="P447" s="253"/>
      <c r="Q447" s="253"/>
    </row>
    <row r="448" spans="1:17">
      <c r="A448" s="253"/>
      <c r="B448" s="253"/>
      <c r="C448" s="253"/>
      <c r="D448" s="253"/>
      <c r="E448" s="253"/>
      <c r="F448" s="253"/>
      <c r="G448" s="253"/>
      <c r="H448" s="253"/>
      <c r="I448" s="253"/>
      <c r="J448" s="253"/>
      <c r="K448" s="253"/>
      <c r="L448" s="253"/>
      <c r="M448" s="253"/>
      <c r="N448" s="253"/>
      <c r="O448" s="253"/>
      <c r="P448" s="253"/>
      <c r="Q448" s="253"/>
    </row>
    <row r="449" spans="1:17">
      <c r="A449" s="253"/>
      <c r="B449" s="253"/>
      <c r="C449" s="253"/>
      <c r="D449" s="253"/>
      <c r="E449" s="253"/>
      <c r="F449" s="253"/>
      <c r="G449" s="253"/>
      <c r="H449" s="253"/>
      <c r="I449" s="253"/>
      <c r="J449" s="253"/>
      <c r="K449" s="253"/>
      <c r="L449" s="253"/>
      <c r="M449" s="253"/>
      <c r="N449" s="253"/>
      <c r="O449" s="253"/>
      <c r="P449" s="253"/>
      <c r="Q449" s="253"/>
    </row>
    <row r="450" spans="1:17">
      <c r="A450" s="253"/>
      <c r="B450" s="253"/>
      <c r="C450" s="253"/>
      <c r="D450" s="253"/>
      <c r="E450" s="253"/>
      <c r="F450" s="253"/>
      <c r="G450" s="253"/>
      <c r="H450" s="253"/>
      <c r="I450" s="253"/>
      <c r="J450" s="253"/>
      <c r="K450" s="253"/>
      <c r="L450" s="253"/>
      <c r="M450" s="253"/>
      <c r="N450" s="253"/>
      <c r="O450" s="253"/>
      <c r="P450" s="253"/>
      <c r="Q450" s="253"/>
    </row>
    <row r="451" spans="1:17">
      <c r="A451" s="253"/>
      <c r="B451" s="253"/>
      <c r="C451" s="253"/>
      <c r="D451" s="253"/>
      <c r="E451" s="253"/>
      <c r="F451" s="253"/>
      <c r="G451" s="253"/>
      <c r="H451" s="253"/>
      <c r="I451" s="253"/>
      <c r="J451" s="253"/>
      <c r="K451" s="253"/>
      <c r="L451" s="253"/>
      <c r="M451" s="253"/>
      <c r="N451" s="253"/>
      <c r="O451" s="253"/>
      <c r="P451" s="253"/>
      <c r="Q451" s="253"/>
    </row>
    <row r="452" spans="1:17">
      <c r="A452" s="253"/>
      <c r="B452" s="253"/>
      <c r="C452" s="253"/>
      <c r="D452" s="253"/>
      <c r="E452" s="253"/>
      <c r="F452" s="253"/>
      <c r="G452" s="253"/>
      <c r="H452" s="253"/>
      <c r="I452" s="253"/>
      <c r="J452" s="253"/>
      <c r="K452" s="253"/>
      <c r="L452" s="253"/>
      <c r="M452" s="253"/>
      <c r="N452" s="253"/>
      <c r="O452" s="253"/>
      <c r="P452" s="253"/>
      <c r="Q452" s="253"/>
    </row>
    <row r="453" spans="1:17">
      <c r="A453" s="253"/>
      <c r="B453" s="253"/>
      <c r="C453" s="253"/>
      <c r="D453" s="253"/>
      <c r="E453" s="253"/>
      <c r="F453" s="253"/>
      <c r="G453" s="253"/>
      <c r="H453" s="253"/>
      <c r="I453" s="253"/>
      <c r="J453" s="253"/>
      <c r="K453" s="253"/>
      <c r="L453" s="253"/>
      <c r="M453" s="253"/>
      <c r="N453" s="253"/>
      <c r="O453" s="253"/>
      <c r="P453" s="253"/>
      <c r="Q453" s="253"/>
    </row>
    <row r="454" spans="1:17">
      <c r="A454" s="253"/>
      <c r="B454" s="253"/>
      <c r="C454" s="253"/>
      <c r="D454" s="253"/>
      <c r="E454" s="253"/>
      <c r="F454" s="253"/>
      <c r="G454" s="253"/>
      <c r="H454" s="253"/>
      <c r="I454" s="253"/>
      <c r="J454" s="253"/>
      <c r="K454" s="253"/>
      <c r="L454" s="253"/>
      <c r="M454" s="253"/>
      <c r="N454" s="253"/>
      <c r="O454" s="253"/>
      <c r="P454" s="253"/>
      <c r="Q454" s="253"/>
    </row>
    <row r="455" spans="1:17">
      <c r="A455" s="253"/>
      <c r="B455" s="253"/>
      <c r="C455" s="253"/>
      <c r="D455" s="253"/>
      <c r="E455" s="253"/>
      <c r="F455" s="253"/>
      <c r="G455" s="253"/>
      <c r="H455" s="253"/>
      <c r="I455" s="253"/>
      <c r="J455" s="253"/>
      <c r="K455" s="253"/>
      <c r="L455" s="253"/>
      <c r="M455" s="253"/>
      <c r="N455" s="253"/>
      <c r="O455" s="253"/>
      <c r="P455" s="253"/>
      <c r="Q455" s="253"/>
    </row>
    <row r="456" spans="1:17">
      <c r="A456" s="253"/>
      <c r="B456" s="253"/>
      <c r="C456" s="253"/>
      <c r="D456" s="253"/>
      <c r="E456" s="253"/>
      <c r="F456" s="253"/>
      <c r="G456" s="253"/>
      <c r="H456" s="253"/>
      <c r="I456" s="253"/>
      <c r="J456" s="253"/>
      <c r="K456" s="253"/>
      <c r="L456" s="253"/>
      <c r="M456" s="253"/>
      <c r="N456" s="253"/>
      <c r="O456" s="253"/>
      <c r="P456" s="253"/>
      <c r="Q456" s="253"/>
    </row>
    <row r="457" spans="1:17">
      <c r="A457" s="253"/>
      <c r="B457" s="253"/>
      <c r="C457" s="253"/>
      <c r="D457" s="253"/>
      <c r="E457" s="253"/>
      <c r="F457" s="253"/>
      <c r="G457" s="253"/>
      <c r="H457" s="253"/>
      <c r="I457" s="253"/>
      <c r="J457" s="253"/>
      <c r="K457" s="253"/>
      <c r="L457" s="253"/>
      <c r="M457" s="253"/>
      <c r="N457" s="253"/>
      <c r="O457" s="253"/>
      <c r="P457" s="253"/>
      <c r="Q457" s="253"/>
    </row>
    <row r="458" spans="1:17">
      <c r="A458" s="253"/>
      <c r="B458" s="253"/>
      <c r="C458" s="253"/>
      <c r="D458" s="253"/>
      <c r="E458" s="253"/>
      <c r="F458" s="253"/>
      <c r="G458" s="253"/>
      <c r="H458" s="253"/>
      <c r="I458" s="253"/>
      <c r="J458" s="253"/>
      <c r="K458" s="253"/>
      <c r="L458" s="253"/>
      <c r="M458" s="253"/>
      <c r="N458" s="253"/>
      <c r="O458" s="253"/>
      <c r="P458" s="253"/>
      <c r="Q458" s="253"/>
    </row>
    <row r="459" spans="1:17">
      <c r="A459" s="253"/>
      <c r="B459" s="253"/>
      <c r="C459" s="253"/>
      <c r="D459" s="253"/>
      <c r="E459" s="253"/>
      <c r="F459" s="253"/>
      <c r="G459" s="253"/>
      <c r="H459" s="253"/>
      <c r="I459" s="253"/>
      <c r="J459" s="253"/>
      <c r="K459" s="253"/>
      <c r="L459" s="253"/>
      <c r="M459" s="253"/>
      <c r="N459" s="253"/>
      <c r="O459" s="253"/>
      <c r="P459" s="253"/>
      <c r="Q459" s="253"/>
    </row>
    <row r="460" spans="1:17">
      <c r="A460" s="253"/>
      <c r="B460" s="253"/>
      <c r="C460" s="253"/>
      <c r="D460" s="253"/>
      <c r="E460" s="253"/>
      <c r="F460" s="253"/>
      <c r="G460" s="253"/>
      <c r="H460" s="253"/>
      <c r="I460" s="253"/>
      <c r="J460" s="253"/>
      <c r="K460" s="253"/>
      <c r="L460" s="253"/>
      <c r="M460" s="253"/>
      <c r="N460" s="253"/>
      <c r="O460" s="253"/>
      <c r="P460" s="253"/>
      <c r="Q460" s="253"/>
    </row>
    <row r="461" spans="1:17">
      <c r="A461" s="253"/>
      <c r="B461" s="253"/>
      <c r="C461" s="253"/>
      <c r="D461" s="253"/>
      <c r="E461" s="253"/>
      <c r="F461" s="253"/>
      <c r="G461" s="253"/>
      <c r="H461" s="253"/>
      <c r="I461" s="253"/>
      <c r="J461" s="253"/>
      <c r="K461" s="253"/>
      <c r="L461" s="253"/>
      <c r="M461" s="253"/>
      <c r="N461" s="253"/>
      <c r="O461" s="253"/>
      <c r="P461" s="253"/>
      <c r="Q461" s="253"/>
    </row>
    <row r="462" spans="1:17">
      <c r="A462" s="253"/>
      <c r="B462" s="253"/>
      <c r="C462" s="253"/>
      <c r="D462" s="253"/>
      <c r="E462" s="253"/>
      <c r="F462" s="253"/>
      <c r="G462" s="253"/>
      <c r="H462" s="253"/>
      <c r="I462" s="253"/>
      <c r="J462" s="253"/>
      <c r="K462" s="253"/>
      <c r="L462" s="253"/>
      <c r="M462" s="253"/>
      <c r="N462" s="253"/>
      <c r="O462" s="253"/>
      <c r="P462" s="253"/>
      <c r="Q462" s="253"/>
    </row>
    <row r="463" spans="1:17">
      <c r="A463" s="253"/>
      <c r="B463" s="253"/>
      <c r="C463" s="253"/>
      <c r="D463" s="253"/>
      <c r="E463" s="253"/>
      <c r="F463" s="253"/>
      <c r="G463" s="253"/>
      <c r="H463" s="253"/>
      <c r="I463" s="253"/>
      <c r="J463" s="253"/>
      <c r="K463" s="253"/>
      <c r="L463" s="253"/>
      <c r="M463" s="253"/>
      <c r="N463" s="253"/>
      <c r="O463" s="253"/>
      <c r="P463" s="253"/>
      <c r="Q463" s="253"/>
    </row>
    <row r="464" spans="1:17">
      <c r="A464" s="253"/>
      <c r="B464" s="253"/>
      <c r="C464" s="253"/>
      <c r="D464" s="253"/>
      <c r="E464" s="253"/>
      <c r="F464" s="253"/>
      <c r="G464" s="253"/>
      <c r="H464" s="253"/>
      <c r="I464" s="253"/>
      <c r="J464" s="253"/>
      <c r="K464" s="253"/>
      <c r="L464" s="253"/>
      <c r="M464" s="253"/>
      <c r="N464" s="253"/>
      <c r="O464" s="253"/>
      <c r="P464" s="253"/>
      <c r="Q464" s="253"/>
    </row>
    <row r="465" spans="1:17">
      <c r="A465" s="253"/>
      <c r="B465" s="253"/>
      <c r="C465" s="253"/>
      <c r="D465" s="253"/>
      <c r="E465" s="253"/>
      <c r="F465" s="253"/>
      <c r="G465" s="253"/>
      <c r="H465" s="253"/>
      <c r="I465" s="253"/>
      <c r="J465" s="253"/>
      <c r="K465" s="253"/>
      <c r="L465" s="253"/>
      <c r="M465" s="253"/>
      <c r="N465" s="253"/>
      <c r="O465" s="253"/>
      <c r="P465" s="253"/>
      <c r="Q465" s="253"/>
    </row>
    <row r="466" spans="1:17">
      <c r="A466" s="253"/>
      <c r="B466" s="253"/>
      <c r="C466" s="253"/>
      <c r="D466" s="253"/>
      <c r="E466" s="253"/>
      <c r="F466" s="253"/>
      <c r="G466" s="253"/>
      <c r="H466" s="253"/>
      <c r="I466" s="253"/>
      <c r="J466" s="253"/>
      <c r="K466" s="253"/>
      <c r="L466" s="253"/>
      <c r="M466" s="253"/>
      <c r="N466" s="253"/>
      <c r="O466" s="253"/>
      <c r="P466" s="253"/>
      <c r="Q466" s="253"/>
    </row>
    <row r="467" spans="1:17">
      <c r="A467" s="253"/>
      <c r="B467" s="253"/>
      <c r="C467" s="253"/>
      <c r="D467" s="253"/>
      <c r="E467" s="253"/>
      <c r="F467" s="253"/>
      <c r="G467" s="253"/>
      <c r="H467" s="253"/>
      <c r="I467" s="253"/>
      <c r="J467" s="253"/>
      <c r="K467" s="253"/>
      <c r="L467" s="253"/>
      <c r="M467" s="253"/>
      <c r="N467" s="253"/>
      <c r="O467" s="253"/>
      <c r="P467" s="253"/>
      <c r="Q467" s="253"/>
    </row>
    <row r="468" spans="1:17">
      <c r="A468" s="253"/>
      <c r="B468" s="253"/>
      <c r="C468" s="253"/>
      <c r="D468" s="253"/>
      <c r="E468" s="253"/>
      <c r="F468" s="253"/>
      <c r="G468" s="253"/>
      <c r="H468" s="253"/>
      <c r="I468" s="253"/>
      <c r="J468" s="253"/>
      <c r="K468" s="253"/>
      <c r="L468" s="253"/>
      <c r="M468" s="253"/>
      <c r="N468" s="253"/>
      <c r="O468" s="253"/>
      <c r="P468" s="253"/>
      <c r="Q468" s="253"/>
    </row>
    <row r="469" spans="1:17">
      <c r="A469" s="253"/>
      <c r="B469" s="253"/>
      <c r="C469" s="253"/>
      <c r="D469" s="253"/>
      <c r="E469" s="253"/>
      <c r="F469" s="253"/>
      <c r="G469" s="253"/>
      <c r="H469" s="253"/>
      <c r="I469" s="253"/>
      <c r="J469" s="253"/>
      <c r="K469" s="253"/>
      <c r="L469" s="253"/>
      <c r="M469" s="253"/>
      <c r="N469" s="253"/>
      <c r="O469" s="253"/>
      <c r="P469" s="253"/>
      <c r="Q469" s="253"/>
    </row>
    <row r="470" spans="1:17">
      <c r="A470" s="253"/>
      <c r="B470" s="253"/>
      <c r="C470" s="253"/>
      <c r="D470" s="253"/>
      <c r="E470" s="253"/>
      <c r="F470" s="253"/>
      <c r="G470" s="253"/>
      <c r="H470" s="253"/>
      <c r="I470" s="253"/>
      <c r="J470" s="253"/>
      <c r="K470" s="253"/>
      <c r="L470" s="253"/>
      <c r="M470" s="253"/>
      <c r="N470" s="253"/>
      <c r="O470" s="253"/>
      <c r="P470" s="253"/>
      <c r="Q470" s="253"/>
    </row>
    <row r="471" spans="1:17">
      <c r="A471" s="253"/>
      <c r="B471" s="253"/>
      <c r="C471" s="253"/>
      <c r="D471" s="253"/>
      <c r="E471" s="253"/>
      <c r="F471" s="253"/>
      <c r="G471" s="253"/>
      <c r="H471" s="253"/>
      <c r="I471" s="253"/>
      <c r="J471" s="253"/>
      <c r="K471" s="253"/>
      <c r="L471" s="253"/>
      <c r="M471" s="253"/>
      <c r="N471" s="253"/>
      <c r="O471" s="253"/>
      <c r="P471" s="253"/>
      <c r="Q471" s="253"/>
    </row>
    <row r="472" spans="1:17">
      <c r="A472" s="253"/>
      <c r="B472" s="253"/>
      <c r="C472" s="253"/>
      <c r="D472" s="253"/>
      <c r="E472" s="253"/>
      <c r="F472" s="253"/>
      <c r="G472" s="253"/>
      <c r="H472" s="253"/>
      <c r="I472" s="253"/>
      <c r="J472" s="253"/>
      <c r="K472" s="253"/>
      <c r="L472" s="253"/>
      <c r="M472" s="253"/>
      <c r="N472" s="253"/>
      <c r="O472" s="253"/>
      <c r="P472" s="253"/>
      <c r="Q472" s="253"/>
    </row>
    <row r="473" spans="1:17">
      <c r="A473" s="253"/>
      <c r="B473" s="253"/>
      <c r="C473" s="253"/>
      <c r="D473" s="253"/>
      <c r="E473" s="253"/>
      <c r="F473" s="253"/>
      <c r="G473" s="253"/>
      <c r="H473" s="253"/>
      <c r="I473" s="253"/>
      <c r="J473" s="253"/>
      <c r="K473" s="253"/>
      <c r="L473" s="253"/>
      <c r="M473" s="253"/>
      <c r="N473" s="253"/>
      <c r="O473" s="253"/>
      <c r="P473" s="253"/>
      <c r="Q473" s="253"/>
    </row>
    <row r="474" spans="1:17">
      <c r="A474" s="253"/>
      <c r="B474" s="253"/>
      <c r="C474" s="253"/>
      <c r="D474" s="253"/>
      <c r="E474" s="253"/>
      <c r="F474" s="253"/>
      <c r="G474" s="253"/>
      <c r="H474" s="253"/>
      <c r="I474" s="253"/>
      <c r="J474" s="253"/>
      <c r="K474" s="253"/>
      <c r="L474" s="253"/>
      <c r="M474" s="253"/>
      <c r="N474" s="253"/>
      <c r="O474" s="253"/>
      <c r="P474" s="253"/>
      <c r="Q474" s="253"/>
    </row>
    <row r="475" spans="1:17">
      <c r="A475" s="253"/>
      <c r="B475" s="253"/>
      <c r="C475" s="253"/>
      <c r="D475" s="253"/>
      <c r="E475" s="253"/>
      <c r="F475" s="253"/>
      <c r="G475" s="253"/>
      <c r="H475" s="253"/>
      <c r="I475" s="253"/>
      <c r="J475" s="253"/>
      <c r="K475" s="253"/>
      <c r="L475" s="253"/>
      <c r="M475" s="253"/>
      <c r="N475" s="253"/>
      <c r="O475" s="253"/>
      <c r="P475" s="253"/>
      <c r="Q475" s="253"/>
    </row>
    <row r="476" spans="1:17">
      <c r="A476" s="253"/>
      <c r="B476" s="253"/>
      <c r="C476" s="253"/>
      <c r="D476" s="253"/>
      <c r="E476" s="253"/>
      <c r="F476" s="253"/>
      <c r="G476" s="253"/>
      <c r="H476" s="253"/>
      <c r="I476" s="253"/>
      <c r="J476" s="253"/>
      <c r="K476" s="253"/>
      <c r="L476" s="253"/>
      <c r="M476" s="253"/>
      <c r="N476" s="253"/>
      <c r="O476" s="253"/>
      <c r="P476" s="253"/>
      <c r="Q476" s="253"/>
    </row>
    <row r="477" spans="1:17">
      <c r="A477" s="253"/>
      <c r="B477" s="253"/>
      <c r="C477" s="253"/>
      <c r="D477" s="253"/>
      <c r="E477" s="253"/>
      <c r="F477" s="253"/>
      <c r="G477" s="253"/>
      <c r="H477" s="253"/>
      <c r="I477" s="253"/>
      <c r="J477" s="253"/>
      <c r="K477" s="253"/>
      <c r="L477" s="253"/>
      <c r="M477" s="253"/>
      <c r="N477" s="253"/>
      <c r="O477" s="253"/>
      <c r="P477" s="253"/>
      <c r="Q477" s="253"/>
    </row>
    <row r="478" spans="1:17">
      <c r="A478" s="253"/>
      <c r="B478" s="253"/>
      <c r="C478" s="253"/>
      <c r="D478" s="253"/>
      <c r="E478" s="253"/>
      <c r="F478" s="253"/>
      <c r="G478" s="253"/>
      <c r="H478" s="253"/>
      <c r="I478" s="253"/>
      <c r="J478" s="253"/>
      <c r="K478" s="253"/>
      <c r="L478" s="253"/>
      <c r="M478" s="253"/>
      <c r="N478" s="253"/>
      <c r="O478" s="253"/>
      <c r="P478" s="253"/>
      <c r="Q478" s="253"/>
    </row>
    <row r="479" spans="1:17">
      <c r="A479" s="253"/>
      <c r="B479" s="253"/>
      <c r="C479" s="253"/>
      <c r="D479" s="253"/>
      <c r="E479" s="253"/>
      <c r="F479" s="253"/>
      <c r="G479" s="253"/>
      <c r="H479" s="253"/>
      <c r="I479" s="253"/>
      <c r="J479" s="253"/>
      <c r="K479" s="253"/>
      <c r="L479" s="253"/>
      <c r="M479" s="253"/>
      <c r="N479" s="253"/>
      <c r="O479" s="253"/>
      <c r="P479" s="253"/>
      <c r="Q479" s="253"/>
    </row>
    <row r="480" spans="1:17">
      <c r="A480" s="253"/>
      <c r="B480" s="253"/>
      <c r="C480" s="253"/>
      <c r="D480" s="253"/>
      <c r="E480" s="253"/>
      <c r="F480" s="253"/>
      <c r="G480" s="253"/>
      <c r="H480" s="253"/>
      <c r="I480" s="253"/>
      <c r="J480" s="253"/>
      <c r="K480" s="253"/>
      <c r="L480" s="253"/>
      <c r="M480" s="253"/>
      <c r="N480" s="253"/>
      <c r="O480" s="253"/>
      <c r="P480" s="253"/>
      <c r="Q480" s="253"/>
    </row>
    <row r="481" spans="1:17">
      <c r="A481" s="253"/>
      <c r="B481" s="253"/>
      <c r="C481" s="253"/>
      <c r="D481" s="253"/>
      <c r="E481" s="253"/>
      <c r="F481" s="253"/>
      <c r="G481" s="253"/>
      <c r="H481" s="253"/>
      <c r="I481" s="253"/>
      <c r="J481" s="253"/>
      <c r="K481" s="253"/>
      <c r="L481" s="253"/>
      <c r="M481" s="253"/>
      <c r="N481" s="253"/>
      <c r="O481" s="253"/>
      <c r="P481" s="253"/>
      <c r="Q481" s="253"/>
    </row>
    <row r="482" spans="1:17">
      <c r="A482" s="253"/>
      <c r="B482" s="253"/>
      <c r="C482" s="253"/>
      <c r="D482" s="253"/>
      <c r="E482" s="253"/>
      <c r="F482" s="253"/>
      <c r="G482" s="253"/>
      <c r="H482" s="253"/>
      <c r="I482" s="253"/>
      <c r="J482" s="253"/>
      <c r="K482" s="253"/>
      <c r="L482" s="253"/>
      <c r="M482" s="253"/>
      <c r="N482" s="253"/>
      <c r="O482" s="253"/>
      <c r="P482" s="253"/>
      <c r="Q482" s="253"/>
    </row>
    <row r="483" spans="1:17">
      <c r="A483" s="253"/>
      <c r="B483" s="253"/>
      <c r="C483" s="253"/>
      <c r="D483" s="253"/>
      <c r="E483" s="253"/>
      <c r="F483" s="253"/>
      <c r="G483" s="253"/>
      <c r="H483" s="253"/>
      <c r="I483" s="253"/>
      <c r="J483" s="253"/>
      <c r="K483" s="253"/>
      <c r="L483" s="253"/>
      <c r="M483" s="253"/>
      <c r="N483" s="253"/>
      <c r="O483" s="253"/>
      <c r="P483" s="253"/>
      <c r="Q483" s="253"/>
    </row>
    <row r="484" spans="1:17">
      <c r="A484" s="253"/>
      <c r="B484" s="253"/>
      <c r="C484" s="253"/>
      <c r="D484" s="253"/>
      <c r="E484" s="253"/>
      <c r="F484" s="253"/>
      <c r="G484" s="253"/>
      <c r="H484" s="253"/>
      <c r="I484" s="253"/>
      <c r="J484" s="253"/>
      <c r="K484" s="253"/>
      <c r="L484" s="253"/>
      <c r="M484" s="253"/>
      <c r="N484" s="253"/>
      <c r="O484" s="253"/>
      <c r="P484" s="253"/>
      <c r="Q484" s="253"/>
    </row>
    <row r="485" spans="1:17">
      <c r="A485" s="253"/>
      <c r="B485" s="253"/>
      <c r="C485" s="253"/>
      <c r="D485" s="253"/>
      <c r="E485" s="253"/>
      <c r="F485" s="253"/>
      <c r="G485" s="253"/>
      <c r="H485" s="253"/>
      <c r="I485" s="253"/>
      <c r="J485" s="253"/>
      <c r="K485" s="253"/>
      <c r="L485" s="253"/>
      <c r="M485" s="253"/>
      <c r="N485" s="253"/>
      <c r="O485" s="253"/>
      <c r="P485" s="253"/>
      <c r="Q485" s="253"/>
    </row>
    <row r="486" spans="1:17">
      <c r="A486" s="253"/>
      <c r="B486" s="253"/>
      <c r="C486" s="253"/>
      <c r="D486" s="253"/>
      <c r="E486" s="253"/>
      <c r="F486" s="253"/>
      <c r="G486" s="253"/>
      <c r="H486" s="253"/>
      <c r="I486" s="253"/>
      <c r="J486" s="253"/>
      <c r="K486" s="253"/>
      <c r="L486" s="253"/>
      <c r="M486" s="253"/>
      <c r="N486" s="253"/>
      <c r="O486" s="253"/>
      <c r="P486" s="253"/>
      <c r="Q486" s="253"/>
    </row>
    <row r="487" spans="1:17">
      <c r="A487" s="253"/>
      <c r="B487" s="253"/>
      <c r="C487" s="253"/>
      <c r="D487" s="253"/>
      <c r="E487" s="253"/>
      <c r="F487" s="253"/>
      <c r="G487" s="253"/>
      <c r="H487" s="253"/>
      <c r="I487" s="253"/>
      <c r="J487" s="253"/>
      <c r="K487" s="253"/>
      <c r="L487" s="253"/>
      <c r="M487" s="253"/>
      <c r="N487" s="253"/>
      <c r="O487" s="253"/>
      <c r="P487" s="253"/>
      <c r="Q487" s="253"/>
    </row>
    <row r="488" spans="1:17">
      <c r="A488" s="253"/>
      <c r="B488" s="253"/>
      <c r="C488" s="253"/>
      <c r="D488" s="253"/>
      <c r="E488" s="253"/>
      <c r="F488" s="253"/>
      <c r="G488" s="253"/>
      <c r="H488" s="253"/>
      <c r="I488" s="253"/>
      <c r="J488" s="253"/>
      <c r="K488" s="253"/>
      <c r="L488" s="253"/>
      <c r="M488" s="253"/>
      <c r="N488" s="253"/>
      <c r="O488" s="253"/>
      <c r="P488" s="253"/>
      <c r="Q488" s="253"/>
    </row>
    <row r="489" spans="1:17">
      <c r="A489" s="253"/>
      <c r="B489" s="253"/>
      <c r="C489" s="253"/>
      <c r="D489" s="253"/>
      <c r="E489" s="253"/>
      <c r="F489" s="253"/>
      <c r="G489" s="253"/>
      <c r="H489" s="253"/>
      <c r="I489" s="253"/>
      <c r="J489" s="253"/>
      <c r="K489" s="253"/>
      <c r="L489" s="253"/>
      <c r="M489" s="253"/>
      <c r="N489" s="253"/>
      <c r="O489" s="253"/>
      <c r="P489" s="253"/>
      <c r="Q489" s="253"/>
    </row>
    <row r="490" spans="1:17">
      <c r="A490" s="253"/>
      <c r="B490" s="253"/>
      <c r="C490" s="253"/>
      <c r="D490" s="253"/>
      <c r="E490" s="253"/>
      <c r="F490" s="253"/>
      <c r="G490" s="253"/>
      <c r="H490" s="253"/>
      <c r="I490" s="253"/>
      <c r="J490" s="253"/>
      <c r="K490" s="253"/>
      <c r="L490" s="253"/>
      <c r="M490" s="253"/>
      <c r="N490" s="253"/>
      <c r="O490" s="253"/>
      <c r="P490" s="253"/>
      <c r="Q490" s="253"/>
    </row>
    <row r="491" spans="1:17">
      <c r="A491" s="253"/>
      <c r="B491" s="253"/>
      <c r="C491" s="253"/>
      <c r="D491" s="253"/>
      <c r="E491" s="253"/>
      <c r="F491" s="253"/>
      <c r="G491" s="253"/>
      <c r="H491" s="253"/>
      <c r="I491" s="253"/>
      <c r="J491" s="253"/>
      <c r="K491" s="253"/>
      <c r="L491" s="253"/>
      <c r="M491" s="253"/>
      <c r="N491" s="253"/>
      <c r="O491" s="253"/>
      <c r="P491" s="253"/>
      <c r="Q491" s="253"/>
    </row>
    <row r="492" spans="1:17">
      <c r="A492" s="253"/>
      <c r="B492" s="253"/>
      <c r="C492" s="253"/>
      <c r="D492" s="253"/>
      <c r="E492" s="253"/>
      <c r="F492" s="253"/>
      <c r="G492" s="253"/>
      <c r="H492" s="253"/>
      <c r="I492" s="253"/>
      <c r="J492" s="253"/>
      <c r="K492" s="253"/>
      <c r="L492" s="253"/>
      <c r="M492" s="253"/>
      <c r="N492" s="253"/>
      <c r="O492" s="253"/>
      <c r="P492" s="253"/>
      <c r="Q492" s="253"/>
    </row>
    <row r="493" spans="1:17">
      <c r="A493" s="253"/>
      <c r="B493" s="253"/>
      <c r="C493" s="253"/>
      <c r="D493" s="253"/>
      <c r="E493" s="253"/>
      <c r="F493" s="253"/>
      <c r="G493" s="253"/>
      <c r="H493" s="253"/>
      <c r="I493" s="253"/>
      <c r="J493" s="253"/>
      <c r="K493" s="253"/>
      <c r="L493" s="253"/>
      <c r="M493" s="253"/>
      <c r="N493" s="253"/>
      <c r="O493" s="253"/>
      <c r="P493" s="253"/>
      <c r="Q493" s="253"/>
    </row>
    <row r="494" spans="1:17">
      <c r="A494" s="253"/>
      <c r="B494" s="253"/>
      <c r="C494" s="253"/>
      <c r="D494" s="253"/>
      <c r="E494" s="253"/>
      <c r="F494" s="253"/>
      <c r="G494" s="253"/>
      <c r="H494" s="253"/>
      <c r="I494" s="253"/>
      <c r="J494" s="253"/>
      <c r="K494" s="253"/>
      <c r="L494" s="253"/>
      <c r="M494" s="253"/>
      <c r="N494" s="253"/>
      <c r="O494" s="253"/>
      <c r="P494" s="253"/>
      <c r="Q494" s="253"/>
    </row>
    <row r="495" spans="1:17">
      <c r="A495" s="253"/>
      <c r="B495" s="253"/>
      <c r="C495" s="253"/>
      <c r="D495" s="253"/>
      <c r="E495" s="253"/>
      <c r="F495" s="253"/>
      <c r="G495" s="253"/>
      <c r="H495" s="253"/>
      <c r="I495" s="253"/>
      <c r="J495" s="253"/>
      <c r="K495" s="253"/>
      <c r="L495" s="253"/>
      <c r="M495" s="253"/>
      <c r="N495" s="253"/>
      <c r="O495" s="253"/>
      <c r="P495" s="253"/>
      <c r="Q495" s="253"/>
    </row>
    <row r="496" spans="1:17">
      <c r="A496" s="253"/>
      <c r="B496" s="253"/>
      <c r="C496" s="253"/>
      <c r="D496" s="253"/>
      <c r="E496" s="253"/>
      <c r="F496" s="253"/>
      <c r="G496" s="253"/>
      <c r="H496" s="253"/>
      <c r="I496" s="253"/>
      <c r="J496" s="253"/>
      <c r="K496" s="253"/>
      <c r="L496" s="253"/>
      <c r="M496" s="253"/>
      <c r="N496" s="253"/>
      <c r="O496" s="253"/>
      <c r="P496" s="253"/>
      <c r="Q496" s="253"/>
    </row>
    <row r="497" spans="1:17">
      <c r="A497" s="253"/>
      <c r="B497" s="253"/>
      <c r="C497" s="253"/>
      <c r="D497" s="253"/>
      <c r="E497" s="253"/>
      <c r="F497" s="253"/>
      <c r="G497" s="253"/>
      <c r="H497" s="253"/>
      <c r="I497" s="253"/>
      <c r="J497" s="253"/>
      <c r="K497" s="253"/>
      <c r="L497" s="253"/>
      <c r="M497" s="253"/>
      <c r="N497" s="253"/>
      <c r="O497" s="253"/>
      <c r="P497" s="253"/>
      <c r="Q497" s="253"/>
    </row>
    <row r="498" spans="1:17">
      <c r="A498" s="253"/>
      <c r="B498" s="253"/>
      <c r="C498" s="253"/>
      <c r="D498" s="253"/>
      <c r="E498" s="253"/>
      <c r="F498" s="253"/>
      <c r="G498" s="253"/>
      <c r="H498" s="253"/>
      <c r="I498" s="253"/>
      <c r="J498" s="253"/>
      <c r="K498" s="253"/>
      <c r="L498" s="253"/>
      <c r="M498" s="253"/>
      <c r="N498" s="253"/>
      <c r="O498" s="253"/>
      <c r="P498" s="253"/>
      <c r="Q498" s="253"/>
    </row>
    <row r="499" spans="1:17">
      <c r="A499" s="253"/>
      <c r="B499" s="253"/>
      <c r="C499" s="253"/>
      <c r="D499" s="253"/>
      <c r="E499" s="253"/>
      <c r="F499" s="253"/>
      <c r="G499" s="253"/>
      <c r="H499" s="253"/>
      <c r="I499" s="253"/>
      <c r="J499" s="253"/>
      <c r="K499" s="253"/>
      <c r="L499" s="253"/>
      <c r="M499" s="253"/>
      <c r="N499" s="253"/>
      <c r="O499" s="253"/>
      <c r="P499" s="253"/>
      <c r="Q499" s="253"/>
    </row>
    <row r="500" spans="1:17">
      <c r="A500" s="253"/>
      <c r="B500" s="253"/>
      <c r="C500" s="253"/>
      <c r="D500" s="253"/>
      <c r="E500" s="253"/>
      <c r="F500" s="253"/>
      <c r="G500" s="253"/>
      <c r="H500" s="253"/>
      <c r="I500" s="253"/>
      <c r="J500" s="253"/>
      <c r="K500" s="253"/>
      <c r="L500" s="253"/>
      <c r="M500" s="253"/>
      <c r="N500" s="253"/>
      <c r="O500" s="253"/>
      <c r="P500" s="253"/>
      <c r="Q500" s="253"/>
    </row>
    <row r="501" spans="1:17">
      <c r="A501" s="253"/>
      <c r="B501" s="253"/>
      <c r="C501" s="253"/>
      <c r="D501" s="253"/>
      <c r="E501" s="253"/>
      <c r="F501" s="253"/>
      <c r="G501" s="253"/>
      <c r="H501" s="253"/>
      <c r="I501" s="253"/>
      <c r="J501" s="253"/>
      <c r="K501" s="253"/>
      <c r="L501" s="253"/>
      <c r="M501" s="253"/>
      <c r="N501" s="253"/>
      <c r="O501" s="253"/>
      <c r="P501" s="253"/>
      <c r="Q501" s="253"/>
    </row>
    <row r="502" spans="1:17">
      <c r="A502" s="253"/>
      <c r="B502" s="253"/>
      <c r="C502" s="253"/>
      <c r="D502" s="253"/>
      <c r="E502" s="253"/>
      <c r="F502" s="253"/>
      <c r="G502" s="253"/>
      <c r="H502" s="253"/>
      <c r="I502" s="253"/>
      <c r="J502" s="253"/>
      <c r="K502" s="253"/>
      <c r="L502" s="253"/>
      <c r="M502" s="253"/>
      <c r="N502" s="253"/>
      <c r="O502" s="253"/>
      <c r="P502" s="253"/>
      <c r="Q502" s="253"/>
    </row>
    <row r="503" spans="1:17">
      <c r="A503" s="253"/>
      <c r="B503" s="253"/>
      <c r="C503" s="253"/>
      <c r="D503" s="253"/>
      <c r="E503" s="253"/>
      <c r="F503" s="253"/>
      <c r="G503" s="253"/>
      <c r="H503" s="253"/>
      <c r="I503" s="253"/>
      <c r="J503" s="253"/>
      <c r="K503" s="253"/>
      <c r="L503" s="253"/>
      <c r="M503" s="253"/>
      <c r="N503" s="253"/>
      <c r="O503" s="253"/>
      <c r="P503" s="253"/>
      <c r="Q503" s="253"/>
    </row>
    <row r="504" spans="1:17">
      <c r="A504" s="253"/>
      <c r="B504" s="253"/>
      <c r="C504" s="253"/>
      <c r="D504" s="253"/>
      <c r="E504" s="253"/>
      <c r="F504" s="253"/>
      <c r="G504" s="253"/>
      <c r="H504" s="253"/>
      <c r="I504" s="253"/>
      <c r="J504" s="253"/>
      <c r="K504" s="253"/>
      <c r="L504" s="253"/>
      <c r="M504" s="253"/>
      <c r="N504" s="253"/>
      <c r="O504" s="253"/>
      <c r="P504" s="253"/>
      <c r="Q504" s="253"/>
    </row>
    <row r="505" spans="1:17">
      <c r="A505" s="253"/>
      <c r="B505" s="253"/>
      <c r="C505" s="253"/>
      <c r="D505" s="253"/>
      <c r="E505" s="253"/>
      <c r="F505" s="253"/>
      <c r="G505" s="253"/>
      <c r="H505" s="253"/>
      <c r="I505" s="253"/>
      <c r="J505" s="253"/>
      <c r="K505" s="253"/>
      <c r="L505" s="253"/>
      <c r="M505" s="253"/>
      <c r="N505" s="253"/>
      <c r="O505" s="253"/>
      <c r="P505" s="253"/>
      <c r="Q505" s="253"/>
    </row>
    <row r="506" spans="1:17">
      <c r="A506" s="253"/>
      <c r="B506" s="253"/>
      <c r="C506" s="253"/>
      <c r="D506" s="253"/>
      <c r="E506" s="253"/>
      <c r="F506" s="253"/>
      <c r="G506" s="253"/>
      <c r="H506" s="253"/>
      <c r="I506" s="253"/>
      <c r="J506" s="253"/>
      <c r="K506" s="253"/>
      <c r="L506" s="253"/>
      <c r="M506" s="253"/>
      <c r="N506" s="253"/>
      <c r="O506" s="253"/>
      <c r="P506" s="253"/>
      <c r="Q506" s="253"/>
    </row>
    <row r="507" spans="1:17">
      <c r="A507" s="253"/>
      <c r="B507" s="253"/>
      <c r="C507" s="253"/>
      <c r="D507" s="253"/>
      <c r="E507" s="253"/>
      <c r="F507" s="253"/>
      <c r="G507" s="253"/>
      <c r="H507" s="253"/>
      <c r="I507" s="253"/>
      <c r="J507" s="253"/>
      <c r="K507" s="253"/>
      <c r="L507" s="253"/>
      <c r="M507" s="253"/>
      <c r="N507" s="253"/>
      <c r="O507" s="253"/>
      <c r="P507" s="253"/>
      <c r="Q507" s="253"/>
    </row>
    <row r="508" spans="1:17">
      <c r="A508" s="253"/>
      <c r="B508" s="253"/>
      <c r="C508" s="253"/>
      <c r="D508" s="253"/>
      <c r="E508" s="253"/>
      <c r="F508" s="253"/>
      <c r="G508" s="253"/>
      <c r="H508" s="253"/>
      <c r="I508" s="253"/>
      <c r="J508" s="253"/>
      <c r="K508" s="253"/>
      <c r="L508" s="253"/>
      <c r="M508" s="253"/>
      <c r="N508" s="253"/>
      <c r="O508" s="253"/>
      <c r="P508" s="253"/>
      <c r="Q508" s="253"/>
    </row>
    <row r="509" spans="1:17">
      <c r="A509" s="253"/>
      <c r="B509" s="253"/>
      <c r="C509" s="253"/>
      <c r="D509" s="253"/>
      <c r="E509" s="253"/>
      <c r="F509" s="253"/>
      <c r="G509" s="253"/>
      <c r="H509" s="253"/>
      <c r="I509" s="253"/>
      <c r="J509" s="253"/>
      <c r="K509" s="253"/>
      <c r="L509" s="253"/>
      <c r="M509" s="253"/>
      <c r="N509" s="253"/>
      <c r="O509" s="253"/>
      <c r="P509" s="253"/>
      <c r="Q509" s="253"/>
    </row>
    <row r="510" spans="1:17">
      <c r="A510" s="253"/>
      <c r="B510" s="253"/>
      <c r="C510" s="253"/>
      <c r="D510" s="253"/>
      <c r="E510" s="253"/>
      <c r="F510" s="253"/>
      <c r="G510" s="253"/>
      <c r="H510" s="253"/>
      <c r="I510" s="253"/>
      <c r="J510" s="253"/>
      <c r="K510" s="253"/>
      <c r="L510" s="253"/>
      <c r="M510" s="253"/>
      <c r="N510" s="253"/>
      <c r="O510" s="253"/>
      <c r="P510" s="253"/>
      <c r="Q510" s="253"/>
    </row>
    <row r="511" spans="1:17">
      <c r="A511" s="253"/>
      <c r="B511" s="253"/>
      <c r="C511" s="253"/>
      <c r="D511" s="253"/>
      <c r="E511" s="253"/>
      <c r="F511" s="253"/>
      <c r="G511" s="253"/>
      <c r="H511" s="253"/>
      <c r="I511" s="253"/>
      <c r="J511" s="253"/>
      <c r="K511" s="253"/>
      <c r="L511" s="253"/>
      <c r="M511" s="253"/>
      <c r="N511" s="253"/>
      <c r="O511" s="253"/>
      <c r="P511" s="253"/>
      <c r="Q511" s="253"/>
    </row>
    <row r="512" spans="1:17">
      <c r="A512" s="253"/>
      <c r="B512" s="253"/>
      <c r="C512" s="253"/>
      <c r="D512" s="253"/>
      <c r="E512" s="253"/>
      <c r="F512" s="253"/>
      <c r="G512" s="253"/>
      <c r="H512" s="253"/>
      <c r="I512" s="253"/>
      <c r="J512" s="253"/>
      <c r="K512" s="253"/>
      <c r="L512" s="253"/>
      <c r="M512" s="253"/>
      <c r="N512" s="253"/>
      <c r="O512" s="253"/>
      <c r="P512" s="253"/>
      <c r="Q512" s="253"/>
    </row>
    <row r="513" spans="1:17">
      <c r="A513" s="253"/>
      <c r="B513" s="253"/>
      <c r="C513" s="253"/>
      <c r="D513" s="253"/>
      <c r="E513" s="253"/>
      <c r="F513" s="253"/>
      <c r="G513" s="253"/>
      <c r="H513" s="253"/>
      <c r="I513" s="253"/>
      <c r="J513" s="253"/>
      <c r="K513" s="253"/>
      <c r="L513" s="253"/>
      <c r="M513" s="253"/>
      <c r="N513" s="253"/>
      <c r="O513" s="253"/>
      <c r="P513" s="253"/>
      <c r="Q513" s="253"/>
    </row>
    <row r="514" spans="1:17">
      <c r="A514" s="253"/>
      <c r="B514" s="253"/>
      <c r="C514" s="253"/>
      <c r="D514" s="253"/>
      <c r="E514" s="253"/>
      <c r="F514" s="253"/>
      <c r="G514" s="253"/>
      <c r="H514" s="253"/>
      <c r="I514" s="253"/>
      <c r="J514" s="253"/>
      <c r="K514" s="253"/>
      <c r="L514" s="253"/>
      <c r="M514" s="253"/>
      <c r="N514" s="253"/>
      <c r="O514" s="253"/>
      <c r="P514" s="253"/>
      <c r="Q514" s="253"/>
    </row>
    <row r="515" spans="1:17">
      <c r="A515" s="253"/>
      <c r="B515" s="253"/>
      <c r="C515" s="253"/>
      <c r="D515" s="253"/>
      <c r="E515" s="253"/>
      <c r="F515" s="253"/>
      <c r="G515" s="253"/>
      <c r="H515" s="253"/>
      <c r="I515" s="253"/>
      <c r="J515" s="253"/>
      <c r="K515" s="253"/>
      <c r="L515" s="253"/>
      <c r="M515" s="253"/>
      <c r="N515" s="253"/>
      <c r="O515" s="253"/>
      <c r="P515" s="253"/>
      <c r="Q515" s="253"/>
    </row>
    <row r="516" spans="1:17">
      <c r="A516" s="253"/>
      <c r="B516" s="253"/>
      <c r="C516" s="253"/>
      <c r="D516" s="253"/>
      <c r="E516" s="253"/>
      <c r="F516" s="253"/>
      <c r="G516" s="253"/>
      <c r="H516" s="253"/>
      <c r="I516" s="253"/>
      <c r="J516" s="253"/>
      <c r="K516" s="253"/>
      <c r="L516" s="253"/>
      <c r="M516" s="253"/>
      <c r="N516" s="253"/>
      <c r="O516" s="253"/>
      <c r="P516" s="253"/>
      <c r="Q516" s="253"/>
    </row>
    <row r="517" spans="1:17">
      <c r="A517" s="253"/>
      <c r="B517" s="253"/>
      <c r="C517" s="253"/>
      <c r="D517" s="253"/>
      <c r="E517" s="253"/>
      <c r="F517" s="253"/>
      <c r="G517" s="253"/>
      <c r="H517" s="253"/>
      <c r="I517" s="253"/>
      <c r="J517" s="253"/>
      <c r="K517" s="253"/>
      <c r="L517" s="253"/>
      <c r="M517" s="253"/>
      <c r="N517" s="253"/>
      <c r="O517" s="253"/>
      <c r="P517" s="253"/>
      <c r="Q517" s="253"/>
    </row>
    <row r="518" spans="1:17">
      <c r="A518" s="253"/>
      <c r="B518" s="253"/>
      <c r="C518" s="253"/>
      <c r="D518" s="253"/>
      <c r="E518" s="253"/>
      <c r="F518" s="253"/>
      <c r="G518" s="253"/>
      <c r="H518" s="253"/>
      <c r="I518" s="253"/>
      <c r="J518" s="253"/>
      <c r="K518" s="253"/>
      <c r="L518" s="253"/>
      <c r="M518" s="253"/>
      <c r="N518" s="253"/>
      <c r="O518" s="253"/>
      <c r="P518" s="253"/>
      <c r="Q518" s="253"/>
    </row>
    <row r="519" spans="1:17">
      <c r="A519" s="253"/>
      <c r="B519" s="253"/>
      <c r="C519" s="253"/>
      <c r="D519" s="253"/>
      <c r="E519" s="253"/>
      <c r="F519" s="253"/>
      <c r="G519" s="253"/>
      <c r="H519" s="253"/>
      <c r="I519" s="253"/>
      <c r="J519" s="253"/>
      <c r="K519" s="253"/>
      <c r="L519" s="253"/>
      <c r="M519" s="253"/>
      <c r="N519" s="253"/>
      <c r="O519" s="253"/>
      <c r="P519" s="253"/>
      <c r="Q519" s="253"/>
    </row>
    <row r="520" spans="1:17">
      <c r="A520" s="253"/>
      <c r="B520" s="253"/>
      <c r="C520" s="253"/>
      <c r="D520" s="253"/>
      <c r="E520" s="253"/>
      <c r="F520" s="253"/>
      <c r="G520" s="253"/>
      <c r="H520" s="253"/>
      <c r="I520" s="253"/>
      <c r="J520" s="253"/>
      <c r="K520" s="253"/>
      <c r="L520" s="253"/>
      <c r="M520" s="253"/>
      <c r="N520" s="253"/>
      <c r="O520" s="253"/>
      <c r="P520" s="253"/>
      <c r="Q520" s="253"/>
    </row>
    <row r="521" spans="1:17">
      <c r="A521" s="253"/>
      <c r="B521" s="253"/>
      <c r="C521" s="253"/>
      <c r="D521" s="253"/>
      <c r="E521" s="253"/>
      <c r="F521" s="253"/>
      <c r="G521" s="253"/>
      <c r="H521" s="253"/>
      <c r="I521" s="253"/>
      <c r="J521" s="253"/>
      <c r="K521" s="253"/>
      <c r="L521" s="253"/>
      <c r="M521" s="253"/>
      <c r="N521" s="253"/>
      <c r="O521" s="253"/>
      <c r="P521" s="253"/>
      <c r="Q521" s="253"/>
    </row>
    <row r="522" spans="1:17">
      <c r="A522" s="253"/>
      <c r="B522" s="253"/>
      <c r="C522" s="253"/>
      <c r="D522" s="253"/>
      <c r="E522" s="253"/>
      <c r="F522" s="253"/>
      <c r="G522" s="253"/>
      <c r="H522" s="253"/>
      <c r="I522" s="253"/>
      <c r="J522" s="253"/>
      <c r="K522" s="253"/>
      <c r="L522" s="253"/>
      <c r="M522" s="253"/>
      <c r="N522" s="253"/>
      <c r="O522" s="253"/>
      <c r="P522" s="253"/>
      <c r="Q522" s="253"/>
    </row>
    <row r="523" spans="1:17">
      <c r="A523" s="253"/>
      <c r="B523" s="253"/>
      <c r="C523" s="253"/>
      <c r="D523" s="253"/>
      <c r="E523" s="253"/>
      <c r="F523" s="253"/>
      <c r="G523" s="253"/>
      <c r="H523" s="253"/>
      <c r="I523" s="253"/>
      <c r="J523" s="253"/>
      <c r="K523" s="253"/>
      <c r="L523" s="253"/>
      <c r="M523" s="253"/>
      <c r="N523" s="253"/>
      <c r="O523" s="253"/>
      <c r="P523" s="253"/>
      <c r="Q523" s="253"/>
    </row>
    <row r="524" spans="1:17">
      <c r="A524" s="253"/>
      <c r="B524" s="253"/>
      <c r="C524" s="253"/>
      <c r="D524" s="253"/>
      <c r="E524" s="253"/>
      <c r="F524" s="253"/>
      <c r="G524" s="253"/>
      <c r="H524" s="253"/>
      <c r="I524" s="253"/>
      <c r="J524" s="253"/>
      <c r="K524" s="253"/>
      <c r="L524" s="253"/>
      <c r="M524" s="253"/>
      <c r="N524" s="253"/>
      <c r="O524" s="253"/>
      <c r="P524" s="253"/>
      <c r="Q524" s="253"/>
    </row>
    <row r="525" spans="1:17">
      <c r="A525" s="253"/>
      <c r="B525" s="253"/>
      <c r="C525" s="253"/>
      <c r="D525" s="253"/>
      <c r="E525" s="253"/>
      <c r="F525" s="253"/>
      <c r="G525" s="253"/>
      <c r="H525" s="253"/>
      <c r="I525" s="253"/>
      <c r="J525" s="253"/>
      <c r="K525" s="253"/>
      <c r="L525" s="253"/>
      <c r="M525" s="253"/>
      <c r="N525" s="253"/>
      <c r="O525" s="253"/>
      <c r="P525" s="253"/>
      <c r="Q525" s="253"/>
    </row>
    <row r="526" spans="1:17">
      <c r="A526" s="253"/>
      <c r="B526" s="253"/>
      <c r="C526" s="253"/>
      <c r="D526" s="253"/>
      <c r="E526" s="253"/>
      <c r="F526" s="253"/>
      <c r="G526" s="253"/>
      <c r="H526" s="253"/>
      <c r="I526" s="253"/>
      <c r="J526" s="253"/>
      <c r="K526" s="253"/>
      <c r="L526" s="253"/>
      <c r="M526" s="253"/>
      <c r="N526" s="253"/>
      <c r="O526" s="253"/>
      <c r="P526" s="253"/>
      <c r="Q526" s="253"/>
    </row>
    <row r="527" spans="1:17">
      <c r="A527" s="253"/>
      <c r="B527" s="253"/>
      <c r="C527" s="253"/>
      <c r="D527" s="253"/>
      <c r="E527" s="253"/>
      <c r="F527" s="253"/>
      <c r="G527" s="253"/>
      <c r="H527" s="253"/>
      <c r="I527" s="253"/>
      <c r="J527" s="253"/>
      <c r="K527" s="253"/>
      <c r="L527" s="253"/>
      <c r="M527" s="253"/>
      <c r="N527" s="253"/>
      <c r="O527" s="253"/>
      <c r="P527" s="253"/>
      <c r="Q527" s="253"/>
    </row>
    <row r="528" spans="1:17">
      <c r="A528" s="253"/>
      <c r="B528" s="253"/>
      <c r="C528" s="253"/>
      <c r="D528" s="253"/>
      <c r="E528" s="253"/>
      <c r="F528" s="253"/>
      <c r="G528" s="253"/>
      <c r="H528" s="253"/>
      <c r="I528" s="253"/>
      <c r="J528" s="253"/>
      <c r="K528" s="253"/>
      <c r="L528" s="253"/>
      <c r="M528" s="253"/>
      <c r="N528" s="253"/>
      <c r="O528" s="253"/>
      <c r="P528" s="253"/>
      <c r="Q528" s="253"/>
    </row>
    <row r="529" spans="1:17">
      <c r="A529" s="253"/>
      <c r="B529" s="253"/>
      <c r="C529" s="253"/>
      <c r="D529" s="253"/>
      <c r="E529" s="253"/>
      <c r="F529" s="253"/>
      <c r="G529" s="253"/>
      <c r="H529" s="253"/>
      <c r="I529" s="253"/>
      <c r="J529" s="253"/>
      <c r="K529" s="253"/>
      <c r="L529" s="253"/>
      <c r="M529" s="253"/>
      <c r="N529" s="253"/>
      <c r="O529" s="253"/>
      <c r="P529" s="253"/>
      <c r="Q529" s="253"/>
    </row>
    <row r="530" spans="1:17">
      <c r="A530" s="253"/>
      <c r="B530" s="253"/>
      <c r="C530" s="253"/>
      <c r="D530" s="253"/>
      <c r="E530" s="253"/>
      <c r="F530" s="253"/>
      <c r="G530" s="253"/>
      <c r="H530" s="253"/>
      <c r="I530" s="253"/>
      <c r="J530" s="253"/>
      <c r="K530" s="253"/>
      <c r="L530" s="253"/>
      <c r="M530" s="253"/>
      <c r="N530" s="253"/>
      <c r="O530" s="253"/>
      <c r="P530" s="253"/>
      <c r="Q530" s="253"/>
    </row>
    <row r="531" spans="1:17">
      <c r="A531" s="253"/>
      <c r="B531" s="253"/>
      <c r="C531" s="253"/>
      <c r="D531" s="253"/>
      <c r="E531" s="253"/>
      <c r="F531" s="253"/>
      <c r="G531" s="253"/>
      <c r="H531" s="253"/>
      <c r="I531" s="253"/>
      <c r="J531" s="253"/>
      <c r="K531" s="253"/>
      <c r="L531" s="253"/>
      <c r="M531" s="253"/>
      <c r="N531" s="253"/>
      <c r="O531" s="253"/>
      <c r="P531" s="253"/>
      <c r="Q531" s="253"/>
    </row>
    <row r="532" spans="1:17">
      <c r="A532" s="253"/>
      <c r="B532" s="253"/>
      <c r="C532" s="253"/>
      <c r="D532" s="253"/>
      <c r="E532" s="253"/>
      <c r="F532" s="253"/>
      <c r="G532" s="253"/>
      <c r="H532" s="253"/>
      <c r="I532" s="253"/>
      <c r="J532" s="253"/>
      <c r="K532" s="253"/>
      <c r="L532" s="253"/>
      <c r="M532" s="253"/>
      <c r="N532" s="253"/>
      <c r="O532" s="253"/>
      <c r="P532" s="253"/>
      <c r="Q532" s="253"/>
    </row>
    <row r="533" spans="1:17">
      <c r="A533" s="253"/>
      <c r="B533" s="253"/>
      <c r="C533" s="253"/>
      <c r="D533" s="253"/>
      <c r="E533" s="253"/>
      <c r="F533" s="253"/>
      <c r="G533" s="253"/>
      <c r="H533" s="253"/>
      <c r="I533" s="253"/>
      <c r="J533" s="253"/>
      <c r="K533" s="253"/>
      <c r="L533" s="253"/>
      <c r="M533" s="253"/>
      <c r="N533" s="253"/>
      <c r="O533" s="253"/>
      <c r="P533" s="253"/>
      <c r="Q533" s="253"/>
    </row>
    <row r="534" spans="1:17">
      <c r="A534" s="253"/>
      <c r="B534" s="253"/>
      <c r="C534" s="253"/>
      <c r="D534" s="253"/>
      <c r="E534" s="253"/>
      <c r="F534" s="253"/>
      <c r="G534" s="253"/>
      <c r="H534" s="253"/>
      <c r="I534" s="253"/>
      <c r="J534" s="253"/>
      <c r="K534" s="253"/>
      <c r="L534" s="253"/>
      <c r="M534" s="253"/>
      <c r="N534" s="253"/>
      <c r="O534" s="253"/>
      <c r="P534" s="253"/>
      <c r="Q534" s="253"/>
    </row>
    <row r="535" spans="1:17">
      <c r="A535" s="253"/>
      <c r="B535" s="253"/>
      <c r="C535" s="253"/>
      <c r="D535" s="253"/>
      <c r="E535" s="253"/>
      <c r="F535" s="253"/>
      <c r="G535" s="253"/>
      <c r="H535" s="253"/>
      <c r="I535" s="253"/>
      <c r="J535" s="253"/>
      <c r="K535" s="253"/>
      <c r="L535" s="253"/>
      <c r="M535" s="253"/>
      <c r="N535" s="253"/>
      <c r="O535" s="253"/>
      <c r="P535" s="253"/>
      <c r="Q535" s="253"/>
    </row>
    <row r="536" spans="1:17">
      <c r="A536" s="253"/>
      <c r="B536" s="253"/>
      <c r="C536" s="253"/>
      <c r="D536" s="253"/>
      <c r="E536" s="253"/>
      <c r="F536" s="253"/>
      <c r="G536" s="253"/>
      <c r="H536" s="253"/>
      <c r="I536" s="253"/>
      <c r="J536" s="253"/>
      <c r="K536" s="253"/>
      <c r="L536" s="253"/>
      <c r="M536" s="253"/>
      <c r="N536" s="253"/>
      <c r="O536" s="253"/>
      <c r="P536" s="253"/>
      <c r="Q536" s="253"/>
    </row>
    <row r="537" spans="1:17">
      <c r="A537" s="253"/>
      <c r="B537" s="253"/>
      <c r="C537" s="253"/>
      <c r="D537" s="253"/>
      <c r="E537" s="253"/>
      <c r="F537" s="253"/>
      <c r="G537" s="253"/>
      <c r="H537" s="253"/>
      <c r="I537" s="253"/>
      <c r="J537" s="253"/>
      <c r="K537" s="253"/>
      <c r="L537" s="253"/>
      <c r="M537" s="253"/>
      <c r="N537" s="253"/>
      <c r="O537" s="253"/>
      <c r="P537" s="253"/>
      <c r="Q537" s="253"/>
    </row>
    <row r="538" spans="1:17">
      <c r="A538" s="253"/>
      <c r="B538" s="253"/>
      <c r="C538" s="253"/>
      <c r="D538" s="253"/>
      <c r="E538" s="253"/>
      <c r="F538" s="253"/>
      <c r="G538" s="253"/>
      <c r="H538" s="253"/>
      <c r="I538" s="253"/>
      <c r="J538" s="253"/>
      <c r="K538" s="253"/>
      <c r="L538" s="253"/>
      <c r="M538" s="253"/>
      <c r="N538" s="253"/>
      <c r="O538" s="253"/>
      <c r="P538" s="253"/>
      <c r="Q538" s="253"/>
    </row>
    <row r="539" spans="1:17">
      <c r="A539" s="253"/>
      <c r="B539" s="253"/>
      <c r="C539" s="253"/>
      <c r="D539" s="253"/>
      <c r="E539" s="253"/>
      <c r="F539" s="253"/>
      <c r="G539" s="253"/>
      <c r="H539" s="253"/>
      <c r="I539" s="253"/>
      <c r="J539" s="253"/>
      <c r="K539" s="253"/>
      <c r="L539" s="253"/>
      <c r="M539" s="253"/>
      <c r="N539" s="253"/>
      <c r="O539" s="253"/>
      <c r="P539" s="253"/>
      <c r="Q539" s="253"/>
    </row>
    <row r="540" spans="1:17">
      <c r="A540" s="253"/>
      <c r="B540" s="253"/>
      <c r="C540" s="253"/>
      <c r="D540" s="253"/>
      <c r="E540" s="253"/>
      <c r="F540" s="253"/>
      <c r="G540" s="253"/>
      <c r="H540" s="253"/>
      <c r="I540" s="253"/>
      <c r="J540" s="253"/>
      <c r="K540" s="253"/>
      <c r="L540" s="253"/>
      <c r="M540" s="253"/>
      <c r="N540" s="253"/>
      <c r="O540" s="253"/>
      <c r="P540" s="253"/>
      <c r="Q540" s="253"/>
    </row>
    <row r="541" spans="1:17">
      <c r="A541" s="253"/>
      <c r="B541" s="253"/>
      <c r="C541" s="253"/>
      <c r="D541" s="253"/>
      <c r="E541" s="253"/>
      <c r="F541" s="253"/>
      <c r="G541" s="253"/>
      <c r="H541" s="253"/>
      <c r="I541" s="253"/>
      <c r="J541" s="253"/>
      <c r="K541" s="253"/>
      <c r="L541" s="253"/>
      <c r="M541" s="253"/>
      <c r="N541" s="253"/>
      <c r="O541" s="253"/>
      <c r="P541" s="253"/>
      <c r="Q541" s="253"/>
    </row>
    <row r="542" spans="1:17">
      <c r="A542" s="253"/>
      <c r="B542" s="253"/>
      <c r="C542" s="253"/>
      <c r="D542" s="253"/>
      <c r="E542" s="253"/>
      <c r="F542" s="253"/>
      <c r="G542" s="253"/>
      <c r="H542" s="253"/>
      <c r="I542" s="253"/>
      <c r="J542" s="253"/>
      <c r="K542" s="253"/>
      <c r="L542" s="253"/>
      <c r="M542" s="253"/>
      <c r="N542" s="253"/>
      <c r="O542" s="253"/>
      <c r="P542" s="253"/>
      <c r="Q542" s="253"/>
    </row>
    <row r="543" spans="1:17">
      <c r="A543" s="253"/>
      <c r="B543" s="253"/>
      <c r="C543" s="253"/>
      <c r="D543" s="253"/>
      <c r="E543" s="253"/>
      <c r="F543" s="253"/>
      <c r="G543" s="253"/>
      <c r="H543" s="253"/>
      <c r="I543" s="253"/>
      <c r="J543" s="253"/>
      <c r="K543" s="253"/>
      <c r="L543" s="253"/>
      <c r="M543" s="253"/>
      <c r="N543" s="253"/>
      <c r="O543" s="253"/>
      <c r="P543" s="253"/>
      <c r="Q543" s="253"/>
    </row>
    <row r="544" spans="1:17">
      <c r="A544" s="253"/>
      <c r="B544" s="253"/>
      <c r="C544" s="253"/>
      <c r="D544" s="253"/>
      <c r="E544" s="253"/>
      <c r="F544" s="253"/>
      <c r="G544" s="253"/>
      <c r="H544" s="253"/>
      <c r="I544" s="253"/>
      <c r="J544" s="253"/>
      <c r="K544" s="253"/>
      <c r="L544" s="253"/>
      <c r="M544" s="253"/>
      <c r="N544" s="253"/>
      <c r="O544" s="253"/>
      <c r="P544" s="253"/>
      <c r="Q544" s="253"/>
    </row>
    <row r="545" spans="1:17">
      <c r="A545" s="253"/>
      <c r="B545" s="253"/>
      <c r="C545" s="253"/>
      <c r="D545" s="253"/>
      <c r="E545" s="253"/>
      <c r="F545" s="253"/>
      <c r="G545" s="253"/>
      <c r="H545" s="253"/>
      <c r="I545" s="253"/>
      <c r="J545" s="253"/>
      <c r="K545" s="253"/>
      <c r="L545" s="253"/>
      <c r="M545" s="253"/>
      <c r="N545" s="253"/>
      <c r="O545" s="253"/>
      <c r="P545" s="253"/>
      <c r="Q545" s="253"/>
    </row>
    <row r="546" spans="1:17">
      <c r="A546" s="253"/>
      <c r="B546" s="253"/>
      <c r="C546" s="253"/>
      <c r="D546" s="253"/>
      <c r="E546" s="253"/>
      <c r="F546" s="253"/>
      <c r="G546" s="253"/>
      <c r="H546" s="253"/>
      <c r="I546" s="253"/>
      <c r="J546" s="253"/>
      <c r="K546" s="253"/>
      <c r="L546" s="253"/>
      <c r="M546" s="253"/>
      <c r="N546" s="253"/>
      <c r="O546" s="253"/>
      <c r="P546" s="253"/>
      <c r="Q546" s="253"/>
    </row>
    <row r="547" spans="1:17">
      <c r="A547" s="253"/>
      <c r="B547" s="253"/>
      <c r="C547" s="253"/>
      <c r="D547" s="253"/>
      <c r="E547" s="253"/>
      <c r="F547" s="253"/>
      <c r="G547" s="253"/>
      <c r="H547" s="253"/>
      <c r="I547" s="253"/>
      <c r="J547" s="253"/>
      <c r="K547" s="253"/>
      <c r="L547" s="253"/>
      <c r="M547" s="253"/>
      <c r="N547" s="253"/>
      <c r="O547" s="253"/>
      <c r="P547" s="253"/>
      <c r="Q547" s="253"/>
    </row>
    <row r="548" spans="1:17">
      <c r="A548" s="253"/>
      <c r="B548" s="253"/>
      <c r="C548" s="253"/>
      <c r="D548" s="253"/>
      <c r="E548" s="253"/>
      <c r="F548" s="253"/>
      <c r="G548" s="253"/>
      <c r="H548" s="253"/>
      <c r="I548" s="253"/>
      <c r="J548" s="253"/>
      <c r="K548" s="253"/>
      <c r="L548" s="253"/>
      <c r="M548" s="253"/>
      <c r="N548" s="253"/>
      <c r="O548" s="253"/>
      <c r="P548" s="253"/>
      <c r="Q548" s="253"/>
    </row>
    <row r="549" spans="1:17">
      <c r="A549" s="253"/>
      <c r="B549" s="253"/>
      <c r="C549" s="253"/>
      <c r="D549" s="253"/>
      <c r="E549" s="253"/>
      <c r="F549" s="253"/>
      <c r="G549" s="253"/>
      <c r="H549" s="253"/>
      <c r="I549" s="253"/>
      <c r="J549" s="253"/>
      <c r="K549" s="253"/>
      <c r="L549" s="253"/>
      <c r="M549" s="253"/>
      <c r="N549" s="253"/>
      <c r="O549" s="253"/>
      <c r="P549" s="253"/>
      <c r="Q549" s="253"/>
    </row>
    <row r="550" spans="1:17">
      <c r="A550" s="253"/>
      <c r="B550" s="253"/>
      <c r="C550" s="253"/>
      <c r="D550" s="253"/>
      <c r="E550" s="253"/>
      <c r="F550" s="253"/>
      <c r="G550" s="253"/>
      <c r="H550" s="253"/>
      <c r="I550" s="253"/>
      <c r="J550" s="253"/>
      <c r="K550" s="253"/>
      <c r="L550" s="253"/>
      <c r="M550" s="253"/>
      <c r="N550" s="253"/>
      <c r="O550" s="253"/>
      <c r="P550" s="253"/>
      <c r="Q550" s="253"/>
    </row>
    <row r="551" spans="1:17">
      <c r="A551" s="253"/>
      <c r="B551" s="253"/>
      <c r="C551" s="253"/>
      <c r="D551" s="253"/>
      <c r="E551" s="253"/>
      <c r="F551" s="253"/>
      <c r="G551" s="253"/>
      <c r="H551" s="253"/>
      <c r="I551" s="253"/>
      <c r="J551" s="253"/>
      <c r="K551" s="253"/>
      <c r="L551" s="253"/>
      <c r="M551" s="253"/>
      <c r="N551" s="253"/>
      <c r="O551" s="253"/>
      <c r="P551" s="253"/>
      <c r="Q551" s="253"/>
    </row>
    <row r="552" spans="1:17">
      <c r="A552" s="253"/>
      <c r="B552" s="253"/>
      <c r="C552" s="253"/>
      <c r="D552" s="253"/>
      <c r="E552" s="253"/>
      <c r="F552" s="253"/>
      <c r="G552" s="253"/>
      <c r="H552" s="253"/>
      <c r="I552" s="253"/>
      <c r="J552" s="253"/>
      <c r="K552" s="253"/>
      <c r="L552" s="253"/>
      <c r="M552" s="253"/>
      <c r="N552" s="253"/>
      <c r="O552" s="253"/>
      <c r="P552" s="253"/>
      <c r="Q552" s="253"/>
    </row>
    <row r="553" spans="1:17">
      <c r="A553" s="253"/>
      <c r="B553" s="253"/>
      <c r="C553" s="253"/>
      <c r="D553" s="253"/>
      <c r="E553" s="253"/>
      <c r="F553" s="253"/>
      <c r="G553" s="253"/>
      <c r="H553" s="253"/>
      <c r="I553" s="253"/>
      <c r="J553" s="253"/>
      <c r="K553" s="253"/>
      <c r="L553" s="253"/>
      <c r="M553" s="253"/>
      <c r="N553" s="253"/>
      <c r="O553" s="253"/>
      <c r="P553" s="253"/>
      <c r="Q553" s="253"/>
    </row>
    <row r="554" spans="1:17">
      <c r="A554" s="253"/>
      <c r="B554" s="253"/>
      <c r="C554" s="253"/>
      <c r="D554" s="253"/>
      <c r="E554" s="253"/>
      <c r="F554" s="253"/>
      <c r="G554" s="253"/>
      <c r="H554" s="253"/>
      <c r="I554" s="253"/>
      <c r="J554" s="253"/>
      <c r="K554" s="253"/>
      <c r="L554" s="253"/>
      <c r="M554" s="253"/>
      <c r="N554" s="253"/>
      <c r="O554" s="253"/>
      <c r="P554" s="253"/>
      <c r="Q554" s="253"/>
    </row>
    <row r="555" spans="1:17">
      <c r="A555" s="253"/>
      <c r="B555" s="253"/>
      <c r="C555" s="253"/>
      <c r="D555" s="253"/>
      <c r="E555" s="253"/>
      <c r="F555" s="253"/>
      <c r="G555" s="253"/>
      <c r="H555" s="253"/>
      <c r="I555" s="253"/>
      <c r="J555" s="253"/>
      <c r="K555" s="253"/>
      <c r="L555" s="253"/>
      <c r="M555" s="253"/>
      <c r="N555" s="253"/>
      <c r="O555" s="253"/>
      <c r="P555" s="253"/>
      <c r="Q555" s="253"/>
    </row>
    <row r="556" spans="1:17">
      <c r="A556" s="253"/>
      <c r="B556" s="253"/>
      <c r="C556" s="253"/>
      <c r="D556" s="253"/>
      <c r="E556" s="253"/>
      <c r="F556" s="253"/>
      <c r="G556" s="253"/>
      <c r="H556" s="253"/>
      <c r="I556" s="253"/>
      <c r="J556" s="253"/>
      <c r="K556" s="253"/>
      <c r="L556" s="253"/>
      <c r="M556" s="253"/>
      <c r="N556" s="253"/>
      <c r="O556" s="253"/>
      <c r="P556" s="253"/>
      <c r="Q556" s="253"/>
    </row>
    <row r="557" spans="1:17">
      <c r="A557" s="253"/>
      <c r="B557" s="253"/>
      <c r="C557" s="253"/>
      <c r="D557" s="253"/>
      <c r="E557" s="253"/>
      <c r="F557" s="253"/>
      <c r="G557" s="253"/>
      <c r="H557" s="253"/>
      <c r="I557" s="253"/>
      <c r="J557" s="253"/>
      <c r="K557" s="253"/>
      <c r="L557" s="253"/>
      <c r="M557" s="253"/>
      <c r="N557" s="253"/>
      <c r="O557" s="253"/>
      <c r="P557" s="253"/>
      <c r="Q557" s="253"/>
    </row>
    <row r="558" spans="1:17">
      <c r="A558" s="253"/>
      <c r="B558" s="253"/>
      <c r="C558" s="253"/>
      <c r="D558" s="253"/>
      <c r="E558" s="253"/>
      <c r="F558" s="253"/>
      <c r="G558" s="253"/>
      <c r="H558" s="253"/>
      <c r="I558" s="253"/>
      <c r="J558" s="253"/>
      <c r="K558" s="253"/>
      <c r="L558" s="253"/>
      <c r="M558" s="253"/>
      <c r="N558" s="253"/>
      <c r="O558" s="253"/>
      <c r="P558" s="253"/>
      <c r="Q558" s="253"/>
    </row>
    <row r="559" spans="1:17">
      <c r="A559" s="253"/>
      <c r="B559" s="253"/>
      <c r="C559" s="253"/>
      <c r="D559" s="253"/>
      <c r="E559" s="253"/>
      <c r="F559" s="253"/>
      <c r="G559" s="253"/>
      <c r="H559" s="253"/>
      <c r="I559" s="253"/>
      <c r="J559" s="253"/>
      <c r="K559" s="253"/>
      <c r="L559" s="253"/>
      <c r="M559" s="253"/>
      <c r="N559" s="253"/>
      <c r="O559" s="253"/>
      <c r="P559" s="253"/>
      <c r="Q559" s="253"/>
    </row>
    <row r="560" spans="1:17">
      <c r="A560" s="253"/>
      <c r="B560" s="253"/>
      <c r="C560" s="253"/>
      <c r="D560" s="253"/>
      <c r="E560" s="253"/>
      <c r="F560" s="253"/>
      <c r="G560" s="253"/>
      <c r="H560" s="253"/>
      <c r="I560" s="253"/>
      <c r="J560" s="253"/>
      <c r="K560" s="253"/>
      <c r="L560" s="253"/>
      <c r="M560" s="253"/>
      <c r="N560" s="253"/>
      <c r="O560" s="253"/>
      <c r="P560" s="253"/>
      <c r="Q560" s="253"/>
    </row>
    <row r="561" spans="1:17">
      <c r="A561" s="253"/>
      <c r="B561" s="253"/>
      <c r="C561" s="253"/>
      <c r="D561" s="253"/>
      <c r="E561" s="253"/>
      <c r="F561" s="253"/>
      <c r="G561" s="253"/>
      <c r="H561" s="253"/>
      <c r="I561" s="253"/>
      <c r="J561" s="253"/>
      <c r="K561" s="253"/>
      <c r="L561" s="253"/>
      <c r="M561" s="253"/>
      <c r="N561" s="253"/>
      <c r="O561" s="253"/>
      <c r="P561" s="253"/>
      <c r="Q561" s="253"/>
    </row>
    <row r="562" spans="1:17">
      <c r="A562" s="253"/>
      <c r="B562" s="253"/>
      <c r="C562" s="253"/>
      <c r="D562" s="253"/>
      <c r="E562" s="253"/>
      <c r="F562" s="253"/>
      <c r="G562" s="253"/>
      <c r="H562" s="253"/>
      <c r="I562" s="253"/>
      <c r="J562" s="253"/>
      <c r="K562" s="253"/>
      <c r="L562" s="253"/>
      <c r="M562" s="253"/>
      <c r="N562" s="253"/>
      <c r="O562" s="253"/>
      <c r="P562" s="253"/>
      <c r="Q562" s="253"/>
    </row>
    <row r="563" spans="1:17">
      <c r="A563" s="253"/>
      <c r="B563" s="253"/>
      <c r="C563" s="253"/>
      <c r="D563" s="253"/>
      <c r="E563" s="253"/>
      <c r="F563" s="253"/>
      <c r="G563" s="253"/>
      <c r="H563" s="253"/>
      <c r="I563" s="253"/>
      <c r="J563" s="253"/>
      <c r="K563" s="253"/>
      <c r="L563" s="253"/>
      <c r="M563" s="253"/>
      <c r="N563" s="253"/>
      <c r="O563" s="253"/>
      <c r="P563" s="253"/>
      <c r="Q563" s="253"/>
    </row>
    <row r="564" spans="1:17">
      <c r="A564" s="253"/>
      <c r="B564" s="253"/>
      <c r="C564" s="253"/>
      <c r="D564" s="253"/>
      <c r="E564" s="253"/>
      <c r="F564" s="253"/>
      <c r="G564" s="253"/>
      <c r="H564" s="253"/>
      <c r="I564" s="253"/>
      <c r="J564" s="253"/>
      <c r="K564" s="253"/>
      <c r="L564" s="253"/>
      <c r="M564" s="253"/>
      <c r="N564" s="253"/>
      <c r="O564" s="253"/>
      <c r="P564" s="253"/>
      <c r="Q564" s="253"/>
    </row>
    <row r="565" spans="1:17">
      <c r="A565" s="253"/>
      <c r="B565" s="253"/>
      <c r="C565" s="253"/>
      <c r="D565" s="253"/>
      <c r="E565" s="253"/>
      <c r="F565" s="253"/>
      <c r="G565" s="253"/>
      <c r="H565" s="253"/>
      <c r="I565" s="253"/>
      <c r="J565" s="253"/>
      <c r="K565" s="253"/>
      <c r="L565" s="253"/>
      <c r="M565" s="253"/>
      <c r="N565" s="253"/>
      <c r="O565" s="253"/>
      <c r="P565" s="253"/>
      <c r="Q565" s="253"/>
    </row>
    <row r="566" spans="1:17">
      <c r="A566" s="253"/>
      <c r="B566" s="253"/>
      <c r="C566" s="253"/>
      <c r="D566" s="253"/>
      <c r="E566" s="253"/>
      <c r="F566" s="253"/>
      <c r="G566" s="253"/>
      <c r="H566" s="253"/>
      <c r="I566" s="253"/>
      <c r="J566" s="253"/>
      <c r="K566" s="253"/>
      <c r="L566" s="253"/>
      <c r="M566" s="253"/>
      <c r="N566" s="253"/>
      <c r="O566" s="253"/>
      <c r="P566" s="253"/>
      <c r="Q566" s="253"/>
    </row>
    <row r="567" spans="1:17">
      <c r="A567" s="253"/>
      <c r="B567" s="253"/>
      <c r="C567" s="253"/>
      <c r="D567" s="253"/>
      <c r="E567" s="253"/>
      <c r="F567" s="253"/>
      <c r="G567" s="253"/>
      <c r="H567" s="253"/>
      <c r="I567" s="253"/>
      <c r="J567" s="253"/>
      <c r="K567" s="253"/>
      <c r="L567" s="253"/>
      <c r="M567" s="253"/>
      <c r="N567" s="253"/>
      <c r="O567" s="253"/>
      <c r="P567" s="253"/>
      <c r="Q567" s="253"/>
    </row>
    <row r="568" spans="1:17">
      <c r="A568" s="253"/>
      <c r="B568" s="253"/>
      <c r="C568" s="253"/>
      <c r="D568" s="253"/>
      <c r="E568" s="253"/>
      <c r="F568" s="253"/>
      <c r="G568" s="253"/>
      <c r="H568" s="253"/>
      <c r="I568" s="253"/>
      <c r="J568" s="253"/>
      <c r="K568" s="253"/>
      <c r="L568" s="253"/>
      <c r="M568" s="253"/>
      <c r="N568" s="253"/>
      <c r="O568" s="253"/>
      <c r="P568" s="253"/>
      <c r="Q568" s="253"/>
    </row>
    <row r="569" spans="1:17">
      <c r="A569" s="253"/>
      <c r="B569" s="253"/>
      <c r="C569" s="253"/>
      <c r="D569" s="253"/>
      <c r="E569" s="253"/>
      <c r="F569" s="253"/>
      <c r="G569" s="253"/>
      <c r="H569" s="253"/>
      <c r="I569" s="253"/>
      <c r="J569" s="253"/>
      <c r="K569" s="253"/>
      <c r="L569" s="253"/>
      <c r="M569" s="253"/>
      <c r="N569" s="253"/>
      <c r="O569" s="253"/>
      <c r="P569" s="253"/>
      <c r="Q569" s="253"/>
    </row>
    <row r="570" spans="1:17">
      <c r="A570" s="253"/>
      <c r="B570" s="253"/>
      <c r="C570" s="253"/>
      <c r="D570" s="253"/>
      <c r="E570" s="253"/>
      <c r="F570" s="253"/>
      <c r="G570" s="253"/>
      <c r="H570" s="253"/>
      <c r="I570" s="253"/>
      <c r="J570" s="253"/>
      <c r="K570" s="253"/>
      <c r="L570" s="253"/>
      <c r="M570" s="253"/>
      <c r="N570" s="253"/>
      <c r="O570" s="253"/>
      <c r="P570" s="253"/>
      <c r="Q570" s="253"/>
    </row>
    <row r="571" spans="1:17">
      <c r="A571" s="253"/>
      <c r="B571" s="253"/>
      <c r="C571" s="253"/>
      <c r="D571" s="253"/>
      <c r="E571" s="253"/>
      <c r="F571" s="253"/>
      <c r="G571" s="253"/>
      <c r="H571" s="253"/>
      <c r="I571" s="253"/>
      <c r="J571" s="253"/>
      <c r="K571" s="253"/>
      <c r="L571" s="253"/>
      <c r="M571" s="253"/>
      <c r="N571" s="253"/>
      <c r="O571" s="253"/>
      <c r="P571" s="253"/>
      <c r="Q571" s="253"/>
    </row>
    <row r="572" spans="1:17">
      <c r="A572" s="253"/>
      <c r="B572" s="253"/>
      <c r="C572" s="253"/>
      <c r="D572" s="253"/>
      <c r="E572" s="253"/>
      <c r="F572" s="253"/>
      <c r="G572" s="253"/>
      <c r="H572" s="253"/>
      <c r="I572" s="253"/>
      <c r="J572" s="253"/>
      <c r="K572" s="253"/>
      <c r="L572" s="253"/>
      <c r="M572" s="253"/>
      <c r="N572" s="253"/>
      <c r="O572" s="253"/>
      <c r="P572" s="253"/>
      <c r="Q572" s="253"/>
    </row>
    <row r="573" spans="1:17">
      <c r="A573" s="253"/>
      <c r="B573" s="253"/>
      <c r="C573" s="253"/>
      <c r="D573" s="253"/>
      <c r="E573" s="253"/>
      <c r="F573" s="253"/>
      <c r="G573" s="253"/>
      <c r="H573" s="253"/>
      <c r="I573" s="253"/>
      <c r="J573" s="253"/>
      <c r="K573" s="253"/>
      <c r="L573" s="253"/>
      <c r="M573" s="253"/>
      <c r="N573" s="253"/>
      <c r="O573" s="253"/>
      <c r="P573" s="253"/>
      <c r="Q573" s="253"/>
    </row>
    <row r="574" spans="1:17">
      <c r="A574" s="253"/>
      <c r="B574" s="253"/>
      <c r="C574" s="253"/>
      <c r="D574" s="253"/>
      <c r="E574" s="253"/>
      <c r="F574" s="253"/>
      <c r="G574" s="253"/>
      <c r="H574" s="253"/>
      <c r="I574" s="253"/>
      <c r="J574" s="253"/>
      <c r="K574" s="253"/>
      <c r="L574" s="253"/>
      <c r="M574" s="253"/>
      <c r="N574" s="253"/>
      <c r="O574" s="253"/>
      <c r="P574" s="253"/>
      <c r="Q574" s="253"/>
    </row>
    <row r="575" spans="1:17">
      <c r="A575" s="253"/>
      <c r="B575" s="253"/>
      <c r="C575" s="253"/>
      <c r="D575" s="253"/>
      <c r="E575" s="253"/>
      <c r="F575" s="253"/>
      <c r="G575" s="253"/>
      <c r="H575" s="253"/>
      <c r="I575" s="253"/>
      <c r="J575" s="253"/>
      <c r="K575" s="253"/>
      <c r="L575" s="253"/>
      <c r="M575" s="253"/>
      <c r="N575" s="253"/>
      <c r="O575" s="253"/>
      <c r="P575" s="253"/>
      <c r="Q575" s="253"/>
    </row>
    <row r="576" spans="1:17">
      <c r="A576" s="253"/>
      <c r="B576" s="253"/>
      <c r="C576" s="253"/>
      <c r="D576" s="253"/>
      <c r="E576" s="253"/>
      <c r="F576" s="253"/>
      <c r="G576" s="253"/>
      <c r="H576" s="253"/>
      <c r="I576" s="253"/>
      <c r="J576" s="253"/>
      <c r="K576" s="253"/>
      <c r="L576" s="253"/>
      <c r="M576" s="253"/>
      <c r="N576" s="253"/>
      <c r="O576" s="253"/>
      <c r="P576" s="253"/>
      <c r="Q576" s="253"/>
    </row>
    <row r="577" spans="1:17">
      <c r="A577" s="253"/>
      <c r="B577" s="253"/>
      <c r="C577" s="253"/>
      <c r="D577" s="253"/>
      <c r="E577" s="253"/>
      <c r="F577" s="253"/>
      <c r="G577" s="253"/>
      <c r="H577" s="253"/>
      <c r="I577" s="253"/>
      <c r="J577" s="253"/>
      <c r="K577" s="253"/>
      <c r="L577" s="253"/>
      <c r="M577" s="253"/>
      <c r="N577" s="253"/>
      <c r="O577" s="253"/>
      <c r="P577" s="253"/>
      <c r="Q577" s="253"/>
    </row>
    <row r="578" spans="1:17">
      <c r="A578" s="253"/>
      <c r="B578" s="253"/>
      <c r="C578" s="253"/>
      <c r="D578" s="253"/>
      <c r="E578" s="253"/>
      <c r="F578" s="253"/>
      <c r="G578" s="253"/>
      <c r="H578" s="253"/>
      <c r="I578" s="253"/>
      <c r="J578" s="253"/>
      <c r="K578" s="253"/>
      <c r="L578" s="253"/>
      <c r="M578" s="253"/>
      <c r="N578" s="253"/>
      <c r="O578" s="253"/>
      <c r="P578" s="253"/>
      <c r="Q578" s="253"/>
    </row>
    <row r="579" spans="1:17">
      <c r="A579" s="253"/>
      <c r="B579" s="253"/>
      <c r="C579" s="253"/>
      <c r="D579" s="253"/>
      <c r="E579" s="253"/>
      <c r="F579" s="253"/>
      <c r="G579" s="253"/>
      <c r="H579" s="253"/>
      <c r="I579" s="253"/>
      <c r="J579" s="253"/>
      <c r="K579" s="253"/>
      <c r="L579" s="253"/>
      <c r="M579" s="253"/>
      <c r="N579" s="253"/>
      <c r="O579" s="253"/>
      <c r="P579" s="253"/>
      <c r="Q579" s="253"/>
    </row>
    <row r="580" spans="1:17">
      <c r="A580" s="253"/>
      <c r="B580" s="253"/>
      <c r="C580" s="253"/>
      <c r="D580" s="253"/>
      <c r="E580" s="253"/>
      <c r="F580" s="253"/>
      <c r="G580" s="253"/>
      <c r="H580" s="253"/>
      <c r="I580" s="253"/>
      <c r="J580" s="253"/>
      <c r="K580" s="253"/>
      <c r="L580" s="253"/>
      <c r="M580" s="253"/>
      <c r="N580" s="253"/>
      <c r="O580" s="253"/>
      <c r="P580" s="253"/>
      <c r="Q580" s="253"/>
    </row>
    <row r="581" spans="1:17">
      <c r="A581" s="253"/>
      <c r="B581" s="253"/>
      <c r="C581" s="253"/>
      <c r="D581" s="253"/>
      <c r="E581" s="253"/>
      <c r="F581" s="253"/>
      <c r="G581" s="253"/>
      <c r="H581" s="253"/>
      <c r="I581" s="253"/>
      <c r="J581" s="253"/>
      <c r="K581" s="253"/>
      <c r="L581" s="253"/>
      <c r="M581" s="253"/>
      <c r="N581" s="253"/>
      <c r="O581" s="253"/>
      <c r="P581" s="253"/>
      <c r="Q581" s="253"/>
    </row>
    <row r="582" spans="1:17">
      <c r="A582" s="253"/>
      <c r="B582" s="253"/>
      <c r="C582" s="253"/>
      <c r="D582" s="253"/>
      <c r="E582" s="253"/>
      <c r="F582" s="253"/>
      <c r="G582" s="253"/>
      <c r="H582" s="253"/>
      <c r="I582" s="253"/>
      <c r="J582" s="253"/>
      <c r="K582" s="253"/>
      <c r="L582" s="253"/>
      <c r="M582" s="253"/>
      <c r="N582" s="253"/>
      <c r="O582" s="253"/>
      <c r="P582" s="253"/>
      <c r="Q582" s="253"/>
    </row>
    <row r="583" spans="1:17">
      <c r="A583" s="253"/>
      <c r="B583" s="253"/>
      <c r="C583" s="253"/>
      <c r="D583" s="253"/>
      <c r="E583" s="253"/>
      <c r="F583" s="253"/>
      <c r="G583" s="253"/>
      <c r="H583" s="253"/>
      <c r="I583" s="253"/>
      <c r="J583" s="253"/>
      <c r="K583" s="253"/>
      <c r="L583" s="253"/>
      <c r="M583" s="253"/>
      <c r="N583" s="253"/>
      <c r="O583" s="253"/>
      <c r="P583" s="253"/>
      <c r="Q583" s="253"/>
    </row>
    <row r="584" spans="1:17">
      <c r="A584" s="253"/>
      <c r="B584" s="253"/>
      <c r="C584" s="253"/>
      <c r="D584" s="253"/>
      <c r="E584" s="253"/>
      <c r="F584" s="253"/>
      <c r="G584" s="253"/>
      <c r="H584" s="253"/>
      <c r="I584" s="253"/>
      <c r="J584" s="253"/>
      <c r="K584" s="253"/>
      <c r="L584" s="253"/>
      <c r="M584" s="253"/>
      <c r="N584" s="253"/>
      <c r="O584" s="253"/>
      <c r="P584" s="253"/>
      <c r="Q584" s="253"/>
    </row>
    <row r="585" spans="1:17">
      <c r="A585" s="253"/>
      <c r="B585" s="253"/>
      <c r="C585" s="253"/>
      <c r="D585" s="253"/>
      <c r="E585" s="253"/>
      <c r="F585" s="253"/>
      <c r="G585" s="253"/>
      <c r="H585" s="253"/>
      <c r="I585" s="253"/>
      <c r="J585" s="253"/>
      <c r="K585" s="253"/>
      <c r="L585" s="253"/>
      <c r="M585" s="253"/>
      <c r="N585" s="253"/>
      <c r="O585" s="253"/>
      <c r="P585" s="253"/>
      <c r="Q585" s="253"/>
    </row>
    <row r="586" spans="1:17">
      <c r="A586" s="253"/>
      <c r="B586" s="253"/>
      <c r="C586" s="253"/>
      <c r="D586" s="253"/>
      <c r="E586" s="253"/>
      <c r="F586" s="253"/>
      <c r="G586" s="253"/>
      <c r="H586" s="253"/>
      <c r="I586" s="253"/>
      <c r="J586" s="253"/>
      <c r="K586" s="253"/>
      <c r="L586" s="253"/>
      <c r="M586" s="253"/>
      <c r="N586" s="253"/>
      <c r="O586" s="253"/>
      <c r="P586" s="253"/>
      <c r="Q586" s="253"/>
    </row>
    <row r="587" spans="1:17">
      <c r="A587" s="253"/>
      <c r="B587" s="253"/>
      <c r="C587" s="253"/>
      <c r="D587" s="253"/>
      <c r="E587" s="253"/>
      <c r="F587" s="253"/>
      <c r="G587" s="253"/>
      <c r="H587" s="253"/>
      <c r="I587" s="253"/>
      <c r="J587" s="253"/>
      <c r="K587" s="253"/>
      <c r="L587" s="253"/>
      <c r="M587" s="253"/>
      <c r="N587" s="253"/>
      <c r="O587" s="253"/>
      <c r="P587" s="253"/>
      <c r="Q587" s="253"/>
    </row>
    <row r="588" spans="1:17">
      <c r="A588" s="253"/>
      <c r="B588" s="253"/>
      <c r="C588" s="253"/>
      <c r="D588" s="253"/>
      <c r="E588" s="253"/>
      <c r="F588" s="253"/>
      <c r="G588" s="253"/>
      <c r="H588" s="253"/>
      <c r="I588" s="253"/>
      <c r="J588" s="253"/>
      <c r="K588" s="253"/>
      <c r="L588" s="253"/>
      <c r="M588" s="253"/>
      <c r="N588" s="253"/>
      <c r="O588" s="253"/>
      <c r="P588" s="253"/>
      <c r="Q588" s="253"/>
    </row>
    <row r="589" spans="1:17">
      <c r="A589" s="253"/>
      <c r="B589" s="253"/>
      <c r="C589" s="253"/>
      <c r="D589" s="253"/>
      <c r="E589" s="253"/>
      <c r="F589" s="253"/>
      <c r="G589" s="253"/>
      <c r="H589" s="253"/>
      <c r="I589" s="253"/>
      <c r="J589" s="253"/>
      <c r="K589" s="253"/>
      <c r="L589" s="253"/>
      <c r="M589" s="253"/>
      <c r="N589" s="253"/>
      <c r="O589" s="253"/>
      <c r="P589" s="253"/>
      <c r="Q589" s="253"/>
    </row>
    <row r="590" spans="1:17">
      <c r="A590" s="253"/>
      <c r="B590" s="253"/>
      <c r="C590" s="253"/>
      <c r="D590" s="253"/>
      <c r="E590" s="253"/>
      <c r="F590" s="253"/>
      <c r="G590" s="253"/>
      <c r="H590" s="253"/>
      <c r="I590" s="253"/>
      <c r="J590" s="253"/>
      <c r="K590" s="253"/>
      <c r="L590" s="253"/>
      <c r="M590" s="253"/>
      <c r="N590" s="253"/>
      <c r="O590" s="253"/>
      <c r="P590" s="253"/>
      <c r="Q590" s="253"/>
    </row>
    <row r="591" spans="1:17">
      <c r="A591" s="253"/>
      <c r="B591" s="253"/>
      <c r="C591" s="253"/>
      <c r="D591" s="253"/>
      <c r="E591" s="253"/>
      <c r="F591" s="253"/>
      <c r="G591" s="253"/>
      <c r="H591" s="253"/>
      <c r="I591" s="253"/>
      <c r="J591" s="253"/>
      <c r="K591" s="253"/>
      <c r="L591" s="253"/>
      <c r="M591" s="253"/>
      <c r="N591" s="253"/>
      <c r="O591" s="253"/>
      <c r="P591" s="253"/>
      <c r="Q591" s="253"/>
    </row>
    <row r="592" spans="1:17">
      <c r="A592" s="253"/>
      <c r="B592" s="253"/>
      <c r="C592" s="253"/>
      <c r="D592" s="253"/>
      <c r="E592" s="253"/>
      <c r="F592" s="253"/>
      <c r="G592" s="253"/>
      <c r="H592" s="253"/>
      <c r="I592" s="253"/>
      <c r="J592" s="253"/>
      <c r="K592" s="253"/>
      <c r="L592" s="253"/>
      <c r="M592" s="253"/>
      <c r="N592" s="253"/>
      <c r="O592" s="253"/>
      <c r="P592" s="253"/>
      <c r="Q592" s="253"/>
    </row>
    <row r="593" spans="1:17">
      <c r="A593" s="253"/>
      <c r="B593" s="253"/>
      <c r="C593" s="253"/>
      <c r="D593" s="253"/>
      <c r="E593" s="253"/>
      <c r="F593" s="253"/>
      <c r="G593" s="253"/>
      <c r="H593" s="253"/>
      <c r="I593" s="253"/>
      <c r="J593" s="253"/>
      <c r="K593" s="253"/>
      <c r="L593" s="253"/>
      <c r="M593" s="253"/>
      <c r="N593" s="253"/>
      <c r="O593" s="253"/>
      <c r="P593" s="253"/>
      <c r="Q593" s="253"/>
    </row>
    <row r="594" spans="1:17">
      <c r="A594" s="253"/>
      <c r="B594" s="253"/>
      <c r="C594" s="253"/>
      <c r="D594" s="253"/>
      <c r="E594" s="253"/>
      <c r="F594" s="253"/>
      <c r="G594" s="253"/>
      <c r="H594" s="253"/>
      <c r="I594" s="253"/>
      <c r="J594" s="253"/>
      <c r="K594" s="253"/>
      <c r="L594" s="253"/>
      <c r="M594" s="253"/>
      <c r="N594" s="253"/>
      <c r="O594" s="253"/>
      <c r="P594" s="253"/>
      <c r="Q594" s="253"/>
    </row>
    <row r="595" spans="1:17">
      <c r="A595" s="253"/>
      <c r="B595" s="253"/>
      <c r="C595" s="253"/>
      <c r="D595" s="253"/>
      <c r="E595" s="253"/>
      <c r="F595" s="253"/>
      <c r="G595" s="253"/>
      <c r="H595" s="253"/>
      <c r="I595" s="253"/>
      <c r="J595" s="253"/>
      <c r="K595" s="253"/>
      <c r="L595" s="253"/>
      <c r="M595" s="253"/>
      <c r="N595" s="253"/>
      <c r="O595" s="253"/>
      <c r="P595" s="253"/>
      <c r="Q595" s="253"/>
    </row>
    <row r="596" spans="1:17">
      <c r="A596" s="253"/>
      <c r="B596" s="253"/>
      <c r="C596" s="253"/>
      <c r="D596" s="253"/>
      <c r="E596" s="253"/>
      <c r="F596" s="253"/>
      <c r="G596" s="253"/>
      <c r="H596" s="253"/>
      <c r="I596" s="253"/>
      <c r="J596" s="253"/>
      <c r="K596" s="253"/>
      <c r="L596" s="253"/>
      <c r="M596" s="253"/>
      <c r="N596" s="253"/>
      <c r="O596" s="253"/>
      <c r="P596" s="253"/>
      <c r="Q596" s="253"/>
    </row>
    <row r="597" spans="1:17">
      <c r="A597" s="253"/>
      <c r="B597" s="253"/>
      <c r="C597" s="253"/>
      <c r="D597" s="253"/>
      <c r="E597" s="253"/>
      <c r="F597" s="253"/>
      <c r="G597" s="253"/>
      <c r="H597" s="253"/>
      <c r="I597" s="253"/>
      <c r="J597" s="253"/>
      <c r="K597" s="253"/>
      <c r="L597" s="253"/>
      <c r="M597" s="253"/>
      <c r="N597" s="253"/>
      <c r="O597" s="253"/>
      <c r="P597" s="253"/>
      <c r="Q597" s="253"/>
    </row>
    <row r="598" spans="1:17">
      <c r="A598" s="253"/>
      <c r="B598" s="253"/>
      <c r="C598" s="253"/>
      <c r="D598" s="253"/>
      <c r="E598" s="253"/>
      <c r="F598" s="253"/>
      <c r="G598" s="253"/>
      <c r="H598" s="253"/>
      <c r="I598" s="253"/>
      <c r="J598" s="253"/>
      <c r="K598" s="253"/>
      <c r="L598" s="253"/>
      <c r="M598" s="253"/>
      <c r="N598" s="253"/>
      <c r="O598" s="253"/>
      <c r="P598" s="253"/>
      <c r="Q598" s="253"/>
    </row>
    <row r="599" spans="1:17">
      <c r="A599" s="253"/>
      <c r="B599" s="253"/>
      <c r="C599" s="253"/>
      <c r="D599" s="253"/>
      <c r="E599" s="253"/>
      <c r="F599" s="253"/>
      <c r="G599" s="253"/>
      <c r="H599" s="253"/>
      <c r="I599" s="253"/>
      <c r="J599" s="253"/>
      <c r="K599" s="253"/>
      <c r="L599" s="253"/>
      <c r="M599" s="253"/>
      <c r="N599" s="253"/>
      <c r="O599" s="253"/>
      <c r="P599" s="253"/>
      <c r="Q599" s="253"/>
    </row>
    <row r="600" spans="1:17">
      <c r="A600" s="253"/>
      <c r="B600" s="253"/>
      <c r="C600" s="253"/>
      <c r="D600" s="253"/>
      <c r="E600" s="253"/>
      <c r="F600" s="253"/>
      <c r="G600" s="253"/>
      <c r="H600" s="253"/>
      <c r="I600" s="253"/>
      <c r="J600" s="253"/>
      <c r="K600" s="253"/>
      <c r="L600" s="253"/>
      <c r="M600" s="253"/>
      <c r="N600" s="253"/>
      <c r="O600" s="253"/>
      <c r="P600" s="253"/>
      <c r="Q600" s="253"/>
    </row>
    <row r="601" spans="1:17">
      <c r="A601" s="253"/>
      <c r="B601" s="253"/>
      <c r="C601" s="253"/>
      <c r="D601" s="253"/>
      <c r="E601" s="253"/>
      <c r="F601" s="253"/>
      <c r="G601" s="253"/>
      <c r="H601" s="253"/>
      <c r="I601" s="253"/>
      <c r="J601" s="253"/>
      <c r="K601" s="253"/>
      <c r="L601" s="253"/>
      <c r="M601" s="253"/>
      <c r="N601" s="253"/>
      <c r="O601" s="253"/>
      <c r="P601" s="253"/>
      <c r="Q601" s="253"/>
    </row>
    <row r="602" spans="1:17">
      <c r="A602" s="253"/>
      <c r="B602" s="253"/>
      <c r="C602" s="253"/>
      <c r="D602" s="253"/>
      <c r="E602" s="253"/>
      <c r="F602" s="253"/>
      <c r="G602" s="253"/>
      <c r="H602" s="253"/>
      <c r="I602" s="253"/>
      <c r="J602" s="253"/>
      <c r="K602" s="253"/>
      <c r="L602" s="253"/>
      <c r="M602" s="253"/>
      <c r="N602" s="253"/>
      <c r="O602" s="253"/>
      <c r="P602" s="253"/>
      <c r="Q602" s="253"/>
    </row>
    <row r="603" spans="1:17">
      <c r="A603" s="253"/>
      <c r="B603" s="253"/>
      <c r="C603" s="253"/>
      <c r="D603" s="253"/>
      <c r="E603" s="253"/>
      <c r="F603" s="253"/>
      <c r="G603" s="253"/>
      <c r="H603" s="253"/>
      <c r="I603" s="253"/>
      <c r="J603" s="253"/>
      <c r="K603" s="253"/>
      <c r="L603" s="253"/>
      <c r="M603" s="253"/>
      <c r="N603" s="253"/>
      <c r="O603" s="253"/>
      <c r="P603" s="253"/>
      <c r="Q603" s="253"/>
    </row>
    <row r="604" spans="1:17">
      <c r="A604" s="253"/>
      <c r="B604" s="253"/>
      <c r="C604" s="253"/>
      <c r="D604" s="253"/>
      <c r="E604" s="253"/>
      <c r="F604" s="253"/>
      <c r="G604" s="253"/>
      <c r="H604" s="253"/>
      <c r="I604" s="253"/>
      <c r="J604" s="253"/>
      <c r="K604" s="253"/>
      <c r="L604" s="253"/>
      <c r="M604" s="253"/>
      <c r="N604" s="253"/>
      <c r="O604" s="253"/>
      <c r="P604" s="253"/>
      <c r="Q604" s="253"/>
    </row>
    <row r="605" spans="1:17">
      <c r="A605" s="253"/>
      <c r="B605" s="253"/>
      <c r="C605" s="253"/>
      <c r="D605" s="253"/>
      <c r="E605" s="253"/>
      <c r="F605" s="253"/>
      <c r="G605" s="253"/>
      <c r="H605" s="253"/>
      <c r="I605" s="253"/>
      <c r="J605" s="253"/>
      <c r="K605" s="253"/>
      <c r="L605" s="253"/>
      <c r="M605" s="253"/>
      <c r="N605" s="253"/>
      <c r="O605" s="253"/>
      <c r="P605" s="253"/>
      <c r="Q605" s="253"/>
    </row>
    <row r="606" spans="1:17">
      <c r="A606" s="253"/>
      <c r="B606" s="253"/>
      <c r="C606" s="253"/>
      <c r="D606" s="253"/>
      <c r="E606" s="253"/>
      <c r="F606" s="253"/>
      <c r="G606" s="253"/>
      <c r="H606" s="253"/>
      <c r="I606" s="253"/>
      <c r="J606" s="253"/>
      <c r="K606" s="253"/>
      <c r="L606" s="253"/>
      <c r="M606" s="253"/>
      <c r="N606" s="253"/>
      <c r="O606" s="253"/>
      <c r="P606" s="253"/>
      <c r="Q606" s="253"/>
    </row>
    <row r="607" spans="1:17">
      <c r="A607" s="253"/>
      <c r="B607" s="253"/>
      <c r="C607" s="253"/>
      <c r="D607" s="253"/>
      <c r="E607" s="253"/>
      <c r="F607" s="253"/>
      <c r="G607" s="253"/>
      <c r="H607" s="253"/>
      <c r="I607" s="253"/>
      <c r="J607" s="253"/>
      <c r="K607" s="253"/>
      <c r="L607" s="253"/>
      <c r="M607" s="253"/>
      <c r="N607" s="253"/>
      <c r="O607" s="253"/>
      <c r="P607" s="253"/>
      <c r="Q607" s="253"/>
    </row>
    <row r="608" spans="1:17">
      <c r="A608" s="253"/>
      <c r="B608" s="253"/>
      <c r="C608" s="253"/>
      <c r="D608" s="253"/>
      <c r="E608" s="253"/>
      <c r="F608" s="253"/>
      <c r="G608" s="253"/>
      <c r="H608" s="253"/>
      <c r="I608" s="253"/>
      <c r="J608" s="253"/>
      <c r="K608" s="253"/>
      <c r="L608" s="253"/>
      <c r="M608" s="253"/>
      <c r="N608" s="253"/>
      <c r="O608" s="253"/>
      <c r="P608" s="253"/>
      <c r="Q608" s="253"/>
    </row>
    <row r="609" spans="1:17">
      <c r="A609" s="253"/>
      <c r="B609" s="253"/>
      <c r="C609" s="253"/>
      <c r="D609" s="253"/>
      <c r="E609" s="253"/>
      <c r="F609" s="253"/>
      <c r="G609" s="253"/>
      <c r="H609" s="253"/>
      <c r="I609" s="253"/>
      <c r="J609" s="253"/>
      <c r="K609" s="253"/>
      <c r="L609" s="253"/>
      <c r="M609" s="253"/>
      <c r="N609" s="253"/>
      <c r="O609" s="253"/>
      <c r="P609" s="253"/>
      <c r="Q609" s="253"/>
    </row>
    <row r="610" spans="1:17">
      <c r="A610" s="253"/>
      <c r="B610" s="253"/>
      <c r="C610" s="253"/>
      <c r="D610" s="253"/>
      <c r="E610" s="253"/>
      <c r="F610" s="253"/>
      <c r="G610" s="253"/>
      <c r="H610" s="253"/>
      <c r="I610" s="253"/>
      <c r="J610" s="253"/>
      <c r="K610" s="253"/>
      <c r="L610" s="253"/>
      <c r="M610" s="253"/>
      <c r="N610" s="253"/>
      <c r="O610" s="253"/>
      <c r="P610" s="253"/>
      <c r="Q610" s="253"/>
    </row>
    <row r="611" spans="1:17">
      <c r="A611" s="253"/>
      <c r="B611" s="253"/>
      <c r="C611" s="253"/>
      <c r="D611" s="253"/>
      <c r="E611" s="253"/>
      <c r="F611" s="253"/>
      <c r="G611" s="253"/>
      <c r="H611" s="253"/>
      <c r="I611" s="253"/>
      <c r="J611" s="253"/>
      <c r="K611" s="253"/>
      <c r="L611" s="253"/>
      <c r="M611" s="253"/>
      <c r="N611" s="253"/>
      <c r="O611" s="253"/>
      <c r="P611" s="253"/>
      <c r="Q611" s="253"/>
    </row>
    <row r="612" spans="1:17">
      <c r="A612" s="253"/>
      <c r="B612" s="253"/>
      <c r="C612" s="253"/>
      <c r="D612" s="253"/>
      <c r="E612" s="253"/>
      <c r="F612" s="253"/>
      <c r="G612" s="253"/>
      <c r="H612" s="253"/>
      <c r="I612" s="253"/>
      <c r="J612" s="253"/>
      <c r="K612" s="253"/>
      <c r="L612" s="253"/>
      <c r="M612" s="253"/>
      <c r="N612" s="253"/>
      <c r="O612" s="253"/>
      <c r="P612" s="253"/>
      <c r="Q612" s="253"/>
    </row>
    <row r="613" spans="1:17">
      <c r="A613" s="253"/>
      <c r="B613" s="253"/>
      <c r="C613" s="253"/>
      <c r="D613" s="253"/>
      <c r="E613" s="253"/>
      <c r="F613" s="253"/>
      <c r="G613" s="253"/>
      <c r="H613" s="253"/>
      <c r="I613" s="253"/>
      <c r="J613" s="253"/>
      <c r="K613" s="253"/>
      <c r="L613" s="253"/>
      <c r="M613" s="253"/>
      <c r="N613" s="253"/>
      <c r="O613" s="253"/>
      <c r="P613" s="253"/>
      <c r="Q613" s="253"/>
    </row>
    <row r="614" spans="1:17">
      <c r="A614" s="253"/>
      <c r="B614" s="253"/>
      <c r="C614" s="253"/>
      <c r="D614" s="253"/>
      <c r="E614" s="253"/>
      <c r="F614" s="253"/>
      <c r="G614" s="253"/>
      <c r="H614" s="253"/>
      <c r="I614" s="253"/>
      <c r="J614" s="253"/>
      <c r="K614" s="253"/>
      <c r="L614" s="253"/>
      <c r="M614" s="253"/>
      <c r="N614" s="253"/>
      <c r="O614" s="253"/>
      <c r="P614" s="253"/>
      <c r="Q614" s="253"/>
    </row>
    <row r="615" spans="1:17">
      <c r="A615" s="253"/>
      <c r="B615" s="253"/>
      <c r="C615" s="253"/>
      <c r="D615" s="253"/>
      <c r="E615" s="253"/>
      <c r="F615" s="253"/>
      <c r="G615" s="253"/>
      <c r="H615" s="253"/>
      <c r="I615" s="253"/>
      <c r="J615" s="253"/>
      <c r="K615" s="253"/>
      <c r="L615" s="253"/>
      <c r="M615" s="253"/>
      <c r="N615" s="253"/>
      <c r="O615" s="253"/>
      <c r="P615" s="253"/>
      <c r="Q615" s="253"/>
    </row>
    <row r="616" spans="1:17">
      <c r="A616" s="253"/>
      <c r="B616" s="253"/>
      <c r="C616" s="253"/>
      <c r="D616" s="253"/>
      <c r="E616" s="253"/>
      <c r="F616" s="253"/>
      <c r="G616" s="253"/>
      <c r="H616" s="253"/>
      <c r="I616" s="253"/>
      <c r="J616" s="253"/>
      <c r="K616" s="253"/>
      <c r="L616" s="253"/>
      <c r="M616" s="253"/>
      <c r="N616" s="253"/>
      <c r="O616" s="253"/>
      <c r="P616" s="253"/>
      <c r="Q616" s="253"/>
    </row>
    <row r="617" spans="1:17">
      <c r="A617" s="253"/>
      <c r="B617" s="253"/>
      <c r="C617" s="253"/>
      <c r="D617" s="253"/>
      <c r="E617" s="253"/>
      <c r="F617" s="253"/>
      <c r="G617" s="253"/>
      <c r="H617" s="253"/>
      <c r="I617" s="253"/>
      <c r="J617" s="253"/>
      <c r="K617" s="253"/>
      <c r="L617" s="253"/>
      <c r="M617" s="253"/>
      <c r="N617" s="253"/>
      <c r="O617" s="253"/>
      <c r="P617" s="253"/>
      <c r="Q617" s="253"/>
    </row>
    <row r="618" spans="1:17">
      <c r="A618" s="253"/>
      <c r="B618" s="253"/>
      <c r="C618" s="253"/>
      <c r="D618" s="253"/>
      <c r="E618" s="253"/>
      <c r="F618" s="253"/>
      <c r="G618" s="253"/>
      <c r="H618" s="253"/>
      <c r="I618" s="253"/>
      <c r="J618" s="253"/>
      <c r="K618" s="253"/>
      <c r="L618" s="253"/>
      <c r="M618" s="253"/>
      <c r="N618" s="253"/>
      <c r="O618" s="253"/>
      <c r="P618" s="253"/>
      <c r="Q618" s="253"/>
    </row>
    <row r="619" spans="1:17">
      <c r="A619" s="253"/>
      <c r="B619" s="253"/>
      <c r="C619" s="253"/>
      <c r="D619" s="253"/>
      <c r="E619" s="253"/>
      <c r="F619" s="253"/>
      <c r="G619" s="253"/>
      <c r="H619" s="253"/>
      <c r="I619" s="253"/>
      <c r="J619" s="253"/>
      <c r="K619" s="253"/>
      <c r="L619" s="253"/>
      <c r="M619" s="253"/>
      <c r="N619" s="253"/>
      <c r="O619" s="253"/>
      <c r="P619" s="253"/>
      <c r="Q619" s="253"/>
    </row>
    <row r="620" spans="1:17">
      <c r="A620" s="253"/>
      <c r="B620" s="253"/>
      <c r="C620" s="253"/>
      <c r="D620" s="253"/>
      <c r="E620" s="253"/>
      <c r="F620" s="253"/>
      <c r="G620" s="253"/>
      <c r="H620" s="253"/>
      <c r="I620" s="253"/>
      <c r="J620" s="253"/>
      <c r="K620" s="253"/>
      <c r="L620" s="253"/>
      <c r="M620" s="253"/>
      <c r="N620" s="253"/>
      <c r="O620" s="253"/>
      <c r="P620" s="253"/>
      <c r="Q620" s="253"/>
    </row>
    <row r="621" spans="1:17">
      <c r="A621" s="253"/>
      <c r="B621" s="253"/>
      <c r="C621" s="253"/>
      <c r="D621" s="253"/>
      <c r="E621" s="253"/>
      <c r="F621" s="253"/>
      <c r="G621" s="253"/>
      <c r="H621" s="253"/>
      <c r="I621" s="253"/>
      <c r="J621" s="253"/>
      <c r="K621" s="253"/>
      <c r="L621" s="253"/>
      <c r="M621" s="253"/>
      <c r="N621" s="253"/>
      <c r="O621" s="253"/>
      <c r="P621" s="253"/>
      <c r="Q621" s="253"/>
    </row>
    <row r="622" spans="1:17">
      <c r="A622" s="253"/>
      <c r="B622" s="253"/>
      <c r="C622" s="253"/>
      <c r="D622" s="253"/>
      <c r="E622" s="253"/>
      <c r="F622" s="253"/>
      <c r="G622" s="253"/>
      <c r="H622" s="253"/>
      <c r="I622" s="253"/>
      <c r="J622" s="253"/>
      <c r="K622" s="253"/>
      <c r="L622" s="253"/>
      <c r="M622" s="253"/>
      <c r="N622" s="253"/>
      <c r="O622" s="253"/>
      <c r="P622" s="253"/>
      <c r="Q622" s="253"/>
    </row>
    <row r="623" spans="1:17">
      <c r="A623" s="253"/>
      <c r="B623" s="253"/>
      <c r="C623" s="253"/>
      <c r="D623" s="253"/>
      <c r="E623" s="253"/>
      <c r="F623" s="253"/>
      <c r="G623" s="253"/>
      <c r="H623" s="253"/>
      <c r="I623" s="253"/>
      <c r="J623" s="253"/>
      <c r="K623" s="253"/>
      <c r="L623" s="253"/>
      <c r="M623" s="253"/>
      <c r="N623" s="253"/>
      <c r="O623" s="253"/>
      <c r="P623" s="253"/>
      <c r="Q623" s="253"/>
    </row>
    <row r="624" spans="1:17">
      <c r="A624" s="253"/>
      <c r="B624" s="253"/>
      <c r="C624" s="253"/>
      <c r="D624" s="253"/>
      <c r="E624" s="253"/>
      <c r="F624" s="253"/>
      <c r="G624" s="253"/>
      <c r="H624" s="253"/>
      <c r="I624" s="253"/>
      <c r="J624" s="253"/>
      <c r="K624" s="253"/>
      <c r="L624" s="253"/>
      <c r="M624" s="253"/>
      <c r="N624" s="253"/>
      <c r="O624" s="253"/>
      <c r="P624" s="253"/>
      <c r="Q624" s="253"/>
    </row>
    <row r="625" spans="1:17">
      <c r="A625" s="253"/>
      <c r="B625" s="253"/>
      <c r="C625" s="253"/>
      <c r="D625" s="253"/>
      <c r="E625" s="253"/>
      <c r="F625" s="253"/>
      <c r="G625" s="253"/>
      <c r="H625" s="253"/>
      <c r="I625" s="253"/>
      <c r="J625" s="253"/>
      <c r="K625" s="253"/>
      <c r="L625" s="253"/>
      <c r="M625" s="253"/>
      <c r="N625" s="253"/>
      <c r="O625" s="253"/>
      <c r="P625" s="253"/>
      <c r="Q625" s="253"/>
    </row>
    <row r="626" spans="1:17">
      <c r="A626" s="253"/>
      <c r="B626" s="253"/>
      <c r="C626" s="253"/>
      <c r="D626" s="253"/>
      <c r="E626" s="253"/>
      <c r="F626" s="253"/>
      <c r="G626" s="253"/>
      <c r="H626" s="253"/>
      <c r="I626" s="253"/>
      <c r="J626" s="253"/>
      <c r="K626" s="253"/>
      <c r="L626" s="253"/>
      <c r="M626" s="253"/>
      <c r="N626" s="253"/>
      <c r="O626" s="253"/>
      <c r="P626" s="253"/>
      <c r="Q626" s="253"/>
    </row>
    <row r="627" spans="1:17">
      <c r="A627" s="253"/>
      <c r="B627" s="253"/>
      <c r="C627" s="253"/>
      <c r="D627" s="253"/>
      <c r="E627" s="253"/>
      <c r="F627" s="253"/>
      <c r="G627" s="253"/>
      <c r="H627" s="253"/>
      <c r="I627" s="253"/>
      <c r="J627" s="253"/>
      <c r="K627" s="253"/>
      <c r="L627" s="253"/>
      <c r="M627" s="253"/>
      <c r="N627" s="253"/>
      <c r="O627" s="253"/>
      <c r="P627" s="253"/>
      <c r="Q627" s="253"/>
    </row>
    <row r="628" spans="1:17">
      <c r="A628" s="253"/>
      <c r="B628" s="253"/>
      <c r="C628" s="253"/>
      <c r="D628" s="253"/>
      <c r="E628" s="253"/>
      <c r="F628" s="253"/>
      <c r="G628" s="253"/>
      <c r="H628" s="253"/>
      <c r="I628" s="253"/>
      <c r="J628" s="253"/>
      <c r="K628" s="253"/>
      <c r="L628" s="253"/>
      <c r="M628" s="253"/>
      <c r="N628" s="253"/>
      <c r="O628" s="253"/>
      <c r="P628" s="253"/>
      <c r="Q628" s="253"/>
    </row>
    <row r="629" spans="1:17">
      <c r="A629" s="253"/>
      <c r="B629" s="253"/>
      <c r="C629" s="253"/>
      <c r="D629" s="253"/>
      <c r="E629" s="253"/>
      <c r="F629" s="253"/>
      <c r="G629" s="253"/>
      <c r="H629" s="253"/>
      <c r="I629" s="253"/>
      <c r="J629" s="253"/>
      <c r="K629" s="253"/>
      <c r="L629" s="253"/>
      <c r="M629" s="253"/>
      <c r="N629" s="253"/>
      <c r="O629" s="253"/>
      <c r="P629" s="253"/>
      <c r="Q629" s="253"/>
    </row>
    <row r="630" spans="1:17">
      <c r="A630" s="253"/>
      <c r="B630" s="253"/>
      <c r="C630" s="253"/>
      <c r="D630" s="253"/>
      <c r="E630" s="253"/>
      <c r="F630" s="253"/>
      <c r="G630" s="253"/>
      <c r="H630" s="253"/>
      <c r="I630" s="253"/>
      <c r="J630" s="253"/>
      <c r="K630" s="253"/>
      <c r="L630" s="253"/>
      <c r="M630" s="253"/>
      <c r="N630" s="253"/>
      <c r="O630" s="253"/>
      <c r="P630" s="253"/>
      <c r="Q630" s="253"/>
    </row>
    <row r="631" spans="1:17">
      <c r="A631" s="253"/>
      <c r="B631" s="253"/>
      <c r="C631" s="253"/>
      <c r="D631" s="253"/>
      <c r="E631" s="253"/>
      <c r="F631" s="253"/>
      <c r="G631" s="253"/>
      <c r="H631" s="253"/>
      <c r="I631" s="253"/>
      <c r="J631" s="253"/>
      <c r="K631" s="253"/>
      <c r="L631" s="253"/>
      <c r="M631" s="253"/>
      <c r="N631" s="253"/>
      <c r="O631" s="253"/>
      <c r="P631" s="253"/>
      <c r="Q631" s="253"/>
    </row>
    <row r="632" spans="1:17">
      <c r="A632" s="253"/>
      <c r="B632" s="253"/>
      <c r="C632" s="253"/>
      <c r="D632" s="253"/>
      <c r="E632" s="253"/>
      <c r="F632" s="253"/>
      <c r="G632" s="253"/>
      <c r="H632" s="253"/>
      <c r="I632" s="253"/>
      <c r="J632" s="253"/>
      <c r="K632" s="253"/>
      <c r="L632" s="253"/>
      <c r="M632" s="253"/>
      <c r="N632" s="253"/>
      <c r="O632" s="253"/>
      <c r="P632" s="253"/>
      <c r="Q632" s="253"/>
    </row>
    <row r="633" spans="1:17">
      <c r="A633" s="253"/>
      <c r="B633" s="253"/>
      <c r="C633" s="253"/>
      <c r="D633" s="253"/>
      <c r="E633" s="253"/>
      <c r="F633" s="253"/>
      <c r="G633" s="253"/>
      <c r="H633" s="253"/>
      <c r="I633" s="253"/>
      <c r="J633" s="253"/>
      <c r="K633" s="253"/>
      <c r="L633" s="253"/>
      <c r="M633" s="253"/>
      <c r="N633" s="253"/>
      <c r="O633" s="253"/>
      <c r="P633" s="253"/>
      <c r="Q633" s="253"/>
    </row>
    <row r="634" spans="1:17">
      <c r="A634" s="253"/>
      <c r="B634" s="253"/>
      <c r="C634" s="253"/>
      <c r="D634" s="253"/>
      <c r="E634" s="253"/>
      <c r="F634" s="253"/>
      <c r="G634" s="253"/>
      <c r="H634" s="253"/>
      <c r="I634" s="253"/>
      <c r="J634" s="253"/>
      <c r="K634" s="253"/>
      <c r="L634" s="253"/>
      <c r="M634" s="253"/>
      <c r="N634" s="253"/>
      <c r="O634" s="253"/>
      <c r="P634" s="253"/>
      <c r="Q634" s="253"/>
    </row>
    <row r="635" spans="1:17">
      <c r="A635" s="253"/>
      <c r="B635" s="253"/>
      <c r="C635" s="253"/>
      <c r="D635" s="253"/>
      <c r="E635" s="253"/>
      <c r="F635" s="253"/>
      <c r="G635" s="253"/>
      <c r="H635" s="253"/>
      <c r="I635" s="253"/>
      <c r="J635" s="253"/>
      <c r="K635" s="253"/>
      <c r="L635" s="253"/>
      <c r="M635" s="253"/>
      <c r="N635" s="253"/>
      <c r="O635" s="253"/>
      <c r="P635" s="253"/>
      <c r="Q635" s="253"/>
    </row>
    <row r="636" spans="1:17">
      <c r="A636" s="253"/>
      <c r="B636" s="253"/>
      <c r="C636" s="253"/>
      <c r="D636" s="253"/>
      <c r="E636" s="253"/>
      <c r="F636" s="253"/>
      <c r="G636" s="253"/>
      <c r="H636" s="253"/>
      <c r="I636" s="253"/>
      <c r="J636" s="253"/>
      <c r="K636" s="253"/>
      <c r="L636" s="253"/>
      <c r="M636" s="253"/>
      <c r="N636" s="253"/>
      <c r="O636" s="253"/>
      <c r="P636" s="253"/>
      <c r="Q636" s="253"/>
    </row>
    <row r="637" spans="1:17">
      <c r="A637" s="253"/>
      <c r="B637" s="253"/>
      <c r="C637" s="253"/>
      <c r="D637" s="253"/>
      <c r="E637" s="253"/>
      <c r="F637" s="253"/>
      <c r="G637" s="253"/>
      <c r="H637" s="253"/>
      <c r="I637" s="253"/>
      <c r="J637" s="253"/>
      <c r="K637" s="253"/>
      <c r="L637" s="253"/>
      <c r="M637" s="253"/>
      <c r="N637" s="253"/>
      <c r="O637" s="253"/>
      <c r="P637" s="253"/>
      <c r="Q637" s="253"/>
    </row>
    <row r="638" spans="1:17">
      <c r="A638" s="253"/>
      <c r="B638" s="253"/>
      <c r="C638" s="253"/>
      <c r="D638" s="253"/>
      <c r="E638" s="253"/>
      <c r="F638" s="253"/>
      <c r="G638" s="253"/>
      <c r="H638" s="253"/>
      <c r="I638" s="253"/>
      <c r="J638" s="253"/>
      <c r="K638" s="253"/>
      <c r="L638" s="253"/>
      <c r="M638" s="253"/>
      <c r="N638" s="253"/>
      <c r="O638" s="253"/>
      <c r="P638" s="253"/>
      <c r="Q638" s="253"/>
    </row>
    <row r="639" spans="1:17">
      <c r="A639" s="253"/>
      <c r="B639" s="253"/>
      <c r="C639" s="253"/>
      <c r="D639" s="253"/>
      <c r="E639" s="253"/>
      <c r="F639" s="253"/>
      <c r="G639" s="253"/>
      <c r="H639" s="253"/>
      <c r="I639" s="253"/>
      <c r="J639" s="253"/>
      <c r="K639" s="253"/>
      <c r="L639" s="253"/>
      <c r="M639" s="253"/>
      <c r="N639" s="253"/>
      <c r="O639" s="253"/>
      <c r="P639" s="253"/>
      <c r="Q639" s="253"/>
    </row>
    <row r="640" spans="1:17">
      <c r="A640" s="253"/>
      <c r="B640" s="253"/>
      <c r="C640" s="253"/>
      <c r="D640" s="253"/>
      <c r="E640" s="253"/>
      <c r="F640" s="253"/>
      <c r="G640" s="253"/>
      <c r="H640" s="253"/>
      <c r="I640" s="253"/>
      <c r="J640" s="253"/>
      <c r="K640" s="253"/>
      <c r="L640" s="253"/>
      <c r="M640" s="253"/>
      <c r="N640" s="253"/>
      <c r="O640" s="253"/>
      <c r="P640" s="253"/>
      <c r="Q640" s="253"/>
    </row>
    <row r="641" spans="1:17">
      <c r="A641" s="253"/>
      <c r="B641" s="253"/>
      <c r="C641" s="253"/>
      <c r="D641" s="253"/>
      <c r="E641" s="253"/>
      <c r="F641" s="253"/>
      <c r="G641" s="253"/>
      <c r="H641" s="253"/>
      <c r="I641" s="253"/>
      <c r="J641" s="253"/>
      <c r="K641" s="253"/>
      <c r="L641" s="253"/>
      <c r="M641" s="253"/>
      <c r="N641" s="253"/>
      <c r="O641" s="253"/>
      <c r="P641" s="253"/>
      <c r="Q641" s="253"/>
    </row>
    <row r="642" spans="1:17">
      <c r="A642" s="253"/>
      <c r="B642" s="253"/>
      <c r="C642" s="253"/>
      <c r="D642" s="253"/>
      <c r="E642" s="253"/>
      <c r="F642" s="253"/>
      <c r="G642" s="253"/>
      <c r="H642" s="253"/>
      <c r="I642" s="253"/>
      <c r="J642" s="253"/>
      <c r="K642" s="253"/>
      <c r="L642" s="253"/>
      <c r="M642" s="253"/>
      <c r="N642" s="253"/>
      <c r="O642" s="253"/>
      <c r="P642" s="253"/>
      <c r="Q642" s="253"/>
    </row>
    <row r="643" spans="1:17">
      <c r="A643" s="253"/>
      <c r="B643" s="253"/>
      <c r="C643" s="253"/>
      <c r="D643" s="253"/>
      <c r="E643" s="253"/>
      <c r="F643" s="253"/>
      <c r="G643" s="253"/>
      <c r="H643" s="253"/>
      <c r="I643" s="253"/>
      <c r="J643" s="253"/>
      <c r="K643" s="253"/>
      <c r="L643" s="253"/>
      <c r="M643" s="253"/>
      <c r="N643" s="253"/>
      <c r="O643" s="253"/>
      <c r="P643" s="253"/>
      <c r="Q643" s="253"/>
    </row>
    <row r="644" spans="1:17">
      <c r="A644" s="253"/>
      <c r="B644" s="253"/>
      <c r="C644" s="253"/>
      <c r="D644" s="253"/>
      <c r="E644" s="253"/>
      <c r="F644" s="253"/>
      <c r="G644" s="253"/>
      <c r="H644" s="253"/>
      <c r="I644" s="253"/>
      <c r="J644" s="253"/>
      <c r="K644" s="253"/>
      <c r="L644" s="253"/>
      <c r="M644" s="253"/>
      <c r="N644" s="253"/>
      <c r="O644" s="253"/>
      <c r="P644" s="253"/>
      <c r="Q644" s="253"/>
    </row>
    <row r="645" spans="1:17">
      <c r="A645" s="253"/>
      <c r="B645" s="253"/>
      <c r="C645" s="253"/>
      <c r="D645" s="253"/>
      <c r="E645" s="253"/>
      <c r="F645" s="253"/>
      <c r="G645" s="253"/>
      <c r="H645" s="253"/>
      <c r="I645" s="253"/>
      <c r="J645" s="253"/>
      <c r="K645" s="253"/>
      <c r="L645" s="253"/>
      <c r="M645" s="253"/>
      <c r="N645" s="253"/>
      <c r="O645" s="253"/>
      <c r="P645" s="253"/>
      <c r="Q645" s="253"/>
    </row>
    <row r="646" spans="1:17">
      <c r="A646" s="253"/>
      <c r="B646" s="253"/>
      <c r="C646" s="253"/>
      <c r="D646" s="253"/>
      <c r="E646" s="253"/>
      <c r="F646" s="253"/>
      <c r="G646" s="253"/>
      <c r="H646" s="253"/>
      <c r="I646" s="253"/>
      <c r="J646" s="253"/>
      <c r="K646" s="253"/>
      <c r="L646" s="253"/>
      <c r="M646" s="253"/>
      <c r="N646" s="253"/>
      <c r="O646" s="253"/>
      <c r="P646" s="253"/>
      <c r="Q646" s="253"/>
    </row>
    <row r="647" spans="1:17">
      <c r="A647" s="253"/>
      <c r="B647" s="253"/>
      <c r="C647" s="253"/>
      <c r="D647" s="253"/>
      <c r="E647" s="253"/>
      <c r="F647" s="253"/>
      <c r="G647" s="253"/>
      <c r="H647" s="253"/>
      <c r="I647" s="253"/>
      <c r="J647" s="253"/>
      <c r="K647" s="253"/>
      <c r="L647" s="253"/>
      <c r="M647" s="253"/>
      <c r="N647" s="253"/>
      <c r="O647" s="253"/>
      <c r="P647" s="253"/>
      <c r="Q647" s="253"/>
    </row>
    <row r="648" spans="1:17">
      <c r="A648" s="253"/>
      <c r="B648" s="253"/>
      <c r="C648" s="253"/>
      <c r="D648" s="253"/>
      <c r="E648" s="253"/>
      <c r="F648" s="253"/>
      <c r="G648" s="253"/>
      <c r="H648" s="253"/>
      <c r="I648" s="253"/>
      <c r="J648" s="253"/>
      <c r="K648" s="253"/>
      <c r="L648" s="253"/>
      <c r="M648" s="253"/>
      <c r="N648" s="253"/>
      <c r="O648" s="253"/>
      <c r="P648" s="253"/>
      <c r="Q648" s="253"/>
    </row>
    <row r="649" spans="1:17">
      <c r="A649" s="253"/>
      <c r="B649" s="253"/>
      <c r="C649" s="253"/>
      <c r="D649" s="253"/>
      <c r="E649" s="253"/>
      <c r="F649" s="253"/>
      <c r="G649" s="253"/>
      <c r="H649" s="253"/>
      <c r="I649" s="253"/>
      <c r="J649" s="253"/>
      <c r="K649" s="253"/>
      <c r="L649" s="253"/>
      <c r="M649" s="253"/>
      <c r="N649" s="253"/>
      <c r="O649" s="253"/>
      <c r="P649" s="253"/>
      <c r="Q649" s="253"/>
    </row>
    <row r="650" spans="1:17">
      <c r="A650" s="253"/>
      <c r="B650" s="253"/>
      <c r="C650" s="253"/>
      <c r="D650" s="253"/>
      <c r="E650" s="253"/>
      <c r="F650" s="253"/>
      <c r="G650" s="253"/>
      <c r="H650" s="253"/>
      <c r="I650" s="253"/>
      <c r="J650" s="253"/>
      <c r="K650" s="253"/>
      <c r="L650" s="253"/>
      <c r="M650" s="253"/>
      <c r="N650" s="253"/>
      <c r="O650" s="253"/>
      <c r="P650" s="253"/>
      <c r="Q650" s="253"/>
    </row>
    <row r="651" spans="1:17">
      <c r="A651" s="253"/>
      <c r="B651" s="253"/>
      <c r="C651" s="253"/>
      <c r="D651" s="253"/>
      <c r="E651" s="253"/>
      <c r="F651" s="253"/>
      <c r="G651" s="253"/>
      <c r="H651" s="253"/>
      <c r="I651" s="253"/>
      <c r="J651" s="253"/>
      <c r="K651" s="253"/>
      <c r="L651" s="253"/>
      <c r="M651" s="253"/>
      <c r="N651" s="253"/>
      <c r="O651" s="253"/>
      <c r="P651" s="253"/>
      <c r="Q651" s="253"/>
    </row>
    <row r="652" spans="1:17">
      <c r="A652" s="253"/>
      <c r="B652" s="253"/>
      <c r="C652" s="253"/>
      <c r="D652" s="253"/>
      <c r="E652" s="253"/>
      <c r="F652" s="253"/>
      <c r="G652" s="253"/>
      <c r="H652" s="253"/>
      <c r="I652" s="253"/>
      <c r="J652" s="253"/>
      <c r="K652" s="253"/>
      <c r="L652" s="253"/>
      <c r="M652" s="253"/>
      <c r="N652" s="253"/>
      <c r="O652" s="253"/>
      <c r="P652" s="253"/>
      <c r="Q652" s="253"/>
    </row>
    <row r="653" spans="1:17">
      <c r="A653" s="253"/>
      <c r="B653" s="253"/>
      <c r="C653" s="253"/>
      <c r="D653" s="253"/>
      <c r="E653" s="253"/>
      <c r="F653" s="253"/>
      <c r="G653" s="253"/>
      <c r="H653" s="253"/>
      <c r="I653" s="253"/>
      <c r="J653" s="253"/>
      <c r="K653" s="253"/>
      <c r="L653" s="253"/>
      <c r="M653" s="253"/>
      <c r="N653" s="253"/>
      <c r="O653" s="253"/>
      <c r="P653" s="253"/>
      <c r="Q653" s="253"/>
    </row>
    <row r="654" spans="1:17">
      <c r="A654" s="253"/>
      <c r="B654" s="253"/>
      <c r="C654" s="253"/>
      <c r="D654" s="253"/>
      <c r="E654" s="253"/>
      <c r="F654" s="253"/>
      <c r="G654" s="253"/>
      <c r="H654" s="253"/>
      <c r="I654" s="253"/>
      <c r="J654" s="253"/>
      <c r="K654" s="253"/>
      <c r="L654" s="253"/>
      <c r="M654" s="253"/>
      <c r="N654" s="253"/>
      <c r="O654" s="253"/>
      <c r="P654" s="253"/>
      <c r="Q654" s="253"/>
    </row>
    <row r="655" spans="1:17">
      <c r="A655" s="253"/>
      <c r="B655" s="253"/>
      <c r="C655" s="253"/>
      <c r="D655" s="253"/>
      <c r="E655" s="253"/>
      <c r="F655" s="253"/>
      <c r="G655" s="253"/>
      <c r="H655" s="253"/>
      <c r="I655" s="253"/>
      <c r="J655" s="253"/>
      <c r="K655" s="253"/>
      <c r="L655" s="253"/>
      <c r="M655" s="253"/>
      <c r="N655" s="253"/>
      <c r="O655" s="253"/>
      <c r="P655" s="253"/>
      <c r="Q655" s="253"/>
    </row>
    <row r="656" spans="1:17">
      <c r="A656" s="253"/>
      <c r="B656" s="253"/>
      <c r="C656" s="253"/>
      <c r="D656" s="253"/>
      <c r="E656" s="253"/>
      <c r="F656" s="253"/>
      <c r="G656" s="253"/>
      <c r="H656" s="253"/>
      <c r="I656" s="253"/>
      <c r="J656" s="253"/>
      <c r="K656" s="253"/>
      <c r="L656" s="253"/>
      <c r="M656" s="253"/>
      <c r="N656" s="253"/>
      <c r="O656" s="253"/>
      <c r="P656" s="253"/>
      <c r="Q656" s="253"/>
    </row>
    <row r="657" spans="1:17">
      <c r="A657" s="253"/>
      <c r="B657" s="253"/>
      <c r="C657" s="253"/>
      <c r="D657" s="253"/>
      <c r="E657" s="253"/>
      <c r="F657" s="253"/>
      <c r="G657" s="253"/>
      <c r="H657" s="253"/>
      <c r="I657" s="253"/>
      <c r="J657" s="253"/>
      <c r="K657" s="253"/>
      <c r="L657" s="253"/>
      <c r="M657" s="253"/>
      <c r="N657" s="253"/>
      <c r="O657" s="253"/>
      <c r="P657" s="253"/>
      <c r="Q657" s="253"/>
    </row>
    <row r="658" spans="1:17">
      <c r="A658" s="253"/>
      <c r="B658" s="253"/>
      <c r="C658" s="253"/>
      <c r="D658" s="253"/>
      <c r="E658" s="253"/>
      <c r="F658" s="253"/>
      <c r="G658" s="253"/>
      <c r="H658" s="253"/>
      <c r="I658" s="253"/>
      <c r="J658" s="253"/>
      <c r="K658" s="253"/>
      <c r="L658" s="253"/>
      <c r="M658" s="253"/>
      <c r="N658" s="253"/>
      <c r="O658" s="253"/>
      <c r="P658" s="253"/>
      <c r="Q658" s="253"/>
    </row>
    <row r="659" spans="1:17">
      <c r="A659" s="253"/>
      <c r="B659" s="253"/>
      <c r="C659" s="253"/>
      <c r="D659" s="253"/>
      <c r="E659" s="253"/>
      <c r="F659" s="253"/>
      <c r="G659" s="253"/>
      <c r="H659" s="253"/>
      <c r="I659" s="253"/>
      <c r="J659" s="253"/>
      <c r="K659" s="253"/>
      <c r="L659" s="253"/>
      <c r="M659" s="253"/>
      <c r="N659" s="253"/>
      <c r="O659" s="253"/>
      <c r="P659" s="253"/>
      <c r="Q659" s="253"/>
    </row>
    <row r="660" spans="1:17">
      <c r="A660" s="253"/>
      <c r="B660" s="253"/>
      <c r="C660" s="253"/>
      <c r="D660" s="253"/>
      <c r="E660" s="253"/>
      <c r="F660" s="253"/>
      <c r="G660" s="253"/>
      <c r="H660" s="253"/>
      <c r="I660" s="253"/>
      <c r="J660" s="253"/>
      <c r="K660" s="253"/>
      <c r="L660" s="253"/>
      <c r="M660" s="253"/>
      <c r="N660" s="253"/>
      <c r="O660" s="253"/>
      <c r="P660" s="253"/>
      <c r="Q660" s="253"/>
    </row>
    <row r="661" spans="1:17">
      <c r="A661" s="253"/>
      <c r="B661" s="253"/>
      <c r="C661" s="253"/>
      <c r="D661" s="253"/>
      <c r="E661" s="253"/>
      <c r="F661" s="253"/>
      <c r="G661" s="253"/>
      <c r="H661" s="253"/>
      <c r="I661" s="253"/>
      <c r="J661" s="253"/>
      <c r="K661" s="253"/>
      <c r="L661" s="253"/>
      <c r="M661" s="253"/>
      <c r="N661" s="253"/>
      <c r="O661" s="253"/>
      <c r="P661" s="253"/>
      <c r="Q661" s="253"/>
    </row>
    <row r="662" spans="1:17">
      <c r="A662" s="253"/>
      <c r="B662" s="253"/>
      <c r="C662" s="253"/>
      <c r="D662" s="253"/>
      <c r="E662" s="253"/>
      <c r="F662" s="253"/>
      <c r="G662" s="253"/>
      <c r="H662" s="253"/>
      <c r="I662" s="253"/>
      <c r="J662" s="253"/>
      <c r="K662" s="253"/>
      <c r="L662" s="253"/>
      <c r="M662" s="253"/>
      <c r="N662" s="253"/>
      <c r="O662" s="253"/>
      <c r="P662" s="253"/>
      <c r="Q662" s="253"/>
    </row>
    <row r="663" spans="1:17">
      <c r="A663" s="253"/>
      <c r="B663" s="253"/>
      <c r="C663" s="253"/>
      <c r="D663" s="253"/>
      <c r="E663" s="253"/>
      <c r="F663" s="253"/>
      <c r="G663" s="253"/>
      <c r="H663" s="253"/>
      <c r="I663" s="253"/>
      <c r="J663" s="253"/>
      <c r="K663" s="253"/>
      <c r="L663" s="253"/>
      <c r="M663" s="253"/>
      <c r="N663" s="253"/>
      <c r="O663" s="253"/>
      <c r="P663" s="253"/>
      <c r="Q663" s="253"/>
    </row>
    <row r="664" spans="1:17">
      <c r="A664" s="253"/>
      <c r="B664" s="253"/>
      <c r="C664" s="253"/>
      <c r="D664" s="253"/>
      <c r="E664" s="253"/>
      <c r="F664" s="253"/>
      <c r="G664" s="253"/>
      <c r="H664" s="253"/>
      <c r="I664" s="253"/>
      <c r="J664" s="253"/>
      <c r="K664" s="253"/>
      <c r="L664" s="253"/>
      <c r="M664" s="253"/>
      <c r="N664" s="253"/>
      <c r="O664" s="253"/>
      <c r="P664" s="253"/>
      <c r="Q664" s="253"/>
    </row>
    <row r="665" spans="1:17">
      <c r="A665" s="253"/>
      <c r="B665" s="253"/>
      <c r="C665" s="253"/>
      <c r="D665" s="253"/>
      <c r="E665" s="253"/>
      <c r="F665" s="253"/>
      <c r="G665" s="253"/>
      <c r="H665" s="253"/>
      <c r="I665" s="253"/>
      <c r="J665" s="253"/>
      <c r="K665" s="253"/>
      <c r="L665" s="253"/>
      <c r="M665" s="253"/>
      <c r="N665" s="253"/>
      <c r="O665" s="253"/>
      <c r="P665" s="253"/>
      <c r="Q665" s="253"/>
    </row>
    <row r="666" spans="1:17">
      <c r="A666" s="253"/>
      <c r="B666" s="253"/>
      <c r="C666" s="253"/>
      <c r="D666" s="253"/>
      <c r="E666" s="253"/>
      <c r="F666" s="253"/>
      <c r="G666" s="253"/>
      <c r="H666" s="253"/>
      <c r="I666" s="253"/>
      <c r="J666" s="253"/>
      <c r="K666" s="253"/>
      <c r="L666" s="253"/>
      <c r="M666" s="253"/>
      <c r="N666" s="253"/>
      <c r="O666" s="253"/>
      <c r="P666" s="253"/>
      <c r="Q666" s="253"/>
    </row>
    <row r="667" spans="1:17">
      <c r="A667" s="253"/>
      <c r="B667" s="253"/>
      <c r="C667" s="253"/>
      <c r="D667" s="253"/>
      <c r="E667" s="253"/>
      <c r="F667" s="253"/>
      <c r="G667" s="253"/>
      <c r="H667" s="253"/>
      <c r="I667" s="253"/>
      <c r="J667" s="253"/>
      <c r="K667" s="253"/>
      <c r="L667" s="253"/>
      <c r="M667" s="253"/>
      <c r="N667" s="253"/>
      <c r="O667" s="253"/>
      <c r="P667" s="253"/>
      <c r="Q667" s="253"/>
    </row>
    <row r="668" spans="1:17">
      <c r="A668" s="253"/>
      <c r="B668" s="253"/>
      <c r="C668" s="253"/>
      <c r="D668" s="253"/>
      <c r="E668" s="253"/>
      <c r="F668" s="253"/>
      <c r="G668" s="253"/>
      <c r="H668" s="253"/>
      <c r="I668" s="253"/>
      <c r="J668" s="253"/>
      <c r="K668" s="253"/>
      <c r="L668" s="253"/>
      <c r="M668" s="253"/>
      <c r="N668" s="253"/>
      <c r="O668" s="253"/>
      <c r="P668" s="253"/>
      <c r="Q668" s="253"/>
    </row>
    <row r="669" spans="1:17">
      <c r="A669" s="253"/>
      <c r="B669" s="253"/>
      <c r="C669" s="253"/>
      <c r="D669" s="253"/>
      <c r="E669" s="253"/>
      <c r="F669" s="253"/>
      <c r="G669" s="253"/>
      <c r="H669" s="253"/>
      <c r="I669" s="253"/>
      <c r="J669" s="253"/>
      <c r="K669" s="253"/>
      <c r="L669" s="253"/>
      <c r="M669" s="253"/>
      <c r="N669" s="253"/>
      <c r="O669" s="253"/>
      <c r="P669" s="253"/>
      <c r="Q669" s="253"/>
    </row>
    <row r="670" spans="1:17">
      <c r="A670" s="253"/>
      <c r="B670" s="253"/>
      <c r="C670" s="253"/>
      <c r="D670" s="253"/>
      <c r="E670" s="253"/>
      <c r="F670" s="253"/>
      <c r="G670" s="253"/>
      <c r="H670" s="253"/>
      <c r="I670" s="253"/>
      <c r="J670" s="253"/>
      <c r="K670" s="253"/>
      <c r="L670" s="253"/>
      <c r="M670" s="253"/>
      <c r="N670" s="253"/>
      <c r="O670" s="253"/>
      <c r="P670" s="253"/>
      <c r="Q670" s="253"/>
    </row>
    <row r="671" spans="1:17">
      <c r="A671" s="253"/>
      <c r="B671" s="253"/>
      <c r="C671" s="253"/>
      <c r="D671" s="253"/>
      <c r="E671" s="253"/>
      <c r="F671" s="253"/>
      <c r="G671" s="253"/>
      <c r="H671" s="253"/>
      <c r="I671" s="253"/>
      <c r="J671" s="253"/>
      <c r="K671" s="253"/>
      <c r="L671" s="253"/>
      <c r="M671" s="253"/>
      <c r="N671" s="253"/>
      <c r="O671" s="253"/>
      <c r="P671" s="253"/>
      <c r="Q671" s="253"/>
    </row>
    <row r="672" spans="1:17">
      <c r="A672" s="253"/>
      <c r="B672" s="253"/>
      <c r="C672" s="253"/>
      <c r="D672" s="253"/>
      <c r="E672" s="253"/>
      <c r="F672" s="253"/>
      <c r="G672" s="253"/>
      <c r="H672" s="253"/>
      <c r="I672" s="253"/>
      <c r="J672" s="253"/>
      <c r="K672" s="253"/>
      <c r="L672" s="253"/>
      <c r="M672" s="253"/>
      <c r="N672" s="253"/>
      <c r="O672" s="253"/>
      <c r="P672" s="253"/>
      <c r="Q672" s="253"/>
    </row>
    <row r="673" spans="1:17">
      <c r="A673" s="253"/>
      <c r="B673" s="253"/>
      <c r="C673" s="253"/>
      <c r="D673" s="253"/>
      <c r="E673" s="253"/>
      <c r="F673" s="253"/>
      <c r="G673" s="253"/>
      <c r="H673" s="253"/>
      <c r="I673" s="253"/>
      <c r="J673" s="253"/>
      <c r="K673" s="253"/>
      <c r="L673" s="253"/>
      <c r="M673" s="253"/>
      <c r="N673" s="253"/>
      <c r="O673" s="253"/>
      <c r="P673" s="253"/>
      <c r="Q673" s="253"/>
    </row>
    <row r="674" spans="1:17">
      <c r="A674" s="253"/>
      <c r="B674" s="253"/>
      <c r="C674" s="253"/>
      <c r="D674" s="253"/>
      <c r="E674" s="253"/>
      <c r="F674" s="253"/>
      <c r="G674" s="253"/>
      <c r="H674" s="253"/>
      <c r="I674" s="253"/>
      <c r="J674" s="253"/>
      <c r="K674" s="253"/>
      <c r="L674" s="253"/>
      <c r="M674" s="253"/>
      <c r="N674" s="253"/>
      <c r="O674" s="253"/>
      <c r="P674" s="253"/>
      <c r="Q674" s="253"/>
    </row>
    <row r="675" spans="1:17">
      <c r="A675" s="253"/>
      <c r="B675" s="253"/>
      <c r="C675" s="253"/>
      <c r="D675" s="253"/>
      <c r="E675" s="253"/>
      <c r="F675" s="253"/>
      <c r="G675" s="253"/>
      <c r="H675" s="253"/>
      <c r="I675" s="253"/>
      <c r="J675" s="253"/>
      <c r="K675" s="253"/>
      <c r="L675" s="253"/>
      <c r="M675" s="253"/>
      <c r="N675" s="253"/>
      <c r="O675" s="253"/>
      <c r="P675" s="253"/>
      <c r="Q675" s="253"/>
    </row>
    <row r="676" spans="1:17">
      <c r="A676" s="253"/>
      <c r="B676" s="253"/>
      <c r="C676" s="253"/>
      <c r="D676" s="253"/>
      <c r="E676" s="253"/>
      <c r="F676" s="253"/>
      <c r="G676" s="253"/>
      <c r="H676" s="253"/>
      <c r="I676" s="253"/>
      <c r="J676" s="253"/>
      <c r="K676" s="253"/>
      <c r="L676" s="253"/>
      <c r="M676" s="253"/>
      <c r="N676" s="253"/>
      <c r="O676" s="253"/>
      <c r="P676" s="253"/>
      <c r="Q676" s="253"/>
    </row>
    <row r="677" spans="1:17">
      <c r="A677" s="253"/>
      <c r="B677" s="253"/>
      <c r="C677" s="253"/>
      <c r="D677" s="253"/>
      <c r="E677" s="253"/>
      <c r="F677" s="253"/>
      <c r="G677" s="253"/>
      <c r="H677" s="253"/>
      <c r="I677" s="253"/>
      <c r="J677" s="253"/>
      <c r="K677" s="253"/>
      <c r="L677" s="253"/>
      <c r="M677" s="253"/>
      <c r="N677" s="253"/>
      <c r="O677" s="253"/>
      <c r="P677" s="253"/>
      <c r="Q677" s="253"/>
    </row>
    <row r="678" spans="1:17">
      <c r="A678" s="253"/>
      <c r="B678" s="253"/>
      <c r="C678" s="253"/>
      <c r="D678" s="253"/>
      <c r="E678" s="253"/>
      <c r="F678" s="253"/>
      <c r="G678" s="253"/>
      <c r="H678" s="253"/>
      <c r="I678" s="253"/>
      <c r="J678" s="253"/>
      <c r="K678" s="253"/>
      <c r="L678" s="253"/>
      <c r="M678" s="253"/>
      <c r="N678" s="253"/>
      <c r="O678" s="253"/>
      <c r="P678" s="253"/>
      <c r="Q678" s="253"/>
    </row>
    <row r="679" spans="1:17">
      <c r="A679" s="253"/>
      <c r="B679" s="253"/>
      <c r="C679" s="253"/>
      <c r="D679" s="253"/>
      <c r="E679" s="253"/>
      <c r="F679" s="253"/>
      <c r="G679" s="253"/>
      <c r="H679" s="253"/>
      <c r="I679" s="253"/>
      <c r="J679" s="253"/>
      <c r="K679" s="253"/>
      <c r="L679" s="253"/>
      <c r="M679" s="253"/>
      <c r="N679" s="253"/>
      <c r="O679" s="253"/>
      <c r="P679" s="253"/>
      <c r="Q679" s="253"/>
    </row>
    <row r="680" spans="1:17">
      <c r="A680" s="253"/>
      <c r="B680" s="253"/>
      <c r="C680" s="253"/>
      <c r="D680" s="253"/>
      <c r="E680" s="253"/>
      <c r="F680" s="253"/>
      <c r="G680" s="253"/>
      <c r="H680" s="253"/>
      <c r="I680" s="253"/>
      <c r="J680" s="253"/>
      <c r="K680" s="253"/>
      <c r="L680" s="253"/>
      <c r="M680" s="253"/>
      <c r="N680" s="253"/>
      <c r="O680" s="253"/>
      <c r="P680" s="253"/>
      <c r="Q680" s="253"/>
    </row>
    <row r="681" spans="1:17">
      <c r="A681" s="253"/>
      <c r="B681" s="253"/>
      <c r="C681" s="253"/>
      <c r="D681" s="253"/>
      <c r="E681" s="253"/>
      <c r="F681" s="253"/>
      <c r="G681" s="253"/>
      <c r="H681" s="253"/>
      <c r="I681" s="253"/>
      <c r="J681" s="253"/>
      <c r="K681" s="253"/>
      <c r="L681" s="253"/>
      <c r="M681" s="253"/>
      <c r="N681" s="253"/>
      <c r="O681" s="253"/>
      <c r="P681" s="253"/>
      <c r="Q681" s="253"/>
    </row>
    <row r="682" spans="1:17">
      <c r="A682" s="253"/>
      <c r="B682" s="253"/>
      <c r="C682" s="253"/>
      <c r="D682" s="253"/>
      <c r="E682" s="253"/>
      <c r="F682" s="253"/>
      <c r="G682" s="253"/>
      <c r="H682" s="253"/>
      <c r="I682" s="253"/>
      <c r="J682" s="253"/>
      <c r="K682" s="253"/>
      <c r="L682" s="253"/>
      <c r="M682" s="253"/>
      <c r="N682" s="253"/>
      <c r="O682" s="253"/>
      <c r="P682" s="253"/>
      <c r="Q682" s="253"/>
    </row>
    <row r="683" spans="1:17">
      <c r="A683" s="253"/>
      <c r="B683" s="253"/>
      <c r="C683" s="253"/>
      <c r="D683" s="253"/>
      <c r="E683" s="253"/>
      <c r="F683" s="253"/>
      <c r="G683" s="253"/>
      <c r="H683" s="253"/>
      <c r="I683" s="253"/>
      <c r="J683" s="253"/>
      <c r="K683" s="253"/>
      <c r="L683" s="253"/>
      <c r="M683" s="253"/>
      <c r="N683" s="253"/>
      <c r="O683" s="253"/>
      <c r="P683" s="253"/>
      <c r="Q683" s="253"/>
    </row>
    <row r="684" spans="1:17">
      <c r="A684" s="253"/>
      <c r="B684" s="253"/>
      <c r="C684" s="253"/>
      <c r="D684" s="253"/>
      <c r="E684" s="253"/>
      <c r="F684" s="253"/>
      <c r="G684" s="253"/>
      <c r="H684" s="253"/>
      <c r="I684" s="253"/>
      <c r="J684" s="253"/>
      <c r="K684" s="253"/>
      <c r="L684" s="253"/>
      <c r="M684" s="253"/>
      <c r="N684" s="253"/>
      <c r="O684" s="253"/>
      <c r="P684" s="253"/>
      <c r="Q684" s="253"/>
    </row>
    <row r="685" spans="1:17">
      <c r="A685" s="253"/>
      <c r="B685" s="253"/>
      <c r="C685" s="253"/>
      <c r="D685" s="253"/>
      <c r="E685" s="253"/>
      <c r="F685" s="253"/>
      <c r="G685" s="253"/>
      <c r="H685" s="253"/>
      <c r="I685" s="253"/>
      <c r="J685" s="253"/>
      <c r="K685" s="253"/>
      <c r="L685" s="253"/>
      <c r="M685" s="253"/>
      <c r="N685" s="253"/>
      <c r="O685" s="253"/>
      <c r="P685" s="253"/>
      <c r="Q685" s="253"/>
    </row>
    <row r="686" spans="1:17">
      <c r="A686" s="253"/>
      <c r="B686" s="253"/>
      <c r="C686" s="253"/>
      <c r="D686" s="253"/>
      <c r="E686" s="253"/>
      <c r="F686" s="253"/>
      <c r="G686" s="253"/>
      <c r="H686" s="253"/>
      <c r="I686" s="253"/>
      <c r="J686" s="253"/>
      <c r="K686" s="253"/>
      <c r="L686" s="253"/>
      <c r="M686" s="253"/>
      <c r="N686" s="253"/>
      <c r="O686" s="253"/>
      <c r="P686" s="253"/>
      <c r="Q686" s="253"/>
    </row>
    <row r="687" spans="1:17">
      <c r="A687" s="253"/>
      <c r="B687" s="253"/>
      <c r="C687" s="253"/>
      <c r="D687" s="253"/>
      <c r="E687" s="253"/>
      <c r="F687" s="253"/>
      <c r="G687" s="253"/>
      <c r="H687" s="253"/>
      <c r="I687" s="253"/>
      <c r="J687" s="253"/>
      <c r="K687" s="253"/>
      <c r="L687" s="253"/>
      <c r="M687" s="253"/>
      <c r="N687" s="253"/>
      <c r="O687" s="253"/>
      <c r="P687" s="253"/>
      <c r="Q687" s="253"/>
    </row>
    <row r="688" spans="1:17">
      <c r="A688" s="253"/>
      <c r="B688" s="253"/>
      <c r="C688" s="253"/>
      <c r="D688" s="253"/>
      <c r="E688" s="253"/>
      <c r="F688" s="253"/>
      <c r="G688" s="253"/>
      <c r="H688" s="253"/>
      <c r="I688" s="253"/>
      <c r="J688" s="253"/>
      <c r="K688" s="253"/>
      <c r="L688" s="253"/>
      <c r="M688" s="253"/>
      <c r="N688" s="253"/>
      <c r="O688" s="253"/>
      <c r="P688" s="253"/>
      <c r="Q688" s="253"/>
    </row>
    <row r="689" spans="1:17">
      <c r="A689" s="253"/>
      <c r="B689" s="253"/>
      <c r="C689" s="253"/>
      <c r="D689" s="253"/>
      <c r="E689" s="253"/>
      <c r="F689" s="253"/>
      <c r="G689" s="253"/>
      <c r="H689" s="253"/>
      <c r="I689" s="253"/>
      <c r="J689" s="253"/>
      <c r="K689" s="253"/>
      <c r="L689" s="253"/>
      <c r="M689" s="253"/>
      <c r="N689" s="253"/>
      <c r="O689" s="253"/>
      <c r="P689" s="253"/>
      <c r="Q689" s="253"/>
    </row>
    <row r="690" spans="1:17">
      <c r="A690" s="253"/>
      <c r="B690" s="253"/>
      <c r="C690" s="253"/>
      <c r="D690" s="253"/>
      <c r="E690" s="253"/>
      <c r="F690" s="253"/>
      <c r="G690" s="253"/>
      <c r="H690" s="253"/>
      <c r="I690" s="253"/>
      <c r="J690" s="253"/>
      <c r="K690" s="253"/>
      <c r="L690" s="253"/>
      <c r="M690" s="253"/>
      <c r="N690" s="253"/>
      <c r="O690" s="253"/>
      <c r="P690" s="253"/>
      <c r="Q690" s="253"/>
    </row>
    <row r="691" spans="1:17">
      <c r="A691" s="253"/>
      <c r="B691" s="253"/>
      <c r="C691" s="253"/>
      <c r="D691" s="253"/>
      <c r="E691" s="253"/>
      <c r="F691" s="253"/>
      <c r="G691" s="253"/>
      <c r="H691" s="253"/>
      <c r="I691" s="253"/>
      <c r="J691" s="253"/>
      <c r="K691" s="253"/>
      <c r="L691" s="253"/>
      <c r="M691" s="253"/>
      <c r="N691" s="253"/>
      <c r="O691" s="253"/>
      <c r="P691" s="253"/>
      <c r="Q691" s="253"/>
    </row>
    <row r="692" spans="1:17">
      <c r="A692" s="253"/>
      <c r="B692" s="253"/>
      <c r="C692" s="253"/>
      <c r="D692" s="253"/>
      <c r="E692" s="253"/>
      <c r="F692" s="253"/>
      <c r="G692" s="253"/>
      <c r="H692" s="253"/>
      <c r="I692" s="253"/>
      <c r="J692" s="253"/>
      <c r="K692" s="253"/>
      <c r="L692" s="253"/>
      <c r="M692" s="253"/>
      <c r="N692" s="253"/>
      <c r="O692" s="253"/>
      <c r="P692" s="253"/>
      <c r="Q692" s="253"/>
    </row>
    <row r="693" spans="1:17">
      <c r="A693" s="253"/>
      <c r="B693" s="253"/>
      <c r="C693" s="253"/>
      <c r="D693" s="253"/>
      <c r="E693" s="253"/>
      <c r="F693" s="253"/>
      <c r="G693" s="253"/>
      <c r="H693" s="253"/>
      <c r="I693" s="253"/>
      <c r="J693" s="253"/>
      <c r="K693" s="253"/>
      <c r="L693" s="253"/>
      <c r="M693" s="253"/>
      <c r="N693" s="253"/>
      <c r="O693" s="253"/>
      <c r="P693" s="253"/>
      <c r="Q693" s="253"/>
    </row>
    <row r="694" spans="1:17">
      <c r="A694" s="253"/>
      <c r="B694" s="253"/>
      <c r="C694" s="253"/>
      <c r="D694" s="253"/>
      <c r="E694" s="253"/>
      <c r="F694" s="253"/>
      <c r="G694" s="253"/>
      <c r="H694" s="253"/>
      <c r="I694" s="253"/>
      <c r="J694" s="253"/>
      <c r="K694" s="253"/>
      <c r="L694" s="253"/>
      <c r="M694" s="253"/>
      <c r="N694" s="253"/>
      <c r="O694" s="253"/>
      <c r="P694" s="253"/>
      <c r="Q694" s="253"/>
    </row>
    <row r="695" spans="1:17">
      <c r="A695" s="253"/>
      <c r="B695" s="253"/>
      <c r="C695" s="253"/>
      <c r="D695" s="253"/>
      <c r="E695" s="253"/>
      <c r="F695" s="253"/>
      <c r="G695" s="253"/>
      <c r="H695" s="253"/>
      <c r="I695" s="253"/>
      <c r="J695" s="253"/>
      <c r="K695" s="253"/>
      <c r="L695" s="253"/>
      <c r="M695" s="253"/>
      <c r="N695" s="253"/>
      <c r="O695" s="253"/>
      <c r="P695" s="253"/>
      <c r="Q695" s="253"/>
    </row>
    <row r="696" spans="1:17">
      <c r="A696" s="253"/>
      <c r="B696" s="253"/>
      <c r="C696" s="253"/>
      <c r="D696" s="253"/>
      <c r="E696" s="253"/>
      <c r="F696" s="253"/>
      <c r="G696" s="253"/>
      <c r="H696" s="253"/>
      <c r="I696" s="253"/>
      <c r="J696" s="253"/>
      <c r="K696" s="253"/>
      <c r="L696" s="253"/>
      <c r="M696" s="253"/>
      <c r="N696" s="253"/>
      <c r="O696" s="253"/>
      <c r="P696" s="253"/>
      <c r="Q696" s="253"/>
    </row>
    <row r="697" spans="1:17">
      <c r="A697" s="253"/>
      <c r="B697" s="253"/>
      <c r="C697" s="253"/>
      <c r="D697" s="253"/>
      <c r="E697" s="253"/>
      <c r="F697" s="253"/>
      <c r="G697" s="253"/>
      <c r="H697" s="253"/>
      <c r="I697" s="253"/>
      <c r="J697" s="253"/>
      <c r="K697" s="253"/>
      <c r="L697" s="253"/>
      <c r="M697" s="253"/>
      <c r="N697" s="253"/>
      <c r="O697" s="253"/>
      <c r="P697" s="253"/>
      <c r="Q697" s="253"/>
    </row>
    <row r="698" spans="1:17">
      <c r="A698" s="253"/>
      <c r="B698" s="253"/>
      <c r="C698" s="253"/>
      <c r="D698" s="253"/>
      <c r="E698" s="253"/>
      <c r="F698" s="253"/>
      <c r="G698" s="253"/>
      <c r="H698" s="253"/>
      <c r="I698" s="253"/>
      <c r="J698" s="253"/>
      <c r="K698" s="253"/>
      <c r="L698" s="253"/>
      <c r="M698" s="253"/>
      <c r="N698" s="253"/>
      <c r="O698" s="253"/>
      <c r="P698" s="253"/>
      <c r="Q698" s="253"/>
    </row>
    <row r="699" spans="1:17">
      <c r="A699" s="253"/>
      <c r="B699" s="253"/>
      <c r="C699" s="253"/>
      <c r="D699" s="253"/>
      <c r="E699" s="253"/>
      <c r="F699" s="253"/>
      <c r="G699" s="253"/>
      <c r="H699" s="253"/>
      <c r="I699" s="253"/>
      <c r="J699" s="253"/>
      <c r="K699" s="253"/>
      <c r="L699" s="253"/>
      <c r="M699" s="253"/>
      <c r="N699" s="253"/>
      <c r="O699" s="253"/>
      <c r="P699" s="253"/>
      <c r="Q699" s="253"/>
    </row>
    <row r="700" spans="1:17">
      <c r="A700" s="253"/>
      <c r="B700" s="253"/>
      <c r="C700" s="253"/>
      <c r="D700" s="253"/>
      <c r="E700" s="253"/>
      <c r="F700" s="253"/>
      <c r="G700" s="253"/>
      <c r="H700" s="253"/>
      <c r="I700" s="253"/>
      <c r="J700" s="253"/>
      <c r="K700" s="253"/>
      <c r="L700" s="253"/>
      <c r="M700" s="253"/>
      <c r="N700" s="253"/>
      <c r="O700" s="253"/>
      <c r="P700" s="253"/>
      <c r="Q700" s="253"/>
    </row>
    <row r="701" spans="1:17">
      <c r="A701" s="253"/>
      <c r="B701" s="253"/>
      <c r="C701" s="253"/>
      <c r="D701" s="253"/>
      <c r="E701" s="253"/>
      <c r="F701" s="253"/>
      <c r="G701" s="253"/>
      <c r="H701" s="253"/>
      <c r="I701" s="253"/>
      <c r="J701" s="253"/>
      <c r="K701" s="253"/>
      <c r="L701" s="253"/>
      <c r="M701" s="253"/>
      <c r="N701" s="253"/>
      <c r="O701" s="253"/>
      <c r="P701" s="253"/>
      <c r="Q701" s="253"/>
    </row>
    <row r="702" spans="1:17">
      <c r="A702" s="253"/>
      <c r="B702" s="253"/>
      <c r="C702" s="253"/>
      <c r="D702" s="253"/>
      <c r="E702" s="253"/>
      <c r="F702" s="253"/>
      <c r="G702" s="253"/>
      <c r="H702" s="253"/>
      <c r="I702" s="253"/>
      <c r="J702" s="253"/>
      <c r="K702" s="253"/>
      <c r="L702" s="253"/>
      <c r="M702" s="253"/>
      <c r="N702" s="253"/>
      <c r="O702" s="253"/>
      <c r="P702" s="253"/>
      <c r="Q702" s="253"/>
    </row>
    <row r="703" spans="1:17">
      <c r="A703" s="253"/>
      <c r="B703" s="253"/>
      <c r="C703" s="253"/>
      <c r="D703" s="253"/>
      <c r="E703" s="253"/>
      <c r="F703" s="253"/>
      <c r="G703" s="253"/>
      <c r="H703" s="253"/>
      <c r="I703" s="253"/>
      <c r="J703" s="253"/>
      <c r="K703" s="253"/>
      <c r="L703" s="253"/>
      <c r="M703" s="253"/>
      <c r="N703" s="253"/>
      <c r="O703" s="253"/>
      <c r="P703" s="253"/>
      <c r="Q703" s="253"/>
    </row>
    <row r="704" spans="1:17">
      <c r="A704" s="253"/>
      <c r="B704" s="253"/>
      <c r="C704" s="253"/>
      <c r="D704" s="253"/>
      <c r="E704" s="253"/>
      <c r="F704" s="253"/>
      <c r="G704" s="253"/>
      <c r="H704" s="253"/>
      <c r="I704" s="253"/>
      <c r="J704" s="253"/>
      <c r="K704" s="253"/>
      <c r="L704" s="253"/>
      <c r="M704" s="253"/>
      <c r="N704" s="253"/>
      <c r="O704" s="253"/>
      <c r="P704" s="253"/>
      <c r="Q704" s="253"/>
    </row>
    <row r="705" spans="1:17">
      <c r="A705" s="253"/>
      <c r="B705" s="253"/>
      <c r="C705" s="253"/>
      <c r="D705" s="253"/>
      <c r="E705" s="253"/>
      <c r="F705" s="253"/>
      <c r="G705" s="253"/>
      <c r="H705" s="253"/>
      <c r="I705" s="253"/>
      <c r="J705" s="253"/>
      <c r="K705" s="253"/>
      <c r="L705" s="253"/>
      <c r="M705" s="253"/>
      <c r="N705" s="253"/>
      <c r="O705" s="253"/>
      <c r="P705" s="253"/>
      <c r="Q705" s="253"/>
    </row>
    <row r="706" spans="1:17">
      <c r="A706" s="253"/>
      <c r="B706" s="253"/>
      <c r="C706" s="253"/>
      <c r="D706" s="253"/>
      <c r="E706" s="253"/>
      <c r="F706" s="253"/>
      <c r="G706" s="253"/>
      <c r="H706" s="253"/>
      <c r="I706" s="253"/>
      <c r="J706" s="253"/>
      <c r="K706" s="253"/>
      <c r="L706" s="253"/>
      <c r="M706" s="253"/>
      <c r="N706" s="253"/>
      <c r="O706" s="253"/>
      <c r="P706" s="253"/>
      <c r="Q706" s="253"/>
    </row>
    <row r="707" spans="1:17">
      <c r="A707" s="253"/>
      <c r="B707" s="253"/>
      <c r="C707" s="253"/>
      <c r="D707" s="253"/>
      <c r="E707" s="253"/>
      <c r="F707" s="253"/>
      <c r="G707" s="253"/>
      <c r="H707" s="253"/>
      <c r="I707" s="253"/>
      <c r="J707" s="253"/>
      <c r="K707" s="253"/>
      <c r="L707" s="253"/>
      <c r="M707" s="253"/>
      <c r="N707" s="253"/>
      <c r="O707" s="253"/>
      <c r="P707" s="253"/>
      <c r="Q707" s="253"/>
    </row>
    <row r="708" spans="1:17">
      <c r="A708" s="253"/>
      <c r="B708" s="253"/>
      <c r="C708" s="253"/>
      <c r="D708" s="253"/>
      <c r="E708" s="253"/>
      <c r="F708" s="253"/>
      <c r="G708" s="253"/>
      <c r="H708" s="253"/>
      <c r="I708" s="253"/>
      <c r="J708" s="253"/>
      <c r="K708" s="253"/>
      <c r="L708" s="253"/>
      <c r="M708" s="253"/>
      <c r="N708" s="253"/>
      <c r="O708" s="253"/>
      <c r="P708" s="253"/>
      <c r="Q708" s="253"/>
    </row>
    <row r="709" spans="1:17">
      <c r="A709" s="253"/>
      <c r="B709" s="253"/>
      <c r="C709" s="253"/>
      <c r="D709" s="253"/>
      <c r="E709" s="253"/>
      <c r="F709" s="253"/>
      <c r="G709" s="253"/>
      <c r="H709" s="253"/>
      <c r="I709" s="253"/>
      <c r="J709" s="253"/>
      <c r="K709" s="253"/>
      <c r="L709" s="253"/>
      <c r="M709" s="253"/>
      <c r="N709" s="253"/>
      <c r="O709" s="253"/>
      <c r="P709" s="253"/>
      <c r="Q709" s="253"/>
    </row>
    <row r="710" spans="1:17">
      <c r="A710" s="253"/>
      <c r="B710" s="253"/>
      <c r="C710" s="253"/>
      <c r="D710" s="253"/>
      <c r="E710" s="253"/>
      <c r="F710" s="253"/>
      <c r="G710" s="253"/>
      <c r="H710" s="253"/>
      <c r="I710" s="253"/>
      <c r="J710" s="253"/>
      <c r="K710" s="253"/>
      <c r="L710" s="253"/>
      <c r="M710" s="253"/>
      <c r="N710" s="253"/>
      <c r="O710" s="253"/>
      <c r="P710" s="253"/>
      <c r="Q710" s="253"/>
    </row>
    <row r="711" spans="1:17">
      <c r="A711" s="253"/>
      <c r="B711" s="253"/>
      <c r="C711" s="253"/>
      <c r="D711" s="253"/>
      <c r="E711" s="253"/>
      <c r="F711" s="253"/>
      <c r="G711" s="253"/>
      <c r="H711" s="253"/>
      <c r="I711" s="253"/>
      <c r="J711" s="253"/>
      <c r="K711" s="253"/>
      <c r="L711" s="253"/>
      <c r="M711" s="253"/>
      <c r="N711" s="253"/>
      <c r="O711" s="253"/>
      <c r="P711" s="253"/>
      <c r="Q711" s="253"/>
    </row>
    <row r="712" spans="1:17">
      <c r="A712" s="253"/>
      <c r="B712" s="253"/>
      <c r="C712" s="253"/>
      <c r="D712" s="253"/>
      <c r="E712" s="253"/>
      <c r="F712" s="253"/>
      <c r="G712" s="253"/>
      <c r="H712" s="253"/>
      <c r="I712" s="253"/>
      <c r="J712" s="253"/>
      <c r="K712" s="253"/>
      <c r="L712" s="253"/>
      <c r="M712" s="253"/>
      <c r="N712" s="253"/>
      <c r="O712" s="253"/>
      <c r="P712" s="253"/>
      <c r="Q712" s="253"/>
    </row>
    <row r="713" spans="1:17">
      <c r="A713" s="253"/>
      <c r="B713" s="253"/>
      <c r="C713" s="253"/>
      <c r="D713" s="253"/>
      <c r="E713" s="253"/>
      <c r="F713" s="253"/>
      <c r="G713" s="253"/>
      <c r="H713" s="253"/>
      <c r="I713" s="253"/>
      <c r="J713" s="253"/>
      <c r="K713" s="253"/>
      <c r="L713" s="253"/>
      <c r="M713" s="253"/>
      <c r="N713" s="253"/>
      <c r="O713" s="253"/>
      <c r="P713" s="253"/>
      <c r="Q713" s="253"/>
    </row>
    <row r="714" spans="1:17">
      <c r="A714" s="253"/>
      <c r="B714" s="253"/>
      <c r="C714" s="253"/>
      <c r="D714" s="253"/>
      <c r="E714" s="253"/>
      <c r="F714" s="253"/>
      <c r="G714" s="253"/>
      <c r="H714" s="253"/>
      <c r="I714" s="253"/>
      <c r="J714" s="253"/>
      <c r="K714" s="253"/>
      <c r="L714" s="253"/>
      <c r="M714" s="253"/>
      <c r="N714" s="253"/>
      <c r="O714" s="253"/>
      <c r="P714" s="253"/>
      <c r="Q714" s="253"/>
    </row>
    <row r="715" spans="1:17">
      <c r="A715" s="253"/>
      <c r="B715" s="253"/>
      <c r="C715" s="253"/>
      <c r="D715" s="253"/>
      <c r="E715" s="253"/>
      <c r="F715" s="253"/>
      <c r="G715" s="253"/>
      <c r="H715" s="253"/>
      <c r="I715" s="253"/>
      <c r="J715" s="253"/>
      <c r="K715" s="253"/>
      <c r="L715" s="253"/>
      <c r="M715" s="253"/>
      <c r="N715" s="253"/>
      <c r="O715" s="253"/>
      <c r="P715" s="253"/>
      <c r="Q715" s="253"/>
    </row>
    <row r="716" spans="1:17">
      <c r="A716" s="253"/>
      <c r="B716" s="253"/>
      <c r="C716" s="253"/>
      <c r="D716" s="253"/>
      <c r="E716" s="253"/>
      <c r="F716" s="253"/>
      <c r="G716" s="253"/>
      <c r="H716" s="253"/>
      <c r="I716" s="253"/>
      <c r="J716" s="253"/>
      <c r="K716" s="253"/>
      <c r="L716" s="253"/>
      <c r="M716" s="253"/>
      <c r="N716" s="253"/>
      <c r="O716" s="253"/>
      <c r="P716" s="253"/>
      <c r="Q716" s="253"/>
    </row>
    <row r="717" spans="1:17">
      <c r="A717" s="253"/>
      <c r="B717" s="253"/>
      <c r="C717" s="253"/>
      <c r="D717" s="253"/>
      <c r="E717" s="253"/>
      <c r="F717" s="253"/>
      <c r="G717" s="253"/>
      <c r="H717" s="253"/>
      <c r="I717" s="253"/>
      <c r="J717" s="253"/>
      <c r="K717" s="253"/>
      <c r="L717" s="253"/>
      <c r="M717" s="253"/>
      <c r="N717" s="253"/>
      <c r="O717" s="253"/>
      <c r="P717" s="253"/>
      <c r="Q717" s="253"/>
    </row>
    <row r="718" spans="1:17">
      <c r="A718" s="253"/>
      <c r="B718" s="253"/>
      <c r="C718" s="253"/>
      <c r="D718" s="253"/>
      <c r="E718" s="253"/>
      <c r="F718" s="253"/>
      <c r="G718" s="253"/>
      <c r="H718" s="253"/>
      <c r="I718" s="253"/>
      <c r="J718" s="253"/>
      <c r="K718" s="253"/>
      <c r="L718" s="253"/>
      <c r="M718" s="253"/>
      <c r="N718" s="253"/>
      <c r="O718" s="253"/>
      <c r="P718" s="253"/>
      <c r="Q718" s="253"/>
    </row>
    <row r="719" spans="1:17">
      <c r="A719" s="253"/>
      <c r="B719" s="253"/>
      <c r="C719" s="253"/>
      <c r="D719" s="253"/>
      <c r="E719" s="253"/>
      <c r="F719" s="253"/>
      <c r="G719" s="253"/>
      <c r="H719" s="253"/>
      <c r="I719" s="253"/>
      <c r="J719" s="253"/>
      <c r="K719" s="253"/>
      <c r="L719" s="253"/>
      <c r="M719" s="253"/>
      <c r="N719" s="253"/>
      <c r="O719" s="253"/>
      <c r="P719" s="253"/>
      <c r="Q719" s="253"/>
    </row>
    <row r="720" spans="1:17">
      <c r="A720" s="253"/>
      <c r="B720" s="253"/>
      <c r="C720" s="253"/>
      <c r="D720" s="253"/>
      <c r="E720" s="253"/>
      <c r="F720" s="253"/>
      <c r="G720" s="253"/>
      <c r="H720" s="253"/>
      <c r="I720" s="253"/>
      <c r="J720" s="253"/>
      <c r="K720" s="253"/>
      <c r="L720" s="253"/>
      <c r="M720" s="253"/>
      <c r="N720" s="253"/>
      <c r="O720" s="253"/>
      <c r="P720" s="253"/>
      <c r="Q720" s="253"/>
    </row>
    <row r="721" spans="1:17">
      <c r="A721" s="253"/>
      <c r="B721" s="253"/>
      <c r="C721" s="253"/>
      <c r="D721" s="253"/>
      <c r="E721" s="253"/>
      <c r="F721" s="253"/>
      <c r="G721" s="253"/>
      <c r="H721" s="253"/>
      <c r="I721" s="253"/>
      <c r="J721" s="253"/>
      <c r="K721" s="253"/>
      <c r="L721" s="253"/>
      <c r="M721" s="253"/>
      <c r="N721" s="253"/>
      <c r="O721" s="253"/>
      <c r="P721" s="253"/>
      <c r="Q721" s="253"/>
    </row>
    <row r="722" spans="1:17">
      <c r="A722" s="253"/>
      <c r="B722" s="253"/>
      <c r="C722" s="253"/>
      <c r="D722" s="253"/>
      <c r="E722" s="253"/>
      <c r="F722" s="253"/>
      <c r="G722" s="253"/>
      <c r="H722" s="253"/>
      <c r="I722" s="253"/>
      <c r="J722" s="253"/>
      <c r="K722" s="253"/>
      <c r="L722" s="253"/>
      <c r="M722" s="253"/>
      <c r="N722" s="253"/>
      <c r="O722" s="253"/>
      <c r="P722" s="253"/>
      <c r="Q722" s="253"/>
    </row>
    <row r="723" spans="1:17">
      <c r="A723" s="253"/>
      <c r="B723" s="253"/>
      <c r="C723" s="253"/>
      <c r="D723" s="253"/>
      <c r="E723" s="253"/>
      <c r="F723" s="253"/>
      <c r="G723" s="253"/>
      <c r="H723" s="253"/>
      <c r="I723" s="253"/>
      <c r="J723" s="253"/>
      <c r="K723" s="253"/>
      <c r="L723" s="253"/>
      <c r="M723" s="253"/>
      <c r="N723" s="253"/>
      <c r="O723" s="253"/>
      <c r="P723" s="253"/>
      <c r="Q723" s="253"/>
    </row>
    <row r="724" spans="1:17">
      <c r="A724" s="253"/>
      <c r="B724" s="253"/>
      <c r="C724" s="253"/>
      <c r="D724" s="253"/>
      <c r="E724" s="253"/>
      <c r="F724" s="253"/>
      <c r="G724" s="253"/>
      <c r="H724" s="253"/>
      <c r="I724" s="253"/>
      <c r="J724" s="253"/>
      <c r="K724" s="253"/>
      <c r="L724" s="253"/>
      <c r="M724" s="253"/>
      <c r="N724" s="253"/>
      <c r="O724" s="253"/>
      <c r="P724" s="253"/>
      <c r="Q724" s="253"/>
    </row>
    <row r="725" spans="1:17">
      <c r="A725" s="253"/>
      <c r="B725" s="253"/>
      <c r="C725" s="253"/>
      <c r="D725" s="253"/>
      <c r="E725" s="253"/>
      <c r="F725" s="253"/>
      <c r="G725" s="253"/>
      <c r="H725" s="253"/>
      <c r="I725" s="253"/>
      <c r="J725" s="253"/>
      <c r="K725" s="253"/>
      <c r="L725" s="253"/>
      <c r="M725" s="253"/>
      <c r="N725" s="253"/>
      <c r="O725" s="253"/>
      <c r="P725" s="253"/>
      <c r="Q725" s="253"/>
    </row>
    <row r="726" spans="1:17">
      <c r="A726" s="253"/>
      <c r="B726" s="253"/>
      <c r="C726" s="253"/>
      <c r="D726" s="253"/>
      <c r="E726" s="253"/>
      <c r="F726" s="253"/>
      <c r="G726" s="253"/>
      <c r="H726" s="253"/>
      <c r="I726" s="253"/>
      <c r="J726" s="253"/>
      <c r="K726" s="253"/>
      <c r="L726" s="253"/>
      <c r="M726" s="253"/>
      <c r="N726" s="253"/>
      <c r="O726" s="253"/>
      <c r="P726" s="253"/>
      <c r="Q726" s="253"/>
    </row>
    <row r="727" spans="1:17">
      <c r="A727" s="253"/>
      <c r="B727" s="253"/>
      <c r="C727" s="253"/>
      <c r="D727" s="253"/>
      <c r="E727" s="253"/>
      <c r="F727" s="253"/>
      <c r="G727" s="253"/>
      <c r="H727" s="253"/>
      <c r="I727" s="253"/>
      <c r="J727" s="253"/>
      <c r="K727" s="253"/>
      <c r="L727" s="253"/>
      <c r="M727" s="253"/>
      <c r="N727" s="253"/>
      <c r="O727" s="253"/>
      <c r="P727" s="253"/>
      <c r="Q727" s="253"/>
    </row>
    <row r="728" spans="1:17">
      <c r="A728" s="253"/>
      <c r="B728" s="253"/>
      <c r="C728" s="253"/>
      <c r="D728" s="253"/>
      <c r="E728" s="253"/>
      <c r="F728" s="253"/>
      <c r="G728" s="253"/>
      <c r="H728" s="253"/>
      <c r="I728" s="253"/>
      <c r="J728" s="253"/>
      <c r="K728" s="253"/>
      <c r="L728" s="253"/>
      <c r="M728" s="253"/>
      <c r="N728" s="253"/>
      <c r="O728" s="253"/>
      <c r="P728" s="253"/>
      <c r="Q728" s="253"/>
    </row>
    <row r="729" spans="1:17">
      <c r="A729" s="253"/>
      <c r="B729" s="253"/>
      <c r="C729" s="253"/>
      <c r="D729" s="253"/>
      <c r="E729" s="253"/>
      <c r="F729" s="253"/>
      <c r="G729" s="253"/>
      <c r="H729" s="253"/>
      <c r="I729" s="253"/>
      <c r="J729" s="253"/>
      <c r="K729" s="253"/>
      <c r="L729" s="253"/>
      <c r="M729" s="253"/>
      <c r="N729" s="253"/>
      <c r="O729" s="253"/>
      <c r="P729" s="253"/>
      <c r="Q729" s="253"/>
    </row>
    <row r="730" spans="1:17">
      <c r="A730" s="253"/>
      <c r="B730" s="253"/>
      <c r="C730" s="253"/>
      <c r="D730" s="253"/>
      <c r="E730" s="253"/>
      <c r="F730" s="253"/>
      <c r="G730" s="253"/>
      <c r="H730" s="253"/>
      <c r="I730" s="253"/>
      <c r="J730" s="253"/>
      <c r="K730" s="253"/>
      <c r="L730" s="253"/>
      <c r="M730" s="253"/>
      <c r="N730" s="253"/>
      <c r="O730" s="253"/>
      <c r="P730" s="253"/>
      <c r="Q730" s="253"/>
    </row>
    <row r="731" spans="1:17">
      <c r="A731" s="253"/>
      <c r="B731" s="253"/>
      <c r="C731" s="253"/>
      <c r="D731" s="253"/>
      <c r="E731" s="253"/>
      <c r="F731" s="253"/>
      <c r="G731" s="253"/>
      <c r="H731" s="253"/>
      <c r="I731" s="253"/>
      <c r="J731" s="253"/>
      <c r="K731" s="253"/>
      <c r="L731" s="253"/>
      <c r="M731" s="253"/>
      <c r="N731" s="253"/>
      <c r="O731" s="253"/>
      <c r="P731" s="253"/>
      <c r="Q731" s="253"/>
    </row>
    <row r="732" spans="1:17">
      <c r="A732" s="253"/>
      <c r="B732" s="253"/>
      <c r="C732" s="253"/>
      <c r="D732" s="253"/>
      <c r="E732" s="253"/>
      <c r="F732" s="253"/>
      <c r="G732" s="253"/>
      <c r="H732" s="253"/>
      <c r="I732" s="253"/>
      <c r="J732" s="253"/>
      <c r="K732" s="253"/>
      <c r="L732" s="253"/>
      <c r="M732" s="253"/>
      <c r="N732" s="253"/>
      <c r="O732" s="253"/>
      <c r="P732" s="253"/>
      <c r="Q732" s="253"/>
    </row>
    <row r="733" spans="1:17">
      <c r="A733" s="253"/>
      <c r="B733" s="253"/>
      <c r="C733" s="253"/>
      <c r="D733" s="253"/>
      <c r="E733" s="253"/>
      <c r="F733" s="253"/>
      <c r="G733" s="253"/>
      <c r="H733" s="253"/>
      <c r="I733" s="253"/>
      <c r="J733" s="253"/>
      <c r="K733" s="253"/>
      <c r="L733" s="253"/>
      <c r="M733" s="253"/>
      <c r="N733" s="253"/>
      <c r="O733" s="253"/>
      <c r="P733" s="253"/>
      <c r="Q733" s="253"/>
    </row>
    <row r="734" spans="1:17">
      <c r="A734" s="253"/>
      <c r="B734" s="253"/>
      <c r="C734" s="253"/>
      <c r="D734" s="253"/>
      <c r="E734" s="253"/>
      <c r="F734" s="253"/>
      <c r="G734" s="253"/>
      <c r="H734" s="253"/>
      <c r="I734" s="253"/>
      <c r="J734" s="253"/>
      <c r="K734" s="253"/>
      <c r="L734" s="253"/>
      <c r="M734" s="253"/>
      <c r="N734" s="253"/>
      <c r="O734" s="253"/>
      <c r="P734" s="253"/>
      <c r="Q734" s="253"/>
    </row>
    <row r="735" spans="1:17">
      <c r="A735" s="253"/>
      <c r="B735" s="253"/>
      <c r="C735" s="253"/>
      <c r="D735" s="253"/>
      <c r="E735" s="253"/>
      <c r="F735" s="253"/>
      <c r="G735" s="253"/>
      <c r="H735" s="253"/>
      <c r="I735" s="253"/>
      <c r="J735" s="253"/>
      <c r="K735" s="253"/>
      <c r="L735" s="253"/>
      <c r="M735" s="253"/>
      <c r="N735" s="253"/>
      <c r="O735" s="253"/>
      <c r="P735" s="253"/>
      <c r="Q735" s="253"/>
    </row>
    <row r="736" spans="1:17">
      <c r="A736" s="253"/>
      <c r="B736" s="253"/>
      <c r="C736" s="253"/>
      <c r="D736" s="253"/>
      <c r="E736" s="253"/>
      <c r="F736" s="253"/>
      <c r="G736" s="253"/>
      <c r="H736" s="253"/>
      <c r="I736" s="253"/>
      <c r="J736" s="253"/>
      <c r="K736" s="253"/>
      <c r="L736" s="253"/>
      <c r="M736" s="253"/>
      <c r="N736" s="253"/>
      <c r="O736" s="253"/>
      <c r="P736" s="253"/>
      <c r="Q736" s="253"/>
    </row>
    <row r="737" spans="1:17">
      <c r="A737" s="253"/>
      <c r="B737" s="253"/>
      <c r="C737" s="253"/>
      <c r="D737" s="253"/>
      <c r="E737" s="253"/>
      <c r="F737" s="253"/>
      <c r="G737" s="253"/>
      <c r="H737" s="253"/>
      <c r="I737" s="253"/>
      <c r="J737" s="253"/>
      <c r="K737" s="253"/>
      <c r="L737" s="253"/>
      <c r="M737" s="253"/>
      <c r="N737" s="253"/>
      <c r="O737" s="253"/>
      <c r="P737" s="253"/>
      <c r="Q737" s="253"/>
    </row>
    <row r="738" spans="1:17">
      <c r="A738" s="253"/>
      <c r="B738" s="253"/>
      <c r="C738" s="253"/>
      <c r="D738" s="253"/>
      <c r="E738" s="253"/>
      <c r="F738" s="253"/>
      <c r="G738" s="253"/>
      <c r="H738" s="253"/>
      <c r="I738" s="253"/>
      <c r="J738" s="253"/>
      <c r="K738" s="253"/>
      <c r="L738" s="253"/>
      <c r="M738" s="253"/>
      <c r="N738" s="253"/>
      <c r="O738" s="253"/>
      <c r="P738" s="253"/>
      <c r="Q738" s="253"/>
    </row>
    <row r="739" spans="1:17">
      <c r="A739" s="253"/>
      <c r="B739" s="253"/>
      <c r="C739" s="253"/>
      <c r="D739" s="253"/>
      <c r="E739" s="253"/>
      <c r="F739" s="253"/>
      <c r="G739" s="253"/>
      <c r="H739" s="253"/>
      <c r="I739" s="253"/>
      <c r="J739" s="253"/>
      <c r="K739" s="253"/>
      <c r="L739" s="253"/>
      <c r="M739" s="253"/>
      <c r="N739" s="253"/>
      <c r="O739" s="253"/>
      <c r="P739" s="253"/>
      <c r="Q739" s="253"/>
    </row>
    <row r="740" spans="1:17">
      <c r="A740" s="253"/>
      <c r="B740" s="253"/>
      <c r="C740" s="253"/>
      <c r="D740" s="253"/>
      <c r="E740" s="253"/>
      <c r="F740" s="253"/>
      <c r="G740" s="253"/>
      <c r="H740" s="253"/>
      <c r="I740" s="253"/>
      <c r="J740" s="253"/>
      <c r="K740" s="253"/>
      <c r="L740" s="253"/>
      <c r="M740" s="253"/>
      <c r="N740" s="253"/>
      <c r="O740" s="253"/>
      <c r="P740" s="253"/>
      <c r="Q740" s="253"/>
    </row>
    <row r="741" spans="1:17">
      <c r="A741" s="253"/>
      <c r="B741" s="253"/>
      <c r="C741" s="253"/>
      <c r="D741" s="253"/>
      <c r="E741" s="253"/>
      <c r="F741" s="253"/>
      <c r="G741" s="253"/>
      <c r="H741" s="253"/>
      <c r="I741" s="253"/>
      <c r="J741" s="253"/>
      <c r="K741" s="253"/>
      <c r="L741" s="253"/>
      <c r="M741" s="253"/>
      <c r="N741" s="253"/>
      <c r="O741" s="253"/>
      <c r="P741" s="253"/>
      <c r="Q741" s="253"/>
    </row>
    <row r="742" spans="1:17">
      <c r="A742" s="253"/>
      <c r="B742" s="253"/>
      <c r="C742" s="253"/>
      <c r="D742" s="253"/>
      <c r="E742" s="253"/>
      <c r="F742" s="253"/>
      <c r="G742" s="253"/>
      <c r="H742" s="253"/>
      <c r="I742" s="253"/>
      <c r="J742" s="253"/>
      <c r="K742" s="253"/>
      <c r="L742" s="253"/>
      <c r="M742" s="253"/>
      <c r="N742" s="253"/>
      <c r="O742" s="253"/>
      <c r="P742" s="253"/>
      <c r="Q742" s="253"/>
    </row>
    <row r="743" spans="1:17">
      <c r="A743" s="253"/>
      <c r="B743" s="253"/>
      <c r="C743" s="253"/>
      <c r="D743" s="253"/>
      <c r="E743" s="253"/>
      <c r="F743" s="253"/>
      <c r="G743" s="253"/>
      <c r="H743" s="253"/>
      <c r="I743" s="253"/>
      <c r="J743" s="253"/>
      <c r="K743" s="253"/>
      <c r="L743" s="253"/>
      <c r="M743" s="253"/>
      <c r="N743" s="253"/>
      <c r="O743" s="253"/>
      <c r="P743" s="253"/>
      <c r="Q743" s="253"/>
    </row>
    <row r="744" spans="1:17">
      <c r="A744" s="253"/>
      <c r="B744" s="253"/>
      <c r="C744" s="253"/>
      <c r="D744" s="253"/>
      <c r="E744" s="253"/>
      <c r="F744" s="253"/>
      <c r="G744" s="253"/>
      <c r="H744" s="253"/>
      <c r="I744" s="253"/>
      <c r="J744" s="253"/>
      <c r="K744" s="253"/>
      <c r="L744" s="253"/>
      <c r="M744" s="253"/>
      <c r="N744" s="253"/>
      <c r="O744" s="253"/>
      <c r="P744" s="253"/>
      <c r="Q744" s="253"/>
    </row>
    <row r="745" spans="1:17">
      <c r="A745" s="253"/>
      <c r="B745" s="253"/>
      <c r="C745" s="253"/>
      <c r="D745" s="253"/>
      <c r="E745" s="253"/>
      <c r="F745" s="253"/>
      <c r="G745" s="253"/>
      <c r="H745" s="253"/>
      <c r="I745" s="253"/>
      <c r="J745" s="253"/>
      <c r="K745" s="253"/>
      <c r="L745" s="253"/>
      <c r="M745" s="253"/>
      <c r="N745" s="253"/>
      <c r="O745" s="253"/>
      <c r="P745" s="253"/>
      <c r="Q745" s="253"/>
    </row>
    <row r="746" spans="1:17">
      <c r="A746" s="253"/>
      <c r="B746" s="253"/>
      <c r="C746" s="253"/>
      <c r="D746" s="253"/>
      <c r="E746" s="253"/>
      <c r="F746" s="253"/>
      <c r="G746" s="253"/>
      <c r="H746" s="253"/>
      <c r="I746" s="253"/>
      <c r="J746" s="253"/>
      <c r="K746" s="253"/>
      <c r="L746" s="253"/>
      <c r="M746" s="253"/>
      <c r="N746" s="253"/>
      <c r="O746" s="253"/>
      <c r="P746" s="253"/>
      <c r="Q746" s="253"/>
    </row>
    <row r="747" spans="1:17">
      <c r="A747" s="253"/>
      <c r="B747" s="253"/>
      <c r="C747" s="253"/>
      <c r="D747" s="253"/>
      <c r="E747" s="253"/>
      <c r="F747" s="253"/>
      <c r="G747" s="253"/>
      <c r="H747" s="253"/>
      <c r="I747" s="253"/>
      <c r="J747" s="253"/>
      <c r="K747" s="253"/>
      <c r="L747" s="253"/>
      <c r="M747" s="253"/>
      <c r="N747" s="253"/>
      <c r="O747" s="253"/>
      <c r="P747" s="253"/>
      <c r="Q747" s="253"/>
    </row>
    <row r="748" spans="1:17">
      <c r="A748" s="253"/>
      <c r="B748" s="253"/>
      <c r="C748" s="253"/>
      <c r="D748" s="253"/>
      <c r="E748" s="253"/>
      <c r="F748" s="253"/>
      <c r="G748" s="253"/>
      <c r="H748" s="253"/>
      <c r="I748" s="253"/>
      <c r="J748" s="253"/>
      <c r="K748" s="253"/>
      <c r="L748" s="253"/>
      <c r="M748" s="253"/>
      <c r="N748" s="253"/>
      <c r="O748" s="253"/>
      <c r="P748" s="253"/>
      <c r="Q748" s="253"/>
    </row>
    <row r="749" spans="1:17">
      <c r="A749" s="253"/>
      <c r="B749" s="253"/>
      <c r="C749" s="253"/>
      <c r="D749" s="253"/>
      <c r="E749" s="253"/>
      <c r="F749" s="253"/>
      <c r="G749" s="253"/>
      <c r="H749" s="253"/>
      <c r="I749" s="253"/>
      <c r="J749" s="253"/>
      <c r="K749" s="253"/>
      <c r="L749" s="253"/>
      <c r="M749" s="253"/>
      <c r="N749" s="253"/>
      <c r="O749" s="253"/>
      <c r="P749" s="253"/>
      <c r="Q749" s="253"/>
    </row>
    <row r="750" spans="1:17">
      <c r="A750" s="253"/>
      <c r="B750" s="253"/>
      <c r="C750" s="253"/>
      <c r="D750" s="253"/>
      <c r="E750" s="253"/>
      <c r="F750" s="253"/>
      <c r="G750" s="253"/>
      <c r="H750" s="253"/>
      <c r="I750" s="253"/>
      <c r="J750" s="253"/>
      <c r="K750" s="253"/>
      <c r="L750" s="253"/>
      <c r="M750" s="253"/>
      <c r="N750" s="253"/>
      <c r="O750" s="253"/>
      <c r="P750" s="253"/>
      <c r="Q750" s="253"/>
    </row>
    <row r="751" spans="1:17">
      <c r="A751" s="253"/>
      <c r="B751" s="253"/>
      <c r="C751" s="253"/>
      <c r="D751" s="253"/>
      <c r="E751" s="253"/>
      <c r="F751" s="253"/>
      <c r="G751" s="253"/>
      <c r="H751" s="253"/>
      <c r="I751" s="253"/>
      <c r="J751" s="253"/>
      <c r="K751" s="253"/>
      <c r="L751" s="253"/>
      <c r="M751" s="253"/>
      <c r="N751" s="253"/>
      <c r="O751" s="253"/>
      <c r="P751" s="253"/>
      <c r="Q751" s="253"/>
    </row>
    <row r="752" spans="1:17">
      <c r="A752" s="253"/>
      <c r="B752" s="253"/>
      <c r="C752" s="253"/>
      <c r="D752" s="253"/>
      <c r="E752" s="253"/>
      <c r="F752" s="253"/>
      <c r="G752" s="253"/>
      <c r="H752" s="253"/>
      <c r="I752" s="253"/>
      <c r="J752" s="253"/>
      <c r="K752" s="253"/>
      <c r="L752" s="253"/>
      <c r="M752" s="253"/>
      <c r="N752" s="253"/>
      <c r="O752" s="253"/>
      <c r="P752" s="253"/>
      <c r="Q752" s="253"/>
    </row>
    <row r="753" spans="1:17">
      <c r="A753" s="253"/>
      <c r="B753" s="253"/>
      <c r="C753" s="253"/>
      <c r="D753" s="253"/>
      <c r="E753" s="253"/>
      <c r="F753" s="253"/>
      <c r="G753" s="253"/>
      <c r="H753" s="253"/>
      <c r="I753" s="253"/>
      <c r="J753" s="253"/>
      <c r="K753" s="253"/>
      <c r="L753" s="253"/>
      <c r="M753" s="253"/>
      <c r="N753" s="253"/>
      <c r="O753" s="253"/>
      <c r="P753" s="253"/>
      <c r="Q753" s="253"/>
    </row>
    <row r="754" spans="1:17">
      <c r="A754" s="253"/>
      <c r="B754" s="253"/>
      <c r="C754" s="253"/>
      <c r="D754" s="253"/>
      <c r="E754" s="253"/>
      <c r="F754" s="253"/>
      <c r="G754" s="253"/>
      <c r="H754" s="253"/>
      <c r="I754" s="253"/>
      <c r="J754" s="253"/>
      <c r="K754" s="253"/>
      <c r="L754" s="253"/>
      <c r="M754" s="253"/>
      <c r="N754" s="253"/>
      <c r="O754" s="253"/>
      <c r="P754" s="253"/>
      <c r="Q754" s="253"/>
    </row>
    <row r="755" spans="1:17">
      <c r="A755" s="253"/>
      <c r="B755" s="253"/>
      <c r="C755" s="253"/>
      <c r="D755" s="253"/>
      <c r="E755" s="253"/>
      <c r="F755" s="253"/>
      <c r="G755" s="253"/>
      <c r="H755" s="253"/>
      <c r="I755" s="253"/>
      <c r="J755" s="253"/>
      <c r="K755" s="253"/>
      <c r="L755" s="253"/>
      <c r="M755" s="253"/>
      <c r="N755" s="253"/>
      <c r="O755" s="253"/>
      <c r="P755" s="253"/>
      <c r="Q755" s="253"/>
    </row>
    <row r="756" spans="1:17">
      <c r="A756" s="253"/>
      <c r="B756" s="253"/>
      <c r="C756" s="253"/>
      <c r="D756" s="253"/>
      <c r="E756" s="253"/>
      <c r="F756" s="253"/>
      <c r="G756" s="253"/>
      <c r="H756" s="253"/>
      <c r="I756" s="253"/>
      <c r="J756" s="253"/>
      <c r="K756" s="253"/>
      <c r="L756" s="253"/>
      <c r="M756" s="253"/>
      <c r="N756" s="253"/>
      <c r="O756" s="253"/>
      <c r="P756" s="253"/>
      <c r="Q756" s="253"/>
    </row>
    <row r="757" spans="1:17">
      <c r="A757" s="253"/>
      <c r="B757" s="253"/>
      <c r="C757" s="253"/>
      <c r="D757" s="253"/>
      <c r="E757" s="253"/>
      <c r="F757" s="253"/>
      <c r="G757" s="253"/>
      <c r="H757" s="253"/>
      <c r="I757" s="253"/>
      <c r="J757" s="253"/>
      <c r="K757" s="253"/>
      <c r="L757" s="253"/>
      <c r="M757" s="253"/>
      <c r="N757" s="253"/>
      <c r="O757" s="253"/>
      <c r="P757" s="253"/>
      <c r="Q757" s="253"/>
    </row>
    <row r="758" spans="1:17">
      <c r="A758" s="253"/>
      <c r="B758" s="253"/>
      <c r="C758" s="253"/>
      <c r="D758" s="253"/>
      <c r="E758" s="253"/>
      <c r="F758" s="253"/>
      <c r="G758" s="253"/>
      <c r="H758" s="253"/>
      <c r="I758" s="253"/>
      <c r="J758" s="253"/>
      <c r="K758" s="253"/>
      <c r="L758" s="253"/>
      <c r="M758" s="253"/>
      <c r="N758" s="253"/>
      <c r="O758" s="253"/>
      <c r="P758" s="253"/>
      <c r="Q758" s="253"/>
    </row>
    <row r="759" spans="1:17">
      <c r="A759" s="253"/>
      <c r="B759" s="253"/>
      <c r="C759" s="253"/>
      <c r="D759" s="253"/>
      <c r="E759" s="253"/>
      <c r="F759" s="253"/>
      <c r="G759" s="253"/>
      <c r="H759" s="253"/>
      <c r="I759" s="253"/>
      <c r="J759" s="253"/>
      <c r="K759" s="253"/>
      <c r="L759" s="253"/>
      <c r="M759" s="253"/>
      <c r="N759" s="253"/>
      <c r="O759" s="253"/>
      <c r="P759" s="253"/>
      <c r="Q759" s="253"/>
    </row>
    <row r="760" spans="1:17">
      <c r="A760" s="253"/>
      <c r="B760" s="253"/>
      <c r="C760" s="253"/>
      <c r="D760" s="253"/>
      <c r="E760" s="253"/>
      <c r="F760" s="253"/>
      <c r="G760" s="253"/>
      <c r="H760" s="253"/>
      <c r="I760" s="253"/>
      <c r="J760" s="253"/>
      <c r="K760" s="253"/>
      <c r="L760" s="253"/>
      <c r="M760" s="253"/>
      <c r="N760" s="253"/>
      <c r="O760" s="253"/>
      <c r="P760" s="253"/>
      <c r="Q760" s="253"/>
    </row>
    <row r="761" spans="1:17">
      <c r="A761" s="253"/>
      <c r="B761" s="253"/>
      <c r="C761" s="253"/>
      <c r="D761" s="253"/>
      <c r="E761" s="253"/>
      <c r="F761" s="253"/>
      <c r="G761" s="253"/>
      <c r="H761" s="253"/>
      <c r="I761" s="253"/>
      <c r="J761" s="253"/>
      <c r="K761" s="253"/>
      <c r="L761" s="253"/>
      <c r="M761" s="253"/>
      <c r="N761" s="253"/>
      <c r="O761" s="253"/>
      <c r="P761" s="253"/>
      <c r="Q761" s="253"/>
    </row>
    <row r="762" spans="1:17">
      <c r="A762" s="253"/>
      <c r="B762" s="253"/>
      <c r="C762" s="253"/>
      <c r="D762" s="253"/>
      <c r="E762" s="253"/>
      <c r="F762" s="253"/>
      <c r="G762" s="253"/>
      <c r="H762" s="253"/>
      <c r="I762" s="253"/>
      <c r="J762" s="253"/>
      <c r="K762" s="253"/>
      <c r="L762" s="253"/>
      <c r="M762" s="253"/>
      <c r="N762" s="253"/>
      <c r="O762" s="253"/>
      <c r="P762" s="253"/>
      <c r="Q762" s="253"/>
    </row>
    <row r="763" spans="1:17">
      <c r="A763" s="253"/>
      <c r="B763" s="253"/>
      <c r="C763" s="253"/>
      <c r="D763" s="253"/>
      <c r="E763" s="253"/>
      <c r="F763" s="253"/>
      <c r="G763" s="253"/>
      <c r="H763" s="253"/>
      <c r="I763" s="253"/>
      <c r="J763" s="253"/>
      <c r="K763" s="253"/>
      <c r="L763" s="253"/>
      <c r="M763" s="253"/>
      <c r="N763" s="253"/>
      <c r="O763" s="253"/>
      <c r="P763" s="253"/>
      <c r="Q763" s="253"/>
    </row>
    <row r="764" spans="1:17">
      <c r="A764" s="253"/>
      <c r="B764" s="253"/>
      <c r="C764" s="253"/>
      <c r="D764" s="253"/>
      <c r="E764" s="253"/>
      <c r="F764" s="253"/>
      <c r="G764" s="253"/>
      <c r="H764" s="253"/>
      <c r="I764" s="253"/>
      <c r="J764" s="253"/>
      <c r="K764" s="253"/>
      <c r="L764" s="253"/>
      <c r="M764" s="253"/>
      <c r="N764" s="253"/>
      <c r="O764" s="253"/>
      <c r="P764" s="253"/>
      <c r="Q764" s="253"/>
    </row>
    <row r="765" spans="1:17">
      <c r="A765" s="253"/>
      <c r="B765" s="253"/>
      <c r="C765" s="253"/>
      <c r="D765" s="253"/>
      <c r="E765" s="253"/>
      <c r="F765" s="253"/>
      <c r="G765" s="253"/>
      <c r="H765" s="253"/>
      <c r="I765" s="253"/>
      <c r="J765" s="253"/>
      <c r="K765" s="253"/>
      <c r="L765" s="253"/>
      <c r="M765" s="253"/>
      <c r="N765" s="253"/>
      <c r="O765" s="253"/>
      <c r="P765" s="253"/>
      <c r="Q765" s="253"/>
    </row>
    <row r="766" spans="1:17">
      <c r="A766" s="253"/>
      <c r="B766" s="253"/>
      <c r="C766" s="253"/>
      <c r="D766" s="253"/>
      <c r="E766" s="253"/>
      <c r="F766" s="253"/>
      <c r="G766" s="253"/>
      <c r="H766" s="253"/>
      <c r="I766" s="253"/>
      <c r="J766" s="253"/>
      <c r="K766" s="253"/>
      <c r="L766" s="253"/>
      <c r="M766" s="253"/>
      <c r="N766" s="253"/>
      <c r="O766" s="253"/>
      <c r="P766" s="253"/>
      <c r="Q766" s="253"/>
    </row>
    <row r="767" spans="1:17">
      <c r="A767" s="253"/>
      <c r="B767" s="253"/>
      <c r="C767" s="253"/>
      <c r="D767" s="253"/>
      <c r="E767" s="253"/>
      <c r="F767" s="253"/>
      <c r="G767" s="253"/>
      <c r="H767" s="253"/>
      <c r="I767" s="253"/>
      <c r="J767" s="253"/>
      <c r="K767" s="253"/>
      <c r="L767" s="253"/>
      <c r="M767" s="253"/>
      <c r="N767" s="253"/>
      <c r="O767" s="253"/>
      <c r="P767" s="253"/>
      <c r="Q767" s="253"/>
    </row>
    <row r="768" spans="1:17">
      <c r="A768" s="253"/>
      <c r="B768" s="253"/>
      <c r="C768" s="253"/>
      <c r="D768" s="253"/>
      <c r="E768" s="253"/>
      <c r="F768" s="253"/>
      <c r="G768" s="253"/>
      <c r="H768" s="253"/>
      <c r="I768" s="253"/>
      <c r="J768" s="253"/>
      <c r="K768" s="253"/>
      <c r="L768" s="253"/>
      <c r="M768" s="253"/>
      <c r="N768" s="253"/>
      <c r="O768" s="253"/>
      <c r="P768" s="253"/>
      <c r="Q768" s="253"/>
    </row>
    <row r="769" spans="1:17">
      <c r="A769" s="253"/>
      <c r="B769" s="253"/>
      <c r="C769" s="253"/>
      <c r="D769" s="253"/>
      <c r="E769" s="253"/>
      <c r="F769" s="253"/>
      <c r="G769" s="253"/>
      <c r="H769" s="253"/>
      <c r="I769" s="253"/>
      <c r="J769" s="253"/>
      <c r="K769" s="253"/>
      <c r="L769" s="253"/>
      <c r="M769" s="253"/>
      <c r="N769" s="253"/>
      <c r="O769" s="253"/>
      <c r="P769" s="253"/>
      <c r="Q769" s="253"/>
    </row>
    <row r="770" spans="1:17">
      <c r="A770" s="253"/>
      <c r="B770" s="253"/>
      <c r="C770" s="253"/>
      <c r="D770" s="253"/>
      <c r="E770" s="253"/>
      <c r="F770" s="253"/>
      <c r="G770" s="253"/>
      <c r="H770" s="253"/>
      <c r="I770" s="253"/>
      <c r="J770" s="253"/>
      <c r="K770" s="253"/>
      <c r="L770" s="253"/>
      <c r="M770" s="253"/>
      <c r="N770" s="253"/>
      <c r="O770" s="253"/>
      <c r="P770" s="253"/>
      <c r="Q770" s="253"/>
    </row>
    <row r="771" spans="1:17">
      <c r="A771" s="253"/>
      <c r="B771" s="253"/>
      <c r="C771" s="253"/>
      <c r="D771" s="253"/>
      <c r="E771" s="253"/>
      <c r="F771" s="253"/>
      <c r="G771" s="253"/>
      <c r="H771" s="253"/>
      <c r="I771" s="253"/>
      <c r="J771" s="253"/>
      <c r="K771" s="253"/>
      <c r="L771" s="253"/>
      <c r="M771" s="253"/>
      <c r="N771" s="253"/>
      <c r="O771" s="253"/>
      <c r="P771" s="253"/>
      <c r="Q771" s="253"/>
    </row>
    <row r="772" spans="1:17">
      <c r="A772" s="253"/>
      <c r="B772" s="253"/>
      <c r="C772" s="253"/>
      <c r="D772" s="253"/>
      <c r="E772" s="253"/>
      <c r="F772" s="253"/>
      <c r="G772" s="253"/>
      <c r="H772" s="253"/>
      <c r="I772" s="253"/>
      <c r="J772" s="253"/>
      <c r="K772" s="253"/>
      <c r="L772" s="253"/>
      <c r="M772" s="253"/>
      <c r="N772" s="253"/>
      <c r="O772" s="253"/>
      <c r="P772" s="253"/>
      <c r="Q772" s="253"/>
    </row>
    <row r="773" spans="1:17">
      <c r="A773" s="253"/>
      <c r="B773" s="253"/>
      <c r="C773" s="253"/>
      <c r="D773" s="253"/>
      <c r="E773" s="253"/>
      <c r="F773" s="253"/>
      <c r="G773" s="253"/>
      <c r="H773" s="253"/>
      <c r="I773" s="253"/>
      <c r="J773" s="253"/>
      <c r="K773" s="253"/>
      <c r="L773" s="253"/>
      <c r="M773" s="253"/>
      <c r="N773" s="253"/>
      <c r="O773" s="253"/>
      <c r="P773" s="253"/>
      <c r="Q773" s="253"/>
    </row>
    <row r="774" spans="1:17">
      <c r="A774" s="253"/>
      <c r="B774" s="253"/>
      <c r="C774" s="253"/>
      <c r="D774" s="253"/>
      <c r="E774" s="253"/>
      <c r="F774" s="253"/>
      <c r="G774" s="253"/>
      <c r="H774" s="253"/>
      <c r="I774" s="253"/>
      <c r="J774" s="253"/>
      <c r="K774" s="253"/>
      <c r="L774" s="253"/>
      <c r="M774" s="253"/>
      <c r="N774" s="253"/>
      <c r="O774" s="253"/>
      <c r="P774" s="253"/>
      <c r="Q774" s="253"/>
    </row>
    <row r="775" spans="1:17">
      <c r="A775" s="253"/>
      <c r="B775" s="253"/>
      <c r="C775" s="253"/>
      <c r="D775" s="253"/>
      <c r="E775" s="253"/>
      <c r="F775" s="253"/>
      <c r="G775" s="253"/>
      <c r="H775" s="253"/>
      <c r="I775" s="253"/>
      <c r="J775" s="253"/>
      <c r="K775" s="253"/>
      <c r="L775" s="253"/>
      <c r="M775" s="253"/>
      <c r="N775" s="253"/>
      <c r="O775" s="253"/>
      <c r="P775" s="253"/>
      <c r="Q775" s="253"/>
    </row>
    <row r="776" spans="1:17">
      <c r="A776" s="253"/>
      <c r="B776" s="253"/>
      <c r="C776" s="253"/>
      <c r="D776" s="253"/>
      <c r="E776" s="253"/>
      <c r="F776" s="253"/>
      <c r="G776" s="253"/>
      <c r="H776" s="253"/>
      <c r="I776" s="253"/>
      <c r="J776" s="253"/>
      <c r="K776" s="253"/>
      <c r="L776" s="253"/>
      <c r="M776" s="253"/>
      <c r="N776" s="253"/>
      <c r="O776" s="253"/>
      <c r="P776" s="253"/>
      <c r="Q776" s="253"/>
    </row>
    <row r="777" spans="1:17">
      <c r="A777" s="253"/>
      <c r="B777" s="253"/>
      <c r="C777" s="253"/>
      <c r="D777" s="253"/>
      <c r="E777" s="253"/>
      <c r="F777" s="253"/>
      <c r="G777" s="253"/>
      <c r="H777" s="253"/>
      <c r="I777" s="253"/>
      <c r="J777" s="253"/>
      <c r="K777" s="253"/>
      <c r="L777" s="253"/>
      <c r="M777" s="253"/>
      <c r="N777" s="253"/>
      <c r="O777" s="253"/>
      <c r="P777" s="253"/>
      <c r="Q777" s="253"/>
    </row>
    <row r="778" spans="1:17">
      <c r="A778" s="253"/>
      <c r="B778" s="253"/>
      <c r="C778" s="253"/>
      <c r="D778" s="253"/>
      <c r="E778" s="253"/>
      <c r="F778" s="253"/>
      <c r="G778" s="253"/>
      <c r="H778" s="253"/>
      <c r="I778" s="253"/>
      <c r="J778" s="253"/>
      <c r="K778" s="253"/>
      <c r="L778" s="253"/>
      <c r="M778" s="253"/>
      <c r="N778" s="253"/>
      <c r="O778" s="253"/>
      <c r="P778" s="253"/>
      <c r="Q778" s="253"/>
    </row>
    <row r="779" spans="1:17">
      <c r="A779" s="253"/>
      <c r="B779" s="253"/>
      <c r="C779" s="253"/>
      <c r="D779" s="253"/>
      <c r="E779" s="253"/>
      <c r="F779" s="253"/>
      <c r="G779" s="253"/>
      <c r="H779" s="253"/>
      <c r="I779" s="253"/>
      <c r="J779" s="253"/>
      <c r="K779" s="253"/>
      <c r="L779" s="253"/>
      <c r="M779" s="253"/>
      <c r="N779" s="253"/>
      <c r="O779" s="253"/>
      <c r="P779" s="253"/>
      <c r="Q779" s="253"/>
    </row>
    <row r="780" spans="1:17">
      <c r="A780" s="253"/>
      <c r="B780" s="253"/>
      <c r="C780" s="253"/>
      <c r="D780" s="253"/>
      <c r="E780" s="253"/>
      <c r="F780" s="253"/>
      <c r="G780" s="253"/>
      <c r="H780" s="253"/>
      <c r="I780" s="253"/>
      <c r="J780" s="253"/>
      <c r="K780" s="253"/>
      <c r="L780" s="253"/>
      <c r="M780" s="253"/>
      <c r="N780" s="253"/>
      <c r="O780" s="253"/>
      <c r="P780" s="253"/>
      <c r="Q780" s="253"/>
    </row>
    <row r="781" spans="1:17">
      <c r="A781" s="253"/>
      <c r="B781" s="253"/>
      <c r="C781" s="253"/>
      <c r="D781" s="253"/>
      <c r="E781" s="253"/>
      <c r="F781" s="253"/>
      <c r="G781" s="253"/>
      <c r="H781" s="253"/>
      <c r="I781" s="253"/>
      <c r="J781" s="253"/>
      <c r="K781" s="253"/>
      <c r="L781" s="253"/>
      <c r="M781" s="253"/>
      <c r="N781" s="253"/>
      <c r="O781" s="253"/>
      <c r="P781" s="253"/>
      <c r="Q781" s="253"/>
    </row>
    <row r="782" spans="1:17">
      <c r="A782" s="253"/>
      <c r="B782" s="253"/>
      <c r="C782" s="253"/>
      <c r="D782" s="253"/>
      <c r="E782" s="253"/>
      <c r="F782" s="253"/>
      <c r="G782" s="253"/>
      <c r="H782" s="253"/>
      <c r="I782" s="253"/>
      <c r="J782" s="253"/>
      <c r="K782" s="253"/>
      <c r="L782" s="253"/>
      <c r="M782" s="253"/>
      <c r="N782" s="253"/>
      <c r="O782" s="253"/>
      <c r="P782" s="253"/>
      <c r="Q782" s="253"/>
    </row>
    <row r="783" spans="1:17">
      <c r="A783" s="253"/>
      <c r="B783" s="253"/>
      <c r="C783" s="253"/>
      <c r="D783" s="253"/>
      <c r="E783" s="253"/>
      <c r="F783" s="253"/>
      <c r="G783" s="253"/>
      <c r="H783" s="253"/>
      <c r="I783" s="253"/>
      <c r="J783" s="253"/>
      <c r="K783" s="253"/>
      <c r="L783" s="253"/>
      <c r="M783" s="253"/>
      <c r="N783" s="253"/>
      <c r="O783" s="253"/>
      <c r="P783" s="253"/>
      <c r="Q783" s="253"/>
    </row>
    <row r="784" spans="1:17">
      <c r="A784" s="253"/>
      <c r="B784" s="253"/>
      <c r="C784" s="253"/>
      <c r="D784" s="253"/>
      <c r="E784" s="253"/>
      <c r="F784" s="253"/>
      <c r="G784" s="253"/>
      <c r="H784" s="253"/>
      <c r="I784" s="253"/>
      <c r="J784" s="253"/>
      <c r="K784" s="253"/>
      <c r="L784" s="253"/>
      <c r="M784" s="253"/>
      <c r="N784" s="253"/>
      <c r="O784" s="253"/>
      <c r="P784" s="253"/>
      <c r="Q784" s="253"/>
    </row>
    <row r="785" spans="1:17">
      <c r="A785" s="253"/>
      <c r="B785" s="253"/>
      <c r="C785" s="253"/>
      <c r="D785" s="253"/>
      <c r="E785" s="253"/>
      <c r="F785" s="253"/>
      <c r="G785" s="253"/>
      <c r="H785" s="253"/>
      <c r="I785" s="253"/>
      <c r="J785" s="253"/>
      <c r="K785" s="253"/>
      <c r="L785" s="253"/>
      <c r="M785" s="253"/>
      <c r="N785" s="253"/>
      <c r="O785" s="253"/>
      <c r="P785" s="253"/>
      <c r="Q785" s="253"/>
    </row>
    <row r="786" spans="1:17">
      <c r="A786" s="253"/>
      <c r="B786" s="253"/>
      <c r="C786" s="253"/>
      <c r="D786" s="253"/>
      <c r="E786" s="253"/>
      <c r="F786" s="253"/>
      <c r="G786" s="253"/>
      <c r="H786" s="253"/>
      <c r="I786" s="253"/>
      <c r="J786" s="253"/>
      <c r="K786" s="253"/>
      <c r="L786" s="253"/>
      <c r="M786" s="253"/>
      <c r="N786" s="253"/>
      <c r="O786" s="253"/>
      <c r="P786" s="253"/>
      <c r="Q786" s="253"/>
    </row>
    <row r="787" spans="1:17">
      <c r="A787" s="253"/>
      <c r="B787" s="253"/>
      <c r="C787" s="253"/>
      <c r="D787" s="253"/>
      <c r="E787" s="253"/>
      <c r="F787" s="253"/>
      <c r="G787" s="253"/>
      <c r="H787" s="253"/>
      <c r="I787" s="253"/>
      <c r="J787" s="253"/>
      <c r="K787" s="253"/>
      <c r="L787" s="253"/>
      <c r="M787" s="253"/>
      <c r="N787" s="253"/>
      <c r="O787" s="253"/>
      <c r="P787" s="253"/>
      <c r="Q787" s="253"/>
    </row>
    <row r="788" spans="1:17">
      <c r="A788" s="253"/>
      <c r="B788" s="253"/>
      <c r="C788" s="253"/>
      <c r="D788" s="253"/>
      <c r="E788" s="253"/>
      <c r="F788" s="253"/>
      <c r="G788" s="253"/>
      <c r="H788" s="253"/>
      <c r="I788" s="253"/>
      <c r="J788" s="253"/>
      <c r="K788" s="253"/>
      <c r="L788" s="253"/>
      <c r="M788" s="253"/>
      <c r="N788" s="253"/>
      <c r="O788" s="253"/>
      <c r="P788" s="253"/>
      <c r="Q788" s="253"/>
    </row>
    <row r="789" spans="1:17">
      <c r="A789" s="253"/>
      <c r="B789" s="253"/>
      <c r="C789" s="253"/>
      <c r="D789" s="253"/>
      <c r="E789" s="253"/>
      <c r="F789" s="253"/>
      <c r="G789" s="253"/>
      <c r="H789" s="253"/>
      <c r="I789" s="253"/>
      <c r="J789" s="253"/>
      <c r="K789" s="253"/>
      <c r="L789" s="253"/>
      <c r="M789" s="253"/>
      <c r="N789" s="253"/>
      <c r="O789" s="253"/>
      <c r="P789" s="253"/>
      <c r="Q789" s="253"/>
    </row>
    <row r="790" spans="1:17">
      <c r="A790" s="253"/>
      <c r="B790" s="253"/>
      <c r="C790" s="253"/>
      <c r="D790" s="253"/>
      <c r="E790" s="253"/>
      <c r="F790" s="253"/>
      <c r="G790" s="253"/>
      <c r="H790" s="253"/>
      <c r="I790" s="253"/>
      <c r="J790" s="253"/>
      <c r="K790" s="253"/>
      <c r="L790" s="253"/>
      <c r="M790" s="253"/>
      <c r="N790" s="253"/>
      <c r="O790" s="253"/>
      <c r="P790" s="253"/>
      <c r="Q790" s="253"/>
    </row>
    <row r="791" spans="1:17">
      <c r="A791" s="253"/>
      <c r="B791" s="253"/>
      <c r="C791" s="253"/>
      <c r="D791" s="253"/>
      <c r="E791" s="253"/>
      <c r="F791" s="253"/>
      <c r="G791" s="253"/>
      <c r="H791" s="253"/>
      <c r="I791" s="253"/>
      <c r="J791" s="253"/>
      <c r="K791" s="253"/>
      <c r="L791" s="253"/>
      <c r="M791" s="253"/>
      <c r="N791" s="253"/>
      <c r="O791" s="253"/>
      <c r="P791" s="253"/>
      <c r="Q791" s="253"/>
    </row>
    <row r="792" spans="1:17">
      <c r="A792" s="253"/>
      <c r="B792" s="253"/>
      <c r="C792" s="253"/>
      <c r="D792" s="253"/>
      <c r="E792" s="253"/>
      <c r="F792" s="253"/>
      <c r="G792" s="253"/>
      <c r="H792" s="253"/>
      <c r="I792" s="253"/>
      <c r="J792" s="253"/>
      <c r="K792" s="253"/>
      <c r="L792" s="253"/>
      <c r="M792" s="253"/>
      <c r="N792" s="253"/>
      <c r="O792" s="253"/>
      <c r="P792" s="253"/>
      <c r="Q792" s="253"/>
    </row>
    <row r="793" spans="1:17">
      <c r="A793" s="253"/>
      <c r="B793" s="253"/>
      <c r="C793" s="253"/>
      <c r="D793" s="253"/>
      <c r="E793" s="253"/>
      <c r="F793" s="253"/>
      <c r="G793" s="253"/>
      <c r="H793" s="253"/>
      <c r="I793" s="253"/>
      <c r="J793" s="253"/>
      <c r="K793" s="253"/>
      <c r="L793" s="253"/>
      <c r="M793" s="253"/>
      <c r="N793" s="253"/>
      <c r="O793" s="253"/>
      <c r="P793" s="253"/>
      <c r="Q793" s="253"/>
    </row>
    <row r="794" spans="1:17">
      <c r="A794" s="253"/>
      <c r="B794" s="253"/>
      <c r="C794" s="253"/>
      <c r="D794" s="253"/>
      <c r="E794" s="253"/>
      <c r="F794" s="253"/>
      <c r="G794" s="253"/>
      <c r="H794" s="253"/>
      <c r="I794" s="253"/>
      <c r="J794" s="253"/>
      <c r="K794" s="253"/>
      <c r="L794" s="253"/>
      <c r="M794" s="253"/>
      <c r="N794" s="253"/>
      <c r="O794" s="253"/>
      <c r="P794" s="253"/>
      <c r="Q794" s="253"/>
    </row>
    <row r="795" spans="1:17">
      <c r="A795" s="253"/>
      <c r="B795" s="253"/>
      <c r="C795" s="253"/>
      <c r="D795" s="253"/>
      <c r="E795" s="253"/>
      <c r="F795" s="253"/>
      <c r="G795" s="253"/>
      <c r="H795" s="253"/>
      <c r="I795" s="253"/>
      <c r="J795" s="253"/>
      <c r="K795" s="253"/>
      <c r="L795" s="253"/>
      <c r="M795" s="253"/>
      <c r="N795" s="253"/>
      <c r="O795" s="253"/>
      <c r="P795" s="253"/>
      <c r="Q795" s="253"/>
    </row>
    <row r="796" spans="1:17">
      <c r="A796" s="253"/>
      <c r="B796" s="253"/>
      <c r="C796" s="253"/>
      <c r="D796" s="253"/>
      <c r="E796" s="253"/>
      <c r="F796" s="253"/>
      <c r="G796" s="253"/>
      <c r="H796" s="253"/>
      <c r="I796" s="253"/>
      <c r="J796" s="253"/>
      <c r="K796" s="253"/>
      <c r="L796" s="253"/>
      <c r="M796" s="253"/>
      <c r="N796" s="253"/>
      <c r="O796" s="253"/>
      <c r="P796" s="253"/>
      <c r="Q796" s="253"/>
    </row>
    <row r="797" spans="1:17">
      <c r="A797" s="253"/>
      <c r="B797" s="253"/>
      <c r="C797" s="253"/>
      <c r="D797" s="253"/>
      <c r="E797" s="253"/>
      <c r="F797" s="253"/>
      <c r="G797" s="253"/>
      <c r="H797" s="253"/>
      <c r="I797" s="253"/>
      <c r="J797" s="253"/>
      <c r="K797" s="253"/>
      <c r="L797" s="253"/>
      <c r="M797" s="253"/>
      <c r="N797" s="253"/>
      <c r="O797" s="253"/>
      <c r="P797" s="253"/>
      <c r="Q797" s="253"/>
    </row>
    <row r="798" spans="1:17">
      <c r="A798" s="253"/>
      <c r="B798" s="253"/>
      <c r="C798" s="253"/>
      <c r="D798" s="253"/>
      <c r="E798" s="253"/>
      <c r="F798" s="253"/>
      <c r="G798" s="253"/>
      <c r="H798" s="253"/>
      <c r="I798" s="253"/>
      <c r="J798" s="253"/>
      <c r="K798" s="253"/>
      <c r="L798" s="253"/>
      <c r="M798" s="253"/>
      <c r="N798" s="253"/>
      <c r="O798" s="253"/>
      <c r="P798" s="253"/>
      <c r="Q798" s="253"/>
    </row>
    <row r="799" spans="1:17">
      <c r="A799" s="253"/>
      <c r="B799" s="253"/>
      <c r="C799" s="253"/>
      <c r="D799" s="253"/>
      <c r="E799" s="253"/>
      <c r="F799" s="253"/>
      <c r="G799" s="253"/>
      <c r="H799" s="253"/>
      <c r="I799" s="253"/>
      <c r="J799" s="253"/>
      <c r="K799" s="253"/>
      <c r="L799" s="253"/>
      <c r="M799" s="253"/>
      <c r="N799" s="253"/>
      <c r="O799" s="253"/>
      <c r="P799" s="253"/>
      <c r="Q799" s="253"/>
    </row>
    <row r="800" spans="1:17">
      <c r="A800" s="253"/>
      <c r="B800" s="253"/>
      <c r="C800" s="253"/>
      <c r="D800" s="253"/>
      <c r="E800" s="253"/>
      <c r="F800" s="253"/>
      <c r="G800" s="253"/>
      <c r="H800" s="253"/>
      <c r="I800" s="253"/>
      <c r="J800" s="253"/>
      <c r="K800" s="253"/>
      <c r="L800" s="253"/>
      <c r="M800" s="253"/>
      <c r="N800" s="253"/>
      <c r="O800" s="253"/>
      <c r="P800" s="253"/>
      <c r="Q800" s="253"/>
    </row>
    <row r="801" spans="1:17">
      <c r="A801" s="253"/>
      <c r="B801" s="253"/>
      <c r="C801" s="253"/>
      <c r="D801" s="253"/>
      <c r="E801" s="253"/>
      <c r="F801" s="253"/>
      <c r="G801" s="253"/>
      <c r="H801" s="253"/>
      <c r="I801" s="253"/>
      <c r="J801" s="253"/>
      <c r="K801" s="253"/>
      <c r="L801" s="253"/>
      <c r="M801" s="253"/>
      <c r="N801" s="253"/>
      <c r="O801" s="253"/>
      <c r="P801" s="253"/>
      <c r="Q801" s="253"/>
    </row>
    <row r="802" spans="1:17">
      <c r="A802" s="253"/>
      <c r="B802" s="253"/>
      <c r="C802" s="253"/>
      <c r="D802" s="253"/>
      <c r="E802" s="253"/>
      <c r="F802" s="253"/>
      <c r="G802" s="253"/>
      <c r="H802" s="253"/>
      <c r="I802" s="253"/>
      <c r="J802" s="253"/>
      <c r="K802" s="253"/>
      <c r="L802" s="253"/>
      <c r="M802" s="253"/>
      <c r="N802" s="253"/>
      <c r="O802" s="253"/>
      <c r="P802" s="253"/>
      <c r="Q802" s="253"/>
    </row>
    <row r="803" spans="1:17">
      <c r="A803" s="253"/>
      <c r="B803" s="253"/>
      <c r="C803" s="253"/>
      <c r="D803" s="253"/>
      <c r="E803" s="253"/>
      <c r="F803" s="253"/>
      <c r="G803" s="253"/>
      <c r="H803" s="253"/>
      <c r="I803" s="253"/>
      <c r="J803" s="253"/>
      <c r="K803" s="253"/>
      <c r="L803" s="253"/>
      <c r="M803" s="253"/>
      <c r="N803" s="253"/>
      <c r="O803" s="253"/>
      <c r="P803" s="253"/>
      <c r="Q803" s="253"/>
    </row>
    <row r="804" spans="1:17">
      <c r="A804" s="253"/>
      <c r="B804" s="253"/>
      <c r="C804" s="253"/>
      <c r="D804" s="253"/>
      <c r="E804" s="253"/>
      <c r="F804" s="253"/>
      <c r="G804" s="253"/>
      <c r="H804" s="253"/>
      <c r="I804" s="253"/>
      <c r="J804" s="253"/>
      <c r="K804" s="253"/>
      <c r="L804" s="253"/>
      <c r="M804" s="253"/>
      <c r="N804" s="253"/>
      <c r="O804" s="253"/>
      <c r="P804" s="253"/>
      <c r="Q804" s="253"/>
    </row>
    <row r="805" spans="1:17">
      <c r="A805" s="253"/>
      <c r="B805" s="253"/>
      <c r="C805" s="253"/>
      <c r="D805" s="253"/>
      <c r="E805" s="253"/>
      <c r="F805" s="253"/>
      <c r="G805" s="253"/>
      <c r="H805" s="253"/>
      <c r="I805" s="253"/>
      <c r="J805" s="253"/>
      <c r="K805" s="253"/>
      <c r="L805" s="253"/>
      <c r="M805" s="253"/>
      <c r="N805" s="253"/>
      <c r="O805" s="253"/>
      <c r="P805" s="253"/>
      <c r="Q805" s="253"/>
    </row>
    <row r="806" spans="1:17">
      <c r="A806" s="253"/>
      <c r="B806" s="253"/>
      <c r="C806" s="253"/>
      <c r="D806" s="253"/>
      <c r="E806" s="253"/>
      <c r="F806" s="253"/>
      <c r="G806" s="253"/>
      <c r="H806" s="253"/>
      <c r="I806" s="253"/>
      <c r="J806" s="253"/>
      <c r="K806" s="253"/>
      <c r="L806" s="253"/>
      <c r="M806" s="253"/>
      <c r="N806" s="253"/>
      <c r="O806" s="253"/>
      <c r="P806" s="253"/>
      <c r="Q806" s="253"/>
    </row>
    <row r="807" spans="1:17">
      <c r="A807" s="253"/>
      <c r="B807" s="253"/>
      <c r="C807" s="253"/>
      <c r="D807" s="253"/>
      <c r="E807" s="253"/>
      <c r="F807" s="253"/>
      <c r="G807" s="253"/>
      <c r="H807" s="253"/>
      <c r="I807" s="253"/>
      <c r="J807" s="253"/>
      <c r="K807" s="253"/>
      <c r="L807" s="253"/>
      <c r="M807" s="253"/>
      <c r="N807" s="253"/>
      <c r="O807" s="253"/>
      <c r="P807" s="253"/>
      <c r="Q807" s="253"/>
    </row>
    <row r="808" spans="1:17">
      <c r="A808" s="253"/>
      <c r="B808" s="253"/>
      <c r="C808" s="253"/>
      <c r="D808" s="253"/>
      <c r="E808" s="253"/>
      <c r="F808" s="253"/>
      <c r="G808" s="253"/>
      <c r="H808" s="253"/>
      <c r="I808" s="253"/>
      <c r="J808" s="253"/>
      <c r="K808" s="253"/>
      <c r="L808" s="253"/>
      <c r="M808" s="253"/>
      <c r="N808" s="253"/>
      <c r="O808" s="253"/>
      <c r="P808" s="253"/>
      <c r="Q808" s="253"/>
    </row>
    <row r="809" spans="1:17">
      <c r="A809" s="253"/>
      <c r="B809" s="253"/>
      <c r="C809" s="253"/>
      <c r="D809" s="253"/>
      <c r="E809" s="253"/>
      <c r="F809" s="253"/>
      <c r="G809" s="253"/>
      <c r="H809" s="253"/>
      <c r="I809" s="253"/>
      <c r="J809" s="253"/>
      <c r="K809" s="253"/>
      <c r="L809" s="253"/>
      <c r="M809" s="253"/>
      <c r="N809" s="253"/>
      <c r="O809" s="253"/>
      <c r="P809" s="253"/>
      <c r="Q809" s="253"/>
    </row>
    <row r="810" spans="1:17">
      <c r="A810" s="253"/>
      <c r="B810" s="253"/>
      <c r="C810" s="253"/>
      <c r="D810" s="253"/>
      <c r="E810" s="253"/>
      <c r="F810" s="253"/>
      <c r="G810" s="253"/>
      <c r="H810" s="253"/>
      <c r="I810" s="253"/>
      <c r="J810" s="253"/>
      <c r="K810" s="253"/>
      <c r="L810" s="253"/>
      <c r="M810" s="253"/>
      <c r="N810" s="253"/>
      <c r="O810" s="253"/>
      <c r="P810" s="253"/>
      <c r="Q810" s="253"/>
    </row>
    <row r="811" spans="1:17">
      <c r="A811" s="253"/>
      <c r="B811" s="253"/>
      <c r="C811" s="253"/>
      <c r="D811" s="253"/>
      <c r="E811" s="253"/>
      <c r="F811" s="253"/>
      <c r="G811" s="253"/>
      <c r="H811" s="253"/>
      <c r="I811" s="253"/>
      <c r="J811" s="253"/>
      <c r="K811" s="253"/>
      <c r="L811" s="253"/>
      <c r="M811" s="253"/>
      <c r="N811" s="253"/>
      <c r="O811" s="253"/>
      <c r="P811" s="253"/>
      <c r="Q811" s="253"/>
    </row>
    <row r="812" spans="1:17">
      <c r="A812" s="253"/>
      <c r="B812" s="253"/>
      <c r="C812" s="253"/>
      <c r="D812" s="253"/>
      <c r="E812" s="253"/>
      <c r="F812" s="253"/>
      <c r="G812" s="253"/>
      <c r="H812" s="253"/>
      <c r="I812" s="253"/>
      <c r="J812" s="253"/>
      <c r="K812" s="253"/>
      <c r="L812" s="253"/>
      <c r="M812" s="253"/>
      <c r="N812" s="253"/>
      <c r="O812" s="253"/>
      <c r="P812" s="253"/>
      <c r="Q812" s="253"/>
    </row>
    <row r="813" spans="1:17">
      <c r="A813" s="253"/>
      <c r="B813" s="253"/>
      <c r="C813" s="253"/>
      <c r="D813" s="253"/>
      <c r="E813" s="253"/>
      <c r="F813" s="253"/>
      <c r="G813" s="253"/>
      <c r="H813" s="253"/>
      <c r="I813" s="253"/>
      <c r="J813" s="253"/>
      <c r="K813" s="253"/>
      <c r="L813" s="253"/>
      <c r="M813" s="253"/>
      <c r="N813" s="253"/>
      <c r="O813" s="253"/>
      <c r="P813" s="253"/>
      <c r="Q813" s="253"/>
    </row>
    <row r="814" spans="1:17">
      <c r="A814" s="253"/>
      <c r="B814" s="253"/>
      <c r="C814" s="253"/>
      <c r="D814" s="253"/>
      <c r="E814" s="253"/>
      <c r="F814" s="253"/>
      <c r="G814" s="253"/>
      <c r="H814" s="253"/>
      <c r="I814" s="253"/>
      <c r="J814" s="253"/>
      <c r="K814" s="253"/>
      <c r="L814" s="253"/>
      <c r="M814" s="253"/>
      <c r="N814" s="253"/>
      <c r="O814" s="253"/>
      <c r="P814" s="253"/>
      <c r="Q814" s="253"/>
    </row>
    <row r="815" spans="1:17">
      <c r="A815" s="253"/>
      <c r="B815" s="253"/>
      <c r="C815" s="253"/>
      <c r="D815" s="253"/>
      <c r="E815" s="253"/>
      <c r="F815" s="253"/>
      <c r="G815" s="253"/>
      <c r="H815" s="253"/>
      <c r="I815" s="253"/>
      <c r="J815" s="253"/>
      <c r="K815" s="253"/>
      <c r="L815" s="253"/>
      <c r="M815" s="253"/>
      <c r="N815" s="253"/>
      <c r="O815" s="253"/>
      <c r="P815" s="253"/>
      <c r="Q815" s="253"/>
    </row>
    <row r="816" spans="1:17">
      <c r="A816" s="253"/>
      <c r="B816" s="253"/>
      <c r="C816" s="253"/>
      <c r="D816" s="253"/>
      <c r="E816" s="253"/>
      <c r="F816" s="253"/>
      <c r="G816" s="253"/>
      <c r="H816" s="253"/>
      <c r="I816" s="253"/>
      <c r="J816" s="253"/>
      <c r="K816" s="253"/>
      <c r="L816" s="253"/>
      <c r="M816" s="253"/>
      <c r="N816" s="253"/>
      <c r="O816" s="253"/>
      <c r="P816" s="253"/>
      <c r="Q816" s="253"/>
    </row>
    <row r="817" spans="1:17">
      <c r="A817" s="253"/>
      <c r="B817" s="253"/>
      <c r="C817" s="253"/>
      <c r="D817" s="253"/>
      <c r="E817" s="253"/>
      <c r="F817" s="253"/>
      <c r="G817" s="253"/>
      <c r="H817" s="253"/>
      <c r="I817" s="253"/>
      <c r="J817" s="253"/>
      <c r="K817" s="253"/>
      <c r="L817" s="253"/>
      <c r="M817" s="253"/>
      <c r="N817" s="253"/>
      <c r="O817" s="253"/>
      <c r="P817" s="253"/>
      <c r="Q817" s="253"/>
    </row>
    <row r="818" spans="1:17">
      <c r="A818" s="253"/>
      <c r="B818" s="253"/>
      <c r="C818" s="253"/>
      <c r="D818" s="253"/>
      <c r="E818" s="253"/>
      <c r="F818" s="253"/>
      <c r="G818" s="253"/>
      <c r="H818" s="253"/>
      <c r="I818" s="253"/>
      <c r="J818" s="253"/>
      <c r="K818" s="253"/>
      <c r="L818" s="253"/>
      <c r="M818" s="253"/>
      <c r="N818" s="253"/>
      <c r="O818" s="253"/>
      <c r="P818" s="253"/>
      <c r="Q818" s="253"/>
    </row>
    <row r="819" spans="1:17">
      <c r="A819" s="253"/>
      <c r="B819" s="253"/>
      <c r="C819" s="253"/>
      <c r="D819" s="253"/>
      <c r="E819" s="253"/>
      <c r="F819" s="253"/>
      <c r="G819" s="253"/>
      <c r="H819" s="253"/>
      <c r="I819" s="253"/>
      <c r="J819" s="253"/>
      <c r="K819" s="253"/>
      <c r="L819" s="253"/>
      <c r="M819" s="253"/>
      <c r="N819" s="253"/>
      <c r="O819" s="253"/>
      <c r="P819" s="253"/>
      <c r="Q819" s="253"/>
    </row>
    <row r="820" spans="1:17">
      <c r="A820" s="253"/>
      <c r="B820" s="253"/>
      <c r="C820" s="253"/>
      <c r="D820" s="253"/>
      <c r="E820" s="253"/>
      <c r="F820" s="253"/>
      <c r="G820" s="253"/>
      <c r="H820" s="253"/>
      <c r="I820" s="253"/>
      <c r="J820" s="253"/>
      <c r="K820" s="253"/>
      <c r="L820" s="253"/>
      <c r="M820" s="253"/>
      <c r="N820" s="253"/>
      <c r="O820" s="253"/>
      <c r="P820" s="253"/>
      <c r="Q820" s="253"/>
    </row>
    <row r="821" spans="1:17">
      <c r="A821" s="253"/>
      <c r="B821" s="253"/>
      <c r="C821" s="253"/>
      <c r="D821" s="253"/>
      <c r="E821" s="253"/>
      <c r="F821" s="253"/>
      <c r="G821" s="253"/>
      <c r="H821" s="253"/>
      <c r="I821" s="253"/>
      <c r="J821" s="253"/>
      <c r="K821" s="253"/>
      <c r="L821" s="253"/>
      <c r="M821" s="253"/>
      <c r="N821" s="253"/>
      <c r="O821" s="253"/>
      <c r="P821" s="253"/>
      <c r="Q821" s="253"/>
    </row>
    <row r="822" spans="1:17">
      <c r="A822" s="253"/>
      <c r="B822" s="253"/>
      <c r="C822" s="253"/>
      <c r="D822" s="253"/>
      <c r="E822" s="253"/>
      <c r="F822" s="253"/>
      <c r="G822" s="253"/>
      <c r="H822" s="253"/>
      <c r="I822" s="253"/>
      <c r="J822" s="253"/>
      <c r="K822" s="253"/>
      <c r="L822" s="253"/>
      <c r="M822" s="253"/>
      <c r="N822" s="253"/>
      <c r="O822" s="253"/>
      <c r="P822" s="253"/>
      <c r="Q822" s="253"/>
    </row>
    <row r="823" spans="1:17">
      <c r="A823" s="253"/>
      <c r="B823" s="253"/>
      <c r="C823" s="253"/>
      <c r="D823" s="253"/>
      <c r="E823" s="253"/>
      <c r="F823" s="253"/>
      <c r="G823" s="253"/>
      <c r="H823" s="253"/>
      <c r="I823" s="253"/>
      <c r="J823" s="253"/>
      <c r="K823" s="253"/>
      <c r="L823" s="253"/>
      <c r="M823" s="253"/>
      <c r="N823" s="253"/>
      <c r="O823" s="253"/>
      <c r="P823" s="253"/>
      <c r="Q823" s="253"/>
    </row>
    <row r="824" spans="1:17">
      <c r="A824" s="253"/>
      <c r="B824" s="253"/>
      <c r="C824" s="253"/>
      <c r="D824" s="253"/>
      <c r="E824" s="253"/>
      <c r="F824" s="253"/>
      <c r="G824" s="253"/>
      <c r="H824" s="253"/>
      <c r="I824" s="253"/>
      <c r="J824" s="253"/>
      <c r="K824" s="253"/>
      <c r="L824" s="253"/>
      <c r="M824" s="253"/>
      <c r="N824" s="253"/>
      <c r="O824" s="253"/>
      <c r="P824" s="253"/>
      <c r="Q824" s="253"/>
    </row>
    <row r="825" spans="1:17">
      <c r="A825" s="253"/>
      <c r="B825" s="253"/>
      <c r="C825" s="253"/>
      <c r="D825" s="253"/>
      <c r="E825" s="253"/>
      <c r="F825" s="253"/>
      <c r="G825" s="253"/>
      <c r="H825" s="253"/>
      <c r="I825" s="253"/>
      <c r="J825" s="253"/>
      <c r="K825" s="253"/>
      <c r="L825" s="253"/>
      <c r="M825" s="253"/>
      <c r="N825" s="253"/>
      <c r="O825" s="253"/>
      <c r="P825" s="253"/>
      <c r="Q825" s="253"/>
    </row>
    <row r="826" spans="1:17">
      <c r="A826" s="253"/>
      <c r="B826" s="253"/>
      <c r="C826" s="253"/>
      <c r="D826" s="253"/>
      <c r="E826" s="253"/>
      <c r="F826" s="253"/>
      <c r="G826" s="253"/>
      <c r="H826" s="253"/>
      <c r="I826" s="253"/>
      <c r="J826" s="253"/>
      <c r="K826" s="253"/>
      <c r="L826" s="253"/>
      <c r="M826" s="253"/>
      <c r="N826" s="253"/>
      <c r="O826" s="253"/>
      <c r="P826" s="253"/>
      <c r="Q826" s="253"/>
    </row>
    <row r="827" spans="1:17">
      <c r="A827" s="253"/>
      <c r="B827" s="253"/>
      <c r="C827" s="253"/>
      <c r="D827" s="253"/>
      <c r="E827" s="253"/>
      <c r="F827" s="253"/>
      <c r="G827" s="253"/>
      <c r="H827" s="253"/>
      <c r="I827" s="253"/>
      <c r="J827" s="253"/>
      <c r="K827" s="253"/>
      <c r="L827" s="253"/>
      <c r="M827" s="253"/>
      <c r="N827" s="253"/>
      <c r="O827" s="253"/>
      <c r="P827" s="253"/>
      <c r="Q827" s="253"/>
    </row>
    <row r="828" spans="1:17">
      <c r="A828" s="253"/>
      <c r="B828" s="253"/>
      <c r="C828" s="253"/>
      <c r="D828" s="253"/>
      <c r="E828" s="253"/>
      <c r="F828" s="253"/>
      <c r="G828" s="253"/>
      <c r="H828" s="253"/>
      <c r="I828" s="253"/>
      <c r="J828" s="253"/>
      <c r="K828" s="253"/>
      <c r="L828" s="253"/>
      <c r="M828" s="253"/>
      <c r="N828" s="253"/>
      <c r="O828" s="253"/>
      <c r="P828" s="253"/>
      <c r="Q828" s="253"/>
    </row>
    <row r="829" spans="1:17">
      <c r="A829" s="253"/>
      <c r="B829" s="253"/>
      <c r="C829" s="253"/>
      <c r="D829" s="253"/>
      <c r="E829" s="253"/>
      <c r="F829" s="253"/>
      <c r="G829" s="253"/>
      <c r="H829" s="253"/>
      <c r="I829" s="253"/>
      <c r="J829" s="253"/>
      <c r="K829" s="253"/>
      <c r="L829" s="253"/>
      <c r="M829" s="253"/>
      <c r="N829" s="253"/>
      <c r="O829" s="253"/>
      <c r="P829" s="253"/>
      <c r="Q829" s="253"/>
    </row>
    <row r="830" spans="1:17">
      <c r="A830" s="253"/>
      <c r="B830" s="253"/>
      <c r="C830" s="253"/>
      <c r="D830" s="253"/>
      <c r="E830" s="253"/>
      <c r="F830" s="253"/>
      <c r="G830" s="253"/>
      <c r="H830" s="253"/>
      <c r="I830" s="253"/>
      <c r="J830" s="253"/>
      <c r="K830" s="253"/>
      <c r="L830" s="253"/>
      <c r="M830" s="253"/>
      <c r="N830" s="253"/>
      <c r="O830" s="253"/>
      <c r="P830" s="253"/>
      <c r="Q830" s="253"/>
    </row>
    <row r="831" spans="1:17">
      <c r="A831" s="253"/>
      <c r="B831" s="253"/>
      <c r="C831" s="253"/>
      <c r="D831" s="253"/>
      <c r="E831" s="253"/>
      <c r="F831" s="253"/>
      <c r="G831" s="253"/>
      <c r="H831" s="253"/>
      <c r="I831" s="253"/>
      <c r="J831" s="253"/>
      <c r="K831" s="253"/>
      <c r="L831" s="253"/>
      <c r="M831" s="253"/>
      <c r="N831" s="253"/>
      <c r="O831" s="253"/>
      <c r="P831" s="253"/>
      <c r="Q831" s="253"/>
    </row>
    <row r="832" spans="1:17">
      <c r="A832" s="253"/>
      <c r="B832" s="253"/>
      <c r="C832" s="253"/>
      <c r="D832" s="253"/>
      <c r="E832" s="253"/>
      <c r="F832" s="253"/>
      <c r="G832" s="253"/>
      <c r="H832" s="253"/>
      <c r="I832" s="253"/>
      <c r="J832" s="253"/>
      <c r="K832" s="253"/>
      <c r="L832" s="253"/>
      <c r="M832" s="253"/>
      <c r="N832" s="253"/>
      <c r="O832" s="253"/>
      <c r="P832" s="253"/>
      <c r="Q832" s="253"/>
    </row>
    <row r="833" spans="1:17">
      <c r="A833" s="253"/>
      <c r="B833" s="253"/>
      <c r="C833" s="253"/>
      <c r="D833" s="253"/>
      <c r="E833" s="253"/>
      <c r="F833" s="253"/>
      <c r="G833" s="253"/>
      <c r="H833" s="253"/>
      <c r="I833" s="253"/>
      <c r="J833" s="253"/>
      <c r="K833" s="253"/>
      <c r="L833" s="253"/>
      <c r="M833" s="253"/>
      <c r="N833" s="253"/>
      <c r="O833" s="253"/>
      <c r="P833" s="253"/>
      <c r="Q833" s="253"/>
    </row>
    <row r="834" spans="1:17">
      <c r="A834" s="253"/>
      <c r="B834" s="253"/>
      <c r="C834" s="253"/>
      <c r="D834" s="253"/>
      <c r="E834" s="253"/>
      <c r="F834" s="253"/>
      <c r="G834" s="253"/>
      <c r="H834" s="253"/>
      <c r="I834" s="253"/>
      <c r="J834" s="253"/>
      <c r="K834" s="253"/>
      <c r="L834" s="253"/>
      <c r="M834" s="253"/>
      <c r="N834" s="253"/>
      <c r="O834" s="253"/>
      <c r="P834" s="253"/>
      <c r="Q834" s="253"/>
    </row>
    <row r="835" spans="1:17">
      <c r="A835" s="253"/>
      <c r="B835" s="253"/>
      <c r="C835" s="253"/>
      <c r="D835" s="253"/>
      <c r="E835" s="253"/>
      <c r="F835" s="253"/>
      <c r="G835" s="253"/>
      <c r="H835" s="253"/>
      <c r="I835" s="253"/>
      <c r="J835" s="253"/>
      <c r="K835" s="253"/>
      <c r="L835" s="253"/>
      <c r="M835" s="253"/>
      <c r="N835" s="253"/>
      <c r="O835" s="253"/>
      <c r="P835" s="253"/>
      <c r="Q835" s="253"/>
    </row>
    <row r="836" spans="1:17">
      <c r="A836" s="253"/>
      <c r="B836" s="253"/>
      <c r="C836" s="253"/>
      <c r="D836" s="253"/>
      <c r="E836" s="253"/>
      <c r="F836" s="253"/>
      <c r="G836" s="253"/>
      <c r="H836" s="253"/>
      <c r="I836" s="253"/>
      <c r="J836" s="253"/>
      <c r="K836" s="253"/>
      <c r="L836" s="253"/>
      <c r="M836" s="253"/>
      <c r="N836" s="253"/>
      <c r="O836" s="253"/>
      <c r="P836" s="253"/>
      <c r="Q836" s="253"/>
    </row>
    <row r="837" spans="1:17">
      <c r="A837" s="253"/>
      <c r="B837" s="253"/>
      <c r="C837" s="253"/>
      <c r="D837" s="253"/>
      <c r="E837" s="253"/>
      <c r="F837" s="253"/>
      <c r="G837" s="253"/>
      <c r="H837" s="253"/>
      <c r="I837" s="253"/>
      <c r="J837" s="253"/>
      <c r="K837" s="253"/>
      <c r="L837" s="253"/>
      <c r="M837" s="253"/>
      <c r="N837" s="253"/>
      <c r="O837" s="253"/>
      <c r="P837" s="253"/>
      <c r="Q837" s="253"/>
    </row>
    <row r="838" spans="1:17">
      <c r="A838" s="253"/>
      <c r="B838" s="253"/>
      <c r="C838" s="253"/>
      <c r="D838" s="253"/>
      <c r="E838" s="253"/>
      <c r="F838" s="253"/>
      <c r="G838" s="253"/>
      <c r="H838" s="253"/>
      <c r="I838" s="253"/>
      <c r="J838" s="253"/>
      <c r="K838" s="253"/>
      <c r="L838" s="253"/>
      <c r="M838" s="253"/>
      <c r="N838" s="253"/>
      <c r="O838" s="253"/>
      <c r="P838" s="253"/>
      <c r="Q838" s="253"/>
    </row>
    <row r="839" spans="1:17">
      <c r="A839" s="253"/>
      <c r="B839" s="253"/>
      <c r="C839" s="253"/>
      <c r="D839" s="253"/>
      <c r="E839" s="253"/>
      <c r="F839" s="253"/>
      <c r="G839" s="253"/>
      <c r="H839" s="253"/>
      <c r="I839" s="253"/>
      <c r="J839" s="253"/>
      <c r="K839" s="253"/>
      <c r="L839" s="253"/>
      <c r="M839" s="253"/>
      <c r="N839" s="253"/>
      <c r="O839" s="253"/>
      <c r="P839" s="253"/>
      <c r="Q839" s="253"/>
    </row>
    <row r="840" spans="1:17">
      <c r="A840" s="253"/>
      <c r="B840" s="253"/>
      <c r="C840" s="253"/>
      <c r="D840" s="253"/>
      <c r="E840" s="253"/>
      <c r="F840" s="253"/>
      <c r="G840" s="253"/>
      <c r="H840" s="253"/>
      <c r="I840" s="253"/>
      <c r="J840" s="253"/>
      <c r="K840" s="253"/>
      <c r="L840" s="253"/>
      <c r="M840" s="253"/>
      <c r="N840" s="253"/>
      <c r="O840" s="253"/>
      <c r="P840" s="253"/>
      <c r="Q840" s="253"/>
    </row>
    <row r="841" spans="1:17">
      <c r="A841" s="253"/>
      <c r="B841" s="253"/>
      <c r="C841" s="253"/>
      <c r="D841" s="253"/>
      <c r="E841" s="253"/>
      <c r="F841" s="253"/>
      <c r="G841" s="253"/>
      <c r="H841" s="253"/>
      <c r="I841" s="253"/>
      <c r="J841" s="253"/>
      <c r="K841" s="253"/>
      <c r="L841" s="253"/>
      <c r="M841" s="253"/>
      <c r="N841" s="253"/>
      <c r="O841" s="253"/>
      <c r="P841" s="253"/>
      <c r="Q841" s="253"/>
    </row>
    <row r="842" spans="1:17">
      <c r="A842" s="253"/>
      <c r="B842" s="253"/>
      <c r="C842" s="253"/>
      <c r="D842" s="253"/>
      <c r="E842" s="253"/>
      <c r="F842" s="253"/>
      <c r="G842" s="253"/>
      <c r="H842" s="253"/>
      <c r="I842" s="253"/>
      <c r="J842" s="253"/>
      <c r="K842" s="253"/>
      <c r="L842" s="253"/>
      <c r="M842" s="253"/>
      <c r="N842" s="253"/>
      <c r="O842" s="253"/>
      <c r="P842" s="253"/>
      <c r="Q842" s="253"/>
    </row>
    <row r="843" spans="1:17">
      <c r="A843" s="253"/>
      <c r="B843" s="253"/>
      <c r="C843" s="253"/>
      <c r="D843" s="253"/>
      <c r="E843" s="253"/>
      <c r="F843" s="253"/>
      <c r="G843" s="253"/>
      <c r="H843" s="253"/>
      <c r="I843" s="253"/>
      <c r="J843" s="253"/>
      <c r="K843" s="253"/>
      <c r="L843" s="253"/>
      <c r="M843" s="253"/>
      <c r="N843" s="253"/>
      <c r="O843" s="253"/>
      <c r="P843" s="253"/>
      <c r="Q843" s="253"/>
    </row>
    <row r="844" spans="1:17">
      <c r="A844" s="253"/>
      <c r="B844" s="253"/>
      <c r="C844" s="253"/>
      <c r="D844" s="253"/>
      <c r="E844" s="253"/>
      <c r="F844" s="253"/>
      <c r="G844" s="253"/>
      <c r="H844" s="253"/>
      <c r="I844" s="253"/>
      <c r="J844" s="253"/>
      <c r="K844" s="253"/>
      <c r="L844" s="253"/>
      <c r="M844" s="253"/>
      <c r="N844" s="253"/>
      <c r="O844" s="253"/>
      <c r="P844" s="253"/>
      <c r="Q844" s="253"/>
    </row>
    <row r="845" spans="1:17">
      <c r="A845" s="253"/>
      <c r="B845" s="253"/>
      <c r="C845" s="253"/>
      <c r="D845" s="253"/>
      <c r="E845" s="253"/>
      <c r="F845" s="253"/>
      <c r="G845" s="253"/>
      <c r="H845" s="253"/>
      <c r="I845" s="253"/>
      <c r="J845" s="253"/>
      <c r="K845" s="253"/>
      <c r="L845" s="253"/>
      <c r="M845" s="253"/>
      <c r="N845" s="253"/>
      <c r="O845" s="253"/>
      <c r="P845" s="253"/>
      <c r="Q845" s="253"/>
    </row>
    <row r="846" spans="1:17">
      <c r="A846" s="253"/>
      <c r="B846" s="253"/>
      <c r="C846" s="253"/>
      <c r="D846" s="253"/>
      <c r="E846" s="253"/>
      <c r="F846" s="253"/>
      <c r="G846" s="253"/>
      <c r="H846" s="253"/>
      <c r="I846" s="253"/>
      <c r="J846" s="253"/>
      <c r="K846" s="253"/>
      <c r="L846" s="253"/>
      <c r="M846" s="253"/>
      <c r="N846" s="253"/>
      <c r="O846" s="253"/>
      <c r="P846" s="253"/>
      <c r="Q846" s="253"/>
    </row>
    <row r="847" spans="1:17">
      <c r="A847" s="253"/>
      <c r="B847" s="253"/>
      <c r="C847" s="253"/>
      <c r="D847" s="253"/>
      <c r="E847" s="253"/>
      <c r="F847" s="253"/>
      <c r="G847" s="253"/>
      <c r="H847" s="253"/>
      <c r="I847" s="253"/>
      <c r="J847" s="253"/>
      <c r="K847" s="253"/>
      <c r="L847" s="253"/>
      <c r="M847" s="253"/>
      <c r="N847" s="253"/>
      <c r="O847" s="253"/>
      <c r="P847" s="253"/>
      <c r="Q847" s="253"/>
    </row>
    <row r="848" spans="1:17">
      <c r="A848" s="253"/>
      <c r="B848" s="253"/>
      <c r="C848" s="253"/>
      <c r="D848" s="253"/>
      <c r="E848" s="253"/>
      <c r="F848" s="253"/>
      <c r="G848" s="253"/>
      <c r="H848" s="253"/>
      <c r="I848" s="253"/>
      <c r="J848" s="253"/>
      <c r="K848" s="253"/>
      <c r="L848" s="253"/>
      <c r="M848" s="253"/>
      <c r="N848" s="253"/>
      <c r="O848" s="253"/>
      <c r="P848" s="253"/>
      <c r="Q848" s="253"/>
    </row>
    <row r="849" spans="1:17">
      <c r="A849" s="253"/>
      <c r="B849" s="253"/>
      <c r="C849" s="253"/>
      <c r="D849" s="253"/>
      <c r="E849" s="253"/>
      <c r="F849" s="253"/>
      <c r="G849" s="253"/>
      <c r="H849" s="253"/>
      <c r="I849" s="253"/>
      <c r="J849" s="253"/>
      <c r="K849" s="253"/>
      <c r="L849" s="253"/>
      <c r="M849" s="253"/>
      <c r="N849" s="253"/>
      <c r="O849" s="253"/>
      <c r="P849" s="253"/>
      <c r="Q849" s="253"/>
    </row>
    <row r="850" spans="1:17">
      <c r="A850" s="253"/>
      <c r="B850" s="253"/>
      <c r="C850" s="253"/>
      <c r="D850" s="253"/>
      <c r="E850" s="253"/>
      <c r="F850" s="253"/>
      <c r="G850" s="253"/>
      <c r="H850" s="253"/>
      <c r="I850" s="253"/>
      <c r="J850" s="253"/>
      <c r="K850" s="253"/>
      <c r="L850" s="253"/>
      <c r="M850" s="253"/>
      <c r="N850" s="253"/>
      <c r="O850" s="253"/>
      <c r="P850" s="253"/>
      <c r="Q850" s="253"/>
    </row>
    <row r="851" spans="1:17">
      <c r="A851" s="253"/>
      <c r="B851" s="253"/>
      <c r="C851" s="253"/>
      <c r="D851" s="253"/>
      <c r="E851" s="253"/>
      <c r="F851" s="253"/>
      <c r="G851" s="253"/>
      <c r="H851" s="253"/>
      <c r="I851" s="253"/>
      <c r="J851" s="253"/>
      <c r="K851" s="253"/>
      <c r="L851" s="253"/>
      <c r="M851" s="253"/>
      <c r="N851" s="253"/>
      <c r="O851" s="253"/>
      <c r="P851" s="253"/>
      <c r="Q851" s="253"/>
    </row>
    <row r="852" spans="1:17">
      <c r="A852" s="253"/>
      <c r="B852" s="253"/>
      <c r="C852" s="253"/>
      <c r="D852" s="253"/>
      <c r="E852" s="253"/>
      <c r="F852" s="253"/>
      <c r="G852" s="253"/>
      <c r="H852" s="253"/>
      <c r="I852" s="253"/>
      <c r="J852" s="253"/>
      <c r="K852" s="253"/>
      <c r="L852" s="253"/>
      <c r="M852" s="253"/>
      <c r="N852" s="253"/>
      <c r="O852" s="253"/>
      <c r="P852" s="253"/>
      <c r="Q852" s="253"/>
    </row>
    <row r="853" spans="1:17">
      <c r="A853" s="253"/>
      <c r="B853" s="253"/>
      <c r="C853" s="253"/>
      <c r="D853" s="253"/>
      <c r="E853" s="253"/>
      <c r="F853" s="253"/>
      <c r="G853" s="253"/>
      <c r="H853" s="253"/>
      <c r="I853" s="253"/>
      <c r="J853" s="253"/>
      <c r="K853" s="253"/>
      <c r="L853" s="253"/>
      <c r="M853" s="253"/>
      <c r="N853" s="253"/>
      <c r="O853" s="253"/>
      <c r="P853" s="253"/>
      <c r="Q853" s="253"/>
    </row>
    <row r="854" spans="1:17">
      <c r="A854" s="253"/>
      <c r="B854" s="253"/>
      <c r="C854" s="253"/>
      <c r="D854" s="253"/>
      <c r="E854" s="253"/>
      <c r="F854" s="253"/>
      <c r="G854" s="253"/>
      <c r="H854" s="253"/>
      <c r="I854" s="253"/>
      <c r="J854" s="253"/>
      <c r="K854" s="253"/>
      <c r="L854" s="253"/>
      <c r="M854" s="253"/>
      <c r="N854" s="253"/>
      <c r="O854" s="253"/>
      <c r="P854" s="253"/>
      <c r="Q854" s="253"/>
    </row>
    <row r="855" spans="1:17">
      <c r="A855" s="253"/>
      <c r="B855" s="253"/>
      <c r="C855" s="253"/>
      <c r="D855" s="253"/>
      <c r="E855" s="253"/>
      <c r="F855" s="253"/>
      <c r="G855" s="253"/>
      <c r="H855" s="253"/>
      <c r="I855" s="253"/>
      <c r="J855" s="253"/>
      <c r="K855" s="253"/>
      <c r="L855" s="253"/>
      <c r="M855" s="253"/>
      <c r="N855" s="253"/>
      <c r="O855" s="253"/>
      <c r="P855" s="253"/>
      <c r="Q855" s="253"/>
    </row>
    <row r="856" spans="1:17">
      <c r="A856" s="253"/>
      <c r="B856" s="253"/>
      <c r="C856" s="253"/>
      <c r="D856" s="253"/>
      <c r="E856" s="253"/>
      <c r="F856" s="253"/>
      <c r="G856" s="253"/>
      <c r="H856" s="253"/>
      <c r="I856" s="253"/>
      <c r="J856" s="253"/>
      <c r="K856" s="253"/>
      <c r="L856" s="253"/>
      <c r="M856" s="253"/>
      <c r="N856" s="253"/>
      <c r="O856" s="253"/>
      <c r="P856" s="253"/>
      <c r="Q856" s="253"/>
    </row>
    <row r="857" spans="1:17">
      <c r="A857" s="253"/>
      <c r="B857" s="253"/>
      <c r="C857" s="253"/>
      <c r="D857" s="253"/>
      <c r="E857" s="253"/>
      <c r="F857" s="253"/>
      <c r="G857" s="253"/>
      <c r="H857" s="253"/>
      <c r="I857" s="253"/>
      <c r="J857" s="253"/>
      <c r="K857" s="253"/>
      <c r="L857" s="253"/>
      <c r="M857" s="253"/>
      <c r="N857" s="253"/>
      <c r="O857" s="253"/>
      <c r="P857" s="253"/>
      <c r="Q857" s="253"/>
    </row>
    <row r="858" spans="1:17">
      <c r="A858" s="253"/>
      <c r="B858" s="253"/>
      <c r="C858" s="253"/>
      <c r="D858" s="253"/>
      <c r="E858" s="253"/>
      <c r="F858" s="253"/>
      <c r="G858" s="253"/>
      <c r="H858" s="253"/>
      <c r="I858" s="253"/>
      <c r="J858" s="253"/>
      <c r="K858" s="253"/>
      <c r="L858" s="253"/>
      <c r="M858" s="253"/>
      <c r="N858" s="253"/>
      <c r="O858" s="253"/>
      <c r="P858" s="253"/>
      <c r="Q858" s="253"/>
    </row>
    <row r="859" spans="1:17">
      <c r="A859" s="253"/>
      <c r="B859" s="253"/>
      <c r="C859" s="253"/>
      <c r="D859" s="253"/>
      <c r="E859" s="253"/>
      <c r="F859" s="253"/>
      <c r="G859" s="253"/>
      <c r="H859" s="253"/>
      <c r="I859" s="253"/>
      <c r="J859" s="253"/>
      <c r="K859" s="253"/>
      <c r="L859" s="253"/>
      <c r="M859" s="253"/>
      <c r="N859" s="253"/>
      <c r="O859" s="253"/>
      <c r="P859" s="253"/>
      <c r="Q859" s="253"/>
    </row>
    <row r="860" spans="1:17">
      <c r="A860" s="253"/>
      <c r="B860" s="253"/>
      <c r="C860" s="253"/>
      <c r="D860" s="253"/>
      <c r="E860" s="253"/>
      <c r="F860" s="253"/>
      <c r="G860" s="253"/>
      <c r="H860" s="253"/>
      <c r="I860" s="253"/>
      <c r="J860" s="253"/>
      <c r="K860" s="253"/>
      <c r="L860" s="253"/>
      <c r="M860" s="253"/>
      <c r="N860" s="253"/>
      <c r="O860" s="253"/>
      <c r="P860" s="253"/>
      <c r="Q860" s="253"/>
    </row>
    <row r="861" spans="1:17">
      <c r="A861" s="253"/>
      <c r="B861" s="253"/>
      <c r="C861" s="253"/>
      <c r="D861" s="253"/>
      <c r="E861" s="253"/>
      <c r="F861" s="253"/>
      <c r="G861" s="253"/>
      <c r="H861" s="253"/>
      <c r="I861" s="253"/>
      <c r="J861" s="253"/>
      <c r="K861" s="253"/>
      <c r="L861" s="253"/>
      <c r="M861" s="253"/>
      <c r="N861" s="253"/>
      <c r="O861" s="253"/>
      <c r="P861" s="253"/>
      <c r="Q861" s="253"/>
    </row>
    <row r="862" spans="1:17">
      <c r="A862" s="253"/>
      <c r="B862" s="253"/>
      <c r="C862" s="253"/>
      <c r="D862" s="253"/>
      <c r="E862" s="253"/>
      <c r="F862" s="253"/>
      <c r="G862" s="253"/>
      <c r="H862" s="253"/>
      <c r="I862" s="253"/>
      <c r="J862" s="253"/>
      <c r="K862" s="253"/>
      <c r="L862" s="253"/>
      <c r="M862" s="253"/>
      <c r="N862" s="253"/>
      <c r="O862" s="253"/>
      <c r="P862" s="253"/>
      <c r="Q862" s="253"/>
    </row>
    <row r="863" spans="1:17">
      <c r="A863" s="253"/>
      <c r="B863" s="253"/>
      <c r="C863" s="253"/>
      <c r="D863" s="253"/>
      <c r="E863" s="253"/>
      <c r="F863" s="253"/>
      <c r="G863" s="253"/>
      <c r="H863" s="253"/>
      <c r="I863" s="253"/>
      <c r="J863" s="253"/>
      <c r="K863" s="253"/>
      <c r="L863" s="253"/>
      <c r="M863" s="253"/>
      <c r="N863" s="253"/>
      <c r="O863" s="253"/>
      <c r="P863" s="253"/>
      <c r="Q863" s="253"/>
    </row>
    <row r="864" spans="1:17">
      <c r="A864" s="253"/>
      <c r="B864" s="253"/>
      <c r="C864" s="253"/>
      <c r="D864" s="253"/>
      <c r="E864" s="253"/>
      <c r="F864" s="253"/>
      <c r="G864" s="253"/>
      <c r="H864" s="253"/>
      <c r="I864" s="253"/>
      <c r="J864" s="253"/>
      <c r="K864" s="253"/>
      <c r="L864" s="253"/>
      <c r="M864" s="253"/>
      <c r="N864" s="253"/>
      <c r="O864" s="253"/>
      <c r="P864" s="253"/>
      <c r="Q864" s="253"/>
    </row>
    <row r="865" spans="1:17">
      <c r="A865" s="253"/>
      <c r="B865" s="253"/>
      <c r="C865" s="253"/>
      <c r="D865" s="253"/>
      <c r="E865" s="253"/>
      <c r="F865" s="253"/>
      <c r="G865" s="253"/>
      <c r="H865" s="253"/>
      <c r="I865" s="253"/>
      <c r="J865" s="253"/>
      <c r="K865" s="253"/>
      <c r="L865" s="253"/>
      <c r="M865" s="253"/>
      <c r="N865" s="253"/>
      <c r="O865" s="253"/>
      <c r="P865" s="253"/>
      <c r="Q865" s="253"/>
    </row>
    <row r="866" spans="1:17">
      <c r="A866" s="253"/>
      <c r="B866" s="253"/>
      <c r="C866" s="253"/>
      <c r="D866" s="253"/>
      <c r="E866" s="253"/>
      <c r="F866" s="253"/>
      <c r="G866" s="253"/>
      <c r="H866" s="253"/>
      <c r="I866" s="253"/>
      <c r="J866" s="253"/>
      <c r="K866" s="253"/>
      <c r="L866" s="253"/>
      <c r="M866" s="253"/>
      <c r="N866" s="253"/>
      <c r="O866" s="253"/>
      <c r="P866" s="253"/>
      <c r="Q866" s="253"/>
    </row>
    <row r="867" spans="1:17">
      <c r="A867" s="253"/>
      <c r="B867" s="253"/>
      <c r="C867" s="253"/>
      <c r="D867" s="253"/>
      <c r="E867" s="253"/>
      <c r="F867" s="253"/>
      <c r="G867" s="253"/>
      <c r="H867" s="253"/>
      <c r="I867" s="253"/>
      <c r="J867" s="253"/>
      <c r="K867" s="253"/>
      <c r="L867" s="253"/>
      <c r="M867" s="253"/>
      <c r="N867" s="253"/>
      <c r="O867" s="253"/>
      <c r="P867" s="253"/>
      <c r="Q867" s="253"/>
    </row>
    <row r="868" spans="1:17">
      <c r="A868" s="253"/>
      <c r="B868" s="253"/>
      <c r="C868" s="253"/>
      <c r="D868" s="253"/>
      <c r="E868" s="253"/>
      <c r="F868" s="253"/>
      <c r="G868" s="253"/>
      <c r="H868" s="253"/>
      <c r="I868" s="253"/>
      <c r="J868" s="253"/>
      <c r="K868" s="253"/>
      <c r="L868" s="253"/>
      <c r="M868" s="253"/>
      <c r="N868" s="253"/>
      <c r="O868" s="253"/>
      <c r="P868" s="253"/>
      <c r="Q868" s="253"/>
    </row>
    <row r="869" spans="1:17">
      <c r="A869" s="253"/>
      <c r="B869" s="253"/>
      <c r="C869" s="253"/>
      <c r="D869" s="253"/>
      <c r="E869" s="253"/>
      <c r="F869" s="253"/>
      <c r="G869" s="253"/>
      <c r="H869" s="253"/>
      <c r="I869" s="253"/>
      <c r="J869" s="253"/>
      <c r="K869" s="253"/>
      <c r="L869" s="253"/>
      <c r="M869" s="253"/>
      <c r="N869" s="253"/>
      <c r="O869" s="253"/>
      <c r="P869" s="253"/>
      <c r="Q869" s="253"/>
    </row>
    <row r="870" spans="1:17">
      <c r="A870" s="253"/>
      <c r="B870" s="253"/>
      <c r="C870" s="253"/>
      <c r="D870" s="253"/>
      <c r="E870" s="253"/>
      <c r="F870" s="253"/>
      <c r="G870" s="253"/>
      <c r="H870" s="253"/>
      <c r="I870" s="253"/>
      <c r="J870" s="253"/>
      <c r="K870" s="253"/>
      <c r="L870" s="253"/>
      <c r="M870" s="253"/>
      <c r="N870" s="253"/>
      <c r="O870" s="253"/>
      <c r="P870" s="253"/>
      <c r="Q870" s="253"/>
    </row>
    <row r="871" spans="1:17">
      <c r="A871" s="253"/>
      <c r="B871" s="253"/>
      <c r="C871" s="253"/>
      <c r="D871" s="253"/>
      <c r="E871" s="253"/>
      <c r="F871" s="253"/>
      <c r="G871" s="253"/>
      <c r="H871" s="253"/>
      <c r="I871" s="253"/>
      <c r="J871" s="253"/>
      <c r="K871" s="253"/>
      <c r="L871" s="253"/>
      <c r="M871" s="253"/>
      <c r="N871" s="253"/>
      <c r="O871" s="253"/>
      <c r="P871" s="253"/>
      <c r="Q871" s="253"/>
    </row>
    <row r="872" spans="1:17">
      <c r="A872" s="253"/>
      <c r="B872" s="253"/>
      <c r="C872" s="253"/>
      <c r="D872" s="253"/>
      <c r="E872" s="253"/>
      <c r="F872" s="253"/>
      <c r="G872" s="253"/>
      <c r="H872" s="253"/>
      <c r="I872" s="253"/>
      <c r="J872" s="253"/>
      <c r="K872" s="253"/>
      <c r="L872" s="253"/>
      <c r="M872" s="253"/>
      <c r="N872" s="253"/>
      <c r="O872" s="253"/>
      <c r="P872" s="253"/>
      <c r="Q872" s="253"/>
    </row>
    <row r="873" spans="1:17">
      <c r="A873" s="253"/>
      <c r="B873" s="253"/>
      <c r="C873" s="253"/>
      <c r="D873" s="253"/>
      <c r="E873" s="253"/>
      <c r="F873" s="253"/>
      <c r="G873" s="253"/>
      <c r="H873" s="253"/>
      <c r="I873" s="253"/>
      <c r="J873" s="253"/>
      <c r="K873" s="253"/>
      <c r="L873" s="253"/>
      <c r="M873" s="253"/>
      <c r="N873" s="253"/>
      <c r="O873" s="253"/>
      <c r="P873" s="253"/>
      <c r="Q873" s="253"/>
    </row>
    <row r="874" spans="1:17">
      <c r="A874" s="253"/>
      <c r="B874" s="253"/>
      <c r="C874" s="253"/>
      <c r="D874" s="253"/>
      <c r="E874" s="253"/>
      <c r="F874" s="253"/>
      <c r="G874" s="253"/>
      <c r="H874" s="253"/>
      <c r="I874" s="253"/>
      <c r="J874" s="253"/>
      <c r="K874" s="253"/>
      <c r="L874" s="253"/>
      <c r="M874" s="253"/>
      <c r="N874" s="253"/>
      <c r="O874" s="253"/>
      <c r="P874" s="253"/>
      <c r="Q874" s="253"/>
    </row>
    <row r="875" spans="1:17">
      <c r="A875" s="253"/>
      <c r="B875" s="253"/>
      <c r="C875" s="253"/>
      <c r="D875" s="253"/>
      <c r="E875" s="253"/>
      <c r="F875" s="253"/>
      <c r="G875" s="253"/>
      <c r="H875" s="253"/>
      <c r="I875" s="253"/>
      <c r="J875" s="253"/>
      <c r="K875" s="253"/>
      <c r="L875" s="253"/>
      <c r="M875" s="253"/>
      <c r="N875" s="253"/>
      <c r="O875" s="253"/>
      <c r="P875" s="253"/>
      <c r="Q875" s="253"/>
    </row>
    <row r="876" spans="1:17">
      <c r="A876" s="253"/>
      <c r="B876" s="253"/>
      <c r="C876" s="253"/>
      <c r="D876" s="253"/>
      <c r="E876" s="253"/>
      <c r="F876" s="253"/>
      <c r="G876" s="253"/>
      <c r="H876" s="253"/>
      <c r="I876" s="253"/>
      <c r="J876" s="253"/>
      <c r="K876" s="253"/>
      <c r="L876" s="253"/>
      <c r="M876" s="253"/>
      <c r="N876" s="253"/>
      <c r="O876" s="253"/>
      <c r="P876" s="253"/>
      <c r="Q876" s="253"/>
    </row>
    <row r="877" spans="1:17">
      <c r="A877" s="253"/>
      <c r="B877" s="253"/>
      <c r="C877" s="253"/>
      <c r="D877" s="253"/>
      <c r="E877" s="253"/>
      <c r="F877" s="253"/>
      <c r="G877" s="253"/>
      <c r="H877" s="253"/>
      <c r="I877" s="253"/>
      <c r="J877" s="253"/>
      <c r="K877" s="253"/>
      <c r="L877" s="253"/>
      <c r="M877" s="253"/>
      <c r="N877" s="253"/>
      <c r="O877" s="253"/>
      <c r="P877" s="253"/>
      <c r="Q877" s="253"/>
    </row>
    <row r="878" spans="1:17">
      <c r="A878" s="253"/>
      <c r="B878" s="253"/>
      <c r="C878" s="253"/>
      <c r="D878" s="253"/>
      <c r="E878" s="253"/>
      <c r="F878" s="253"/>
      <c r="G878" s="253"/>
      <c r="H878" s="253"/>
      <c r="I878" s="253"/>
      <c r="J878" s="253"/>
      <c r="K878" s="253"/>
      <c r="L878" s="253"/>
      <c r="M878" s="253"/>
      <c r="N878" s="253"/>
      <c r="O878" s="253"/>
      <c r="P878" s="253"/>
      <c r="Q878" s="253"/>
    </row>
    <row r="879" spans="1:17">
      <c r="A879" s="253"/>
      <c r="B879" s="253"/>
      <c r="C879" s="253"/>
      <c r="D879" s="253"/>
      <c r="E879" s="253"/>
      <c r="F879" s="253"/>
      <c r="G879" s="253"/>
      <c r="H879" s="253"/>
      <c r="I879" s="253"/>
      <c r="J879" s="253"/>
      <c r="K879" s="253"/>
      <c r="L879" s="253"/>
      <c r="M879" s="253"/>
      <c r="N879" s="253"/>
      <c r="O879" s="253"/>
      <c r="P879" s="253"/>
      <c r="Q879" s="253"/>
    </row>
    <row r="880" spans="1:17">
      <c r="A880" s="253"/>
      <c r="B880" s="253"/>
      <c r="C880" s="253"/>
      <c r="D880" s="253"/>
      <c r="E880" s="253"/>
      <c r="F880" s="253"/>
      <c r="G880" s="253"/>
      <c r="H880" s="253"/>
      <c r="I880" s="253"/>
      <c r="J880" s="253"/>
      <c r="K880" s="253"/>
      <c r="L880" s="253"/>
      <c r="M880" s="253"/>
      <c r="N880" s="253"/>
      <c r="O880" s="253"/>
      <c r="P880" s="253"/>
      <c r="Q880" s="253"/>
    </row>
    <row r="881" spans="1:17">
      <c r="A881" s="253"/>
      <c r="B881" s="253"/>
      <c r="C881" s="253"/>
      <c r="D881" s="253"/>
      <c r="E881" s="253"/>
      <c r="F881" s="253"/>
      <c r="G881" s="253"/>
      <c r="H881" s="253"/>
      <c r="I881" s="253"/>
      <c r="J881" s="253"/>
      <c r="K881" s="253"/>
      <c r="L881" s="253"/>
      <c r="M881" s="253"/>
      <c r="N881" s="253"/>
      <c r="O881" s="253"/>
      <c r="P881" s="253"/>
      <c r="Q881" s="253"/>
    </row>
    <row r="882" spans="1:17">
      <c r="A882" s="253"/>
      <c r="B882" s="253"/>
      <c r="C882" s="253"/>
      <c r="D882" s="253"/>
      <c r="E882" s="253"/>
      <c r="F882" s="253"/>
      <c r="G882" s="253"/>
      <c r="H882" s="253"/>
      <c r="I882" s="253"/>
      <c r="J882" s="253"/>
      <c r="K882" s="253"/>
      <c r="L882" s="253"/>
      <c r="M882" s="253"/>
      <c r="N882" s="253"/>
      <c r="O882" s="253"/>
      <c r="P882" s="253"/>
      <c r="Q882" s="253"/>
    </row>
    <row r="883" spans="1:17">
      <c r="A883" s="253"/>
      <c r="B883" s="253"/>
      <c r="C883" s="253"/>
      <c r="D883" s="253"/>
      <c r="E883" s="253"/>
      <c r="F883" s="253"/>
      <c r="G883" s="253"/>
      <c r="H883" s="253"/>
      <c r="I883" s="253"/>
      <c r="J883" s="253"/>
      <c r="K883" s="253"/>
      <c r="L883" s="253"/>
      <c r="M883" s="253"/>
      <c r="N883" s="253"/>
      <c r="O883" s="253"/>
      <c r="P883" s="253"/>
      <c r="Q883" s="253"/>
    </row>
    <row r="884" spans="1:17">
      <c r="A884" s="253"/>
      <c r="B884" s="253"/>
      <c r="C884" s="253"/>
      <c r="D884" s="253"/>
      <c r="E884" s="253"/>
      <c r="F884" s="253"/>
      <c r="G884" s="253"/>
      <c r="H884" s="253"/>
      <c r="I884" s="253"/>
      <c r="J884" s="253"/>
      <c r="K884" s="253"/>
      <c r="L884" s="253"/>
      <c r="M884" s="253"/>
      <c r="N884" s="253"/>
      <c r="O884" s="253"/>
      <c r="P884" s="253"/>
      <c r="Q884" s="253"/>
    </row>
    <row r="885" spans="1:17">
      <c r="A885" s="253"/>
      <c r="B885" s="253"/>
      <c r="C885" s="253"/>
      <c r="D885" s="253"/>
      <c r="E885" s="253"/>
      <c r="F885" s="253"/>
      <c r="G885" s="253"/>
      <c r="H885" s="253"/>
      <c r="I885" s="253"/>
      <c r="J885" s="253"/>
      <c r="K885" s="253"/>
      <c r="L885" s="253"/>
      <c r="M885" s="253"/>
      <c r="N885" s="253"/>
      <c r="O885" s="253"/>
      <c r="P885" s="253"/>
      <c r="Q885" s="253"/>
    </row>
    <row r="886" spans="1:17">
      <c r="A886" s="253"/>
      <c r="B886" s="253"/>
      <c r="C886" s="253"/>
      <c r="D886" s="253"/>
      <c r="E886" s="253"/>
      <c r="F886" s="253"/>
      <c r="G886" s="253"/>
      <c r="H886" s="253"/>
      <c r="I886" s="253"/>
      <c r="J886" s="253"/>
      <c r="K886" s="253"/>
      <c r="L886" s="253"/>
      <c r="M886" s="253"/>
      <c r="N886" s="253"/>
      <c r="O886" s="253"/>
      <c r="P886" s="253"/>
      <c r="Q886" s="253"/>
    </row>
    <row r="887" spans="1:17">
      <c r="A887" s="253"/>
      <c r="B887" s="253"/>
      <c r="C887" s="253"/>
      <c r="D887" s="253"/>
      <c r="E887" s="253"/>
      <c r="F887" s="253"/>
      <c r="G887" s="253"/>
      <c r="H887" s="253"/>
      <c r="I887" s="253"/>
      <c r="J887" s="253"/>
      <c r="K887" s="253"/>
      <c r="L887" s="253"/>
      <c r="M887" s="253"/>
      <c r="N887" s="253"/>
      <c r="O887" s="253"/>
      <c r="P887" s="253"/>
      <c r="Q887" s="253"/>
    </row>
    <row r="888" spans="1:17">
      <c r="A888" s="253"/>
      <c r="B888" s="253"/>
      <c r="C888" s="253"/>
      <c r="D888" s="253"/>
      <c r="E888" s="253"/>
      <c r="F888" s="253"/>
      <c r="G888" s="253"/>
      <c r="H888" s="253"/>
      <c r="I888" s="253"/>
      <c r="J888" s="253"/>
      <c r="K888" s="253"/>
      <c r="L888" s="253"/>
      <c r="M888" s="253"/>
      <c r="N888" s="253"/>
      <c r="O888" s="253"/>
      <c r="P888" s="253"/>
      <c r="Q888" s="253"/>
    </row>
    <row r="889" spans="1:17">
      <c r="A889" s="253"/>
      <c r="B889" s="253"/>
      <c r="C889" s="253"/>
      <c r="D889" s="253"/>
      <c r="E889" s="253"/>
      <c r="F889" s="253"/>
      <c r="G889" s="253"/>
      <c r="H889" s="253"/>
      <c r="I889" s="253"/>
      <c r="J889" s="253"/>
      <c r="K889" s="253"/>
      <c r="L889" s="253"/>
      <c r="M889" s="253"/>
      <c r="N889" s="253"/>
      <c r="O889" s="253"/>
      <c r="P889" s="253"/>
      <c r="Q889" s="253"/>
    </row>
    <row r="890" spans="1:17">
      <c r="A890" s="253"/>
      <c r="B890" s="253"/>
      <c r="C890" s="253"/>
      <c r="D890" s="253"/>
      <c r="E890" s="253"/>
      <c r="F890" s="253"/>
      <c r="G890" s="253"/>
      <c r="H890" s="253"/>
      <c r="I890" s="253"/>
      <c r="J890" s="253"/>
      <c r="K890" s="253"/>
      <c r="L890" s="253"/>
      <c r="M890" s="253"/>
      <c r="N890" s="253"/>
      <c r="O890" s="253"/>
      <c r="P890" s="253"/>
      <c r="Q890" s="253"/>
    </row>
    <row r="891" spans="1:17">
      <c r="A891" s="253"/>
      <c r="B891" s="253"/>
      <c r="C891" s="253"/>
      <c r="D891" s="253"/>
      <c r="E891" s="253"/>
      <c r="F891" s="253"/>
      <c r="G891" s="253"/>
      <c r="H891" s="253"/>
      <c r="I891" s="253"/>
      <c r="J891" s="253"/>
      <c r="K891" s="253"/>
      <c r="L891" s="253"/>
      <c r="M891" s="253"/>
      <c r="N891" s="253"/>
      <c r="O891" s="253"/>
      <c r="P891" s="253"/>
      <c r="Q891" s="253"/>
    </row>
    <row r="892" spans="1:17">
      <c r="A892" s="253"/>
      <c r="B892" s="253"/>
      <c r="C892" s="253"/>
      <c r="D892" s="253"/>
      <c r="E892" s="253"/>
      <c r="F892" s="253"/>
      <c r="G892" s="253"/>
      <c r="H892" s="253"/>
      <c r="I892" s="253"/>
      <c r="J892" s="253"/>
      <c r="K892" s="253"/>
      <c r="L892" s="253"/>
      <c r="M892" s="253"/>
      <c r="N892" s="253"/>
      <c r="O892" s="253"/>
      <c r="P892" s="253"/>
      <c r="Q892" s="253"/>
    </row>
    <row r="893" spans="1:17">
      <c r="A893" s="253"/>
      <c r="B893" s="253"/>
      <c r="C893" s="253"/>
      <c r="D893" s="253"/>
      <c r="E893" s="253"/>
      <c r="F893" s="253"/>
      <c r="G893" s="253"/>
      <c r="H893" s="253"/>
      <c r="I893" s="253"/>
      <c r="J893" s="253"/>
      <c r="K893" s="253"/>
      <c r="L893" s="253"/>
      <c r="M893" s="253"/>
      <c r="N893" s="253"/>
      <c r="O893" s="253"/>
      <c r="P893" s="253"/>
      <c r="Q893" s="253"/>
    </row>
    <row r="894" spans="1:17">
      <c r="A894" s="253"/>
      <c r="B894" s="253"/>
      <c r="C894" s="253"/>
      <c r="D894" s="253"/>
      <c r="E894" s="253"/>
      <c r="F894" s="253"/>
      <c r="G894" s="253"/>
      <c r="H894" s="253"/>
      <c r="I894" s="253"/>
      <c r="J894" s="253"/>
      <c r="K894" s="253"/>
      <c r="L894" s="253"/>
      <c r="M894" s="253"/>
      <c r="N894" s="253"/>
      <c r="O894" s="253"/>
      <c r="P894" s="253"/>
      <c r="Q894" s="253"/>
    </row>
    <row r="895" spans="1:17">
      <c r="A895" s="253"/>
      <c r="B895" s="253"/>
      <c r="C895" s="253"/>
      <c r="D895" s="253"/>
      <c r="E895" s="253"/>
      <c r="F895" s="253"/>
      <c r="G895" s="253"/>
      <c r="H895" s="253"/>
      <c r="I895" s="253"/>
      <c r="J895" s="253"/>
      <c r="K895" s="253"/>
      <c r="L895" s="253"/>
      <c r="M895" s="253"/>
      <c r="N895" s="253"/>
      <c r="O895" s="253"/>
      <c r="P895" s="253"/>
      <c r="Q895" s="253"/>
    </row>
    <row r="896" spans="1:17">
      <c r="A896" s="253"/>
      <c r="B896" s="253"/>
      <c r="C896" s="253"/>
      <c r="D896" s="253"/>
      <c r="E896" s="253"/>
      <c r="F896" s="253"/>
      <c r="G896" s="253"/>
      <c r="H896" s="253"/>
      <c r="I896" s="253"/>
      <c r="J896" s="253"/>
      <c r="K896" s="253"/>
      <c r="L896" s="253"/>
      <c r="M896" s="253"/>
      <c r="N896" s="253"/>
      <c r="O896" s="253"/>
      <c r="P896" s="253"/>
      <c r="Q896" s="253"/>
    </row>
    <row r="897" spans="1:17">
      <c r="A897" s="253"/>
      <c r="B897" s="253"/>
      <c r="C897" s="253"/>
      <c r="D897" s="253"/>
      <c r="E897" s="253"/>
      <c r="F897" s="253"/>
      <c r="G897" s="253"/>
      <c r="H897" s="253"/>
      <c r="I897" s="253"/>
      <c r="J897" s="253"/>
      <c r="K897" s="253"/>
      <c r="L897" s="253"/>
      <c r="M897" s="253"/>
      <c r="N897" s="253"/>
      <c r="O897" s="253"/>
      <c r="P897" s="253"/>
      <c r="Q897" s="253"/>
    </row>
    <row r="898" spans="1:17">
      <c r="A898" s="253"/>
      <c r="B898" s="253"/>
      <c r="C898" s="253"/>
      <c r="D898" s="253"/>
      <c r="E898" s="253"/>
      <c r="F898" s="253"/>
      <c r="G898" s="253"/>
      <c r="H898" s="253"/>
      <c r="I898" s="253"/>
      <c r="J898" s="253"/>
      <c r="K898" s="253"/>
      <c r="L898" s="253"/>
      <c r="M898" s="253"/>
      <c r="N898" s="253"/>
      <c r="O898" s="253"/>
      <c r="P898" s="253"/>
      <c r="Q898" s="253"/>
    </row>
    <row r="899" spans="1:17">
      <c r="A899" s="253"/>
      <c r="B899" s="253"/>
      <c r="C899" s="253"/>
      <c r="D899" s="253"/>
      <c r="E899" s="253"/>
      <c r="F899" s="253"/>
      <c r="G899" s="253"/>
      <c r="H899" s="253"/>
      <c r="I899" s="253"/>
      <c r="J899" s="253"/>
      <c r="K899" s="253"/>
      <c r="L899" s="253"/>
      <c r="M899" s="253"/>
      <c r="N899" s="253"/>
      <c r="O899" s="253"/>
      <c r="P899" s="253"/>
      <c r="Q899" s="253"/>
    </row>
    <row r="900" spans="1:17">
      <c r="A900" s="253"/>
      <c r="B900" s="253"/>
      <c r="C900" s="253"/>
      <c r="D900" s="253"/>
      <c r="E900" s="253"/>
      <c r="F900" s="253"/>
      <c r="G900" s="253"/>
      <c r="H900" s="253"/>
      <c r="I900" s="253"/>
      <c r="J900" s="253"/>
      <c r="K900" s="253"/>
      <c r="L900" s="253"/>
      <c r="M900" s="253"/>
      <c r="N900" s="253"/>
      <c r="O900" s="253"/>
      <c r="P900" s="253"/>
      <c r="Q900" s="253"/>
    </row>
    <row r="901" spans="1:17">
      <c r="A901" s="253"/>
      <c r="B901" s="253"/>
      <c r="C901" s="253"/>
      <c r="D901" s="253"/>
      <c r="E901" s="253"/>
      <c r="F901" s="253"/>
      <c r="G901" s="253"/>
      <c r="H901" s="253"/>
      <c r="I901" s="253"/>
      <c r="J901" s="253"/>
      <c r="K901" s="253"/>
      <c r="L901" s="253"/>
      <c r="M901" s="253"/>
      <c r="N901" s="253"/>
      <c r="O901" s="253"/>
      <c r="P901" s="253"/>
      <c r="Q901" s="253"/>
    </row>
    <row r="902" spans="1:17">
      <c r="A902" s="253"/>
      <c r="B902" s="253"/>
      <c r="C902" s="253"/>
      <c r="D902" s="253"/>
      <c r="E902" s="253"/>
      <c r="F902" s="253"/>
      <c r="G902" s="253"/>
      <c r="H902" s="253"/>
      <c r="I902" s="253"/>
      <c r="J902" s="253"/>
      <c r="K902" s="253"/>
      <c r="L902" s="253"/>
      <c r="M902" s="253"/>
      <c r="N902" s="253"/>
      <c r="O902" s="253"/>
      <c r="P902" s="253"/>
      <c r="Q902" s="253"/>
    </row>
    <row r="903" spans="1:17">
      <c r="A903" s="253"/>
      <c r="B903" s="253"/>
      <c r="C903" s="253"/>
      <c r="D903" s="253"/>
      <c r="E903" s="253"/>
      <c r="F903" s="253"/>
      <c r="G903" s="253"/>
      <c r="H903" s="253"/>
      <c r="I903" s="253"/>
      <c r="J903" s="253"/>
      <c r="K903" s="253"/>
      <c r="L903" s="253"/>
      <c r="M903" s="253"/>
      <c r="N903" s="253"/>
      <c r="O903" s="253"/>
      <c r="P903" s="253"/>
      <c r="Q903" s="253"/>
    </row>
    <row r="904" spans="1:17">
      <c r="A904" s="253"/>
      <c r="B904" s="253"/>
      <c r="C904" s="253"/>
      <c r="D904" s="253"/>
      <c r="E904" s="253"/>
      <c r="F904" s="253"/>
      <c r="G904" s="253"/>
      <c r="H904" s="253"/>
      <c r="I904" s="253"/>
      <c r="J904" s="253"/>
      <c r="K904" s="253"/>
      <c r="L904" s="253"/>
      <c r="M904" s="253"/>
      <c r="N904" s="253"/>
      <c r="O904" s="253"/>
      <c r="P904" s="253"/>
      <c r="Q904" s="253"/>
    </row>
    <row r="905" spans="1:17">
      <c r="A905" s="253"/>
      <c r="B905" s="253"/>
      <c r="C905" s="253"/>
      <c r="D905" s="253"/>
      <c r="E905" s="253"/>
      <c r="F905" s="253"/>
      <c r="G905" s="253"/>
      <c r="H905" s="253"/>
      <c r="I905" s="253"/>
      <c r="J905" s="253"/>
      <c r="K905" s="253"/>
      <c r="L905" s="253"/>
      <c r="M905" s="253"/>
      <c r="N905" s="253"/>
      <c r="O905" s="253"/>
      <c r="P905" s="253"/>
      <c r="Q905" s="253"/>
    </row>
    <row r="906" spans="1:17">
      <c r="A906" s="253"/>
      <c r="B906" s="253"/>
      <c r="C906" s="253"/>
      <c r="D906" s="253"/>
      <c r="E906" s="253"/>
      <c r="F906" s="253"/>
      <c r="G906" s="253"/>
      <c r="H906" s="253"/>
      <c r="I906" s="253"/>
      <c r="J906" s="253"/>
      <c r="K906" s="253"/>
      <c r="L906" s="253"/>
      <c r="M906" s="253"/>
      <c r="N906" s="253"/>
      <c r="O906" s="253"/>
      <c r="P906" s="253"/>
      <c r="Q906" s="253"/>
    </row>
    <row r="907" spans="1:17">
      <c r="A907" s="253"/>
      <c r="B907" s="253"/>
      <c r="C907" s="253"/>
      <c r="D907" s="253"/>
      <c r="E907" s="253"/>
      <c r="F907" s="253"/>
      <c r="G907" s="253"/>
      <c r="H907" s="253"/>
      <c r="I907" s="253"/>
      <c r="J907" s="253"/>
      <c r="K907" s="253"/>
      <c r="L907" s="253"/>
      <c r="M907" s="253"/>
      <c r="N907" s="253"/>
      <c r="O907" s="253"/>
      <c r="P907" s="253"/>
      <c r="Q907" s="253"/>
    </row>
    <row r="908" spans="1:17">
      <c r="A908" s="253"/>
      <c r="B908" s="253"/>
      <c r="C908" s="253"/>
      <c r="D908" s="253"/>
      <c r="E908" s="253"/>
      <c r="F908" s="253"/>
      <c r="G908" s="253"/>
      <c r="H908" s="253"/>
      <c r="I908" s="253"/>
      <c r="J908" s="253"/>
      <c r="K908" s="253"/>
      <c r="L908" s="253"/>
      <c r="M908" s="253"/>
      <c r="N908" s="253"/>
      <c r="O908" s="253"/>
      <c r="P908" s="253"/>
      <c r="Q908" s="253"/>
    </row>
    <row r="909" spans="1:17">
      <c r="A909" s="253"/>
      <c r="B909" s="253"/>
      <c r="C909" s="253"/>
      <c r="D909" s="253"/>
      <c r="E909" s="253"/>
      <c r="F909" s="253"/>
      <c r="G909" s="253"/>
      <c r="H909" s="253"/>
      <c r="I909" s="253"/>
      <c r="J909" s="253"/>
      <c r="K909" s="253"/>
      <c r="L909" s="253"/>
      <c r="M909" s="253"/>
      <c r="N909" s="253"/>
      <c r="O909" s="253"/>
      <c r="P909" s="253"/>
      <c r="Q909" s="253"/>
    </row>
    <row r="910" spans="1:17">
      <c r="A910" s="253"/>
      <c r="B910" s="253"/>
      <c r="C910" s="253"/>
      <c r="D910" s="253"/>
      <c r="E910" s="253"/>
      <c r="F910" s="253"/>
      <c r="G910" s="253"/>
      <c r="H910" s="253"/>
      <c r="I910" s="253"/>
      <c r="J910" s="253"/>
      <c r="K910" s="253"/>
      <c r="L910" s="253"/>
      <c r="M910" s="253"/>
      <c r="N910" s="253"/>
      <c r="O910" s="253"/>
      <c r="P910" s="253"/>
      <c r="Q910" s="253"/>
    </row>
    <row r="911" spans="1:17">
      <c r="A911" s="253"/>
      <c r="B911" s="253"/>
      <c r="C911" s="253"/>
      <c r="D911" s="253"/>
      <c r="E911" s="253"/>
      <c r="F911" s="253"/>
      <c r="G911" s="253"/>
      <c r="H911" s="253"/>
      <c r="I911" s="253"/>
      <c r="J911" s="253"/>
      <c r="K911" s="253"/>
      <c r="L911" s="253"/>
      <c r="M911" s="253"/>
      <c r="N911" s="253"/>
      <c r="O911" s="253"/>
      <c r="P911" s="253"/>
      <c r="Q911" s="253"/>
    </row>
    <row r="912" spans="1:17">
      <c r="A912" s="253"/>
      <c r="B912" s="253"/>
      <c r="C912" s="253"/>
      <c r="D912" s="253"/>
      <c r="E912" s="253"/>
      <c r="F912" s="253"/>
      <c r="G912" s="253"/>
      <c r="H912" s="253"/>
      <c r="I912" s="253"/>
      <c r="J912" s="253"/>
      <c r="K912" s="253"/>
      <c r="L912" s="253"/>
      <c r="M912" s="253"/>
      <c r="N912" s="253"/>
      <c r="O912" s="253"/>
      <c r="P912" s="253"/>
      <c r="Q912" s="253"/>
    </row>
    <row r="913" spans="1:17">
      <c r="A913" s="253"/>
      <c r="B913" s="253"/>
      <c r="C913" s="253"/>
      <c r="D913" s="253"/>
      <c r="E913" s="253"/>
      <c r="F913" s="253"/>
      <c r="G913" s="253"/>
      <c r="H913" s="253"/>
      <c r="I913" s="253"/>
      <c r="J913" s="253"/>
      <c r="K913" s="253"/>
      <c r="L913" s="253"/>
      <c r="M913" s="253"/>
      <c r="N913" s="253"/>
      <c r="O913" s="253"/>
      <c r="P913" s="253"/>
      <c r="Q913" s="253"/>
    </row>
    <row r="914" spans="1:17">
      <c r="A914" s="253"/>
      <c r="B914" s="253"/>
      <c r="C914" s="253"/>
      <c r="D914" s="253"/>
      <c r="E914" s="253"/>
      <c r="F914" s="253"/>
      <c r="G914" s="253"/>
      <c r="H914" s="253"/>
      <c r="I914" s="253"/>
      <c r="J914" s="253"/>
      <c r="K914" s="253"/>
      <c r="L914" s="253"/>
      <c r="M914" s="253"/>
      <c r="N914" s="253"/>
      <c r="O914" s="253"/>
      <c r="P914" s="253"/>
      <c r="Q914" s="253"/>
    </row>
    <row r="915" spans="1:17">
      <c r="A915" s="253"/>
      <c r="B915" s="253"/>
      <c r="C915" s="253"/>
      <c r="D915" s="253"/>
      <c r="E915" s="253"/>
      <c r="F915" s="253"/>
      <c r="G915" s="253"/>
      <c r="H915" s="253"/>
      <c r="I915" s="253"/>
      <c r="J915" s="253"/>
      <c r="K915" s="253"/>
      <c r="L915" s="253"/>
      <c r="M915" s="253"/>
      <c r="N915" s="253"/>
      <c r="O915" s="253"/>
      <c r="P915" s="253"/>
      <c r="Q915" s="253"/>
    </row>
    <row r="916" spans="1:17">
      <c r="A916" s="253"/>
      <c r="B916" s="253"/>
      <c r="C916" s="253"/>
      <c r="D916" s="253"/>
      <c r="E916" s="253"/>
      <c r="F916" s="253"/>
      <c r="G916" s="253"/>
      <c r="H916" s="253"/>
      <c r="I916" s="253"/>
      <c r="J916" s="253"/>
      <c r="K916" s="253"/>
      <c r="L916" s="253"/>
      <c r="M916" s="253"/>
      <c r="N916" s="253"/>
      <c r="O916" s="253"/>
      <c r="P916" s="253"/>
      <c r="Q916" s="253"/>
    </row>
    <row r="917" spans="1:17">
      <c r="A917" s="253"/>
      <c r="B917" s="253"/>
      <c r="C917" s="253"/>
      <c r="D917" s="253"/>
      <c r="E917" s="253"/>
      <c r="F917" s="253"/>
      <c r="G917" s="253"/>
      <c r="H917" s="253"/>
      <c r="I917" s="253"/>
      <c r="J917" s="253"/>
      <c r="K917" s="253"/>
      <c r="L917" s="253"/>
      <c r="M917" s="253"/>
      <c r="N917" s="253"/>
      <c r="O917" s="253"/>
      <c r="P917" s="253"/>
      <c r="Q917" s="253"/>
    </row>
    <row r="918" spans="1:17">
      <c r="A918" s="253"/>
      <c r="B918" s="253"/>
      <c r="C918" s="253"/>
      <c r="D918" s="253"/>
      <c r="E918" s="253"/>
      <c r="F918" s="253"/>
      <c r="G918" s="253"/>
      <c r="H918" s="253"/>
      <c r="I918" s="253"/>
      <c r="J918" s="253"/>
      <c r="K918" s="253"/>
      <c r="L918" s="253"/>
      <c r="M918" s="253"/>
      <c r="N918" s="253"/>
      <c r="O918" s="253"/>
      <c r="P918" s="253"/>
      <c r="Q918" s="253"/>
    </row>
    <row r="919" spans="1:17">
      <c r="A919" s="253"/>
      <c r="B919" s="253"/>
      <c r="C919" s="253"/>
      <c r="D919" s="253"/>
      <c r="E919" s="253"/>
      <c r="F919" s="253"/>
      <c r="G919" s="253"/>
      <c r="H919" s="253"/>
      <c r="I919" s="253"/>
      <c r="J919" s="253"/>
      <c r="K919" s="253"/>
      <c r="L919" s="253"/>
      <c r="M919" s="253"/>
      <c r="N919" s="253"/>
      <c r="O919" s="253"/>
      <c r="P919" s="253"/>
      <c r="Q919" s="253"/>
    </row>
    <row r="920" spans="1:17">
      <c r="A920" s="253"/>
      <c r="B920" s="253"/>
      <c r="C920" s="253"/>
      <c r="D920" s="253"/>
      <c r="E920" s="253"/>
      <c r="F920" s="253"/>
      <c r="G920" s="253"/>
      <c r="H920" s="253"/>
      <c r="I920" s="253"/>
      <c r="J920" s="253"/>
      <c r="K920" s="253"/>
      <c r="L920" s="253"/>
      <c r="M920" s="253"/>
      <c r="N920" s="253"/>
      <c r="O920" s="253"/>
      <c r="P920" s="253"/>
      <c r="Q920" s="253"/>
    </row>
    <row r="921" spans="1:17">
      <c r="A921" s="253"/>
      <c r="B921" s="253"/>
      <c r="C921" s="253"/>
      <c r="D921" s="253"/>
      <c r="E921" s="253"/>
      <c r="F921" s="253"/>
      <c r="G921" s="253"/>
      <c r="H921" s="253"/>
      <c r="I921" s="253"/>
      <c r="J921" s="253"/>
      <c r="K921" s="253"/>
      <c r="L921" s="253"/>
      <c r="M921" s="253"/>
      <c r="N921" s="253"/>
      <c r="O921" s="253"/>
      <c r="P921" s="253"/>
      <c r="Q921" s="253"/>
    </row>
    <row r="922" spans="1:17">
      <c r="A922" s="253"/>
      <c r="B922" s="253"/>
      <c r="C922" s="253"/>
      <c r="D922" s="253"/>
      <c r="E922" s="253"/>
      <c r="F922" s="253"/>
      <c r="G922" s="253"/>
      <c r="H922" s="253"/>
      <c r="I922" s="253"/>
      <c r="J922" s="253"/>
      <c r="K922" s="253"/>
      <c r="L922" s="253"/>
      <c r="M922" s="253"/>
      <c r="N922" s="253"/>
      <c r="O922" s="253"/>
      <c r="P922" s="253"/>
      <c r="Q922" s="253"/>
    </row>
    <row r="923" spans="1:17">
      <c r="A923" s="253"/>
      <c r="B923" s="253"/>
      <c r="C923" s="253"/>
      <c r="D923" s="253"/>
      <c r="E923" s="253"/>
      <c r="F923" s="253"/>
      <c r="G923" s="253"/>
      <c r="H923" s="253"/>
      <c r="I923" s="253"/>
      <c r="J923" s="253"/>
      <c r="K923" s="253"/>
      <c r="L923" s="253"/>
      <c r="M923" s="253"/>
      <c r="N923" s="253"/>
      <c r="O923" s="253"/>
      <c r="P923" s="253"/>
      <c r="Q923" s="253"/>
    </row>
    <row r="924" spans="1:17">
      <c r="A924" s="253"/>
      <c r="B924" s="253"/>
      <c r="C924" s="253"/>
      <c r="D924" s="253"/>
      <c r="E924" s="253"/>
      <c r="F924" s="253"/>
      <c r="G924" s="253"/>
      <c r="H924" s="253"/>
      <c r="I924" s="253"/>
      <c r="J924" s="253"/>
      <c r="K924" s="253"/>
      <c r="L924" s="253"/>
      <c r="M924" s="253"/>
      <c r="N924" s="253"/>
      <c r="O924" s="253"/>
      <c r="P924" s="253"/>
      <c r="Q924" s="253"/>
    </row>
    <row r="925" spans="1:17">
      <c r="A925" s="253"/>
      <c r="B925" s="253"/>
      <c r="C925" s="253"/>
      <c r="D925" s="253"/>
      <c r="E925" s="253"/>
      <c r="F925" s="253"/>
      <c r="G925" s="253"/>
      <c r="H925" s="253"/>
      <c r="I925" s="253"/>
      <c r="J925" s="253"/>
      <c r="K925" s="253"/>
      <c r="L925" s="253"/>
      <c r="M925" s="253"/>
      <c r="N925" s="253"/>
      <c r="O925" s="253"/>
      <c r="P925" s="253"/>
      <c r="Q925" s="253"/>
    </row>
    <row r="926" spans="1:17">
      <c r="A926" s="253"/>
      <c r="B926" s="253"/>
      <c r="C926" s="253"/>
      <c r="D926" s="253"/>
      <c r="E926" s="253"/>
      <c r="F926" s="253"/>
      <c r="G926" s="253"/>
      <c r="H926" s="253"/>
      <c r="I926" s="253"/>
      <c r="J926" s="253"/>
      <c r="K926" s="253"/>
      <c r="L926" s="253"/>
      <c r="M926" s="253"/>
      <c r="N926" s="253"/>
      <c r="O926" s="253"/>
      <c r="P926" s="253"/>
      <c r="Q926" s="253"/>
    </row>
    <row r="927" spans="1:17">
      <c r="A927" s="253"/>
      <c r="B927" s="253"/>
      <c r="C927" s="253"/>
      <c r="D927" s="253"/>
      <c r="E927" s="253"/>
      <c r="F927" s="253"/>
      <c r="G927" s="253"/>
      <c r="H927" s="253"/>
      <c r="I927" s="253"/>
      <c r="J927" s="253"/>
      <c r="K927" s="253"/>
      <c r="L927" s="253"/>
      <c r="M927" s="253"/>
      <c r="N927" s="253"/>
      <c r="O927" s="253"/>
      <c r="P927" s="253"/>
      <c r="Q927" s="253"/>
    </row>
    <row r="928" spans="1:17">
      <c r="A928" s="253"/>
      <c r="B928" s="253"/>
      <c r="C928" s="253"/>
      <c r="D928" s="253"/>
      <c r="E928" s="253"/>
      <c r="F928" s="253"/>
      <c r="G928" s="253"/>
      <c r="H928" s="253"/>
      <c r="I928" s="253"/>
      <c r="J928" s="253"/>
      <c r="K928" s="253"/>
      <c r="L928" s="253"/>
      <c r="M928" s="253"/>
      <c r="N928" s="253"/>
      <c r="O928" s="253"/>
      <c r="P928" s="253"/>
      <c r="Q928" s="253"/>
    </row>
    <row r="929" spans="1:17">
      <c r="A929" s="253"/>
      <c r="B929" s="253"/>
      <c r="C929" s="253"/>
      <c r="D929" s="253"/>
      <c r="E929" s="253"/>
      <c r="F929" s="253"/>
      <c r="G929" s="253"/>
      <c r="H929" s="253"/>
      <c r="I929" s="253"/>
      <c r="J929" s="253"/>
      <c r="K929" s="253"/>
      <c r="L929" s="253"/>
      <c r="M929" s="253"/>
      <c r="N929" s="253"/>
      <c r="O929" s="253"/>
      <c r="P929" s="253"/>
      <c r="Q929" s="253"/>
    </row>
    <row r="930" spans="1:17">
      <c r="A930" s="253"/>
      <c r="B930" s="253"/>
      <c r="C930" s="253"/>
      <c r="D930" s="253"/>
      <c r="E930" s="253"/>
      <c r="F930" s="253"/>
      <c r="G930" s="253"/>
      <c r="H930" s="253"/>
      <c r="I930" s="253"/>
      <c r="J930" s="253"/>
      <c r="K930" s="253"/>
      <c r="L930" s="253"/>
      <c r="M930" s="253"/>
      <c r="N930" s="253"/>
      <c r="O930" s="253"/>
      <c r="P930" s="253"/>
      <c r="Q930" s="253"/>
    </row>
    <row r="931" spans="1:17">
      <c r="A931" s="253"/>
      <c r="B931" s="253"/>
      <c r="C931" s="253"/>
      <c r="D931" s="253"/>
      <c r="E931" s="253"/>
      <c r="F931" s="253"/>
      <c r="G931" s="253"/>
      <c r="H931" s="253"/>
      <c r="I931" s="253"/>
      <c r="J931" s="253"/>
      <c r="K931" s="253"/>
      <c r="L931" s="253"/>
      <c r="M931" s="253"/>
      <c r="N931" s="253"/>
      <c r="O931" s="253"/>
      <c r="P931" s="253"/>
      <c r="Q931" s="253"/>
    </row>
    <row r="932" spans="1:17">
      <c r="A932" s="253"/>
      <c r="B932" s="253"/>
      <c r="C932" s="253"/>
      <c r="D932" s="253"/>
      <c r="E932" s="253"/>
      <c r="F932" s="253"/>
      <c r="G932" s="253"/>
      <c r="H932" s="253"/>
      <c r="I932" s="253"/>
      <c r="J932" s="253"/>
      <c r="K932" s="253"/>
      <c r="L932" s="253"/>
      <c r="M932" s="253"/>
      <c r="N932" s="253"/>
      <c r="O932" s="253"/>
      <c r="P932" s="253"/>
      <c r="Q932" s="253"/>
    </row>
    <row r="933" spans="1:17">
      <c r="A933" s="253"/>
      <c r="B933" s="253"/>
      <c r="C933" s="253"/>
      <c r="D933" s="253"/>
      <c r="E933" s="253"/>
      <c r="F933" s="253"/>
      <c r="G933" s="253"/>
      <c r="H933" s="253"/>
      <c r="I933" s="253"/>
      <c r="J933" s="253"/>
      <c r="K933" s="253"/>
      <c r="L933" s="253"/>
      <c r="M933" s="253"/>
      <c r="N933" s="253"/>
      <c r="O933" s="253"/>
      <c r="P933" s="253"/>
      <c r="Q933" s="253"/>
    </row>
    <row r="934" spans="1:17">
      <c r="A934" s="253"/>
      <c r="B934" s="253"/>
      <c r="C934" s="253"/>
      <c r="D934" s="253"/>
      <c r="E934" s="253"/>
      <c r="F934" s="253"/>
      <c r="G934" s="253"/>
      <c r="H934" s="253"/>
      <c r="I934" s="253"/>
      <c r="J934" s="253"/>
      <c r="K934" s="253"/>
      <c r="L934" s="253"/>
      <c r="M934" s="253"/>
      <c r="N934" s="253"/>
      <c r="O934" s="253"/>
      <c r="P934" s="253"/>
      <c r="Q934" s="253"/>
    </row>
    <row r="935" spans="1:17">
      <c r="A935" s="253"/>
      <c r="B935" s="253"/>
      <c r="C935" s="253"/>
      <c r="D935" s="253"/>
      <c r="E935" s="253"/>
      <c r="F935" s="253"/>
      <c r="G935" s="253"/>
      <c r="H935" s="253"/>
      <c r="I935" s="253"/>
      <c r="J935" s="253"/>
      <c r="K935" s="253"/>
      <c r="L935" s="253"/>
      <c r="M935" s="253"/>
      <c r="N935" s="253"/>
      <c r="O935" s="253"/>
      <c r="P935" s="253"/>
      <c r="Q935" s="253"/>
    </row>
    <row r="936" spans="1:17">
      <c r="A936" s="253"/>
      <c r="B936" s="253"/>
      <c r="C936" s="253"/>
      <c r="D936" s="253"/>
      <c r="E936" s="253"/>
      <c r="F936" s="253"/>
      <c r="G936" s="253"/>
      <c r="H936" s="253"/>
      <c r="I936" s="253"/>
      <c r="J936" s="253"/>
      <c r="K936" s="253"/>
      <c r="L936" s="253"/>
      <c r="M936" s="253"/>
      <c r="N936" s="253"/>
      <c r="O936" s="253"/>
      <c r="P936" s="253"/>
      <c r="Q936" s="253"/>
    </row>
    <row r="937" spans="1:17">
      <c r="A937" s="253"/>
      <c r="B937" s="253"/>
      <c r="C937" s="253"/>
      <c r="D937" s="253"/>
      <c r="E937" s="253"/>
      <c r="F937" s="253"/>
      <c r="G937" s="253"/>
      <c r="H937" s="253"/>
      <c r="I937" s="253"/>
      <c r="J937" s="253"/>
      <c r="K937" s="253"/>
      <c r="L937" s="253"/>
      <c r="M937" s="253"/>
      <c r="N937" s="253"/>
      <c r="O937" s="253"/>
      <c r="P937" s="253"/>
      <c r="Q937" s="253"/>
    </row>
    <row r="938" spans="1:17">
      <c r="A938" s="253"/>
      <c r="B938" s="253"/>
      <c r="C938" s="253"/>
      <c r="D938" s="253"/>
      <c r="E938" s="253"/>
      <c r="F938" s="253"/>
      <c r="G938" s="253"/>
      <c r="H938" s="253"/>
      <c r="I938" s="253"/>
      <c r="J938" s="253"/>
      <c r="K938" s="253"/>
      <c r="L938" s="253"/>
      <c r="M938" s="253"/>
      <c r="N938" s="253"/>
      <c r="O938" s="253"/>
      <c r="P938" s="253"/>
      <c r="Q938" s="253"/>
    </row>
    <row r="939" spans="1:17">
      <c r="A939" s="253"/>
      <c r="B939" s="253"/>
      <c r="C939" s="253"/>
      <c r="D939" s="253"/>
      <c r="E939" s="253"/>
      <c r="F939" s="253"/>
      <c r="G939" s="253"/>
      <c r="H939" s="253"/>
      <c r="I939" s="253"/>
      <c r="J939" s="253"/>
      <c r="K939" s="253"/>
      <c r="L939" s="253"/>
      <c r="M939" s="253"/>
      <c r="N939" s="253"/>
      <c r="O939" s="253"/>
      <c r="P939" s="253"/>
      <c r="Q939" s="253"/>
    </row>
    <row r="940" spans="1:17">
      <c r="A940" s="253"/>
      <c r="B940" s="253"/>
      <c r="C940" s="253"/>
      <c r="D940" s="253"/>
      <c r="E940" s="253"/>
      <c r="F940" s="253"/>
      <c r="G940" s="253"/>
      <c r="H940" s="253"/>
      <c r="I940" s="253"/>
      <c r="J940" s="253"/>
      <c r="K940" s="253"/>
      <c r="L940" s="253"/>
      <c r="M940" s="253"/>
      <c r="N940" s="253"/>
      <c r="O940" s="253"/>
      <c r="P940" s="253"/>
      <c r="Q940" s="253"/>
    </row>
    <row r="941" spans="1:17">
      <c r="A941" s="253"/>
      <c r="B941" s="253"/>
      <c r="C941" s="253"/>
      <c r="D941" s="253"/>
      <c r="E941" s="253"/>
      <c r="F941" s="253"/>
      <c r="G941" s="253"/>
      <c r="H941" s="253"/>
      <c r="I941" s="253"/>
      <c r="J941" s="253"/>
      <c r="K941" s="253"/>
      <c r="L941" s="253"/>
      <c r="M941" s="253"/>
      <c r="N941" s="253"/>
      <c r="O941" s="253"/>
      <c r="P941" s="253"/>
      <c r="Q941" s="253"/>
    </row>
    <row r="942" spans="1:17">
      <c r="A942" s="253"/>
      <c r="B942" s="253"/>
      <c r="C942" s="253"/>
      <c r="D942" s="253"/>
      <c r="E942" s="253"/>
      <c r="F942" s="253"/>
      <c r="G942" s="253"/>
      <c r="H942" s="253"/>
      <c r="I942" s="253"/>
      <c r="J942" s="253"/>
      <c r="K942" s="253"/>
      <c r="L942" s="253"/>
      <c r="M942" s="253"/>
      <c r="N942" s="253"/>
      <c r="O942" s="253"/>
      <c r="P942" s="253"/>
      <c r="Q942" s="253"/>
    </row>
    <row r="943" spans="1:17">
      <c r="A943" s="253"/>
      <c r="B943" s="253"/>
      <c r="C943" s="253"/>
      <c r="D943" s="253"/>
      <c r="E943" s="253"/>
      <c r="F943" s="253"/>
      <c r="G943" s="253"/>
      <c r="H943" s="253"/>
      <c r="I943" s="253"/>
      <c r="J943" s="253"/>
      <c r="K943" s="253"/>
      <c r="L943" s="253"/>
      <c r="M943" s="253"/>
      <c r="N943" s="253"/>
      <c r="O943" s="253"/>
      <c r="P943" s="253"/>
      <c r="Q943" s="253"/>
    </row>
    <row r="944" spans="1:17">
      <c r="A944" s="253"/>
      <c r="B944" s="253"/>
      <c r="C944" s="253"/>
      <c r="D944" s="253"/>
      <c r="E944" s="253"/>
      <c r="F944" s="253"/>
      <c r="G944" s="253"/>
      <c r="H944" s="253"/>
      <c r="I944" s="253"/>
      <c r="J944" s="253"/>
      <c r="K944" s="253"/>
      <c r="L944" s="253"/>
      <c r="M944" s="253"/>
      <c r="N944" s="253"/>
      <c r="O944" s="253"/>
      <c r="P944" s="253"/>
      <c r="Q944" s="253"/>
    </row>
    <row r="945" spans="1:17">
      <c r="A945" s="253"/>
      <c r="B945" s="253"/>
      <c r="C945" s="253"/>
      <c r="D945" s="253"/>
      <c r="E945" s="253"/>
      <c r="F945" s="253"/>
      <c r="G945" s="253"/>
      <c r="H945" s="253"/>
      <c r="I945" s="253"/>
      <c r="J945" s="253"/>
      <c r="K945" s="253"/>
      <c r="L945" s="253"/>
      <c r="M945" s="253"/>
      <c r="N945" s="253"/>
      <c r="O945" s="253"/>
      <c r="P945" s="253"/>
      <c r="Q945" s="253"/>
    </row>
    <row r="946" spans="1:17">
      <c r="A946" s="253"/>
      <c r="B946" s="253"/>
      <c r="C946" s="253"/>
      <c r="D946" s="253"/>
      <c r="E946" s="253"/>
      <c r="F946" s="253"/>
      <c r="G946" s="253"/>
      <c r="H946" s="253"/>
      <c r="I946" s="253"/>
      <c r="J946" s="253"/>
      <c r="K946" s="253"/>
      <c r="L946" s="253"/>
      <c r="M946" s="253"/>
      <c r="N946" s="253"/>
      <c r="O946" s="253"/>
      <c r="P946" s="253"/>
      <c r="Q946" s="253"/>
    </row>
    <row r="947" spans="1:17">
      <c r="A947" s="253"/>
      <c r="B947" s="253"/>
      <c r="C947" s="253"/>
      <c r="D947" s="253"/>
      <c r="E947" s="253"/>
      <c r="F947" s="253"/>
      <c r="G947" s="253"/>
      <c r="H947" s="253"/>
      <c r="I947" s="253"/>
      <c r="J947" s="253"/>
      <c r="K947" s="253"/>
      <c r="L947" s="253"/>
      <c r="M947" s="253"/>
      <c r="N947" s="253"/>
      <c r="O947" s="253"/>
      <c r="P947" s="253"/>
      <c r="Q947" s="253"/>
    </row>
    <row r="948" spans="1:17">
      <c r="A948" s="253"/>
      <c r="B948" s="253"/>
      <c r="C948" s="253"/>
      <c r="D948" s="253"/>
      <c r="E948" s="253"/>
      <c r="F948" s="253"/>
      <c r="G948" s="253"/>
      <c r="H948" s="253"/>
      <c r="I948" s="253"/>
      <c r="J948" s="253"/>
      <c r="K948" s="253"/>
      <c r="L948" s="253"/>
      <c r="M948" s="253"/>
      <c r="N948" s="253"/>
      <c r="O948" s="253"/>
      <c r="P948" s="253"/>
      <c r="Q948" s="253"/>
    </row>
    <row r="949" spans="1:17">
      <c r="A949" s="253"/>
      <c r="B949" s="253"/>
      <c r="C949" s="253"/>
      <c r="D949" s="253"/>
      <c r="E949" s="253"/>
      <c r="F949" s="253"/>
      <c r="G949" s="253"/>
      <c r="H949" s="253"/>
      <c r="I949" s="253"/>
      <c r="J949" s="253"/>
      <c r="K949" s="253"/>
      <c r="L949" s="253"/>
      <c r="M949" s="253"/>
      <c r="N949" s="253"/>
      <c r="O949" s="253"/>
      <c r="P949" s="253"/>
      <c r="Q949" s="253"/>
    </row>
    <row r="950" spans="1:17">
      <c r="A950" s="253"/>
      <c r="B950" s="253"/>
      <c r="C950" s="253"/>
      <c r="D950" s="253"/>
      <c r="E950" s="253"/>
      <c r="F950" s="253"/>
      <c r="G950" s="253"/>
      <c r="H950" s="253"/>
      <c r="I950" s="253"/>
      <c r="J950" s="253"/>
      <c r="K950" s="253"/>
      <c r="L950" s="253"/>
      <c r="M950" s="253"/>
      <c r="N950" s="253"/>
      <c r="O950" s="253"/>
      <c r="P950" s="253"/>
      <c r="Q950" s="253"/>
    </row>
    <row r="951" spans="1:17">
      <c r="A951" s="253"/>
      <c r="B951" s="253"/>
      <c r="C951" s="253"/>
      <c r="D951" s="253"/>
      <c r="E951" s="253"/>
      <c r="F951" s="253"/>
      <c r="G951" s="253"/>
      <c r="H951" s="253"/>
      <c r="I951" s="253"/>
      <c r="J951" s="253"/>
      <c r="K951" s="253"/>
      <c r="L951" s="253"/>
      <c r="M951" s="253"/>
      <c r="N951" s="253"/>
      <c r="O951" s="253"/>
      <c r="P951" s="253"/>
      <c r="Q951" s="253"/>
    </row>
    <row r="952" spans="1:17">
      <c r="A952" s="253"/>
      <c r="B952" s="253"/>
      <c r="C952" s="253"/>
      <c r="D952" s="253"/>
      <c r="E952" s="253"/>
      <c r="F952" s="253"/>
      <c r="G952" s="253"/>
      <c r="H952" s="253"/>
      <c r="I952" s="253"/>
      <c r="J952" s="253"/>
      <c r="K952" s="253"/>
      <c r="L952" s="253"/>
      <c r="M952" s="253"/>
      <c r="N952" s="253"/>
      <c r="O952" s="253"/>
      <c r="P952" s="253"/>
      <c r="Q952" s="253"/>
    </row>
    <row r="953" spans="1:17">
      <c r="A953" s="253"/>
      <c r="B953" s="253"/>
      <c r="C953" s="253"/>
      <c r="D953" s="253"/>
      <c r="E953" s="253"/>
      <c r="F953" s="253"/>
      <c r="G953" s="253"/>
      <c r="H953" s="253"/>
      <c r="I953" s="253"/>
      <c r="J953" s="253"/>
      <c r="K953" s="253"/>
      <c r="L953" s="253"/>
      <c r="M953" s="253"/>
      <c r="N953" s="253"/>
      <c r="O953" s="253"/>
      <c r="P953" s="253"/>
      <c r="Q953" s="253"/>
    </row>
    <row r="954" spans="1:17">
      <c r="A954" s="253"/>
      <c r="B954" s="253"/>
      <c r="C954" s="253"/>
      <c r="D954" s="253"/>
      <c r="E954" s="253"/>
      <c r="F954" s="253"/>
      <c r="G954" s="253"/>
      <c r="H954" s="253"/>
      <c r="I954" s="253"/>
      <c r="J954" s="253"/>
      <c r="K954" s="253"/>
      <c r="L954" s="253"/>
      <c r="M954" s="253"/>
      <c r="N954" s="253"/>
      <c r="O954" s="253"/>
      <c r="P954" s="253"/>
      <c r="Q954" s="253"/>
    </row>
    <row r="955" spans="1:17">
      <c r="A955" s="253"/>
      <c r="B955" s="253"/>
      <c r="C955" s="253"/>
      <c r="D955" s="253"/>
      <c r="E955" s="253"/>
      <c r="F955" s="253"/>
      <c r="G955" s="253"/>
      <c r="H955" s="253"/>
      <c r="I955" s="253"/>
      <c r="J955" s="253"/>
      <c r="K955" s="253"/>
      <c r="L955" s="253"/>
      <c r="M955" s="253"/>
      <c r="N955" s="253"/>
      <c r="O955" s="253"/>
      <c r="P955" s="253"/>
      <c r="Q955" s="253"/>
    </row>
    <row r="956" spans="1:17">
      <c r="A956" s="253"/>
      <c r="B956" s="253"/>
      <c r="C956" s="253"/>
      <c r="D956" s="253"/>
      <c r="E956" s="253"/>
      <c r="F956" s="253"/>
      <c r="G956" s="253"/>
      <c r="H956" s="253"/>
      <c r="I956" s="253"/>
      <c r="J956" s="253"/>
      <c r="K956" s="253"/>
      <c r="L956" s="253"/>
      <c r="M956" s="253"/>
      <c r="N956" s="253"/>
      <c r="O956" s="253"/>
      <c r="P956" s="253"/>
      <c r="Q956" s="253"/>
    </row>
    <row r="957" spans="1:17">
      <c r="A957" s="253"/>
      <c r="B957" s="253"/>
      <c r="C957" s="253"/>
      <c r="D957" s="253"/>
      <c r="E957" s="253"/>
      <c r="F957" s="253"/>
      <c r="G957" s="253"/>
      <c r="H957" s="253"/>
      <c r="I957" s="253"/>
      <c r="J957" s="253"/>
      <c r="K957" s="253"/>
      <c r="L957" s="253"/>
      <c r="M957" s="253"/>
      <c r="N957" s="253"/>
      <c r="O957" s="253"/>
      <c r="P957" s="253"/>
      <c r="Q957" s="253"/>
    </row>
    <row r="958" spans="1:17">
      <c r="A958" s="253"/>
      <c r="B958" s="253"/>
      <c r="C958" s="253"/>
      <c r="D958" s="253"/>
      <c r="E958" s="253"/>
      <c r="F958" s="253"/>
      <c r="G958" s="253"/>
      <c r="H958" s="253"/>
      <c r="I958" s="253"/>
      <c r="J958" s="253"/>
      <c r="K958" s="253"/>
      <c r="L958" s="253"/>
      <c r="M958" s="253"/>
      <c r="N958" s="253"/>
      <c r="O958" s="253"/>
      <c r="P958" s="253"/>
      <c r="Q958" s="253"/>
    </row>
    <row r="959" spans="1:17">
      <c r="A959" s="253"/>
      <c r="B959" s="253"/>
      <c r="C959" s="253"/>
      <c r="D959" s="253"/>
      <c r="E959" s="253"/>
      <c r="F959" s="253"/>
      <c r="G959" s="253"/>
      <c r="H959" s="253"/>
      <c r="I959" s="253"/>
      <c r="J959" s="253"/>
      <c r="K959" s="253"/>
      <c r="L959" s="253"/>
      <c r="M959" s="253"/>
      <c r="N959" s="253"/>
      <c r="O959" s="253"/>
      <c r="P959" s="253"/>
      <c r="Q959" s="253"/>
    </row>
    <row r="960" spans="1:17">
      <c r="A960" s="253"/>
      <c r="B960" s="253"/>
      <c r="C960" s="253"/>
      <c r="D960" s="253"/>
      <c r="E960" s="253"/>
      <c r="F960" s="253"/>
      <c r="G960" s="253"/>
      <c r="H960" s="253"/>
      <c r="I960" s="253"/>
      <c r="J960" s="253"/>
      <c r="K960" s="253"/>
      <c r="L960" s="253"/>
      <c r="M960" s="253"/>
      <c r="N960" s="253"/>
      <c r="O960" s="253"/>
      <c r="P960" s="253"/>
      <c r="Q960" s="253"/>
    </row>
    <row r="961" spans="1:17">
      <c r="A961" s="253"/>
      <c r="B961" s="253"/>
      <c r="C961" s="253"/>
      <c r="D961" s="253"/>
      <c r="E961" s="253"/>
      <c r="F961" s="253"/>
      <c r="G961" s="253"/>
      <c r="H961" s="253"/>
      <c r="I961" s="253"/>
      <c r="J961" s="253"/>
      <c r="K961" s="253"/>
      <c r="L961" s="253"/>
      <c r="M961" s="253"/>
      <c r="N961" s="253"/>
      <c r="O961" s="253"/>
      <c r="P961" s="253"/>
      <c r="Q961" s="253"/>
    </row>
    <row r="962" spans="1:17">
      <c r="A962" s="253"/>
      <c r="B962" s="253"/>
      <c r="C962" s="253"/>
      <c r="D962" s="253"/>
      <c r="E962" s="253"/>
      <c r="F962" s="253"/>
      <c r="G962" s="253"/>
      <c r="H962" s="253"/>
      <c r="I962" s="253"/>
      <c r="J962" s="253"/>
      <c r="K962" s="253"/>
      <c r="L962" s="253"/>
      <c r="M962" s="253"/>
      <c r="N962" s="253"/>
      <c r="O962" s="253"/>
      <c r="P962" s="253"/>
      <c r="Q962" s="253"/>
    </row>
    <row r="963" spans="1:17">
      <c r="A963" s="253"/>
      <c r="B963" s="253"/>
      <c r="C963" s="253"/>
      <c r="D963" s="253"/>
      <c r="E963" s="253"/>
      <c r="F963" s="253"/>
      <c r="G963" s="253"/>
      <c r="H963" s="253"/>
      <c r="I963" s="253"/>
      <c r="J963" s="253"/>
      <c r="K963" s="253"/>
      <c r="L963" s="253"/>
      <c r="M963" s="253"/>
      <c r="N963" s="253"/>
      <c r="O963" s="253"/>
      <c r="P963" s="253"/>
      <c r="Q963" s="253"/>
    </row>
    <row r="964" spans="1:17">
      <c r="A964" s="253"/>
      <c r="B964" s="253"/>
      <c r="C964" s="253"/>
      <c r="D964" s="253"/>
      <c r="E964" s="253"/>
      <c r="F964" s="253"/>
      <c r="G964" s="253"/>
      <c r="H964" s="253"/>
      <c r="I964" s="253"/>
      <c r="J964" s="253"/>
      <c r="K964" s="253"/>
      <c r="L964" s="253"/>
      <c r="M964" s="253"/>
      <c r="N964" s="253"/>
      <c r="O964" s="253"/>
      <c r="P964" s="253"/>
      <c r="Q964" s="253"/>
    </row>
    <row r="965" spans="1:17">
      <c r="A965" s="253"/>
      <c r="B965" s="253"/>
      <c r="C965" s="253"/>
      <c r="D965" s="253"/>
      <c r="E965" s="253"/>
      <c r="F965" s="253"/>
      <c r="G965" s="253"/>
      <c r="H965" s="253"/>
      <c r="I965" s="253"/>
      <c r="J965" s="253"/>
      <c r="K965" s="253"/>
      <c r="L965" s="253"/>
      <c r="M965" s="253"/>
      <c r="N965" s="253"/>
      <c r="O965" s="253"/>
      <c r="P965" s="253"/>
      <c r="Q965" s="253"/>
    </row>
    <row r="966" spans="1:17">
      <c r="A966" s="253"/>
      <c r="B966" s="253"/>
      <c r="C966" s="253"/>
      <c r="D966" s="253"/>
      <c r="E966" s="253"/>
      <c r="F966" s="253"/>
      <c r="G966" s="253"/>
      <c r="H966" s="253"/>
      <c r="I966" s="253"/>
      <c r="J966" s="253"/>
      <c r="K966" s="253"/>
      <c r="L966" s="253"/>
      <c r="M966" s="253"/>
      <c r="N966" s="253"/>
      <c r="O966" s="253"/>
      <c r="P966" s="253"/>
      <c r="Q966" s="253"/>
    </row>
    <row r="967" spans="1:17">
      <c r="A967" s="253"/>
      <c r="B967" s="253"/>
      <c r="C967" s="253"/>
      <c r="D967" s="253"/>
      <c r="E967" s="253"/>
      <c r="F967" s="253"/>
      <c r="G967" s="253"/>
      <c r="H967" s="253"/>
      <c r="I967" s="253"/>
      <c r="J967" s="253"/>
      <c r="K967" s="253"/>
      <c r="L967" s="253"/>
      <c r="M967" s="253"/>
      <c r="N967" s="253"/>
      <c r="O967" s="253"/>
      <c r="P967" s="253"/>
      <c r="Q967" s="253"/>
    </row>
    <row r="968" spans="1:17">
      <c r="A968" s="253"/>
      <c r="B968" s="253"/>
      <c r="C968" s="253"/>
      <c r="D968" s="253"/>
      <c r="E968" s="253"/>
      <c r="F968" s="253"/>
      <c r="G968" s="253"/>
      <c r="H968" s="253"/>
      <c r="I968" s="253"/>
      <c r="J968" s="253"/>
      <c r="K968" s="253"/>
      <c r="L968" s="253"/>
      <c r="M968" s="253"/>
      <c r="N968" s="253"/>
      <c r="O968" s="253"/>
      <c r="P968" s="253"/>
      <c r="Q968" s="253"/>
    </row>
    <row r="969" spans="1:17">
      <c r="A969" s="253"/>
      <c r="B969" s="253"/>
      <c r="C969" s="253"/>
      <c r="D969" s="253"/>
      <c r="E969" s="253"/>
      <c r="F969" s="253"/>
      <c r="G969" s="253"/>
      <c r="H969" s="253"/>
      <c r="I969" s="253"/>
      <c r="J969" s="253"/>
      <c r="K969" s="253"/>
      <c r="L969" s="253"/>
      <c r="M969" s="253"/>
      <c r="N969" s="253"/>
      <c r="O969" s="253"/>
      <c r="P969" s="253"/>
      <c r="Q969" s="253"/>
    </row>
    <row r="970" spans="1:17">
      <c r="A970" s="253"/>
      <c r="B970" s="253"/>
      <c r="C970" s="253"/>
      <c r="D970" s="253"/>
      <c r="E970" s="253"/>
      <c r="F970" s="253"/>
      <c r="G970" s="253"/>
      <c r="H970" s="253"/>
      <c r="I970" s="253"/>
      <c r="J970" s="253"/>
      <c r="K970" s="253"/>
      <c r="L970" s="253"/>
      <c r="M970" s="253"/>
      <c r="N970" s="253"/>
      <c r="O970" s="253"/>
      <c r="P970" s="253"/>
      <c r="Q970" s="253"/>
    </row>
    <row r="971" spans="1:17">
      <c r="A971" s="253"/>
      <c r="B971" s="253"/>
      <c r="C971" s="253"/>
      <c r="D971" s="253"/>
      <c r="E971" s="253"/>
      <c r="F971" s="253"/>
      <c r="G971" s="253"/>
      <c r="H971" s="253"/>
      <c r="I971" s="253"/>
      <c r="J971" s="253"/>
      <c r="K971" s="253"/>
      <c r="L971" s="253"/>
      <c r="M971" s="253"/>
      <c r="N971" s="253"/>
      <c r="O971" s="253"/>
      <c r="P971" s="253"/>
      <c r="Q971" s="253"/>
    </row>
    <row r="972" spans="1:17">
      <c r="A972" s="253"/>
      <c r="B972" s="253"/>
      <c r="C972" s="253"/>
      <c r="D972" s="253"/>
      <c r="E972" s="253"/>
      <c r="F972" s="253"/>
      <c r="G972" s="253"/>
      <c r="H972" s="253"/>
      <c r="I972" s="253"/>
      <c r="J972" s="253"/>
      <c r="K972" s="253"/>
      <c r="L972" s="253"/>
      <c r="M972" s="253"/>
      <c r="N972" s="253"/>
      <c r="O972" s="253"/>
      <c r="P972" s="253"/>
      <c r="Q972" s="253"/>
    </row>
    <row r="973" spans="1:17">
      <c r="A973" s="253"/>
      <c r="B973" s="253"/>
      <c r="C973" s="253"/>
      <c r="D973" s="253"/>
      <c r="E973" s="253"/>
      <c r="F973" s="253"/>
      <c r="G973" s="253"/>
      <c r="H973" s="253"/>
      <c r="I973" s="253"/>
      <c r="J973" s="253"/>
      <c r="K973" s="253"/>
      <c r="L973" s="253"/>
      <c r="M973" s="253"/>
      <c r="N973" s="253"/>
      <c r="O973" s="253"/>
      <c r="P973" s="253"/>
      <c r="Q973" s="253"/>
    </row>
    <row r="974" spans="1:17">
      <c r="A974" s="253"/>
      <c r="B974" s="253"/>
      <c r="C974" s="253"/>
      <c r="D974" s="253"/>
      <c r="E974" s="253"/>
      <c r="F974" s="253"/>
      <c r="G974" s="253"/>
      <c r="H974" s="253"/>
      <c r="I974" s="253"/>
      <c r="J974" s="253"/>
      <c r="K974" s="253"/>
      <c r="L974" s="253"/>
      <c r="M974" s="253"/>
      <c r="N974" s="253"/>
      <c r="O974" s="253"/>
      <c r="P974" s="253"/>
      <c r="Q974" s="253"/>
    </row>
    <row r="975" spans="1:17">
      <c r="A975" s="253"/>
      <c r="B975" s="253"/>
      <c r="C975" s="253"/>
      <c r="D975" s="253"/>
      <c r="E975" s="253"/>
      <c r="F975" s="253"/>
      <c r="G975" s="253"/>
      <c r="H975" s="253"/>
      <c r="I975" s="253"/>
      <c r="J975" s="253"/>
      <c r="K975" s="253"/>
      <c r="L975" s="253"/>
      <c r="M975" s="253"/>
      <c r="N975" s="253"/>
      <c r="O975" s="253"/>
      <c r="P975" s="253"/>
      <c r="Q975" s="253"/>
    </row>
    <row r="976" spans="1:17">
      <c r="A976" s="253"/>
      <c r="B976" s="253"/>
      <c r="C976" s="253"/>
      <c r="D976" s="253"/>
      <c r="E976" s="253"/>
      <c r="F976" s="253"/>
      <c r="G976" s="253"/>
      <c r="H976" s="253"/>
      <c r="I976" s="253"/>
      <c r="J976" s="253"/>
      <c r="K976" s="253"/>
      <c r="L976" s="253"/>
      <c r="M976" s="253"/>
      <c r="N976" s="253"/>
      <c r="O976" s="253"/>
      <c r="P976" s="253"/>
      <c r="Q976" s="253"/>
    </row>
    <row r="977" spans="1:17">
      <c r="A977" s="253"/>
      <c r="B977" s="253"/>
      <c r="C977" s="253"/>
      <c r="D977" s="253"/>
      <c r="E977" s="253"/>
      <c r="F977" s="253"/>
      <c r="G977" s="253"/>
      <c r="H977" s="253"/>
      <c r="I977" s="253"/>
      <c r="J977" s="253"/>
      <c r="K977" s="253"/>
      <c r="L977" s="253"/>
      <c r="M977" s="253"/>
      <c r="N977" s="253"/>
      <c r="O977" s="253"/>
      <c r="P977" s="253"/>
      <c r="Q977" s="253"/>
    </row>
    <row r="978" spans="1:17">
      <c r="A978" s="253"/>
      <c r="B978" s="253"/>
      <c r="C978" s="253"/>
      <c r="D978" s="253"/>
      <c r="E978" s="253"/>
      <c r="F978" s="253"/>
      <c r="G978" s="253"/>
      <c r="H978" s="253"/>
      <c r="I978" s="253"/>
      <c r="J978" s="253"/>
      <c r="K978" s="253"/>
      <c r="L978" s="253"/>
      <c r="M978" s="253"/>
      <c r="N978" s="253"/>
      <c r="O978" s="253"/>
      <c r="P978" s="253"/>
      <c r="Q978" s="253"/>
    </row>
    <row r="979" spans="1:17">
      <c r="A979" s="253"/>
      <c r="B979" s="253"/>
      <c r="C979" s="253"/>
      <c r="D979" s="253"/>
      <c r="E979" s="253"/>
      <c r="F979" s="253"/>
      <c r="G979" s="253"/>
      <c r="H979" s="253"/>
      <c r="I979" s="253"/>
      <c r="J979" s="253"/>
      <c r="K979" s="253"/>
      <c r="L979" s="253"/>
      <c r="M979" s="253"/>
      <c r="N979" s="253"/>
      <c r="O979" s="253"/>
      <c r="P979" s="253"/>
      <c r="Q979" s="253"/>
    </row>
    <row r="980" spans="1:17">
      <c r="A980" s="253"/>
      <c r="B980" s="253"/>
      <c r="C980" s="253"/>
      <c r="D980" s="253"/>
      <c r="E980" s="253"/>
      <c r="F980" s="253"/>
      <c r="G980" s="253"/>
      <c r="H980" s="253"/>
      <c r="I980" s="253"/>
      <c r="J980" s="253"/>
      <c r="K980" s="253"/>
      <c r="L980" s="253"/>
      <c r="M980" s="253"/>
      <c r="N980" s="253"/>
      <c r="O980" s="253"/>
      <c r="P980" s="253"/>
      <c r="Q980" s="253"/>
    </row>
    <row r="981" spans="1:17">
      <c r="A981" s="253"/>
      <c r="B981" s="253"/>
      <c r="C981" s="253"/>
      <c r="D981" s="253"/>
      <c r="E981" s="253"/>
      <c r="F981" s="253"/>
      <c r="G981" s="253"/>
      <c r="H981" s="253"/>
      <c r="I981" s="253"/>
      <c r="J981" s="253"/>
      <c r="K981" s="253"/>
      <c r="L981" s="253"/>
      <c r="M981" s="253"/>
      <c r="N981" s="253"/>
      <c r="O981" s="253"/>
      <c r="P981" s="253"/>
      <c r="Q981" s="253"/>
    </row>
    <row r="982" spans="1:17">
      <c r="A982" s="253"/>
      <c r="B982" s="253"/>
      <c r="C982" s="253"/>
      <c r="D982" s="253"/>
      <c r="E982" s="253"/>
      <c r="F982" s="253"/>
      <c r="G982" s="253"/>
      <c r="H982" s="253"/>
      <c r="I982" s="253"/>
      <c r="J982" s="253"/>
      <c r="K982" s="253"/>
      <c r="L982" s="253"/>
      <c r="M982" s="253"/>
      <c r="N982" s="253"/>
      <c r="O982" s="253"/>
      <c r="P982" s="253"/>
      <c r="Q982" s="253"/>
    </row>
    <row r="983" spans="1:17">
      <c r="A983" s="253"/>
      <c r="B983" s="253"/>
      <c r="C983" s="253"/>
      <c r="D983" s="253"/>
      <c r="E983" s="253"/>
      <c r="F983" s="253"/>
      <c r="G983" s="253"/>
      <c r="H983" s="253"/>
      <c r="I983" s="253"/>
      <c r="J983" s="253"/>
      <c r="K983" s="253"/>
      <c r="L983" s="253"/>
      <c r="M983" s="253"/>
      <c r="N983" s="253"/>
      <c r="O983" s="253"/>
      <c r="P983" s="253"/>
      <c r="Q983" s="253"/>
    </row>
    <row r="984" spans="1:17">
      <c r="A984" s="253"/>
      <c r="B984" s="253"/>
      <c r="C984" s="253"/>
      <c r="D984" s="253"/>
      <c r="E984" s="253"/>
      <c r="F984" s="253"/>
      <c r="G984" s="253"/>
      <c r="H984" s="253"/>
      <c r="I984" s="253"/>
      <c r="J984" s="253"/>
      <c r="K984" s="253"/>
      <c r="L984" s="253"/>
      <c r="M984" s="253"/>
      <c r="N984" s="253"/>
      <c r="O984" s="253"/>
      <c r="P984" s="253"/>
      <c r="Q984" s="253"/>
    </row>
    <row r="985" spans="1:17">
      <c r="A985" s="253"/>
      <c r="B985" s="253"/>
      <c r="C985" s="253"/>
      <c r="D985" s="253"/>
      <c r="E985" s="253"/>
      <c r="F985" s="253"/>
      <c r="G985" s="253"/>
      <c r="H985" s="253"/>
      <c r="I985" s="253"/>
      <c r="J985" s="253"/>
      <c r="K985" s="253"/>
      <c r="L985" s="253"/>
      <c r="M985" s="253"/>
      <c r="N985" s="253"/>
      <c r="O985" s="253"/>
      <c r="P985" s="253"/>
      <c r="Q985" s="253"/>
    </row>
    <row r="986" spans="1:17">
      <c r="A986" s="253"/>
      <c r="B986" s="253"/>
      <c r="C986" s="253"/>
      <c r="D986" s="253"/>
      <c r="E986" s="253"/>
      <c r="F986" s="253"/>
      <c r="G986" s="253"/>
      <c r="H986" s="253"/>
      <c r="I986" s="253"/>
      <c r="J986" s="253"/>
      <c r="K986" s="253"/>
      <c r="L986" s="253"/>
      <c r="M986" s="253"/>
      <c r="N986" s="253"/>
      <c r="O986" s="253"/>
      <c r="P986" s="253"/>
      <c r="Q986" s="253"/>
    </row>
    <row r="987" spans="1:17">
      <c r="A987" s="253"/>
      <c r="B987" s="253"/>
      <c r="C987" s="253"/>
      <c r="D987" s="253"/>
      <c r="E987" s="253"/>
      <c r="F987" s="253"/>
      <c r="G987" s="253"/>
      <c r="H987" s="253"/>
      <c r="I987" s="253"/>
      <c r="J987" s="253"/>
      <c r="K987" s="253"/>
      <c r="L987" s="253"/>
      <c r="M987" s="253"/>
      <c r="N987" s="253"/>
      <c r="O987" s="253"/>
      <c r="P987" s="253"/>
      <c r="Q987" s="253"/>
    </row>
    <row r="988" spans="1:17">
      <c r="A988" s="253"/>
      <c r="B988" s="253"/>
      <c r="C988" s="253"/>
      <c r="D988" s="253"/>
      <c r="E988" s="253"/>
      <c r="F988" s="253"/>
      <c r="G988" s="253"/>
      <c r="H988" s="253"/>
      <c r="I988" s="253"/>
      <c r="J988" s="253"/>
      <c r="K988" s="253"/>
      <c r="L988" s="253"/>
      <c r="M988" s="253"/>
      <c r="N988" s="253"/>
      <c r="O988" s="253"/>
      <c r="P988" s="253"/>
      <c r="Q988" s="253"/>
    </row>
    <row r="989" spans="1:17">
      <c r="A989" s="253"/>
      <c r="B989" s="253"/>
      <c r="C989" s="253"/>
      <c r="D989" s="253"/>
      <c r="E989" s="253"/>
      <c r="F989" s="253"/>
      <c r="G989" s="253"/>
      <c r="H989" s="253"/>
      <c r="I989" s="253"/>
      <c r="J989" s="253"/>
      <c r="K989" s="253"/>
      <c r="L989" s="253"/>
      <c r="M989" s="253"/>
      <c r="N989" s="253"/>
      <c r="O989" s="253"/>
      <c r="P989" s="253"/>
      <c r="Q989" s="253"/>
    </row>
    <row r="990" spans="1:17">
      <c r="A990" s="253"/>
      <c r="B990" s="253"/>
      <c r="C990" s="253"/>
      <c r="D990" s="253"/>
      <c r="E990" s="253"/>
      <c r="F990" s="253"/>
      <c r="G990" s="253"/>
      <c r="H990" s="253"/>
      <c r="I990" s="253"/>
      <c r="J990" s="253"/>
      <c r="K990" s="253"/>
      <c r="L990" s="253"/>
      <c r="M990" s="253"/>
      <c r="N990" s="253"/>
      <c r="O990" s="253"/>
      <c r="P990" s="253"/>
      <c r="Q990" s="253"/>
    </row>
    <row r="991" spans="1:17">
      <c r="A991" s="253"/>
      <c r="B991" s="253"/>
      <c r="C991" s="253"/>
      <c r="D991" s="253"/>
      <c r="E991" s="253"/>
      <c r="F991" s="253"/>
      <c r="G991" s="253"/>
      <c r="H991" s="253"/>
      <c r="I991" s="253"/>
      <c r="J991" s="253"/>
      <c r="K991" s="253"/>
      <c r="L991" s="253"/>
      <c r="M991" s="253"/>
      <c r="N991" s="253"/>
      <c r="O991" s="253"/>
      <c r="P991" s="253"/>
      <c r="Q991" s="253"/>
    </row>
    <row r="992" spans="1:17">
      <c r="A992" s="253"/>
      <c r="B992" s="253"/>
      <c r="C992" s="253"/>
      <c r="D992" s="253"/>
      <c r="E992" s="253"/>
      <c r="F992" s="253"/>
      <c r="G992" s="253"/>
      <c r="H992" s="253"/>
      <c r="I992" s="253"/>
      <c r="J992" s="253"/>
      <c r="K992" s="253"/>
      <c r="L992" s="253"/>
      <c r="M992" s="253"/>
      <c r="N992" s="253"/>
      <c r="O992" s="253"/>
      <c r="P992" s="253"/>
      <c r="Q992" s="253"/>
    </row>
    <row r="993" spans="1:17">
      <c r="A993" s="253"/>
      <c r="B993" s="253"/>
      <c r="C993" s="253"/>
      <c r="D993" s="253"/>
      <c r="E993" s="253"/>
      <c r="F993" s="253"/>
      <c r="G993" s="253"/>
      <c r="H993" s="253"/>
      <c r="I993" s="253"/>
      <c r="J993" s="253"/>
      <c r="K993" s="253"/>
      <c r="L993" s="253"/>
      <c r="M993" s="253"/>
      <c r="N993" s="253"/>
      <c r="O993" s="253"/>
      <c r="P993" s="253"/>
      <c r="Q993" s="253"/>
    </row>
    <row r="994" spans="1:17">
      <c r="A994" s="253"/>
      <c r="B994" s="253"/>
      <c r="C994" s="253"/>
      <c r="D994" s="253"/>
      <c r="E994" s="253"/>
      <c r="F994" s="253"/>
      <c r="G994" s="253"/>
      <c r="H994" s="253"/>
      <c r="I994" s="253"/>
      <c r="J994" s="253"/>
      <c r="K994" s="253"/>
      <c r="L994" s="253"/>
      <c r="M994" s="253"/>
      <c r="N994" s="253"/>
      <c r="O994" s="253"/>
      <c r="P994" s="253"/>
      <c r="Q994" s="253"/>
    </row>
    <row r="995" spans="1:17">
      <c r="A995" s="253"/>
      <c r="B995" s="253"/>
      <c r="C995" s="253"/>
      <c r="D995" s="253"/>
      <c r="E995" s="253"/>
      <c r="F995" s="253"/>
      <c r="G995" s="253"/>
      <c r="H995" s="253"/>
      <c r="I995" s="253"/>
      <c r="J995" s="253"/>
      <c r="K995" s="253"/>
      <c r="L995" s="253"/>
      <c r="M995" s="253"/>
      <c r="N995" s="253"/>
      <c r="O995" s="253"/>
      <c r="P995" s="253"/>
      <c r="Q995" s="253"/>
    </row>
    <row r="996" spans="1:17">
      <c r="A996" s="253"/>
      <c r="B996" s="253"/>
      <c r="C996" s="253"/>
      <c r="D996" s="253"/>
      <c r="E996" s="253"/>
      <c r="F996" s="253"/>
      <c r="G996" s="253"/>
      <c r="H996" s="253"/>
      <c r="I996" s="253"/>
      <c r="J996" s="253"/>
      <c r="K996" s="253"/>
      <c r="L996" s="253"/>
      <c r="M996" s="253"/>
      <c r="N996" s="253"/>
      <c r="O996" s="253"/>
      <c r="P996" s="253"/>
      <c r="Q996" s="253"/>
    </row>
    <row r="997" spans="1:17">
      <c r="A997" s="253"/>
      <c r="B997" s="253"/>
      <c r="C997" s="253"/>
      <c r="D997" s="253"/>
      <c r="E997" s="253"/>
      <c r="F997" s="253"/>
      <c r="G997" s="253"/>
      <c r="H997" s="253"/>
      <c r="I997" s="253"/>
      <c r="J997" s="253"/>
      <c r="K997" s="253"/>
      <c r="L997" s="253"/>
      <c r="M997" s="253"/>
      <c r="N997" s="253"/>
      <c r="O997" s="253"/>
      <c r="P997" s="253"/>
      <c r="Q997" s="253"/>
    </row>
    <row r="998" spans="1:17">
      <c r="A998" s="253"/>
      <c r="B998" s="253"/>
      <c r="C998" s="253"/>
      <c r="D998" s="253"/>
      <c r="E998" s="253"/>
      <c r="F998" s="253"/>
      <c r="G998" s="253"/>
      <c r="H998" s="253"/>
      <c r="I998" s="253"/>
      <c r="J998" s="253"/>
      <c r="K998" s="253"/>
      <c r="L998" s="253"/>
      <c r="M998" s="253"/>
      <c r="N998" s="253"/>
      <c r="O998" s="253"/>
      <c r="P998" s="253"/>
      <c r="Q998" s="253"/>
    </row>
    <row r="999" spans="1:17">
      <c r="A999" s="253"/>
      <c r="B999" s="253"/>
      <c r="C999" s="253"/>
      <c r="D999" s="253"/>
      <c r="E999" s="253"/>
      <c r="F999" s="253"/>
      <c r="G999" s="253"/>
      <c r="H999" s="253"/>
      <c r="I999" s="253"/>
      <c r="J999" s="253"/>
      <c r="K999" s="253"/>
      <c r="L999" s="253"/>
      <c r="M999" s="253"/>
      <c r="N999" s="253"/>
      <c r="O999" s="253"/>
      <c r="P999" s="253"/>
      <c r="Q999" s="253"/>
    </row>
    <row r="1000" spans="1:17">
      <c r="A1000" s="253"/>
      <c r="B1000" s="253"/>
      <c r="C1000" s="253"/>
      <c r="D1000" s="253"/>
      <c r="E1000" s="253"/>
      <c r="F1000" s="253"/>
      <c r="G1000" s="253"/>
      <c r="H1000" s="253"/>
      <c r="I1000" s="253"/>
      <c r="J1000" s="253"/>
      <c r="K1000" s="253"/>
      <c r="L1000" s="253"/>
      <c r="M1000" s="253"/>
      <c r="N1000" s="253"/>
      <c r="O1000" s="253"/>
      <c r="P1000" s="253"/>
      <c r="Q1000" s="253"/>
    </row>
    <row r="1001" spans="1:17">
      <c r="A1001" s="253"/>
      <c r="B1001" s="253"/>
      <c r="C1001" s="253"/>
      <c r="D1001" s="253"/>
      <c r="E1001" s="253"/>
      <c r="F1001" s="253"/>
      <c r="G1001" s="253"/>
      <c r="H1001" s="253"/>
      <c r="I1001" s="253"/>
      <c r="J1001" s="253"/>
      <c r="K1001" s="253"/>
      <c r="L1001" s="253"/>
      <c r="M1001" s="253"/>
      <c r="N1001" s="253"/>
      <c r="O1001" s="253"/>
      <c r="P1001" s="253"/>
      <c r="Q1001" s="253"/>
    </row>
    <row r="1002" spans="1:17">
      <c r="A1002" s="253"/>
      <c r="B1002" s="253"/>
      <c r="C1002" s="253"/>
      <c r="D1002" s="253"/>
      <c r="E1002" s="253"/>
      <c r="F1002" s="253"/>
      <c r="G1002" s="253"/>
      <c r="H1002" s="253"/>
      <c r="I1002" s="253"/>
      <c r="J1002" s="253"/>
      <c r="K1002" s="253"/>
      <c r="L1002" s="253"/>
      <c r="M1002" s="253"/>
      <c r="N1002" s="253"/>
      <c r="O1002" s="253"/>
      <c r="P1002" s="253"/>
      <c r="Q1002" s="253"/>
    </row>
    <row r="1003" spans="1:17">
      <c r="A1003" s="253"/>
      <c r="B1003" s="253"/>
      <c r="C1003" s="253"/>
      <c r="D1003" s="253"/>
      <c r="E1003" s="253"/>
      <c r="F1003" s="253"/>
      <c r="G1003" s="253"/>
      <c r="H1003" s="253"/>
      <c r="I1003" s="253"/>
      <c r="J1003" s="253"/>
      <c r="K1003" s="253"/>
      <c r="L1003" s="253"/>
      <c r="M1003" s="253"/>
      <c r="N1003" s="253"/>
      <c r="O1003" s="253"/>
      <c r="P1003" s="253"/>
      <c r="Q1003" s="253"/>
    </row>
    <row r="1004" spans="1:17">
      <c r="A1004" s="253"/>
      <c r="B1004" s="253"/>
      <c r="C1004" s="253"/>
      <c r="D1004" s="253"/>
      <c r="E1004" s="253"/>
      <c r="F1004" s="253"/>
      <c r="G1004" s="253"/>
      <c r="H1004" s="253"/>
      <c r="I1004" s="253"/>
      <c r="J1004" s="253"/>
      <c r="K1004" s="253"/>
      <c r="L1004" s="253"/>
      <c r="M1004" s="253"/>
      <c r="N1004" s="253"/>
      <c r="O1004" s="253"/>
      <c r="P1004" s="253"/>
      <c r="Q1004" s="253"/>
    </row>
    <row r="1005" spans="1:17">
      <c r="A1005" s="253"/>
      <c r="B1005" s="253"/>
      <c r="C1005" s="253"/>
      <c r="D1005" s="253"/>
      <c r="E1005" s="253"/>
      <c r="F1005" s="253"/>
      <c r="G1005" s="253"/>
      <c r="H1005" s="253"/>
      <c r="I1005" s="253"/>
      <c r="J1005" s="253"/>
      <c r="K1005" s="253"/>
      <c r="L1005" s="253"/>
      <c r="M1005" s="253"/>
      <c r="N1005" s="253"/>
      <c r="O1005" s="253"/>
      <c r="P1005" s="253"/>
      <c r="Q1005" s="253"/>
    </row>
    <row r="1006" spans="1:17">
      <c r="A1006" s="253"/>
      <c r="B1006" s="253"/>
      <c r="C1006" s="253"/>
      <c r="D1006" s="253"/>
      <c r="E1006" s="253"/>
      <c r="F1006" s="253"/>
      <c r="G1006" s="253"/>
      <c r="H1006" s="253"/>
      <c r="I1006" s="253"/>
      <c r="J1006" s="253"/>
      <c r="K1006" s="253"/>
      <c r="L1006" s="253"/>
      <c r="M1006" s="253"/>
      <c r="N1006" s="253"/>
      <c r="O1006" s="253"/>
      <c r="P1006" s="253"/>
      <c r="Q1006" s="253"/>
    </row>
    <row r="1007" spans="1:17">
      <c r="A1007" s="253"/>
      <c r="B1007" s="253"/>
      <c r="C1007" s="253"/>
      <c r="D1007" s="253"/>
      <c r="E1007" s="253"/>
      <c r="F1007" s="253"/>
      <c r="G1007" s="253"/>
      <c r="H1007" s="253"/>
      <c r="I1007" s="253"/>
      <c r="J1007" s="253"/>
      <c r="K1007" s="253"/>
      <c r="L1007" s="253"/>
      <c r="M1007" s="253"/>
      <c r="N1007" s="253"/>
      <c r="O1007" s="253"/>
      <c r="P1007" s="253"/>
      <c r="Q1007" s="253"/>
    </row>
    <row r="1008" spans="1:17">
      <c r="A1008" s="253"/>
      <c r="B1008" s="253"/>
      <c r="C1008" s="253"/>
      <c r="D1008" s="253"/>
      <c r="E1008" s="253"/>
      <c r="F1008" s="253"/>
      <c r="G1008" s="253"/>
      <c r="H1008" s="253"/>
      <c r="I1008" s="253"/>
      <c r="J1008" s="253"/>
      <c r="K1008" s="253"/>
      <c r="L1008" s="253"/>
      <c r="M1008" s="253"/>
      <c r="N1008" s="253"/>
      <c r="O1008" s="253"/>
      <c r="P1008" s="253"/>
      <c r="Q1008" s="253"/>
    </row>
    <row r="1009" spans="1:17">
      <c r="A1009" s="253"/>
      <c r="B1009" s="253"/>
      <c r="C1009" s="253"/>
      <c r="D1009" s="253"/>
      <c r="E1009" s="253"/>
      <c r="F1009" s="253"/>
      <c r="G1009" s="253"/>
      <c r="H1009" s="253"/>
      <c r="I1009" s="253"/>
      <c r="J1009" s="253"/>
      <c r="K1009" s="253"/>
      <c r="L1009" s="253"/>
      <c r="M1009" s="253"/>
      <c r="N1009" s="253"/>
      <c r="O1009" s="253"/>
      <c r="P1009" s="253"/>
      <c r="Q1009" s="253"/>
    </row>
    <row r="1010" spans="1:17">
      <c r="A1010" s="253"/>
      <c r="B1010" s="253"/>
      <c r="C1010" s="253"/>
      <c r="D1010" s="253"/>
      <c r="E1010" s="253"/>
      <c r="F1010" s="253"/>
      <c r="G1010" s="253"/>
      <c r="H1010" s="253"/>
      <c r="I1010" s="253"/>
      <c r="J1010" s="253"/>
      <c r="K1010" s="253"/>
      <c r="L1010" s="253"/>
      <c r="M1010" s="253"/>
      <c r="N1010" s="253"/>
      <c r="O1010" s="253"/>
      <c r="P1010" s="253"/>
      <c r="Q1010" s="253"/>
    </row>
    <row r="1011" spans="1:17">
      <c r="A1011" s="253"/>
      <c r="B1011" s="253"/>
      <c r="C1011" s="253"/>
      <c r="D1011" s="253"/>
      <c r="E1011" s="253"/>
      <c r="F1011" s="253"/>
      <c r="G1011" s="253"/>
      <c r="H1011" s="253"/>
      <c r="I1011" s="253"/>
      <c r="J1011" s="253"/>
      <c r="K1011" s="253"/>
      <c r="L1011" s="253"/>
      <c r="M1011" s="253"/>
      <c r="N1011" s="253"/>
      <c r="O1011" s="253"/>
      <c r="P1011" s="253"/>
      <c r="Q1011" s="253"/>
    </row>
    <row r="1012" spans="1:17">
      <c r="A1012" s="253"/>
      <c r="B1012" s="253"/>
      <c r="C1012" s="253"/>
      <c r="D1012" s="253"/>
      <c r="E1012" s="253"/>
      <c r="F1012" s="253"/>
      <c r="G1012" s="253"/>
      <c r="H1012" s="253"/>
      <c r="I1012" s="253"/>
      <c r="J1012" s="253"/>
      <c r="K1012" s="253"/>
      <c r="L1012" s="253"/>
      <c r="M1012" s="253"/>
      <c r="N1012" s="253"/>
      <c r="O1012" s="253"/>
      <c r="P1012" s="253"/>
      <c r="Q1012" s="253"/>
    </row>
    <row r="1013" spans="1:17">
      <c r="A1013" s="253"/>
      <c r="B1013" s="253"/>
      <c r="C1013" s="253"/>
      <c r="D1013" s="253"/>
      <c r="E1013" s="253"/>
      <c r="F1013" s="253"/>
      <c r="G1013" s="253"/>
      <c r="H1013" s="253"/>
      <c r="I1013" s="253"/>
      <c r="J1013" s="253"/>
      <c r="K1013" s="253"/>
      <c r="L1013" s="253"/>
      <c r="M1013" s="253"/>
      <c r="N1013" s="253"/>
      <c r="O1013" s="253"/>
      <c r="P1013" s="253"/>
      <c r="Q1013" s="253"/>
    </row>
    <row r="1014" spans="1:17">
      <c r="A1014" s="253"/>
      <c r="B1014" s="253"/>
      <c r="C1014" s="253"/>
      <c r="D1014" s="253"/>
      <c r="E1014" s="253"/>
      <c r="F1014" s="253"/>
      <c r="G1014" s="253"/>
      <c r="H1014" s="253"/>
      <c r="I1014" s="253"/>
      <c r="J1014" s="253"/>
      <c r="K1014" s="253"/>
      <c r="L1014" s="253"/>
      <c r="M1014" s="253"/>
      <c r="N1014" s="253"/>
      <c r="O1014" s="253"/>
      <c r="P1014" s="253"/>
      <c r="Q1014" s="253"/>
    </row>
    <row r="1015" spans="1:17">
      <c r="A1015" s="253"/>
      <c r="B1015" s="253"/>
      <c r="C1015" s="253"/>
      <c r="D1015" s="253"/>
      <c r="E1015" s="253"/>
      <c r="F1015" s="253"/>
      <c r="G1015" s="253"/>
      <c r="H1015" s="253"/>
      <c r="I1015" s="253"/>
      <c r="J1015" s="253"/>
      <c r="K1015" s="253"/>
      <c r="L1015" s="253"/>
      <c r="M1015" s="253"/>
      <c r="N1015" s="253"/>
      <c r="O1015" s="253"/>
      <c r="P1015" s="253"/>
      <c r="Q1015" s="253"/>
    </row>
    <row r="1016" spans="1:17">
      <c r="A1016" s="253"/>
      <c r="B1016" s="253"/>
      <c r="C1016" s="253"/>
      <c r="D1016" s="253"/>
      <c r="E1016" s="253"/>
      <c r="F1016" s="253"/>
      <c r="G1016" s="253"/>
      <c r="H1016" s="253"/>
      <c r="I1016" s="253"/>
      <c r="J1016" s="253"/>
      <c r="K1016" s="253"/>
      <c r="L1016" s="253"/>
      <c r="M1016" s="253"/>
      <c r="N1016" s="253"/>
      <c r="O1016" s="253"/>
      <c r="P1016" s="253"/>
      <c r="Q1016" s="253"/>
    </row>
    <row r="1017" spans="1:17">
      <c r="A1017" s="253"/>
      <c r="B1017" s="253"/>
      <c r="C1017" s="253"/>
      <c r="D1017" s="253"/>
      <c r="E1017" s="253"/>
      <c r="F1017" s="253"/>
      <c r="G1017" s="253"/>
      <c r="H1017" s="253"/>
      <c r="I1017" s="253"/>
      <c r="J1017" s="253"/>
      <c r="K1017" s="253"/>
      <c r="L1017" s="253"/>
      <c r="M1017" s="253"/>
      <c r="N1017" s="253"/>
      <c r="O1017" s="253"/>
      <c r="P1017" s="253"/>
      <c r="Q1017" s="253"/>
    </row>
    <row r="1018" spans="1:17">
      <c r="A1018" s="253"/>
      <c r="B1018" s="253"/>
      <c r="C1018" s="253"/>
      <c r="D1018" s="253"/>
      <c r="E1018" s="253"/>
      <c r="F1018" s="253"/>
      <c r="G1018" s="253"/>
      <c r="H1018" s="253"/>
      <c r="I1018" s="253"/>
      <c r="J1018" s="253"/>
      <c r="K1018" s="253"/>
      <c r="L1018" s="253"/>
      <c r="M1018" s="253"/>
      <c r="N1018" s="253"/>
      <c r="O1018" s="253"/>
      <c r="P1018" s="253"/>
      <c r="Q1018" s="253"/>
    </row>
    <row r="1019" spans="1:17">
      <c r="A1019" s="253"/>
      <c r="B1019" s="253"/>
      <c r="C1019" s="253"/>
      <c r="D1019" s="253"/>
      <c r="E1019" s="253"/>
      <c r="F1019" s="253"/>
      <c r="G1019" s="253"/>
      <c r="H1019" s="253"/>
      <c r="I1019" s="253"/>
      <c r="J1019" s="253"/>
      <c r="K1019" s="253"/>
      <c r="L1019" s="253"/>
      <c r="M1019" s="253"/>
      <c r="N1019" s="253"/>
      <c r="O1019" s="253"/>
      <c r="P1019" s="253"/>
      <c r="Q1019" s="253"/>
    </row>
    <row r="1020" spans="1:17">
      <c r="A1020" s="253"/>
      <c r="B1020" s="253"/>
      <c r="C1020" s="253"/>
      <c r="D1020" s="253"/>
      <c r="E1020" s="253"/>
      <c r="F1020" s="253"/>
      <c r="G1020" s="253"/>
      <c r="H1020" s="253"/>
      <c r="I1020" s="253"/>
      <c r="J1020" s="253"/>
      <c r="K1020" s="253"/>
      <c r="L1020" s="253"/>
      <c r="M1020" s="253"/>
      <c r="N1020" s="253"/>
      <c r="O1020" s="253"/>
      <c r="P1020" s="253"/>
      <c r="Q1020" s="253"/>
    </row>
    <row r="1021" spans="1:17">
      <c r="A1021" s="253"/>
      <c r="B1021" s="253"/>
      <c r="C1021" s="253"/>
      <c r="D1021" s="253"/>
      <c r="E1021" s="253"/>
      <c r="F1021" s="253"/>
      <c r="G1021" s="253"/>
      <c r="H1021" s="253"/>
      <c r="I1021" s="253"/>
      <c r="J1021" s="253"/>
      <c r="K1021" s="253"/>
      <c r="L1021" s="253"/>
      <c r="M1021" s="253"/>
      <c r="N1021" s="253"/>
      <c r="O1021" s="253"/>
      <c r="P1021" s="253"/>
      <c r="Q1021" s="253"/>
    </row>
    <row r="1022" spans="1:17">
      <c r="A1022" s="253"/>
      <c r="B1022" s="253"/>
      <c r="C1022" s="253"/>
      <c r="D1022" s="253"/>
      <c r="E1022" s="253"/>
      <c r="F1022" s="253"/>
      <c r="G1022" s="253"/>
      <c r="H1022" s="253"/>
      <c r="I1022" s="253"/>
      <c r="J1022" s="253"/>
      <c r="K1022" s="253"/>
      <c r="L1022" s="253"/>
      <c r="M1022" s="253"/>
      <c r="N1022" s="253"/>
      <c r="O1022" s="253"/>
      <c r="P1022" s="253"/>
      <c r="Q1022" s="253"/>
    </row>
    <row r="1023" spans="1:17">
      <c r="A1023" s="253"/>
      <c r="B1023" s="253"/>
      <c r="C1023" s="253"/>
      <c r="D1023" s="253"/>
      <c r="E1023" s="253"/>
      <c r="F1023" s="253"/>
      <c r="G1023" s="253"/>
      <c r="H1023" s="253"/>
      <c r="I1023" s="253"/>
      <c r="J1023" s="253"/>
      <c r="K1023" s="253"/>
      <c r="L1023" s="253"/>
      <c r="M1023" s="253"/>
      <c r="N1023" s="253"/>
      <c r="O1023" s="253"/>
      <c r="P1023" s="253"/>
      <c r="Q1023" s="253"/>
    </row>
    <row r="1024" spans="1:17">
      <c r="A1024" s="253"/>
      <c r="B1024" s="253"/>
      <c r="C1024" s="253"/>
      <c r="D1024" s="253"/>
      <c r="E1024" s="253"/>
      <c r="F1024" s="253"/>
      <c r="G1024" s="253"/>
      <c r="H1024" s="253"/>
      <c r="I1024" s="253"/>
      <c r="J1024" s="253"/>
      <c r="K1024" s="253"/>
      <c r="L1024" s="253"/>
      <c r="M1024" s="253"/>
      <c r="N1024" s="253"/>
      <c r="O1024" s="253"/>
      <c r="P1024" s="253"/>
      <c r="Q1024" s="253"/>
    </row>
    <row r="1025" spans="1:17">
      <c r="A1025" s="253"/>
      <c r="B1025" s="253"/>
      <c r="C1025" s="253"/>
      <c r="D1025" s="253"/>
      <c r="E1025" s="253"/>
      <c r="F1025" s="253"/>
      <c r="G1025" s="253"/>
      <c r="H1025" s="253"/>
      <c r="I1025" s="253"/>
      <c r="J1025" s="253"/>
      <c r="K1025" s="253"/>
      <c r="L1025" s="253"/>
      <c r="M1025" s="253"/>
      <c r="N1025" s="253"/>
      <c r="O1025" s="253"/>
      <c r="P1025" s="253"/>
      <c r="Q1025" s="253"/>
    </row>
    <row r="1026" spans="1:17">
      <c r="A1026" s="253"/>
      <c r="B1026" s="253"/>
      <c r="C1026" s="253"/>
      <c r="D1026" s="253"/>
      <c r="E1026" s="253"/>
      <c r="F1026" s="253"/>
      <c r="G1026" s="253"/>
      <c r="H1026" s="253"/>
      <c r="I1026" s="253"/>
      <c r="J1026" s="253"/>
      <c r="K1026" s="253"/>
      <c r="L1026" s="253"/>
      <c r="M1026" s="253"/>
      <c r="N1026" s="253"/>
      <c r="O1026" s="253"/>
      <c r="P1026" s="253"/>
      <c r="Q1026" s="253"/>
    </row>
    <row r="1027" spans="1:17">
      <c r="A1027" s="253"/>
      <c r="B1027" s="253"/>
      <c r="C1027" s="253"/>
      <c r="D1027" s="253"/>
      <c r="E1027" s="253"/>
      <c r="F1027" s="253"/>
      <c r="G1027" s="253"/>
      <c r="H1027" s="253"/>
      <c r="I1027" s="253"/>
      <c r="J1027" s="253"/>
      <c r="K1027" s="253"/>
      <c r="L1027" s="253"/>
      <c r="M1027" s="253"/>
      <c r="N1027" s="253"/>
      <c r="O1027" s="253"/>
      <c r="P1027" s="253"/>
      <c r="Q1027" s="253"/>
    </row>
    <row r="1028" spans="1:17">
      <c r="A1028" s="253"/>
      <c r="B1028" s="253"/>
      <c r="C1028" s="253"/>
      <c r="D1028" s="253"/>
      <c r="E1028" s="253"/>
      <c r="F1028" s="253"/>
      <c r="G1028" s="253"/>
      <c r="H1028" s="253"/>
      <c r="I1028" s="253"/>
      <c r="J1028" s="253"/>
      <c r="K1028" s="253"/>
      <c r="L1028" s="253"/>
      <c r="M1028" s="253"/>
      <c r="N1028" s="253"/>
      <c r="O1028" s="253"/>
      <c r="P1028" s="253"/>
      <c r="Q1028" s="253"/>
    </row>
    <row r="1029" spans="1:17">
      <c r="A1029" s="253"/>
      <c r="B1029" s="253"/>
      <c r="C1029" s="253"/>
      <c r="D1029" s="253"/>
      <c r="E1029" s="253"/>
      <c r="F1029" s="253"/>
      <c r="G1029" s="253"/>
      <c r="H1029" s="253"/>
      <c r="I1029" s="253"/>
      <c r="J1029" s="253"/>
      <c r="K1029" s="253"/>
      <c r="L1029" s="253"/>
      <c r="M1029" s="253"/>
      <c r="N1029" s="253"/>
      <c r="O1029" s="253"/>
      <c r="P1029" s="253"/>
      <c r="Q1029" s="253"/>
    </row>
    <row r="1030" spans="1:17">
      <c r="A1030" s="253"/>
      <c r="B1030" s="253"/>
      <c r="C1030" s="253"/>
      <c r="D1030" s="253"/>
      <c r="E1030" s="253"/>
      <c r="F1030" s="253"/>
      <c r="G1030" s="253"/>
      <c r="H1030" s="253"/>
      <c r="I1030" s="253"/>
      <c r="J1030" s="253"/>
      <c r="K1030" s="253"/>
      <c r="L1030" s="253"/>
      <c r="M1030" s="253"/>
      <c r="N1030" s="253"/>
      <c r="O1030" s="253"/>
      <c r="P1030" s="253"/>
      <c r="Q1030" s="253"/>
    </row>
    <row r="1031" spans="1:17">
      <c r="A1031" s="253"/>
      <c r="B1031" s="253"/>
      <c r="C1031" s="253"/>
      <c r="D1031" s="253"/>
      <c r="E1031" s="253"/>
      <c r="F1031" s="253"/>
      <c r="G1031" s="253"/>
      <c r="H1031" s="253"/>
      <c r="I1031" s="253"/>
      <c r="J1031" s="253"/>
      <c r="K1031" s="253"/>
      <c r="L1031" s="253"/>
      <c r="M1031" s="253"/>
      <c r="N1031" s="253"/>
      <c r="O1031" s="253"/>
      <c r="P1031" s="253"/>
      <c r="Q1031" s="253"/>
    </row>
    <row r="1032" spans="1:17">
      <c r="A1032" s="253"/>
      <c r="B1032" s="253"/>
      <c r="C1032" s="253"/>
      <c r="D1032" s="253"/>
      <c r="E1032" s="253"/>
      <c r="F1032" s="253"/>
      <c r="G1032" s="253"/>
      <c r="H1032" s="253"/>
      <c r="I1032" s="253"/>
      <c r="J1032" s="253"/>
      <c r="K1032" s="253"/>
      <c r="L1032" s="253"/>
      <c r="M1032" s="253"/>
      <c r="N1032" s="253"/>
      <c r="O1032" s="253"/>
      <c r="P1032" s="253"/>
      <c r="Q1032" s="253"/>
    </row>
    <row r="1033" spans="1:17">
      <c r="A1033" s="253"/>
      <c r="B1033" s="253"/>
      <c r="C1033" s="253"/>
      <c r="D1033" s="253"/>
      <c r="E1033" s="253"/>
      <c r="F1033" s="253"/>
      <c r="G1033" s="253"/>
      <c r="H1033" s="253"/>
      <c r="I1033" s="253"/>
      <c r="J1033" s="253"/>
      <c r="K1033" s="253"/>
      <c r="L1033" s="253"/>
      <c r="M1033" s="253"/>
      <c r="N1033" s="253"/>
      <c r="O1033" s="253"/>
      <c r="P1033" s="253"/>
      <c r="Q1033" s="253"/>
    </row>
    <row r="1034" spans="1:17">
      <c r="A1034" s="253"/>
      <c r="B1034" s="253"/>
      <c r="C1034" s="253"/>
      <c r="D1034" s="253"/>
      <c r="E1034" s="253"/>
      <c r="F1034" s="253"/>
      <c r="G1034" s="253"/>
      <c r="H1034" s="253"/>
      <c r="I1034" s="253"/>
      <c r="J1034" s="253"/>
      <c r="K1034" s="253"/>
      <c r="L1034" s="253"/>
      <c r="M1034" s="253"/>
      <c r="N1034" s="253"/>
      <c r="O1034" s="253"/>
      <c r="P1034" s="253"/>
      <c r="Q1034" s="253"/>
    </row>
    <row r="1035" spans="1:17">
      <c r="A1035" s="253"/>
      <c r="B1035" s="253"/>
      <c r="C1035" s="253"/>
      <c r="D1035" s="253"/>
      <c r="E1035" s="253"/>
      <c r="F1035" s="253"/>
      <c r="G1035" s="253"/>
      <c r="H1035" s="253"/>
      <c r="I1035" s="253"/>
      <c r="J1035" s="253"/>
      <c r="K1035" s="253"/>
      <c r="L1035" s="253"/>
      <c r="M1035" s="253"/>
      <c r="N1035" s="253"/>
      <c r="O1035" s="253"/>
      <c r="P1035" s="253"/>
      <c r="Q1035" s="253"/>
    </row>
    <row r="1036" spans="1:17">
      <c r="A1036" s="253"/>
      <c r="B1036" s="253"/>
      <c r="C1036" s="253"/>
      <c r="D1036" s="253"/>
      <c r="E1036" s="253"/>
      <c r="F1036" s="253"/>
      <c r="G1036" s="253"/>
      <c r="H1036" s="253"/>
      <c r="I1036" s="253"/>
      <c r="J1036" s="253"/>
      <c r="K1036" s="253"/>
      <c r="L1036" s="253"/>
      <c r="M1036" s="253"/>
      <c r="N1036" s="253"/>
      <c r="O1036" s="253"/>
      <c r="P1036" s="253"/>
      <c r="Q1036" s="253"/>
    </row>
    <row r="1037" spans="1:17">
      <c r="A1037" s="253"/>
      <c r="B1037" s="253"/>
      <c r="C1037" s="253"/>
      <c r="D1037" s="253"/>
      <c r="E1037" s="253"/>
      <c r="F1037" s="253"/>
      <c r="G1037" s="253"/>
      <c r="H1037" s="253"/>
      <c r="I1037" s="253"/>
      <c r="J1037" s="253"/>
      <c r="K1037" s="253"/>
      <c r="L1037" s="253"/>
      <c r="M1037" s="253"/>
      <c r="N1037" s="253"/>
      <c r="O1037" s="253"/>
      <c r="P1037" s="253"/>
      <c r="Q1037" s="253"/>
    </row>
    <row r="1038" spans="1:17">
      <c r="A1038" s="253"/>
      <c r="B1038" s="253"/>
      <c r="C1038" s="253"/>
      <c r="D1038" s="253"/>
      <c r="E1038" s="253"/>
      <c r="F1038" s="253"/>
      <c r="G1038" s="253"/>
      <c r="H1038" s="253"/>
      <c r="I1038" s="253"/>
      <c r="J1038" s="253"/>
      <c r="K1038" s="253"/>
      <c r="L1038" s="253"/>
      <c r="M1038" s="253"/>
      <c r="N1038" s="253"/>
      <c r="O1038" s="253"/>
      <c r="P1038" s="253"/>
      <c r="Q1038" s="253"/>
    </row>
    <row r="1039" spans="1:17">
      <c r="A1039" s="253"/>
      <c r="B1039" s="253"/>
      <c r="C1039" s="253"/>
      <c r="D1039" s="253"/>
      <c r="E1039" s="253"/>
      <c r="F1039" s="253"/>
      <c r="G1039" s="253"/>
      <c r="H1039" s="253"/>
      <c r="I1039" s="253"/>
      <c r="J1039" s="253"/>
      <c r="K1039" s="253"/>
      <c r="L1039" s="253"/>
      <c r="M1039" s="253"/>
      <c r="N1039" s="253"/>
      <c r="O1039" s="253"/>
      <c r="P1039" s="253"/>
      <c r="Q1039" s="253"/>
    </row>
    <row r="1040" spans="1:17">
      <c r="A1040" s="253"/>
      <c r="B1040" s="253"/>
      <c r="C1040" s="253"/>
      <c r="D1040" s="253"/>
      <c r="E1040" s="253"/>
      <c r="F1040" s="253"/>
      <c r="G1040" s="253"/>
      <c r="H1040" s="253"/>
      <c r="I1040" s="253"/>
      <c r="J1040" s="253"/>
      <c r="K1040" s="253"/>
      <c r="L1040" s="253"/>
      <c r="M1040" s="253"/>
      <c r="N1040" s="253"/>
      <c r="O1040" s="253"/>
      <c r="P1040" s="253"/>
      <c r="Q1040" s="253"/>
    </row>
    <row r="1041" spans="1:17">
      <c r="A1041" s="253"/>
      <c r="B1041" s="253"/>
      <c r="C1041" s="253"/>
      <c r="D1041" s="253"/>
      <c r="E1041" s="253"/>
      <c r="F1041" s="253"/>
      <c r="G1041" s="253"/>
      <c r="H1041" s="253"/>
      <c r="I1041" s="253"/>
      <c r="J1041" s="253"/>
      <c r="K1041" s="253"/>
      <c r="L1041" s="253"/>
      <c r="M1041" s="253"/>
      <c r="N1041" s="253"/>
      <c r="O1041" s="253"/>
      <c r="P1041" s="253"/>
      <c r="Q1041" s="253"/>
    </row>
    <row r="1042" spans="1:17">
      <c r="A1042" s="253"/>
      <c r="B1042" s="253"/>
      <c r="C1042" s="253"/>
      <c r="D1042" s="253"/>
      <c r="E1042" s="253"/>
      <c r="F1042" s="253"/>
      <c r="G1042" s="253"/>
      <c r="H1042" s="253"/>
      <c r="I1042" s="253"/>
      <c r="J1042" s="253"/>
      <c r="K1042" s="253"/>
      <c r="L1042" s="253"/>
      <c r="M1042" s="253"/>
      <c r="N1042" s="253"/>
      <c r="O1042" s="253"/>
      <c r="P1042" s="253"/>
      <c r="Q1042" s="253"/>
    </row>
    <row r="1043" spans="1:17">
      <c r="A1043" s="253"/>
      <c r="B1043" s="253"/>
      <c r="C1043" s="253"/>
      <c r="D1043" s="253"/>
      <c r="E1043" s="253"/>
      <c r="F1043" s="253"/>
      <c r="G1043" s="253"/>
      <c r="H1043" s="253"/>
      <c r="I1043" s="253"/>
      <c r="J1043" s="253"/>
      <c r="K1043" s="253"/>
      <c r="L1043" s="253"/>
      <c r="M1043" s="253"/>
      <c r="N1043" s="253"/>
      <c r="O1043" s="253"/>
      <c r="P1043" s="253"/>
      <c r="Q1043" s="253"/>
    </row>
    <row r="1044" spans="1:17">
      <c r="A1044" s="253"/>
      <c r="B1044" s="253"/>
      <c r="C1044" s="253"/>
      <c r="D1044" s="253"/>
      <c r="E1044" s="253"/>
      <c r="F1044" s="253"/>
      <c r="G1044" s="253"/>
      <c r="H1044" s="253"/>
      <c r="I1044" s="253"/>
      <c r="J1044" s="253"/>
      <c r="K1044" s="253"/>
      <c r="L1044" s="253"/>
      <c r="M1044" s="253"/>
      <c r="N1044" s="253"/>
      <c r="O1044" s="253"/>
      <c r="P1044" s="253"/>
      <c r="Q1044" s="253"/>
    </row>
    <row r="1045" spans="1:17">
      <c r="A1045" s="253"/>
      <c r="B1045" s="253"/>
      <c r="C1045" s="253"/>
      <c r="D1045" s="253"/>
      <c r="E1045" s="253"/>
      <c r="F1045" s="253"/>
      <c r="G1045" s="253"/>
      <c r="H1045" s="253"/>
      <c r="I1045" s="253"/>
      <c r="J1045" s="253"/>
      <c r="K1045" s="253"/>
      <c r="L1045" s="253"/>
      <c r="M1045" s="253"/>
      <c r="N1045" s="253"/>
      <c r="O1045" s="253"/>
      <c r="P1045" s="253"/>
      <c r="Q1045" s="253"/>
    </row>
    <row r="1046" spans="1:17">
      <c r="A1046" s="253"/>
      <c r="B1046" s="253"/>
      <c r="C1046" s="253"/>
      <c r="D1046" s="253"/>
      <c r="E1046" s="253"/>
      <c r="F1046" s="253"/>
      <c r="G1046" s="253"/>
      <c r="H1046" s="253"/>
      <c r="I1046" s="253"/>
      <c r="J1046" s="253"/>
      <c r="K1046" s="253"/>
      <c r="L1046" s="253"/>
      <c r="M1046" s="253"/>
      <c r="N1046" s="253"/>
      <c r="O1046" s="253"/>
      <c r="P1046" s="253"/>
      <c r="Q1046" s="253"/>
    </row>
    <row r="1047" spans="1:17">
      <c r="A1047" s="253"/>
      <c r="B1047" s="253"/>
      <c r="C1047" s="253"/>
      <c r="D1047" s="253"/>
      <c r="E1047" s="253"/>
      <c r="F1047" s="253"/>
      <c r="G1047" s="253"/>
      <c r="H1047" s="253"/>
      <c r="I1047" s="253"/>
      <c r="J1047" s="253"/>
      <c r="K1047" s="253"/>
      <c r="L1047" s="253"/>
      <c r="M1047" s="253"/>
      <c r="N1047" s="253"/>
      <c r="O1047" s="253"/>
      <c r="P1047" s="253"/>
      <c r="Q1047" s="253"/>
    </row>
    <row r="1048" spans="1:17">
      <c r="A1048" s="253"/>
      <c r="B1048" s="253"/>
      <c r="C1048" s="253"/>
      <c r="D1048" s="253"/>
      <c r="E1048" s="253"/>
      <c r="F1048" s="253"/>
      <c r="G1048" s="253"/>
      <c r="H1048" s="253"/>
      <c r="I1048" s="253"/>
      <c r="J1048" s="253"/>
      <c r="K1048" s="253"/>
      <c r="L1048" s="253"/>
      <c r="M1048" s="253"/>
      <c r="N1048" s="253"/>
      <c r="O1048" s="253"/>
      <c r="P1048" s="253"/>
      <c r="Q1048" s="253"/>
    </row>
    <row r="1049" spans="1:17">
      <c r="A1049" s="253"/>
      <c r="B1049" s="253"/>
      <c r="C1049" s="253"/>
      <c r="D1049" s="253"/>
      <c r="E1049" s="253"/>
      <c r="F1049" s="253"/>
      <c r="G1049" s="253"/>
      <c r="H1049" s="253"/>
      <c r="I1049" s="253"/>
      <c r="J1049" s="253"/>
      <c r="K1049" s="253"/>
      <c r="L1049" s="253"/>
      <c r="M1049" s="253"/>
      <c r="N1049" s="253"/>
      <c r="O1049" s="253"/>
      <c r="P1049" s="253"/>
      <c r="Q1049" s="253"/>
    </row>
    <row r="1050" spans="1:17">
      <c r="A1050" s="253"/>
      <c r="B1050" s="253"/>
      <c r="C1050" s="253"/>
      <c r="D1050" s="253"/>
      <c r="E1050" s="253"/>
      <c r="F1050" s="253"/>
      <c r="G1050" s="253"/>
      <c r="H1050" s="253"/>
      <c r="I1050" s="253"/>
      <c r="J1050" s="253"/>
      <c r="K1050" s="253"/>
      <c r="L1050" s="253"/>
      <c r="M1050" s="253"/>
      <c r="N1050" s="253"/>
      <c r="O1050" s="253"/>
      <c r="P1050" s="253"/>
      <c r="Q1050" s="253"/>
    </row>
    <row r="1051" spans="1:17">
      <c r="A1051" s="253"/>
      <c r="B1051" s="253"/>
      <c r="C1051" s="253"/>
      <c r="D1051" s="253"/>
      <c r="E1051" s="253"/>
      <c r="F1051" s="253"/>
      <c r="G1051" s="253"/>
      <c r="H1051" s="253"/>
      <c r="I1051" s="253"/>
      <c r="J1051" s="253"/>
      <c r="K1051" s="253"/>
      <c r="L1051" s="253"/>
      <c r="M1051" s="253"/>
      <c r="N1051" s="253"/>
      <c r="O1051" s="253"/>
      <c r="P1051" s="253"/>
      <c r="Q1051" s="253"/>
    </row>
    <row r="1052" spans="1:17">
      <c r="A1052" s="253"/>
      <c r="B1052" s="253"/>
      <c r="C1052" s="253"/>
      <c r="D1052" s="253"/>
      <c r="E1052" s="253"/>
      <c r="F1052" s="253"/>
      <c r="G1052" s="253"/>
      <c r="H1052" s="253"/>
      <c r="I1052" s="253"/>
      <c r="J1052" s="253"/>
      <c r="K1052" s="253"/>
      <c r="L1052" s="253"/>
      <c r="M1052" s="253"/>
      <c r="N1052" s="253"/>
      <c r="O1052" s="253"/>
      <c r="P1052" s="253"/>
      <c r="Q1052" s="253"/>
    </row>
    <row r="1053" spans="1:17">
      <c r="A1053" s="253"/>
      <c r="B1053" s="253"/>
      <c r="C1053" s="253"/>
      <c r="D1053" s="253"/>
      <c r="E1053" s="253"/>
      <c r="F1053" s="253"/>
      <c r="G1053" s="253"/>
      <c r="H1053" s="253"/>
      <c r="I1053" s="253"/>
      <c r="J1053" s="253"/>
      <c r="K1053" s="253"/>
      <c r="L1053" s="253"/>
      <c r="M1053" s="253"/>
      <c r="N1053" s="253"/>
      <c r="O1053" s="253"/>
      <c r="P1053" s="253"/>
      <c r="Q1053" s="253"/>
    </row>
    <row r="1054" spans="1:17">
      <c r="A1054" s="253"/>
      <c r="B1054" s="253"/>
      <c r="C1054" s="253"/>
      <c r="D1054" s="253"/>
      <c r="E1054" s="253"/>
      <c r="F1054" s="253"/>
      <c r="G1054" s="253"/>
      <c r="H1054" s="253"/>
      <c r="I1054" s="253"/>
      <c r="J1054" s="253"/>
      <c r="K1054" s="253"/>
      <c r="L1054" s="253"/>
      <c r="M1054" s="253"/>
      <c r="N1054" s="253"/>
      <c r="O1054" s="253"/>
      <c r="P1054" s="253"/>
      <c r="Q1054" s="253"/>
    </row>
    <row r="1055" spans="1:17">
      <c r="A1055" s="253"/>
      <c r="B1055" s="253"/>
      <c r="C1055" s="253"/>
      <c r="D1055" s="253"/>
      <c r="E1055" s="253"/>
      <c r="F1055" s="253"/>
      <c r="G1055" s="253"/>
      <c r="H1055" s="253"/>
      <c r="I1055" s="253"/>
      <c r="J1055" s="253"/>
      <c r="K1055" s="253"/>
      <c r="L1055" s="253"/>
      <c r="M1055" s="253"/>
      <c r="N1055" s="253"/>
      <c r="O1055" s="253"/>
      <c r="P1055" s="253"/>
      <c r="Q1055" s="253"/>
    </row>
    <row r="1056" spans="1:17">
      <c r="A1056" s="253"/>
      <c r="B1056" s="253"/>
      <c r="C1056" s="253"/>
      <c r="D1056" s="253"/>
      <c r="E1056" s="253"/>
      <c r="F1056" s="253"/>
      <c r="G1056" s="253"/>
      <c r="H1056" s="253"/>
      <c r="I1056" s="253"/>
      <c r="J1056" s="253"/>
      <c r="K1056" s="253"/>
      <c r="L1056" s="253"/>
      <c r="M1056" s="253"/>
      <c r="N1056" s="253"/>
      <c r="O1056" s="253"/>
      <c r="P1056" s="253"/>
      <c r="Q1056" s="253"/>
    </row>
    <row r="1057" spans="1:17">
      <c r="A1057" s="253"/>
      <c r="B1057" s="253"/>
      <c r="C1057" s="253"/>
      <c r="D1057" s="253"/>
      <c r="E1057" s="253"/>
      <c r="F1057" s="253"/>
      <c r="G1057" s="253"/>
      <c r="H1057" s="253"/>
      <c r="I1057" s="253"/>
      <c r="J1057" s="253"/>
      <c r="K1057" s="253"/>
      <c r="L1057" s="253"/>
      <c r="M1057" s="253"/>
      <c r="N1057" s="253"/>
      <c r="O1057" s="253"/>
      <c r="P1057" s="253"/>
      <c r="Q1057" s="253"/>
    </row>
    <row r="1058" spans="1:17">
      <c r="A1058" s="253"/>
      <c r="B1058" s="253"/>
      <c r="C1058" s="253"/>
      <c r="D1058" s="253"/>
      <c r="E1058" s="253"/>
      <c r="F1058" s="253"/>
      <c r="G1058" s="253"/>
      <c r="H1058" s="253"/>
      <c r="I1058" s="253"/>
      <c r="J1058" s="253"/>
      <c r="K1058" s="253"/>
      <c r="L1058" s="253"/>
      <c r="M1058" s="253"/>
      <c r="N1058" s="253"/>
      <c r="O1058" s="253"/>
      <c r="P1058" s="253"/>
      <c r="Q1058" s="253"/>
    </row>
    <row r="1059" spans="1:17">
      <c r="A1059" s="253"/>
      <c r="B1059" s="253"/>
      <c r="C1059" s="253"/>
      <c r="D1059" s="253"/>
      <c r="E1059" s="253"/>
      <c r="F1059" s="253"/>
      <c r="G1059" s="253"/>
      <c r="H1059" s="253"/>
      <c r="I1059" s="253"/>
      <c r="J1059" s="253"/>
      <c r="K1059" s="253"/>
      <c r="L1059" s="253"/>
      <c r="M1059" s="253"/>
      <c r="N1059" s="253"/>
      <c r="O1059" s="253"/>
      <c r="P1059" s="253"/>
      <c r="Q1059" s="253"/>
    </row>
    <row r="1060" spans="1:17">
      <c r="A1060" s="253"/>
      <c r="B1060" s="253"/>
      <c r="C1060" s="253"/>
      <c r="D1060" s="253"/>
      <c r="E1060" s="253"/>
      <c r="F1060" s="253"/>
      <c r="G1060" s="253"/>
      <c r="H1060" s="253"/>
      <c r="I1060" s="253"/>
      <c r="J1060" s="253"/>
      <c r="K1060" s="253"/>
      <c r="L1060" s="253"/>
      <c r="M1060" s="253"/>
      <c r="N1060" s="253"/>
      <c r="O1060" s="253"/>
      <c r="P1060" s="253"/>
      <c r="Q1060" s="253"/>
    </row>
    <row r="1061" spans="1:17">
      <c r="A1061" s="253"/>
      <c r="B1061" s="253"/>
      <c r="C1061" s="253"/>
      <c r="D1061" s="253"/>
      <c r="E1061" s="253"/>
      <c r="F1061" s="253"/>
      <c r="G1061" s="253"/>
      <c r="H1061" s="253"/>
      <c r="I1061" s="253"/>
      <c r="J1061" s="253"/>
      <c r="K1061" s="253"/>
      <c r="L1061" s="253"/>
      <c r="M1061" s="253"/>
      <c r="N1061" s="253"/>
      <c r="O1061" s="253"/>
      <c r="P1061" s="253"/>
      <c r="Q1061" s="253"/>
    </row>
    <row r="1062" spans="1:17">
      <c r="A1062" s="253"/>
      <c r="B1062" s="253"/>
      <c r="C1062" s="253"/>
      <c r="D1062" s="253"/>
      <c r="E1062" s="253"/>
      <c r="F1062" s="253"/>
      <c r="G1062" s="253"/>
      <c r="H1062" s="253"/>
      <c r="I1062" s="253"/>
      <c r="J1062" s="253"/>
      <c r="K1062" s="253"/>
      <c r="L1062" s="253"/>
      <c r="M1062" s="253"/>
      <c r="N1062" s="253"/>
      <c r="O1062" s="253"/>
      <c r="P1062" s="253"/>
      <c r="Q1062" s="253"/>
    </row>
    <row r="1063" spans="1:17">
      <c r="A1063" s="253"/>
      <c r="B1063" s="253"/>
      <c r="C1063" s="253"/>
      <c r="D1063" s="253"/>
      <c r="E1063" s="253"/>
      <c r="F1063" s="253"/>
      <c r="G1063" s="253"/>
      <c r="H1063" s="253"/>
      <c r="I1063" s="253"/>
      <c r="J1063" s="253"/>
      <c r="K1063" s="253"/>
      <c r="L1063" s="253"/>
      <c r="M1063" s="253"/>
      <c r="N1063" s="253"/>
      <c r="O1063" s="253"/>
      <c r="P1063" s="253"/>
      <c r="Q1063" s="253"/>
    </row>
    <row r="1064" spans="1:17">
      <c r="A1064" s="253"/>
      <c r="B1064" s="253"/>
      <c r="C1064" s="253"/>
      <c r="D1064" s="253"/>
      <c r="E1064" s="253"/>
      <c r="F1064" s="253"/>
      <c r="G1064" s="253"/>
      <c r="H1064" s="253"/>
      <c r="I1064" s="253"/>
      <c r="J1064" s="253"/>
      <c r="K1064" s="253"/>
      <c r="L1064" s="253"/>
      <c r="M1064" s="253"/>
      <c r="N1064" s="253"/>
      <c r="O1064" s="253"/>
      <c r="P1064" s="253"/>
      <c r="Q1064" s="253"/>
    </row>
    <row r="1065" spans="1:17">
      <c r="A1065" s="253"/>
      <c r="B1065" s="253"/>
      <c r="C1065" s="253"/>
      <c r="D1065" s="253"/>
      <c r="E1065" s="253"/>
      <c r="F1065" s="253"/>
      <c r="G1065" s="253"/>
      <c r="H1065" s="253"/>
      <c r="I1065" s="253"/>
      <c r="J1065" s="253"/>
      <c r="K1065" s="253"/>
      <c r="L1065" s="253"/>
      <c r="M1065" s="253"/>
      <c r="N1065" s="253"/>
      <c r="O1065" s="253"/>
      <c r="P1065" s="253"/>
      <c r="Q1065" s="253"/>
    </row>
    <row r="1066" spans="1:17">
      <c r="A1066" s="253"/>
      <c r="B1066" s="253"/>
      <c r="C1066" s="253"/>
      <c r="D1066" s="253"/>
      <c r="E1066" s="253"/>
      <c r="F1066" s="253"/>
      <c r="G1066" s="253"/>
      <c r="H1066" s="253"/>
      <c r="I1066" s="253"/>
      <c r="J1066" s="253"/>
      <c r="K1066" s="253"/>
      <c r="L1066" s="253"/>
      <c r="M1066" s="253"/>
      <c r="N1066" s="253"/>
      <c r="O1066" s="253"/>
      <c r="P1066" s="253"/>
      <c r="Q1066" s="253"/>
    </row>
    <row r="1067" spans="1:17">
      <c r="A1067" s="253"/>
      <c r="B1067" s="253"/>
      <c r="C1067" s="253"/>
      <c r="D1067" s="253"/>
      <c r="E1067" s="253"/>
      <c r="F1067" s="253"/>
      <c r="G1067" s="253"/>
      <c r="H1067" s="253"/>
      <c r="I1067" s="253"/>
      <c r="J1067" s="253"/>
      <c r="K1067" s="253"/>
      <c r="L1067" s="253"/>
      <c r="M1067" s="253"/>
      <c r="N1067" s="253"/>
      <c r="O1067" s="253"/>
      <c r="P1067" s="253"/>
      <c r="Q1067" s="253"/>
    </row>
    <row r="1068" spans="1:17">
      <c r="A1068" s="253"/>
      <c r="B1068" s="253"/>
      <c r="C1068" s="253"/>
      <c r="D1068" s="253"/>
      <c r="E1068" s="253"/>
      <c r="F1068" s="253"/>
      <c r="G1068" s="253"/>
      <c r="H1068" s="253"/>
      <c r="I1068" s="253"/>
      <c r="J1068" s="253"/>
      <c r="K1068" s="253"/>
      <c r="L1068" s="253"/>
      <c r="M1068" s="253"/>
      <c r="N1068" s="253"/>
      <c r="O1068" s="253"/>
      <c r="P1068" s="253"/>
      <c r="Q1068" s="253"/>
    </row>
    <row r="1069" spans="1:17">
      <c r="A1069" s="253"/>
      <c r="B1069" s="253"/>
      <c r="C1069" s="253"/>
      <c r="D1069" s="253"/>
      <c r="E1069" s="253"/>
      <c r="F1069" s="253"/>
      <c r="G1069" s="253"/>
      <c r="H1069" s="253"/>
      <c r="I1069" s="253"/>
      <c r="J1069" s="253"/>
      <c r="K1069" s="253"/>
      <c r="L1069" s="253"/>
      <c r="M1069" s="253"/>
      <c r="N1069" s="253"/>
      <c r="O1069" s="253"/>
      <c r="P1069" s="253"/>
      <c r="Q1069" s="253"/>
    </row>
    <row r="1070" spans="1:17">
      <c r="A1070" s="253"/>
      <c r="B1070" s="253"/>
      <c r="C1070" s="253"/>
      <c r="D1070" s="253"/>
      <c r="E1070" s="253"/>
      <c r="F1070" s="253"/>
      <c r="G1070" s="253"/>
      <c r="H1070" s="253"/>
      <c r="I1070" s="253"/>
      <c r="J1070" s="253"/>
      <c r="K1070" s="253"/>
      <c r="L1070" s="253"/>
      <c r="M1070" s="253"/>
      <c r="N1070" s="253"/>
      <c r="O1070" s="253"/>
      <c r="P1070" s="253"/>
      <c r="Q1070" s="253"/>
    </row>
    <row r="1071" spans="1:17">
      <c r="A1071" s="253"/>
      <c r="B1071" s="253"/>
      <c r="C1071" s="253"/>
      <c r="D1071" s="253"/>
      <c r="E1071" s="253"/>
      <c r="F1071" s="253"/>
      <c r="G1071" s="253"/>
      <c r="H1071" s="253"/>
      <c r="I1071" s="253"/>
      <c r="J1071" s="253"/>
      <c r="K1071" s="253"/>
      <c r="L1071" s="253"/>
      <c r="M1071" s="253"/>
      <c r="N1071" s="253"/>
      <c r="O1071" s="253"/>
      <c r="P1071" s="253"/>
      <c r="Q1071" s="253"/>
    </row>
    <row r="1072" spans="1:17">
      <c r="A1072" s="253"/>
      <c r="B1072" s="253"/>
      <c r="C1072" s="253"/>
      <c r="D1072" s="253"/>
      <c r="E1072" s="253"/>
      <c r="F1072" s="253"/>
      <c r="G1072" s="253"/>
      <c r="H1072" s="253"/>
      <c r="I1072" s="253"/>
      <c r="J1072" s="253"/>
      <c r="K1072" s="253"/>
      <c r="L1072" s="253"/>
      <c r="M1072" s="253"/>
      <c r="N1072" s="253"/>
      <c r="O1072" s="253"/>
      <c r="P1072" s="253"/>
      <c r="Q1072" s="253"/>
    </row>
    <row r="1073" spans="1:17">
      <c r="A1073" s="253"/>
      <c r="B1073" s="253"/>
      <c r="C1073" s="253"/>
      <c r="D1073" s="253"/>
      <c r="E1073" s="253"/>
      <c r="F1073" s="253"/>
      <c r="G1073" s="253"/>
      <c r="H1073" s="253"/>
      <c r="I1073" s="253"/>
      <c r="J1073" s="253"/>
      <c r="K1073" s="253"/>
      <c r="L1073" s="253"/>
      <c r="M1073" s="253"/>
      <c r="N1073" s="253"/>
      <c r="O1073" s="253"/>
      <c r="P1073" s="253"/>
      <c r="Q1073" s="253"/>
    </row>
    <row r="1074" spans="1:17">
      <c r="A1074" s="253"/>
      <c r="B1074" s="253"/>
      <c r="C1074" s="253"/>
      <c r="D1074" s="253"/>
      <c r="E1074" s="253"/>
      <c r="F1074" s="253"/>
      <c r="G1074" s="253"/>
      <c r="H1074" s="253"/>
      <c r="I1074" s="253"/>
      <c r="J1074" s="253"/>
      <c r="K1074" s="253"/>
      <c r="L1074" s="253"/>
      <c r="M1074" s="253"/>
      <c r="N1074" s="253"/>
      <c r="O1074" s="253"/>
      <c r="P1074" s="253"/>
      <c r="Q1074" s="253"/>
    </row>
    <row r="1075" spans="1:17">
      <c r="A1075" s="253"/>
      <c r="B1075" s="253"/>
      <c r="C1075" s="253"/>
      <c r="D1075" s="253"/>
      <c r="E1075" s="253"/>
      <c r="F1075" s="253"/>
      <c r="G1075" s="253"/>
      <c r="H1075" s="253"/>
      <c r="I1075" s="253"/>
      <c r="J1075" s="253"/>
      <c r="K1075" s="253"/>
      <c r="L1075" s="253"/>
      <c r="M1075" s="253"/>
      <c r="N1075" s="253"/>
      <c r="O1075" s="253"/>
      <c r="P1075" s="253"/>
      <c r="Q1075" s="253"/>
    </row>
    <row r="1076" spans="1:17">
      <c r="A1076" s="253"/>
      <c r="B1076" s="253"/>
      <c r="C1076" s="253"/>
      <c r="D1076" s="253"/>
      <c r="E1076" s="253"/>
      <c r="F1076" s="253"/>
      <c r="G1076" s="253"/>
      <c r="H1076" s="253"/>
      <c r="I1076" s="253"/>
      <c r="J1076" s="253"/>
      <c r="K1076" s="253"/>
      <c r="L1076" s="253"/>
      <c r="M1076" s="253"/>
      <c r="N1076" s="253"/>
      <c r="O1076" s="253"/>
      <c r="P1076" s="253"/>
      <c r="Q1076" s="253"/>
    </row>
    <row r="1077" spans="1:17">
      <c r="A1077" s="253"/>
      <c r="B1077" s="253"/>
      <c r="C1077" s="253"/>
      <c r="D1077" s="253"/>
      <c r="E1077" s="253"/>
      <c r="F1077" s="253"/>
      <c r="G1077" s="253"/>
      <c r="H1077" s="253"/>
      <c r="I1077" s="253"/>
      <c r="J1077" s="253"/>
      <c r="K1077" s="253"/>
      <c r="L1077" s="253"/>
      <c r="M1077" s="253"/>
      <c r="N1077" s="253"/>
      <c r="O1077" s="253"/>
      <c r="P1077" s="253"/>
      <c r="Q1077" s="253"/>
    </row>
    <row r="1078" spans="1:17">
      <c r="A1078" s="253"/>
      <c r="B1078" s="253"/>
      <c r="C1078" s="253"/>
      <c r="D1078" s="253"/>
      <c r="E1078" s="253"/>
      <c r="F1078" s="253"/>
      <c r="G1078" s="253"/>
      <c r="H1078" s="253"/>
      <c r="I1078" s="253"/>
      <c r="J1078" s="253"/>
      <c r="K1078" s="253"/>
      <c r="L1078" s="253"/>
      <c r="M1078" s="253"/>
      <c r="N1078" s="253"/>
      <c r="O1078" s="253"/>
      <c r="P1078" s="253"/>
      <c r="Q1078" s="253"/>
    </row>
    <row r="1079" spans="1:17">
      <c r="A1079" s="253"/>
      <c r="B1079" s="253"/>
      <c r="C1079" s="253"/>
      <c r="D1079" s="253"/>
      <c r="E1079" s="253"/>
      <c r="F1079" s="253"/>
      <c r="G1079" s="253"/>
      <c r="H1079" s="253"/>
      <c r="I1079" s="253"/>
      <c r="J1079" s="253"/>
      <c r="K1079" s="253"/>
      <c r="L1079" s="253"/>
      <c r="M1079" s="253"/>
      <c r="N1079" s="253"/>
      <c r="O1079" s="253"/>
      <c r="P1079" s="253"/>
      <c r="Q1079" s="253"/>
    </row>
    <row r="1080" spans="1:17">
      <c r="A1080" s="253"/>
      <c r="B1080" s="253"/>
      <c r="C1080" s="253"/>
      <c r="D1080" s="253"/>
      <c r="E1080" s="253"/>
      <c r="F1080" s="253"/>
      <c r="G1080" s="253"/>
      <c r="H1080" s="253"/>
      <c r="I1080" s="253"/>
      <c r="J1080" s="253"/>
      <c r="K1080" s="253"/>
      <c r="L1080" s="253"/>
      <c r="M1080" s="253"/>
      <c r="N1080" s="253"/>
      <c r="O1080" s="253"/>
      <c r="P1080" s="253"/>
      <c r="Q1080" s="253"/>
    </row>
    <row r="1081" spans="1:17">
      <c r="A1081" s="253"/>
      <c r="B1081" s="253"/>
      <c r="C1081" s="253"/>
      <c r="D1081" s="253"/>
      <c r="E1081" s="253"/>
      <c r="F1081" s="253"/>
      <c r="G1081" s="253"/>
      <c r="H1081" s="253"/>
      <c r="I1081" s="253"/>
      <c r="J1081" s="253"/>
      <c r="K1081" s="253"/>
      <c r="L1081" s="253"/>
      <c r="M1081" s="253"/>
      <c r="N1081" s="253"/>
      <c r="O1081" s="253"/>
      <c r="P1081" s="253"/>
      <c r="Q1081" s="253"/>
    </row>
    <row r="1082" spans="1:17">
      <c r="A1082" s="253"/>
      <c r="B1082" s="253"/>
      <c r="C1082" s="253"/>
      <c r="D1082" s="253"/>
      <c r="E1082" s="253"/>
      <c r="F1082" s="253"/>
      <c r="G1082" s="253"/>
      <c r="H1082" s="253"/>
      <c r="I1082" s="253"/>
      <c r="J1082" s="253"/>
      <c r="K1082" s="253"/>
      <c r="L1082" s="253"/>
      <c r="M1082" s="253"/>
      <c r="N1082" s="253"/>
      <c r="O1082" s="253"/>
      <c r="P1082" s="253"/>
      <c r="Q1082" s="253"/>
    </row>
    <row r="1083" spans="1:17">
      <c r="A1083" s="253"/>
      <c r="B1083" s="253"/>
      <c r="C1083" s="253"/>
      <c r="D1083" s="253"/>
      <c r="E1083" s="253"/>
      <c r="F1083" s="253"/>
      <c r="G1083" s="253"/>
      <c r="H1083" s="253"/>
      <c r="I1083" s="253"/>
      <c r="J1083" s="253"/>
      <c r="K1083" s="253"/>
      <c r="L1083" s="253"/>
      <c r="M1083" s="253"/>
      <c r="N1083" s="253"/>
      <c r="O1083" s="253"/>
      <c r="P1083" s="253"/>
      <c r="Q1083" s="253"/>
    </row>
    <row r="1084" spans="1:17">
      <c r="A1084" s="253"/>
      <c r="B1084" s="253"/>
      <c r="C1084" s="253"/>
      <c r="D1084" s="253"/>
      <c r="E1084" s="253"/>
      <c r="F1084" s="253"/>
      <c r="G1084" s="253"/>
      <c r="H1084" s="253"/>
      <c r="I1084" s="253"/>
      <c r="J1084" s="253"/>
      <c r="K1084" s="253"/>
      <c r="L1084" s="253"/>
      <c r="M1084" s="253"/>
      <c r="N1084" s="253"/>
      <c r="O1084" s="253"/>
      <c r="P1084" s="253"/>
      <c r="Q1084" s="253"/>
    </row>
    <row r="1085" spans="1:17">
      <c r="A1085" s="253"/>
      <c r="B1085" s="253"/>
      <c r="C1085" s="253"/>
      <c r="D1085" s="253"/>
      <c r="E1085" s="253"/>
      <c r="F1085" s="253"/>
      <c r="G1085" s="253"/>
      <c r="H1085" s="253"/>
      <c r="I1085" s="253"/>
      <c r="J1085" s="253"/>
      <c r="K1085" s="253"/>
      <c r="L1085" s="253"/>
      <c r="M1085" s="253"/>
      <c r="N1085" s="253"/>
      <c r="O1085" s="253"/>
      <c r="P1085" s="253"/>
      <c r="Q1085" s="253"/>
    </row>
    <row r="1086" spans="1:17">
      <c r="A1086" s="253"/>
      <c r="B1086" s="253"/>
      <c r="C1086" s="253"/>
      <c r="D1086" s="253"/>
      <c r="E1086" s="253"/>
      <c r="F1086" s="253"/>
      <c r="G1086" s="253"/>
      <c r="H1086" s="253"/>
      <c r="I1086" s="253"/>
      <c r="J1086" s="253"/>
      <c r="K1086" s="253"/>
      <c r="L1086" s="253"/>
      <c r="M1086" s="253"/>
      <c r="N1086" s="253"/>
      <c r="O1086" s="253"/>
      <c r="P1086" s="253"/>
      <c r="Q1086" s="253"/>
    </row>
    <row r="1087" spans="1:17">
      <c r="A1087" s="253"/>
      <c r="B1087" s="253"/>
      <c r="C1087" s="253"/>
      <c r="D1087" s="253"/>
      <c r="E1087" s="253"/>
      <c r="F1087" s="253"/>
      <c r="G1087" s="253"/>
      <c r="H1087" s="253"/>
      <c r="I1087" s="253"/>
      <c r="J1087" s="253"/>
      <c r="K1087" s="253"/>
      <c r="L1087" s="253"/>
      <c r="M1087" s="253"/>
      <c r="N1087" s="253"/>
      <c r="O1087" s="253"/>
      <c r="P1087" s="253"/>
      <c r="Q1087" s="253"/>
    </row>
    <row r="1088" spans="1:17">
      <c r="A1088" s="253"/>
      <c r="B1088" s="253"/>
      <c r="C1088" s="253"/>
      <c r="D1088" s="253"/>
      <c r="E1088" s="253"/>
      <c r="F1088" s="253"/>
      <c r="G1088" s="253"/>
      <c r="H1088" s="253"/>
      <c r="I1088" s="253"/>
      <c r="J1088" s="253"/>
      <c r="K1088" s="253"/>
      <c r="L1088" s="253"/>
      <c r="M1088" s="253"/>
      <c r="N1088" s="253"/>
      <c r="O1088" s="253"/>
      <c r="P1088" s="253"/>
      <c r="Q1088" s="253"/>
    </row>
    <row r="1089" spans="1:17">
      <c r="A1089" s="253"/>
      <c r="B1089" s="253"/>
      <c r="C1089" s="253"/>
      <c r="D1089" s="253"/>
      <c r="E1089" s="253"/>
      <c r="F1089" s="253"/>
      <c r="G1089" s="253"/>
      <c r="H1089" s="253"/>
      <c r="I1089" s="253"/>
      <c r="J1089" s="253"/>
      <c r="K1089" s="253"/>
      <c r="L1089" s="253"/>
      <c r="M1089" s="253"/>
      <c r="N1089" s="253"/>
      <c r="O1089" s="253"/>
      <c r="P1089" s="253"/>
      <c r="Q1089" s="253"/>
    </row>
    <row r="1090" spans="1:17">
      <c r="A1090" s="253"/>
      <c r="B1090" s="253"/>
      <c r="C1090" s="253"/>
      <c r="D1090" s="253"/>
      <c r="E1090" s="253"/>
      <c r="F1090" s="253"/>
      <c r="G1090" s="253"/>
      <c r="H1090" s="253"/>
      <c r="I1090" s="253"/>
      <c r="J1090" s="253"/>
      <c r="K1090" s="253"/>
      <c r="L1090" s="253"/>
      <c r="M1090" s="253"/>
      <c r="N1090" s="253"/>
      <c r="O1090" s="253"/>
      <c r="P1090" s="253"/>
      <c r="Q1090" s="253"/>
    </row>
    <row r="1091" spans="1:17">
      <c r="A1091" s="253"/>
      <c r="B1091" s="253"/>
      <c r="C1091" s="253"/>
      <c r="D1091" s="253"/>
      <c r="E1091" s="253"/>
      <c r="F1091" s="253"/>
      <c r="G1091" s="253"/>
      <c r="H1091" s="253"/>
      <c r="I1091" s="253"/>
      <c r="J1091" s="253"/>
      <c r="K1091" s="253"/>
      <c r="L1091" s="253"/>
      <c r="M1091" s="253"/>
      <c r="N1091" s="253"/>
      <c r="O1091" s="253"/>
      <c r="P1091" s="253"/>
      <c r="Q1091" s="253"/>
    </row>
    <row r="1092" spans="1:17">
      <c r="A1092" s="253"/>
      <c r="B1092" s="253"/>
      <c r="C1092" s="253"/>
      <c r="D1092" s="253"/>
      <c r="E1092" s="253"/>
      <c r="F1092" s="253"/>
      <c r="G1092" s="253"/>
      <c r="H1092" s="253"/>
      <c r="I1092" s="253"/>
      <c r="J1092" s="253"/>
      <c r="K1092" s="253"/>
      <c r="L1092" s="253"/>
      <c r="M1092" s="253"/>
      <c r="N1092" s="253"/>
      <c r="O1092" s="253"/>
      <c r="P1092" s="253"/>
      <c r="Q1092" s="253"/>
    </row>
    <row r="1093" spans="1:17">
      <c r="A1093" s="253"/>
      <c r="B1093" s="253"/>
      <c r="C1093" s="253"/>
      <c r="D1093" s="253"/>
      <c r="E1093" s="253"/>
      <c r="F1093" s="253"/>
      <c r="G1093" s="253"/>
      <c r="H1093" s="253"/>
      <c r="I1093" s="253"/>
      <c r="J1093" s="253"/>
      <c r="K1093" s="253"/>
      <c r="L1093" s="253"/>
      <c r="M1093" s="253"/>
      <c r="N1093" s="253"/>
      <c r="O1093" s="253"/>
      <c r="P1093" s="253"/>
      <c r="Q1093" s="253"/>
    </row>
    <row r="1094" spans="1:17">
      <c r="A1094" s="253"/>
      <c r="B1094" s="253"/>
      <c r="C1094" s="253"/>
      <c r="D1094" s="253"/>
      <c r="E1094" s="253"/>
      <c r="F1094" s="253"/>
      <c r="G1094" s="253"/>
      <c r="H1094" s="253"/>
      <c r="I1094" s="253"/>
      <c r="J1094" s="253"/>
      <c r="K1094" s="253"/>
      <c r="L1094" s="253"/>
      <c r="M1094" s="253"/>
      <c r="N1094" s="253"/>
      <c r="O1094" s="253"/>
      <c r="P1094" s="253"/>
      <c r="Q1094" s="253"/>
    </row>
    <row r="1095" spans="1:17">
      <c r="A1095" s="253"/>
      <c r="B1095" s="253"/>
      <c r="C1095" s="253"/>
      <c r="D1095" s="253"/>
      <c r="E1095" s="253"/>
      <c r="F1095" s="253"/>
      <c r="G1095" s="253"/>
      <c r="H1095" s="253"/>
      <c r="I1095" s="253"/>
      <c r="J1095" s="253"/>
      <c r="K1095" s="253"/>
      <c r="L1095" s="253"/>
      <c r="M1095" s="253"/>
      <c r="N1095" s="253"/>
      <c r="O1095" s="253"/>
      <c r="P1095" s="253"/>
      <c r="Q1095" s="253"/>
    </row>
    <row r="1096" spans="1:17">
      <c r="A1096" s="253"/>
      <c r="B1096" s="253"/>
      <c r="C1096" s="253"/>
      <c r="D1096" s="253"/>
      <c r="E1096" s="253"/>
      <c r="F1096" s="253"/>
      <c r="G1096" s="253"/>
      <c r="H1096" s="253"/>
      <c r="I1096" s="253"/>
      <c r="J1096" s="253"/>
      <c r="K1096" s="253"/>
      <c r="L1096" s="253"/>
      <c r="M1096" s="253"/>
      <c r="N1096" s="253"/>
      <c r="O1096" s="253"/>
      <c r="P1096" s="253"/>
      <c r="Q1096" s="253"/>
    </row>
    <row r="1097" spans="1:17">
      <c r="A1097" s="253"/>
      <c r="B1097" s="253"/>
      <c r="C1097" s="253"/>
      <c r="D1097" s="253"/>
      <c r="E1097" s="253"/>
      <c r="F1097" s="253"/>
      <c r="G1097" s="253"/>
      <c r="H1097" s="253"/>
      <c r="I1097" s="253"/>
      <c r="J1097" s="253"/>
      <c r="K1097" s="253"/>
      <c r="L1097" s="253"/>
      <c r="M1097" s="253"/>
      <c r="N1097" s="253"/>
      <c r="O1097" s="253"/>
      <c r="P1097" s="253"/>
      <c r="Q1097" s="253"/>
    </row>
    <row r="1098" spans="1:17">
      <c r="A1098" s="253"/>
      <c r="B1098" s="253"/>
      <c r="C1098" s="253"/>
      <c r="D1098" s="253"/>
      <c r="E1098" s="253"/>
      <c r="F1098" s="253"/>
      <c r="G1098" s="253"/>
      <c r="H1098" s="253"/>
      <c r="I1098" s="253"/>
      <c r="J1098" s="253"/>
      <c r="K1098" s="253"/>
      <c r="L1098" s="253"/>
      <c r="M1098" s="253"/>
      <c r="N1098" s="253"/>
      <c r="O1098" s="253"/>
      <c r="P1098" s="253"/>
      <c r="Q1098" s="253"/>
    </row>
    <row r="1099" spans="1:17">
      <c r="A1099" s="253"/>
      <c r="B1099" s="253"/>
      <c r="C1099" s="253"/>
      <c r="D1099" s="253"/>
      <c r="E1099" s="253"/>
      <c r="F1099" s="253"/>
      <c r="G1099" s="253"/>
      <c r="H1099" s="253"/>
      <c r="I1099" s="253"/>
      <c r="J1099" s="253"/>
      <c r="K1099" s="253"/>
      <c r="L1099" s="253"/>
      <c r="M1099" s="253"/>
      <c r="N1099" s="253"/>
      <c r="O1099" s="253"/>
      <c r="P1099" s="253"/>
      <c r="Q1099" s="253"/>
    </row>
    <row r="1100" spans="1:17">
      <c r="A1100" s="253"/>
      <c r="B1100" s="253"/>
      <c r="C1100" s="253"/>
      <c r="D1100" s="253"/>
      <c r="E1100" s="253"/>
      <c r="F1100" s="253"/>
      <c r="G1100" s="253"/>
      <c r="H1100" s="253"/>
      <c r="I1100" s="253"/>
      <c r="J1100" s="253"/>
      <c r="K1100" s="253"/>
      <c r="L1100" s="253"/>
      <c r="M1100" s="253"/>
      <c r="N1100" s="253"/>
      <c r="O1100" s="253"/>
      <c r="P1100" s="253"/>
      <c r="Q1100" s="253"/>
    </row>
    <row r="1101" spans="1:17">
      <c r="A1101" s="253"/>
      <c r="B1101" s="253"/>
      <c r="C1101" s="253"/>
      <c r="D1101" s="253"/>
      <c r="E1101" s="253"/>
      <c r="F1101" s="253"/>
      <c r="G1101" s="253"/>
      <c r="H1101" s="253"/>
      <c r="I1101" s="253"/>
      <c r="J1101" s="253"/>
      <c r="K1101" s="253"/>
      <c r="L1101" s="253"/>
      <c r="M1101" s="253"/>
      <c r="N1101" s="253"/>
      <c r="O1101" s="253"/>
      <c r="P1101" s="253"/>
      <c r="Q1101" s="253"/>
    </row>
    <row r="1102" spans="1:17">
      <c r="A1102" s="253"/>
      <c r="B1102" s="253"/>
      <c r="C1102" s="253"/>
      <c r="D1102" s="253"/>
      <c r="E1102" s="253"/>
      <c r="F1102" s="253"/>
      <c r="G1102" s="253"/>
      <c r="H1102" s="253"/>
      <c r="I1102" s="253"/>
      <c r="J1102" s="253"/>
      <c r="K1102" s="253"/>
      <c r="L1102" s="253"/>
      <c r="M1102" s="253"/>
      <c r="N1102" s="253"/>
      <c r="O1102" s="253"/>
      <c r="P1102" s="253"/>
      <c r="Q1102" s="253"/>
    </row>
    <row r="1103" spans="1:17">
      <c r="A1103" s="253"/>
      <c r="B1103" s="253"/>
      <c r="C1103" s="253"/>
      <c r="D1103" s="253"/>
      <c r="E1103" s="253"/>
      <c r="F1103" s="253"/>
      <c r="G1103" s="253"/>
      <c r="H1103" s="253"/>
      <c r="I1103" s="253"/>
      <c r="J1103" s="253"/>
      <c r="K1103" s="253"/>
      <c r="L1103" s="253"/>
      <c r="M1103" s="253"/>
      <c r="N1103" s="253"/>
      <c r="O1103" s="253"/>
      <c r="P1103" s="253"/>
      <c r="Q1103" s="253"/>
    </row>
    <row r="1104" spans="1:17">
      <c r="A1104" s="253"/>
      <c r="B1104" s="253"/>
      <c r="C1104" s="253"/>
      <c r="D1104" s="253"/>
      <c r="E1104" s="253"/>
      <c r="F1104" s="253"/>
      <c r="G1104" s="253"/>
      <c r="H1104" s="253"/>
      <c r="I1104" s="253"/>
      <c r="J1104" s="253"/>
      <c r="K1104" s="253"/>
      <c r="L1104" s="253"/>
      <c r="M1104" s="253"/>
      <c r="N1104" s="253"/>
      <c r="O1104" s="253"/>
      <c r="P1104" s="253"/>
      <c r="Q1104" s="253"/>
    </row>
    <row r="1105" spans="1:17">
      <c r="A1105" s="253"/>
      <c r="B1105" s="253"/>
      <c r="C1105" s="253"/>
      <c r="D1105" s="253"/>
      <c r="E1105" s="253"/>
      <c r="F1105" s="253"/>
      <c r="G1105" s="253"/>
      <c r="H1105" s="253"/>
      <c r="I1105" s="253"/>
      <c r="J1105" s="253"/>
      <c r="K1105" s="253"/>
      <c r="L1105" s="253"/>
      <c r="M1105" s="253"/>
      <c r="N1105" s="253"/>
      <c r="O1105" s="253"/>
      <c r="P1105" s="253"/>
      <c r="Q1105" s="253"/>
    </row>
    <row r="1106" spans="1:17">
      <c r="A1106" s="253"/>
      <c r="B1106" s="253"/>
      <c r="C1106" s="253"/>
      <c r="D1106" s="253"/>
      <c r="E1106" s="253"/>
      <c r="F1106" s="253"/>
      <c r="G1106" s="253"/>
      <c r="H1106" s="253"/>
      <c r="I1106" s="253"/>
      <c r="J1106" s="253"/>
      <c r="K1106" s="253"/>
      <c r="L1106" s="253"/>
      <c r="M1106" s="253"/>
      <c r="N1106" s="253"/>
      <c r="O1106" s="253"/>
      <c r="P1106" s="253"/>
      <c r="Q1106" s="253"/>
    </row>
    <row r="1107" spans="1:17">
      <c r="A1107" s="253"/>
      <c r="B1107" s="253"/>
      <c r="C1107" s="253"/>
      <c r="D1107" s="253"/>
      <c r="E1107" s="253"/>
      <c r="F1107" s="253"/>
      <c r="G1107" s="253"/>
      <c r="H1107" s="253"/>
      <c r="I1107" s="253"/>
      <c r="J1107" s="253"/>
      <c r="K1107" s="253"/>
      <c r="L1107" s="253"/>
      <c r="M1107" s="253"/>
      <c r="N1107" s="253"/>
      <c r="O1107" s="253"/>
      <c r="P1107" s="253"/>
      <c r="Q1107" s="253"/>
    </row>
    <row r="1108" spans="1:17">
      <c r="A1108" s="253"/>
      <c r="B1108" s="253"/>
      <c r="C1108" s="253"/>
      <c r="D1108" s="253"/>
      <c r="E1108" s="253"/>
      <c r="F1108" s="253"/>
      <c r="G1108" s="253"/>
      <c r="H1108" s="253"/>
      <c r="I1108" s="253"/>
      <c r="J1108" s="253"/>
      <c r="K1108" s="253"/>
      <c r="L1108" s="253"/>
      <c r="M1108" s="253"/>
      <c r="N1108" s="253"/>
      <c r="O1108" s="253"/>
      <c r="P1108" s="253"/>
      <c r="Q1108" s="253"/>
    </row>
    <row r="1109" spans="1:17">
      <c r="A1109" s="253"/>
      <c r="B1109" s="253"/>
      <c r="C1109" s="253"/>
      <c r="D1109" s="253"/>
      <c r="E1109" s="253"/>
      <c r="F1109" s="253"/>
      <c r="G1109" s="253"/>
      <c r="H1109" s="253"/>
      <c r="I1109" s="253"/>
      <c r="J1109" s="253"/>
      <c r="K1109" s="253"/>
      <c r="L1109" s="253"/>
      <c r="M1109" s="253"/>
      <c r="N1109" s="253"/>
      <c r="O1109" s="253"/>
      <c r="P1109" s="253"/>
      <c r="Q1109" s="253"/>
    </row>
    <row r="1110" spans="1:17">
      <c r="A1110" s="253"/>
      <c r="B1110" s="253"/>
      <c r="C1110" s="253"/>
      <c r="D1110" s="253"/>
      <c r="E1110" s="253"/>
      <c r="F1110" s="253"/>
      <c r="G1110" s="253"/>
      <c r="H1110" s="253"/>
      <c r="I1110" s="253"/>
      <c r="J1110" s="253"/>
      <c r="K1110" s="253"/>
      <c r="L1110" s="253"/>
      <c r="M1110" s="253"/>
      <c r="N1110" s="253"/>
      <c r="O1110" s="253"/>
      <c r="P1110" s="253"/>
      <c r="Q1110" s="253"/>
    </row>
    <row r="1111" spans="1:17">
      <c r="A1111" s="253"/>
      <c r="B1111" s="253"/>
      <c r="C1111" s="253"/>
      <c r="D1111" s="253"/>
      <c r="E1111" s="253"/>
      <c r="F1111" s="253"/>
      <c r="G1111" s="253"/>
      <c r="H1111" s="253"/>
      <c r="I1111" s="253"/>
      <c r="J1111" s="253"/>
      <c r="K1111" s="253"/>
      <c r="L1111" s="253"/>
      <c r="M1111" s="253"/>
      <c r="N1111" s="253"/>
      <c r="O1111" s="253"/>
      <c r="P1111" s="253"/>
      <c r="Q1111" s="253"/>
    </row>
    <row r="1112" spans="1:17">
      <c r="A1112" s="253"/>
      <c r="B1112" s="253"/>
      <c r="C1112" s="253"/>
      <c r="D1112" s="253"/>
      <c r="E1112" s="253"/>
      <c r="F1112" s="253"/>
      <c r="G1112" s="253"/>
      <c r="H1112" s="253"/>
      <c r="I1112" s="253"/>
      <c r="J1112" s="253"/>
      <c r="K1112" s="253"/>
      <c r="L1112" s="253"/>
      <c r="M1112" s="253"/>
      <c r="N1112" s="253"/>
      <c r="O1112" s="253"/>
      <c r="P1112" s="253"/>
      <c r="Q1112" s="253"/>
    </row>
    <row r="1113" spans="1:17">
      <c r="A1113" s="253"/>
      <c r="B1113" s="253"/>
      <c r="C1113" s="253"/>
      <c r="D1113" s="253"/>
      <c r="E1113" s="253"/>
      <c r="F1113" s="253"/>
      <c r="G1113" s="253"/>
      <c r="H1113" s="253"/>
      <c r="I1113" s="253"/>
      <c r="J1113" s="253"/>
      <c r="K1113" s="253"/>
      <c r="L1113" s="253"/>
      <c r="M1113" s="253"/>
      <c r="N1113" s="253"/>
      <c r="O1113" s="253"/>
      <c r="P1113" s="253"/>
      <c r="Q1113" s="253"/>
    </row>
    <row r="1114" spans="1:17">
      <c r="A1114" s="253"/>
      <c r="B1114" s="253"/>
      <c r="C1114" s="253"/>
      <c r="D1114" s="253"/>
      <c r="E1114" s="253"/>
      <c r="F1114" s="253"/>
      <c r="G1114" s="253"/>
      <c r="H1114" s="253"/>
      <c r="I1114" s="253"/>
      <c r="J1114" s="253"/>
      <c r="K1114" s="253"/>
      <c r="L1114" s="253"/>
      <c r="M1114" s="253"/>
      <c r="N1114" s="253"/>
      <c r="O1114" s="253"/>
      <c r="P1114" s="253"/>
      <c r="Q1114" s="253"/>
    </row>
    <row r="1115" spans="1:17">
      <c r="A1115" s="253"/>
      <c r="B1115" s="253"/>
      <c r="C1115" s="253"/>
      <c r="D1115" s="253"/>
      <c r="E1115" s="253"/>
      <c r="F1115" s="253"/>
      <c r="G1115" s="253"/>
      <c r="H1115" s="253"/>
      <c r="I1115" s="253"/>
      <c r="J1115" s="253"/>
      <c r="K1115" s="253"/>
      <c r="L1115" s="253"/>
      <c r="M1115" s="253"/>
      <c r="N1115" s="253"/>
      <c r="O1115" s="253"/>
      <c r="P1115" s="253"/>
      <c r="Q1115" s="253"/>
    </row>
    <row r="1116" spans="1:17">
      <c r="A1116" s="253"/>
      <c r="B1116" s="253"/>
      <c r="C1116" s="253"/>
      <c r="D1116" s="253"/>
      <c r="E1116" s="253"/>
      <c r="F1116" s="253"/>
      <c r="G1116" s="253"/>
      <c r="H1116" s="253"/>
      <c r="I1116" s="253"/>
      <c r="J1116" s="253"/>
      <c r="K1116" s="253"/>
      <c r="L1116" s="253"/>
      <c r="M1116" s="253"/>
      <c r="N1116" s="253"/>
      <c r="O1116" s="253"/>
      <c r="P1116" s="253"/>
      <c r="Q1116" s="253"/>
    </row>
    <row r="1117" spans="1:17">
      <c r="A1117" s="253"/>
      <c r="B1117" s="253"/>
      <c r="C1117" s="253"/>
      <c r="D1117" s="253"/>
      <c r="E1117" s="253"/>
      <c r="F1117" s="253"/>
      <c r="G1117" s="253"/>
      <c r="H1117" s="253"/>
      <c r="I1117" s="253"/>
      <c r="J1117" s="253"/>
      <c r="K1117" s="253"/>
      <c r="L1117" s="253"/>
      <c r="M1117" s="253"/>
      <c r="N1117" s="253"/>
      <c r="O1117" s="253"/>
      <c r="P1117" s="253"/>
      <c r="Q1117" s="253"/>
    </row>
    <row r="1118" spans="1:17">
      <c r="A1118" s="253"/>
      <c r="B1118" s="253"/>
      <c r="C1118" s="253"/>
      <c r="D1118" s="253"/>
      <c r="E1118" s="253"/>
      <c r="F1118" s="253"/>
      <c r="G1118" s="253"/>
      <c r="H1118" s="253"/>
      <c r="I1118" s="253"/>
      <c r="J1118" s="253"/>
      <c r="K1118" s="253"/>
      <c r="L1118" s="253"/>
      <c r="M1118" s="253"/>
      <c r="N1118" s="253"/>
      <c r="O1118" s="253"/>
      <c r="P1118" s="253"/>
      <c r="Q1118" s="253"/>
    </row>
    <row r="1119" spans="1:17">
      <c r="A1119" s="253"/>
      <c r="B1119" s="253"/>
      <c r="C1119" s="253"/>
      <c r="D1119" s="253"/>
      <c r="E1119" s="253"/>
      <c r="F1119" s="253"/>
      <c r="G1119" s="253"/>
      <c r="H1119" s="253"/>
      <c r="I1119" s="253"/>
      <c r="J1119" s="253"/>
      <c r="K1119" s="253"/>
      <c r="L1119" s="253"/>
      <c r="M1119" s="253"/>
      <c r="N1119" s="253"/>
      <c r="O1119" s="253"/>
      <c r="P1119" s="253"/>
      <c r="Q1119" s="253"/>
    </row>
    <row r="1120" spans="1:17">
      <c r="A1120" s="253"/>
      <c r="B1120" s="253"/>
      <c r="C1120" s="253"/>
      <c r="D1120" s="253"/>
      <c r="E1120" s="253"/>
      <c r="F1120" s="253"/>
      <c r="G1120" s="253"/>
      <c r="H1120" s="253"/>
      <c r="I1120" s="253"/>
      <c r="J1120" s="253"/>
      <c r="K1120" s="253"/>
      <c r="L1120" s="253"/>
      <c r="M1120" s="253"/>
      <c r="N1120" s="253"/>
      <c r="O1120" s="253"/>
      <c r="P1120" s="253"/>
      <c r="Q1120" s="253"/>
    </row>
    <row r="1121" spans="1:17">
      <c r="A1121" s="253"/>
      <c r="B1121" s="253"/>
      <c r="C1121" s="253"/>
      <c r="D1121" s="253"/>
      <c r="E1121" s="253"/>
      <c r="F1121" s="253"/>
      <c r="G1121" s="253"/>
      <c r="H1121" s="253"/>
      <c r="I1121" s="253"/>
      <c r="J1121" s="253"/>
      <c r="K1121" s="253"/>
      <c r="L1121" s="253"/>
      <c r="M1121" s="253"/>
      <c r="N1121" s="253"/>
      <c r="O1121" s="253"/>
      <c r="P1121" s="253"/>
      <c r="Q1121" s="253"/>
    </row>
    <row r="1122" spans="1:17">
      <c r="A1122" s="253"/>
      <c r="B1122" s="253"/>
      <c r="C1122" s="253"/>
      <c r="D1122" s="253"/>
      <c r="E1122" s="253"/>
      <c r="F1122" s="253"/>
      <c r="G1122" s="253"/>
      <c r="H1122" s="253"/>
      <c r="I1122" s="253"/>
      <c r="J1122" s="253"/>
      <c r="K1122" s="253"/>
      <c r="L1122" s="253"/>
      <c r="M1122" s="253"/>
      <c r="N1122" s="253"/>
      <c r="O1122" s="253"/>
      <c r="P1122" s="253"/>
      <c r="Q1122" s="253"/>
    </row>
    <row r="1123" spans="1:17">
      <c r="A1123" s="253"/>
      <c r="B1123" s="253"/>
      <c r="C1123" s="253"/>
      <c r="D1123" s="253"/>
      <c r="E1123" s="253"/>
      <c r="F1123" s="253"/>
      <c r="G1123" s="253"/>
      <c r="H1123" s="253"/>
      <c r="I1123" s="253"/>
      <c r="J1123" s="253"/>
      <c r="K1123" s="253"/>
      <c r="L1123" s="253"/>
      <c r="M1123" s="253"/>
      <c r="N1123" s="253"/>
      <c r="O1123" s="253"/>
      <c r="P1123" s="253"/>
      <c r="Q1123" s="253"/>
    </row>
    <row r="1124" spans="1:17">
      <c r="A1124" s="253"/>
      <c r="B1124" s="253"/>
      <c r="C1124" s="253"/>
      <c r="D1124" s="253"/>
      <c r="E1124" s="253"/>
      <c r="F1124" s="253"/>
      <c r="G1124" s="253"/>
      <c r="H1124" s="253"/>
      <c r="I1124" s="253"/>
      <c r="J1124" s="253"/>
      <c r="K1124" s="253"/>
      <c r="L1124" s="253"/>
      <c r="M1124" s="253"/>
      <c r="N1124" s="253"/>
      <c r="O1124" s="253"/>
      <c r="P1124" s="253"/>
      <c r="Q1124" s="253"/>
    </row>
    <row r="1125" spans="1:17">
      <c r="A1125" s="253"/>
      <c r="B1125" s="253"/>
      <c r="C1125" s="253"/>
      <c r="D1125" s="253"/>
      <c r="E1125" s="253"/>
      <c r="F1125" s="253"/>
      <c r="G1125" s="253"/>
      <c r="H1125" s="253"/>
      <c r="I1125" s="253"/>
      <c r="J1125" s="253"/>
      <c r="K1125" s="253"/>
      <c r="L1125" s="253"/>
      <c r="M1125" s="253"/>
      <c r="N1125" s="253"/>
      <c r="O1125" s="253"/>
      <c r="P1125" s="253"/>
      <c r="Q1125" s="253"/>
    </row>
    <row r="1126" spans="1:17">
      <c r="A1126" s="253"/>
      <c r="B1126" s="253"/>
      <c r="C1126" s="253"/>
      <c r="D1126" s="253"/>
      <c r="E1126" s="253"/>
      <c r="F1126" s="253"/>
      <c r="G1126" s="253"/>
      <c r="H1126" s="253"/>
      <c r="I1126" s="253"/>
      <c r="J1126" s="253"/>
      <c r="K1126" s="253"/>
      <c r="L1126" s="253"/>
      <c r="M1126" s="253"/>
      <c r="N1126" s="253"/>
      <c r="O1126" s="253"/>
      <c r="P1126" s="253"/>
      <c r="Q1126" s="253"/>
    </row>
    <row r="1127" spans="1:17">
      <c r="A1127" s="253"/>
      <c r="B1127" s="253"/>
      <c r="C1127" s="253"/>
      <c r="D1127" s="253"/>
      <c r="E1127" s="253"/>
      <c r="F1127" s="253"/>
      <c r="G1127" s="253"/>
      <c r="H1127" s="253"/>
      <c r="I1127" s="253"/>
      <c r="J1127" s="253"/>
      <c r="K1127" s="253"/>
      <c r="L1127" s="253"/>
      <c r="M1127" s="253"/>
      <c r="N1127" s="253"/>
      <c r="O1127" s="253"/>
      <c r="P1127" s="253"/>
      <c r="Q1127" s="253"/>
    </row>
    <row r="1128" spans="1:17">
      <c r="A1128" s="253"/>
      <c r="B1128" s="253"/>
      <c r="C1128" s="253"/>
      <c r="D1128" s="253"/>
      <c r="E1128" s="253"/>
      <c r="F1128" s="253"/>
      <c r="G1128" s="253"/>
      <c r="H1128" s="253"/>
      <c r="I1128" s="253"/>
      <c r="J1128" s="253"/>
      <c r="K1128" s="253"/>
      <c r="L1128" s="253"/>
      <c r="M1128" s="253"/>
      <c r="N1128" s="253"/>
      <c r="O1128" s="253"/>
      <c r="P1128" s="253"/>
      <c r="Q1128" s="253"/>
    </row>
    <row r="1129" spans="1:17">
      <c r="A1129" s="253"/>
      <c r="B1129" s="253"/>
      <c r="C1129" s="253"/>
      <c r="D1129" s="253"/>
      <c r="E1129" s="253"/>
      <c r="F1129" s="253"/>
      <c r="G1129" s="253"/>
      <c r="H1129" s="253"/>
      <c r="I1129" s="253"/>
      <c r="J1129" s="253"/>
      <c r="K1129" s="253"/>
      <c r="L1129" s="253"/>
      <c r="M1129" s="253"/>
      <c r="N1129" s="253"/>
      <c r="O1129" s="253"/>
      <c r="P1129" s="253"/>
      <c r="Q1129" s="253"/>
    </row>
    <row r="1130" spans="1:17">
      <c r="A1130" s="253"/>
      <c r="B1130" s="253"/>
      <c r="C1130" s="253"/>
      <c r="D1130" s="253"/>
      <c r="E1130" s="253"/>
      <c r="F1130" s="253"/>
      <c r="G1130" s="253"/>
      <c r="H1130" s="253"/>
      <c r="I1130" s="253"/>
      <c r="J1130" s="253"/>
      <c r="K1130" s="253"/>
      <c r="L1130" s="253"/>
      <c r="M1130" s="253"/>
      <c r="N1130" s="253"/>
      <c r="O1130" s="253"/>
      <c r="P1130" s="253"/>
      <c r="Q1130" s="253"/>
    </row>
    <row r="1131" spans="1:17">
      <c r="A1131" s="253"/>
      <c r="B1131" s="253"/>
      <c r="C1131" s="253"/>
      <c r="D1131" s="253"/>
      <c r="E1131" s="253"/>
      <c r="F1131" s="253"/>
      <c r="G1131" s="253"/>
      <c r="H1131" s="253"/>
      <c r="I1131" s="253"/>
      <c r="J1131" s="253"/>
      <c r="K1131" s="253"/>
      <c r="L1131" s="253"/>
      <c r="M1131" s="253"/>
      <c r="N1131" s="253"/>
      <c r="O1131" s="253"/>
      <c r="P1131" s="253"/>
      <c r="Q1131" s="253"/>
    </row>
    <row r="1132" spans="1:17">
      <c r="A1132" s="253"/>
      <c r="B1132" s="253"/>
      <c r="C1132" s="253"/>
      <c r="D1132" s="253"/>
      <c r="E1132" s="253"/>
      <c r="F1132" s="253"/>
      <c r="G1132" s="253"/>
      <c r="H1132" s="253"/>
      <c r="I1132" s="253"/>
      <c r="J1132" s="253"/>
      <c r="K1132" s="253"/>
      <c r="L1132" s="253"/>
      <c r="M1132" s="253"/>
      <c r="N1132" s="253"/>
      <c r="O1132" s="253"/>
      <c r="P1132" s="253"/>
      <c r="Q1132" s="253"/>
    </row>
    <row r="1133" spans="1:17">
      <c r="A1133" s="253"/>
      <c r="B1133" s="253"/>
      <c r="C1133" s="253"/>
      <c r="D1133" s="253"/>
      <c r="E1133" s="253"/>
      <c r="F1133" s="253"/>
      <c r="G1133" s="253"/>
      <c r="H1133" s="253"/>
      <c r="I1133" s="253"/>
      <c r="J1133" s="253"/>
      <c r="K1133" s="253"/>
      <c r="L1133" s="253"/>
      <c r="M1133" s="253"/>
      <c r="N1133" s="253"/>
      <c r="O1133" s="253"/>
      <c r="P1133" s="253"/>
      <c r="Q1133" s="253"/>
    </row>
    <row r="1134" spans="1:17">
      <c r="A1134" s="253"/>
      <c r="B1134" s="253"/>
      <c r="C1134" s="253"/>
      <c r="D1134" s="253"/>
      <c r="E1134" s="253"/>
      <c r="F1134" s="253"/>
      <c r="G1134" s="253"/>
      <c r="H1134" s="253"/>
      <c r="I1134" s="253"/>
      <c r="J1134" s="253"/>
      <c r="K1134" s="253"/>
      <c r="L1134" s="253"/>
      <c r="M1134" s="253"/>
      <c r="N1134" s="253"/>
      <c r="O1134" s="253"/>
      <c r="P1134" s="253"/>
      <c r="Q1134" s="253"/>
    </row>
    <row r="1135" spans="1:17">
      <c r="A1135" s="253"/>
      <c r="B1135" s="253"/>
      <c r="C1135" s="253"/>
      <c r="D1135" s="253"/>
      <c r="E1135" s="253"/>
      <c r="F1135" s="253"/>
      <c r="G1135" s="253"/>
      <c r="H1135" s="253"/>
      <c r="I1135" s="253"/>
      <c r="J1135" s="253"/>
      <c r="K1135" s="253"/>
      <c r="L1135" s="253"/>
      <c r="M1135" s="253"/>
      <c r="N1135" s="253"/>
      <c r="O1135" s="253"/>
      <c r="P1135" s="253"/>
      <c r="Q1135" s="253"/>
    </row>
    <row r="1136" spans="1:17">
      <c r="A1136" s="253"/>
      <c r="B1136" s="253"/>
      <c r="C1136" s="253"/>
      <c r="D1136" s="253"/>
      <c r="E1136" s="253"/>
      <c r="F1136" s="253"/>
      <c r="G1136" s="253"/>
      <c r="H1136" s="253"/>
      <c r="I1136" s="253"/>
      <c r="J1136" s="253"/>
      <c r="K1136" s="253"/>
      <c r="L1136" s="253"/>
      <c r="M1136" s="253"/>
      <c r="N1136" s="253"/>
      <c r="O1136" s="253"/>
      <c r="P1136" s="253"/>
      <c r="Q1136" s="253"/>
    </row>
    <row r="1137" spans="1:17">
      <c r="A1137" s="253"/>
      <c r="B1137" s="253"/>
      <c r="C1137" s="253"/>
      <c r="D1137" s="253"/>
      <c r="E1137" s="253"/>
      <c r="F1137" s="253"/>
      <c r="G1137" s="253"/>
      <c r="H1137" s="253"/>
      <c r="I1137" s="253"/>
      <c r="J1137" s="253"/>
      <c r="K1137" s="253"/>
      <c r="L1137" s="253"/>
      <c r="M1137" s="253"/>
      <c r="N1137" s="253"/>
      <c r="O1137" s="253"/>
      <c r="P1137" s="253"/>
      <c r="Q1137" s="253"/>
    </row>
    <row r="1138" spans="1:17">
      <c r="A1138" s="253"/>
      <c r="B1138" s="253"/>
      <c r="C1138" s="253"/>
      <c r="D1138" s="253"/>
      <c r="E1138" s="253"/>
      <c r="F1138" s="253"/>
      <c r="G1138" s="253"/>
      <c r="H1138" s="253"/>
      <c r="I1138" s="253"/>
      <c r="J1138" s="253"/>
      <c r="K1138" s="253"/>
      <c r="L1138" s="253"/>
      <c r="M1138" s="253"/>
      <c r="N1138" s="253"/>
      <c r="O1138" s="253"/>
      <c r="P1138" s="253"/>
      <c r="Q1138" s="253"/>
    </row>
    <row r="1139" spans="1:17">
      <c r="A1139" s="253"/>
      <c r="B1139" s="253"/>
      <c r="C1139" s="253"/>
      <c r="D1139" s="253"/>
      <c r="E1139" s="253"/>
      <c r="F1139" s="253"/>
      <c r="G1139" s="253"/>
      <c r="H1139" s="253"/>
      <c r="I1139" s="253"/>
      <c r="J1139" s="253"/>
      <c r="K1139" s="253"/>
      <c r="L1139" s="253"/>
      <c r="M1139" s="253"/>
      <c r="N1139" s="253"/>
      <c r="O1139" s="253"/>
      <c r="P1139" s="253"/>
      <c r="Q1139" s="253"/>
    </row>
    <row r="1140" spans="1:17">
      <c r="A1140" s="253"/>
      <c r="B1140" s="253"/>
      <c r="C1140" s="253"/>
      <c r="D1140" s="253"/>
      <c r="E1140" s="253"/>
      <c r="F1140" s="253"/>
      <c r="G1140" s="253"/>
      <c r="H1140" s="253"/>
      <c r="I1140" s="253"/>
      <c r="J1140" s="253"/>
      <c r="K1140" s="253"/>
      <c r="L1140" s="253"/>
      <c r="M1140" s="253"/>
      <c r="N1140" s="253"/>
      <c r="O1140" s="253"/>
      <c r="P1140" s="253"/>
      <c r="Q1140" s="253"/>
    </row>
    <row r="1141" spans="1:17">
      <c r="A1141" s="253"/>
      <c r="B1141" s="253"/>
      <c r="C1141" s="253"/>
      <c r="D1141" s="253"/>
      <c r="E1141" s="253"/>
      <c r="F1141" s="253"/>
      <c r="G1141" s="253"/>
      <c r="H1141" s="253"/>
      <c r="I1141" s="253"/>
      <c r="J1141" s="253"/>
      <c r="K1141" s="253"/>
      <c r="L1141" s="253"/>
      <c r="M1141" s="253"/>
      <c r="N1141" s="253"/>
      <c r="O1141" s="253"/>
      <c r="P1141" s="253"/>
      <c r="Q1141" s="253"/>
    </row>
    <row r="1142" spans="1:17">
      <c r="A1142" s="253"/>
      <c r="B1142" s="253"/>
      <c r="C1142" s="253"/>
      <c r="D1142" s="253"/>
      <c r="E1142" s="253"/>
      <c r="F1142" s="253"/>
      <c r="G1142" s="253"/>
      <c r="H1142" s="253"/>
      <c r="I1142" s="253"/>
      <c r="J1142" s="253"/>
      <c r="K1142" s="253"/>
      <c r="L1142" s="253"/>
      <c r="M1142" s="253"/>
      <c r="N1142" s="253"/>
      <c r="O1142" s="253"/>
      <c r="P1142" s="253"/>
      <c r="Q1142" s="253"/>
    </row>
    <row r="1143" spans="1:17">
      <c r="A1143" s="253"/>
      <c r="B1143" s="253"/>
      <c r="C1143" s="253"/>
      <c r="D1143" s="253"/>
      <c r="E1143" s="253"/>
      <c r="F1143" s="253"/>
      <c r="G1143" s="253"/>
      <c r="H1143" s="253"/>
      <c r="I1143" s="253"/>
      <c r="J1143" s="253"/>
      <c r="K1143" s="253"/>
      <c r="L1143" s="253"/>
      <c r="M1143" s="253"/>
      <c r="N1143" s="253"/>
      <c r="O1143" s="253"/>
      <c r="P1143" s="253"/>
      <c r="Q1143" s="253"/>
    </row>
    <row r="1144" spans="1:17">
      <c r="A1144" s="253"/>
      <c r="B1144" s="253"/>
      <c r="C1144" s="253"/>
      <c r="D1144" s="253"/>
      <c r="E1144" s="253"/>
      <c r="F1144" s="253"/>
      <c r="G1144" s="253"/>
      <c r="H1144" s="253"/>
      <c r="I1144" s="253"/>
      <c r="J1144" s="253"/>
      <c r="K1144" s="253"/>
      <c r="L1144" s="253"/>
      <c r="M1144" s="253"/>
      <c r="N1144" s="253"/>
      <c r="O1144" s="253"/>
      <c r="P1144" s="253"/>
      <c r="Q1144" s="253"/>
    </row>
    <row r="1145" spans="1:17">
      <c r="A1145" s="253"/>
      <c r="B1145" s="253"/>
      <c r="C1145" s="253"/>
      <c r="D1145" s="253"/>
      <c r="E1145" s="253"/>
      <c r="F1145" s="253"/>
      <c r="G1145" s="253"/>
      <c r="H1145" s="253"/>
      <c r="I1145" s="253"/>
      <c r="J1145" s="253"/>
      <c r="K1145" s="253"/>
      <c r="L1145" s="253"/>
      <c r="M1145" s="253"/>
      <c r="N1145" s="253"/>
      <c r="O1145" s="253"/>
      <c r="P1145" s="253"/>
      <c r="Q1145" s="253"/>
    </row>
    <row r="1146" spans="1:17">
      <c r="A1146" s="253"/>
      <c r="B1146" s="253"/>
      <c r="C1146" s="253"/>
      <c r="D1146" s="253"/>
      <c r="E1146" s="253"/>
      <c r="F1146" s="253"/>
      <c r="G1146" s="253"/>
      <c r="H1146" s="253"/>
      <c r="I1146" s="253"/>
      <c r="J1146" s="253"/>
      <c r="K1146" s="253"/>
      <c r="L1146" s="253"/>
      <c r="M1146" s="253"/>
      <c r="N1146" s="253"/>
      <c r="O1146" s="253"/>
      <c r="P1146" s="253"/>
      <c r="Q1146" s="253"/>
    </row>
    <row r="1147" spans="1:17">
      <c r="A1147" s="253"/>
      <c r="B1147" s="253"/>
      <c r="C1147" s="253"/>
      <c r="D1147" s="253"/>
      <c r="E1147" s="253"/>
      <c r="F1147" s="253"/>
      <c r="G1147" s="253"/>
      <c r="H1147" s="253"/>
      <c r="I1147" s="253"/>
      <c r="J1147" s="253"/>
      <c r="K1147" s="253"/>
      <c r="L1147" s="253"/>
      <c r="M1147" s="253"/>
      <c r="N1147" s="253"/>
      <c r="O1147" s="253"/>
      <c r="P1147" s="253"/>
      <c r="Q1147" s="253"/>
    </row>
    <row r="1148" spans="1:17">
      <c r="A1148" s="253"/>
      <c r="B1148" s="253"/>
      <c r="C1148" s="253"/>
      <c r="D1148" s="253"/>
      <c r="E1148" s="253"/>
      <c r="F1148" s="253"/>
      <c r="G1148" s="253"/>
      <c r="H1148" s="253"/>
      <c r="I1148" s="253"/>
      <c r="J1148" s="253"/>
      <c r="K1148" s="253"/>
      <c r="L1148" s="253"/>
      <c r="M1148" s="253"/>
      <c r="N1148" s="253"/>
      <c r="O1148" s="253"/>
      <c r="P1148" s="253"/>
      <c r="Q1148" s="253"/>
    </row>
    <row r="1149" spans="1:17">
      <c r="A1149" s="253"/>
      <c r="B1149" s="253"/>
      <c r="C1149" s="253"/>
      <c r="D1149" s="253"/>
      <c r="E1149" s="253"/>
      <c r="F1149" s="253"/>
      <c r="G1149" s="253"/>
      <c r="H1149" s="253"/>
      <c r="I1149" s="253"/>
      <c r="J1149" s="253"/>
      <c r="K1149" s="253"/>
      <c r="L1149" s="253"/>
      <c r="M1149" s="253"/>
      <c r="N1149" s="253"/>
      <c r="O1149" s="253"/>
      <c r="P1149" s="253"/>
      <c r="Q1149" s="253"/>
    </row>
    <row r="1150" spans="1:17">
      <c r="A1150" s="253"/>
      <c r="B1150" s="253"/>
      <c r="C1150" s="253"/>
      <c r="D1150" s="253"/>
      <c r="E1150" s="253"/>
      <c r="F1150" s="253"/>
      <c r="G1150" s="253"/>
      <c r="H1150" s="253"/>
      <c r="I1150" s="253"/>
      <c r="J1150" s="253"/>
      <c r="K1150" s="253"/>
      <c r="L1150" s="253"/>
      <c r="M1150" s="253"/>
      <c r="N1150" s="253"/>
      <c r="O1150" s="253"/>
      <c r="P1150" s="253"/>
      <c r="Q1150" s="253"/>
    </row>
    <row r="1151" spans="1:17">
      <c r="A1151" s="253"/>
      <c r="B1151" s="253"/>
      <c r="C1151" s="253"/>
      <c r="D1151" s="253"/>
      <c r="E1151" s="253"/>
      <c r="F1151" s="253"/>
      <c r="G1151" s="253"/>
      <c r="H1151" s="253"/>
      <c r="I1151" s="253"/>
      <c r="J1151" s="253"/>
      <c r="K1151" s="253"/>
      <c r="L1151" s="253"/>
      <c r="M1151" s="253"/>
      <c r="N1151" s="253"/>
      <c r="O1151" s="253"/>
      <c r="P1151" s="253"/>
      <c r="Q1151" s="253"/>
    </row>
    <row r="1152" spans="1:17">
      <c r="A1152" s="253"/>
      <c r="B1152" s="253"/>
      <c r="C1152" s="253"/>
      <c r="D1152" s="253"/>
      <c r="E1152" s="253"/>
      <c r="F1152" s="253"/>
      <c r="G1152" s="253"/>
      <c r="H1152" s="253"/>
      <c r="I1152" s="253"/>
      <c r="J1152" s="253"/>
      <c r="K1152" s="253"/>
      <c r="L1152" s="253"/>
      <c r="M1152" s="253"/>
      <c r="N1152" s="253"/>
      <c r="O1152" s="253"/>
      <c r="P1152" s="253"/>
      <c r="Q1152" s="253"/>
    </row>
    <row r="1153" spans="1:17">
      <c r="A1153" s="253"/>
      <c r="B1153" s="253"/>
      <c r="C1153" s="253"/>
      <c r="D1153" s="253"/>
      <c r="E1153" s="253"/>
      <c r="F1153" s="253"/>
      <c r="G1153" s="253"/>
      <c r="H1153" s="253"/>
      <c r="I1153" s="253"/>
      <c r="J1153" s="253"/>
      <c r="K1153" s="253"/>
      <c r="L1153" s="253"/>
      <c r="M1153" s="253"/>
      <c r="N1153" s="253"/>
      <c r="O1153" s="253"/>
      <c r="P1153" s="253"/>
      <c r="Q1153" s="253"/>
    </row>
    <row r="1154" spans="1:17">
      <c r="A1154" s="253"/>
      <c r="B1154" s="253"/>
      <c r="C1154" s="253"/>
      <c r="D1154" s="253"/>
      <c r="E1154" s="253"/>
      <c r="F1154" s="253"/>
      <c r="G1154" s="253"/>
      <c r="H1154" s="253"/>
      <c r="I1154" s="253"/>
      <c r="J1154" s="253"/>
      <c r="K1154" s="253"/>
      <c r="L1154" s="253"/>
      <c r="M1154" s="253"/>
      <c r="N1154" s="253"/>
      <c r="O1154" s="253"/>
      <c r="P1154" s="253"/>
      <c r="Q1154" s="253"/>
    </row>
    <row r="1155" spans="1:17">
      <c r="A1155" s="253"/>
      <c r="B1155" s="253"/>
      <c r="C1155" s="253"/>
      <c r="D1155" s="253"/>
      <c r="E1155" s="253"/>
      <c r="F1155" s="253"/>
      <c r="G1155" s="253"/>
      <c r="H1155" s="253"/>
      <c r="I1155" s="253"/>
      <c r="J1155" s="253"/>
      <c r="K1155" s="253"/>
      <c r="L1155" s="253"/>
      <c r="M1155" s="253"/>
      <c r="N1155" s="253"/>
      <c r="O1155" s="253"/>
      <c r="P1155" s="253"/>
      <c r="Q1155" s="253"/>
    </row>
    <row r="1156" spans="1:17">
      <c r="A1156" s="253"/>
      <c r="B1156" s="253"/>
      <c r="C1156" s="253"/>
      <c r="D1156" s="253"/>
      <c r="E1156" s="253"/>
      <c r="F1156" s="253"/>
      <c r="G1156" s="253"/>
      <c r="H1156" s="253"/>
      <c r="I1156" s="253"/>
      <c r="J1156" s="253"/>
      <c r="K1156" s="253"/>
      <c r="L1156" s="253"/>
      <c r="M1156" s="253"/>
      <c r="N1156" s="253"/>
      <c r="O1156" s="253"/>
      <c r="P1156" s="253"/>
      <c r="Q1156" s="253"/>
    </row>
    <row r="1157" spans="1:17">
      <c r="A1157" s="253"/>
      <c r="B1157" s="253"/>
      <c r="C1157" s="253"/>
      <c r="D1157" s="253"/>
      <c r="E1157" s="253"/>
      <c r="F1157" s="253"/>
      <c r="G1157" s="253"/>
      <c r="H1157" s="253"/>
      <c r="I1157" s="253"/>
      <c r="J1157" s="253"/>
      <c r="K1157" s="253"/>
      <c r="L1157" s="253"/>
      <c r="M1157" s="253"/>
      <c r="N1157" s="253"/>
      <c r="O1157" s="253"/>
      <c r="P1157" s="253"/>
      <c r="Q1157" s="253"/>
    </row>
    <row r="1158" spans="1:17">
      <c r="A1158" s="253"/>
      <c r="B1158" s="253"/>
      <c r="C1158" s="253"/>
      <c r="D1158" s="253"/>
      <c r="E1158" s="253"/>
      <c r="F1158" s="253"/>
      <c r="G1158" s="253"/>
      <c r="H1158" s="253"/>
      <c r="I1158" s="253"/>
      <c r="J1158" s="253"/>
      <c r="K1158" s="253"/>
      <c r="L1158" s="253"/>
      <c r="M1158" s="253"/>
      <c r="N1158" s="253"/>
      <c r="O1158" s="253"/>
      <c r="P1158" s="253"/>
      <c r="Q1158" s="253"/>
    </row>
    <row r="1159" spans="1:17">
      <c r="A1159" s="253"/>
      <c r="B1159" s="253"/>
      <c r="C1159" s="253"/>
      <c r="D1159" s="253"/>
      <c r="E1159" s="253"/>
      <c r="F1159" s="253"/>
      <c r="G1159" s="253"/>
      <c r="H1159" s="253"/>
      <c r="I1159" s="253"/>
      <c r="J1159" s="253"/>
      <c r="K1159" s="253"/>
      <c r="L1159" s="253"/>
      <c r="M1159" s="253"/>
      <c r="N1159" s="253"/>
      <c r="O1159" s="253"/>
      <c r="P1159" s="253"/>
      <c r="Q1159" s="253"/>
    </row>
    <row r="1160" spans="1:17">
      <c r="A1160" s="253"/>
      <c r="B1160" s="253"/>
      <c r="C1160" s="253"/>
      <c r="D1160" s="253"/>
      <c r="E1160" s="253"/>
      <c r="F1160" s="253"/>
      <c r="G1160" s="253"/>
      <c r="H1160" s="253"/>
      <c r="I1160" s="253"/>
      <c r="J1160" s="253"/>
      <c r="K1160" s="253"/>
      <c r="L1160" s="253"/>
      <c r="M1160" s="253"/>
      <c r="N1160" s="253"/>
      <c r="O1160" s="253"/>
      <c r="P1160" s="253"/>
      <c r="Q1160" s="253"/>
    </row>
    <row r="1161" spans="1:17">
      <c r="A1161" s="253"/>
      <c r="B1161" s="253"/>
      <c r="C1161" s="253"/>
      <c r="D1161" s="253"/>
      <c r="E1161" s="253"/>
      <c r="F1161" s="253"/>
      <c r="G1161" s="253"/>
      <c r="H1161" s="253"/>
      <c r="I1161" s="253"/>
      <c r="J1161" s="253"/>
      <c r="K1161" s="253"/>
      <c r="L1161" s="253"/>
      <c r="M1161" s="253"/>
      <c r="N1161" s="253"/>
      <c r="O1161" s="253"/>
      <c r="P1161" s="253"/>
      <c r="Q1161" s="253"/>
    </row>
    <row r="1162" spans="1:17">
      <c r="A1162" s="253"/>
      <c r="B1162" s="253"/>
      <c r="C1162" s="253"/>
      <c r="D1162" s="253"/>
      <c r="E1162" s="253"/>
      <c r="F1162" s="253"/>
      <c r="G1162" s="253"/>
      <c r="H1162" s="253"/>
      <c r="I1162" s="253"/>
      <c r="J1162" s="253"/>
      <c r="K1162" s="253"/>
      <c r="L1162" s="253"/>
      <c r="M1162" s="253"/>
      <c r="N1162" s="253"/>
      <c r="O1162" s="253"/>
      <c r="P1162" s="253"/>
      <c r="Q1162" s="253"/>
    </row>
    <row r="1163" spans="1:17">
      <c r="A1163" s="253"/>
      <c r="B1163" s="253"/>
      <c r="C1163" s="253"/>
      <c r="D1163" s="253"/>
      <c r="E1163" s="253"/>
      <c r="F1163" s="253"/>
      <c r="G1163" s="253"/>
      <c r="H1163" s="253"/>
      <c r="I1163" s="253"/>
      <c r="J1163" s="253"/>
      <c r="K1163" s="253"/>
      <c r="L1163" s="253"/>
      <c r="M1163" s="253"/>
      <c r="N1163" s="253"/>
      <c r="O1163" s="253"/>
      <c r="P1163" s="253"/>
      <c r="Q1163" s="253"/>
    </row>
    <row r="1164" spans="1:17">
      <c r="A1164" s="253"/>
      <c r="B1164" s="253"/>
      <c r="C1164" s="253"/>
      <c r="D1164" s="253"/>
      <c r="E1164" s="253"/>
      <c r="F1164" s="253"/>
      <c r="G1164" s="253"/>
      <c r="H1164" s="253"/>
      <c r="I1164" s="253"/>
      <c r="J1164" s="253"/>
      <c r="K1164" s="253"/>
      <c r="L1164" s="253"/>
      <c r="M1164" s="253"/>
      <c r="N1164" s="253"/>
      <c r="O1164" s="253"/>
      <c r="P1164" s="253"/>
      <c r="Q1164" s="253"/>
    </row>
    <row r="1165" spans="1:17">
      <c r="A1165" s="253"/>
      <c r="B1165" s="253"/>
      <c r="C1165" s="253"/>
      <c r="D1165" s="253"/>
      <c r="E1165" s="253"/>
      <c r="F1165" s="253"/>
      <c r="G1165" s="253"/>
      <c r="H1165" s="253"/>
      <c r="I1165" s="253"/>
      <c r="J1165" s="253"/>
      <c r="K1165" s="253"/>
      <c r="L1165" s="253"/>
      <c r="M1165" s="253"/>
      <c r="N1165" s="253"/>
      <c r="O1165" s="253"/>
      <c r="P1165" s="253"/>
      <c r="Q1165" s="253"/>
    </row>
    <row r="1166" spans="1:17">
      <c r="A1166" s="253"/>
      <c r="B1166" s="253"/>
      <c r="C1166" s="253"/>
      <c r="D1166" s="253"/>
      <c r="E1166" s="253"/>
      <c r="F1166" s="253"/>
      <c r="G1166" s="253"/>
      <c r="H1166" s="253"/>
      <c r="I1166" s="253"/>
      <c r="J1166" s="253"/>
      <c r="K1166" s="253"/>
      <c r="L1166" s="253"/>
      <c r="M1166" s="253"/>
      <c r="N1166" s="253"/>
      <c r="O1166" s="253"/>
      <c r="P1166" s="253"/>
      <c r="Q1166" s="253"/>
    </row>
    <row r="1167" spans="1:17">
      <c r="A1167" s="253"/>
      <c r="B1167" s="253"/>
      <c r="C1167" s="253"/>
      <c r="D1167" s="253"/>
      <c r="E1167" s="253"/>
      <c r="F1167" s="253"/>
      <c r="G1167" s="253"/>
      <c r="H1167" s="253"/>
      <c r="I1167" s="253"/>
      <c r="J1167" s="253"/>
      <c r="K1167" s="253"/>
      <c r="L1167" s="253"/>
      <c r="M1167" s="253"/>
      <c r="N1167" s="253"/>
      <c r="O1167" s="253"/>
      <c r="P1167" s="253"/>
      <c r="Q1167" s="253"/>
    </row>
    <row r="1168" spans="1:17">
      <c r="A1168" s="253"/>
      <c r="B1168" s="253"/>
      <c r="C1168" s="253"/>
      <c r="D1168" s="253"/>
      <c r="E1168" s="253"/>
      <c r="F1168" s="253"/>
      <c r="G1168" s="253"/>
      <c r="H1168" s="253"/>
      <c r="I1168" s="253"/>
      <c r="J1168" s="253"/>
      <c r="K1168" s="253"/>
      <c r="L1168" s="253"/>
      <c r="M1168" s="253"/>
      <c r="N1168" s="253"/>
      <c r="O1168" s="253"/>
      <c r="P1168" s="253"/>
      <c r="Q1168" s="253"/>
    </row>
    <row r="1169" spans="1:17">
      <c r="A1169" s="253"/>
      <c r="B1169" s="253"/>
      <c r="C1169" s="253"/>
      <c r="D1169" s="253"/>
      <c r="E1169" s="253"/>
      <c r="F1169" s="253"/>
      <c r="G1169" s="253"/>
      <c r="H1169" s="253"/>
      <c r="I1169" s="253"/>
      <c r="J1169" s="253"/>
      <c r="K1169" s="253"/>
      <c r="L1169" s="253"/>
      <c r="M1169" s="253"/>
      <c r="N1169" s="253"/>
      <c r="O1169" s="253"/>
      <c r="P1169" s="253"/>
      <c r="Q1169" s="253"/>
    </row>
    <row r="1170" spans="1:17">
      <c r="A1170" s="253"/>
      <c r="B1170" s="253"/>
      <c r="C1170" s="253"/>
      <c r="D1170" s="253"/>
      <c r="E1170" s="253"/>
      <c r="F1170" s="253"/>
      <c r="G1170" s="253"/>
      <c r="H1170" s="253"/>
      <c r="I1170" s="253"/>
      <c r="J1170" s="253"/>
      <c r="K1170" s="253"/>
      <c r="L1170" s="253"/>
      <c r="M1170" s="253"/>
      <c r="N1170" s="253"/>
      <c r="O1170" s="253"/>
      <c r="P1170" s="253"/>
      <c r="Q1170" s="253"/>
    </row>
    <row r="1171" spans="1:17">
      <c r="A1171" s="253"/>
      <c r="B1171" s="253"/>
      <c r="C1171" s="253"/>
      <c r="D1171" s="253"/>
      <c r="E1171" s="253"/>
      <c r="F1171" s="253"/>
      <c r="G1171" s="253"/>
      <c r="H1171" s="253"/>
      <c r="I1171" s="253"/>
      <c r="J1171" s="253"/>
      <c r="K1171" s="253"/>
      <c r="L1171" s="253"/>
      <c r="M1171" s="253"/>
      <c r="N1171" s="253"/>
      <c r="O1171" s="253"/>
      <c r="P1171" s="253"/>
      <c r="Q1171" s="253"/>
    </row>
    <row r="1172" spans="1:17">
      <c r="A1172" s="253"/>
      <c r="B1172" s="253"/>
      <c r="C1172" s="253"/>
      <c r="D1172" s="253"/>
      <c r="E1172" s="253"/>
      <c r="F1172" s="253"/>
      <c r="G1172" s="253"/>
      <c r="H1172" s="253"/>
      <c r="I1172" s="253"/>
      <c r="J1172" s="253"/>
      <c r="K1172" s="253"/>
      <c r="L1172" s="253"/>
      <c r="M1172" s="253"/>
      <c r="N1172" s="253"/>
      <c r="O1172" s="253"/>
      <c r="P1172" s="253"/>
      <c r="Q1172" s="253"/>
    </row>
    <row r="1173" spans="1:17">
      <c r="A1173" s="253"/>
      <c r="B1173" s="253"/>
      <c r="C1173" s="253"/>
      <c r="D1173" s="253"/>
      <c r="E1173" s="253"/>
      <c r="F1173" s="253"/>
      <c r="G1173" s="253"/>
      <c r="H1173" s="253"/>
      <c r="I1173" s="253"/>
      <c r="J1173" s="253"/>
      <c r="K1173" s="253"/>
      <c r="L1173" s="253"/>
      <c r="M1173" s="253"/>
      <c r="N1173" s="253"/>
      <c r="O1173" s="253"/>
      <c r="P1173" s="253"/>
      <c r="Q1173" s="253"/>
    </row>
    <row r="1174" spans="1:17">
      <c r="A1174" s="253"/>
      <c r="B1174" s="253"/>
      <c r="C1174" s="253"/>
      <c r="D1174" s="253"/>
      <c r="E1174" s="253"/>
      <c r="F1174" s="253"/>
      <c r="G1174" s="253"/>
      <c r="H1174" s="253"/>
      <c r="I1174" s="253"/>
      <c r="J1174" s="253"/>
      <c r="K1174" s="253"/>
      <c r="L1174" s="253"/>
      <c r="M1174" s="253"/>
      <c r="N1174" s="253"/>
      <c r="O1174" s="253"/>
      <c r="P1174" s="253"/>
      <c r="Q1174" s="253"/>
    </row>
    <row r="1175" spans="1:17">
      <c r="A1175" s="253"/>
      <c r="B1175" s="253"/>
      <c r="C1175" s="253"/>
      <c r="D1175" s="253"/>
      <c r="E1175" s="253"/>
      <c r="F1175" s="253"/>
      <c r="G1175" s="253"/>
      <c r="H1175" s="253"/>
      <c r="I1175" s="253"/>
      <c r="J1175" s="253"/>
      <c r="K1175" s="253"/>
      <c r="L1175" s="253"/>
      <c r="M1175" s="253"/>
      <c r="N1175" s="253"/>
      <c r="O1175" s="253"/>
      <c r="P1175" s="253"/>
      <c r="Q1175" s="253"/>
    </row>
    <row r="1176" spans="1:17">
      <c r="A1176" s="253"/>
      <c r="B1176" s="253"/>
      <c r="C1176" s="253"/>
      <c r="D1176" s="253"/>
      <c r="E1176" s="253"/>
      <c r="F1176" s="253"/>
      <c r="G1176" s="253"/>
      <c r="H1176" s="253"/>
      <c r="I1176" s="253"/>
      <c r="J1176" s="253"/>
      <c r="K1176" s="253"/>
      <c r="L1176" s="253"/>
      <c r="M1176" s="253"/>
      <c r="N1176" s="253"/>
      <c r="O1176" s="253"/>
      <c r="P1176" s="253"/>
      <c r="Q1176" s="253"/>
    </row>
    <row r="1177" spans="1:17">
      <c r="A1177" s="253"/>
      <c r="B1177" s="253"/>
      <c r="C1177" s="253"/>
      <c r="D1177" s="253"/>
      <c r="E1177" s="253"/>
      <c r="F1177" s="253"/>
      <c r="G1177" s="253"/>
      <c r="H1177" s="253"/>
      <c r="I1177" s="253"/>
      <c r="J1177" s="253"/>
      <c r="K1177" s="253"/>
      <c r="L1177" s="253"/>
      <c r="M1177" s="253"/>
      <c r="N1177" s="253"/>
      <c r="O1177" s="253"/>
      <c r="P1177" s="253"/>
      <c r="Q1177" s="253"/>
    </row>
    <row r="1178" spans="1:17">
      <c r="A1178" s="253"/>
      <c r="B1178" s="253"/>
      <c r="C1178" s="253"/>
      <c r="D1178" s="253"/>
      <c r="E1178" s="253"/>
      <c r="F1178" s="253"/>
      <c r="G1178" s="253"/>
      <c r="H1178" s="253"/>
      <c r="I1178" s="253"/>
      <c r="J1178" s="253"/>
      <c r="K1178" s="253"/>
      <c r="L1178" s="253"/>
      <c r="M1178" s="253"/>
      <c r="N1178" s="253"/>
      <c r="O1178" s="253"/>
      <c r="P1178" s="253"/>
      <c r="Q1178" s="253"/>
    </row>
    <row r="1179" spans="1:17">
      <c r="A1179" s="253"/>
      <c r="B1179" s="253"/>
      <c r="C1179" s="253"/>
      <c r="D1179" s="253"/>
      <c r="E1179" s="253"/>
      <c r="F1179" s="253"/>
      <c r="G1179" s="253"/>
      <c r="H1179" s="253"/>
      <c r="I1179" s="253"/>
      <c r="J1179" s="253"/>
      <c r="K1179" s="253"/>
      <c r="L1179" s="253"/>
      <c r="M1179" s="253"/>
      <c r="N1179" s="253"/>
      <c r="O1179" s="253"/>
      <c r="P1179" s="253"/>
      <c r="Q1179" s="253"/>
    </row>
    <row r="1180" spans="1:17">
      <c r="A1180" s="253"/>
      <c r="B1180" s="253"/>
      <c r="C1180" s="253"/>
      <c r="D1180" s="253"/>
      <c r="E1180" s="253"/>
      <c r="F1180" s="253"/>
      <c r="G1180" s="253"/>
      <c r="H1180" s="253"/>
      <c r="I1180" s="253"/>
      <c r="J1180" s="253"/>
      <c r="K1180" s="253"/>
      <c r="L1180" s="253"/>
      <c r="M1180" s="253"/>
      <c r="N1180" s="253"/>
      <c r="O1180" s="253"/>
      <c r="P1180" s="253"/>
      <c r="Q1180" s="253"/>
    </row>
    <row r="1181" spans="1:17">
      <c r="A1181" s="253"/>
      <c r="B1181" s="253"/>
      <c r="C1181" s="253"/>
      <c r="D1181" s="253"/>
      <c r="E1181" s="253"/>
      <c r="F1181" s="253"/>
      <c r="G1181" s="253"/>
      <c r="H1181" s="253"/>
      <c r="I1181" s="253"/>
      <c r="J1181" s="253"/>
      <c r="K1181" s="253"/>
      <c r="L1181" s="253"/>
      <c r="M1181" s="253"/>
      <c r="N1181" s="253"/>
      <c r="O1181" s="253"/>
      <c r="P1181" s="253"/>
      <c r="Q1181" s="253"/>
    </row>
    <row r="1182" spans="1:17">
      <c r="A1182" s="253"/>
      <c r="B1182" s="253"/>
      <c r="C1182" s="253"/>
      <c r="D1182" s="253"/>
      <c r="E1182" s="253"/>
      <c r="F1182" s="253"/>
      <c r="G1182" s="253"/>
      <c r="H1182" s="253"/>
      <c r="I1182" s="253"/>
      <c r="J1182" s="253"/>
      <c r="K1182" s="253"/>
      <c r="L1182" s="253"/>
      <c r="M1182" s="253"/>
      <c r="N1182" s="253"/>
      <c r="O1182" s="253"/>
      <c r="P1182" s="253"/>
      <c r="Q1182" s="253"/>
    </row>
    <row r="1183" spans="1:17">
      <c r="A1183" s="253"/>
      <c r="B1183" s="253"/>
      <c r="C1183" s="253"/>
      <c r="D1183" s="253"/>
      <c r="E1183" s="253"/>
      <c r="F1183" s="253"/>
      <c r="G1183" s="253"/>
      <c r="H1183" s="253"/>
      <c r="I1183" s="253"/>
      <c r="J1183" s="253"/>
      <c r="K1183" s="253"/>
      <c r="L1183" s="253"/>
      <c r="M1183" s="253"/>
      <c r="N1183" s="253"/>
      <c r="O1183" s="253"/>
      <c r="P1183" s="253"/>
      <c r="Q1183" s="253"/>
    </row>
    <row r="1184" spans="1:17">
      <c r="A1184" s="253"/>
      <c r="B1184" s="253"/>
      <c r="C1184" s="253"/>
      <c r="D1184" s="253"/>
      <c r="E1184" s="253"/>
      <c r="F1184" s="253"/>
      <c r="G1184" s="253"/>
      <c r="H1184" s="253"/>
      <c r="I1184" s="253"/>
      <c r="J1184" s="253"/>
      <c r="K1184" s="253"/>
      <c r="L1184" s="253"/>
      <c r="M1184" s="253"/>
      <c r="N1184" s="253"/>
      <c r="O1184" s="253"/>
      <c r="P1184" s="253"/>
      <c r="Q1184" s="253"/>
    </row>
    <row r="1185" spans="1:17">
      <c r="A1185" s="253"/>
      <c r="B1185" s="253"/>
      <c r="C1185" s="253"/>
      <c r="D1185" s="253"/>
      <c r="E1185" s="253"/>
      <c r="F1185" s="253"/>
      <c r="G1185" s="253"/>
      <c r="H1185" s="253"/>
      <c r="I1185" s="253"/>
      <c r="J1185" s="253"/>
      <c r="K1185" s="253"/>
      <c r="L1185" s="253"/>
      <c r="M1185" s="253"/>
      <c r="N1185" s="253"/>
      <c r="O1185" s="253"/>
      <c r="P1185" s="253"/>
      <c r="Q1185" s="253"/>
    </row>
    <row r="1186" spans="1:17">
      <c r="A1186" s="253"/>
      <c r="B1186" s="253"/>
      <c r="C1186" s="253"/>
      <c r="D1186" s="253"/>
      <c r="E1186" s="253"/>
      <c r="F1186" s="253"/>
      <c r="G1186" s="253"/>
      <c r="H1186" s="253"/>
      <c r="I1186" s="253"/>
      <c r="J1186" s="253"/>
      <c r="K1186" s="253"/>
      <c r="L1186" s="253"/>
      <c r="M1186" s="253"/>
      <c r="N1186" s="253"/>
      <c r="O1186" s="253"/>
      <c r="P1186" s="253"/>
      <c r="Q1186" s="253"/>
    </row>
    <row r="1187" spans="1:17">
      <c r="A1187" s="253"/>
      <c r="B1187" s="253"/>
      <c r="C1187" s="253"/>
      <c r="D1187" s="253"/>
      <c r="E1187" s="253"/>
      <c r="F1187" s="253"/>
      <c r="G1187" s="253"/>
      <c r="H1187" s="253"/>
      <c r="I1187" s="253"/>
      <c r="J1187" s="253"/>
      <c r="K1187" s="253"/>
      <c r="L1187" s="253"/>
      <c r="M1187" s="253"/>
      <c r="N1187" s="253"/>
      <c r="O1187" s="253"/>
      <c r="P1187" s="253"/>
      <c r="Q1187" s="253"/>
    </row>
    <row r="1188" spans="1:17">
      <c r="A1188" s="253"/>
      <c r="B1188" s="253"/>
      <c r="C1188" s="253"/>
      <c r="D1188" s="253"/>
      <c r="E1188" s="253"/>
      <c r="F1188" s="253"/>
      <c r="G1188" s="253"/>
      <c r="H1188" s="253"/>
      <c r="I1188" s="253"/>
      <c r="J1188" s="253"/>
      <c r="K1188" s="253"/>
      <c r="L1188" s="253"/>
      <c r="M1188" s="253"/>
      <c r="N1188" s="253"/>
      <c r="O1188" s="253"/>
      <c r="P1188" s="253"/>
      <c r="Q1188" s="253"/>
    </row>
    <row r="1189" spans="1:17">
      <c r="A1189" s="253"/>
      <c r="B1189" s="253"/>
      <c r="C1189" s="253"/>
      <c r="D1189" s="253"/>
      <c r="E1189" s="253"/>
      <c r="F1189" s="253"/>
      <c r="G1189" s="253"/>
      <c r="H1189" s="253"/>
      <c r="I1189" s="253"/>
      <c r="J1189" s="253"/>
      <c r="K1189" s="253"/>
      <c r="L1189" s="253"/>
      <c r="M1189" s="253"/>
      <c r="N1189" s="253"/>
      <c r="O1189" s="253"/>
      <c r="P1189" s="253"/>
      <c r="Q1189" s="253"/>
    </row>
    <row r="1190" spans="1:17">
      <c r="A1190" s="253"/>
      <c r="B1190" s="253"/>
      <c r="C1190" s="253"/>
      <c r="D1190" s="253"/>
      <c r="E1190" s="253"/>
      <c r="F1190" s="253"/>
      <c r="G1190" s="253"/>
      <c r="H1190" s="253"/>
      <c r="I1190" s="253"/>
      <c r="J1190" s="253"/>
      <c r="K1190" s="253"/>
      <c r="L1190" s="253"/>
      <c r="M1190" s="253"/>
      <c r="N1190" s="253"/>
      <c r="O1190" s="253"/>
      <c r="P1190" s="253"/>
      <c r="Q1190" s="253"/>
    </row>
    <row r="1191" spans="1:17">
      <c r="A1191" s="253"/>
      <c r="B1191" s="253"/>
      <c r="C1191" s="253"/>
      <c r="D1191" s="253"/>
      <c r="E1191" s="253"/>
      <c r="F1191" s="253"/>
      <c r="G1191" s="253"/>
      <c r="H1191" s="253"/>
      <c r="I1191" s="253"/>
      <c r="J1191" s="253"/>
      <c r="K1191" s="253"/>
      <c r="L1191" s="253"/>
      <c r="M1191" s="253"/>
      <c r="N1191" s="253"/>
      <c r="O1191" s="253"/>
      <c r="P1191" s="253"/>
      <c r="Q1191" s="253"/>
    </row>
    <row r="1192" spans="1:17">
      <c r="A1192" s="253"/>
      <c r="B1192" s="253"/>
      <c r="C1192" s="253"/>
      <c r="D1192" s="253"/>
      <c r="E1192" s="253"/>
      <c r="F1192" s="253"/>
      <c r="G1192" s="253"/>
      <c r="H1192" s="253"/>
      <c r="I1192" s="253"/>
      <c r="J1192" s="253"/>
      <c r="K1192" s="253"/>
      <c r="L1192" s="253"/>
      <c r="M1192" s="253"/>
      <c r="N1192" s="253"/>
      <c r="O1192" s="253"/>
      <c r="P1192" s="253"/>
      <c r="Q1192" s="253"/>
    </row>
    <row r="1193" spans="1:17">
      <c r="A1193" s="253"/>
      <c r="B1193" s="253"/>
      <c r="C1193" s="253"/>
      <c r="D1193" s="253"/>
      <c r="E1193" s="253"/>
      <c r="F1193" s="253"/>
      <c r="G1193" s="253"/>
      <c r="H1193" s="253"/>
      <c r="I1193" s="253"/>
      <c r="J1193" s="253"/>
      <c r="K1193" s="253"/>
      <c r="L1193" s="253"/>
      <c r="M1193" s="253"/>
      <c r="N1193" s="253"/>
      <c r="O1193" s="253"/>
      <c r="P1193" s="253"/>
      <c r="Q1193" s="253"/>
    </row>
    <row r="1194" spans="1:17">
      <c r="A1194" s="253"/>
      <c r="B1194" s="253"/>
      <c r="C1194" s="253"/>
      <c r="D1194" s="253"/>
      <c r="E1194" s="253"/>
      <c r="F1194" s="253"/>
      <c r="G1194" s="253"/>
      <c r="H1194" s="253"/>
      <c r="I1194" s="253"/>
      <c r="J1194" s="253"/>
      <c r="K1194" s="253"/>
      <c r="L1194" s="253"/>
      <c r="M1194" s="253"/>
      <c r="N1194" s="253"/>
      <c r="O1194" s="253"/>
      <c r="P1194" s="253"/>
      <c r="Q1194" s="253"/>
    </row>
    <row r="1195" spans="1:17">
      <c r="A1195" s="253"/>
      <c r="B1195" s="253"/>
      <c r="C1195" s="253"/>
      <c r="D1195" s="253"/>
      <c r="E1195" s="253"/>
      <c r="F1195" s="253"/>
      <c r="G1195" s="253"/>
      <c r="H1195" s="253"/>
      <c r="I1195" s="253"/>
      <c r="J1195" s="253"/>
      <c r="K1195" s="253"/>
      <c r="L1195" s="253"/>
      <c r="M1195" s="253"/>
      <c r="N1195" s="253"/>
      <c r="O1195" s="253"/>
      <c r="P1195" s="253"/>
      <c r="Q1195" s="253"/>
    </row>
    <row r="1196" spans="1:17">
      <c r="A1196" s="253"/>
      <c r="B1196" s="253"/>
      <c r="C1196" s="253"/>
      <c r="D1196" s="253"/>
      <c r="E1196" s="253"/>
      <c r="F1196" s="253"/>
      <c r="G1196" s="253"/>
      <c r="H1196" s="253"/>
      <c r="I1196" s="253"/>
      <c r="J1196" s="253"/>
      <c r="K1196" s="253"/>
      <c r="L1196" s="253"/>
      <c r="M1196" s="253"/>
      <c r="N1196" s="253"/>
      <c r="O1196" s="253"/>
      <c r="P1196" s="253"/>
      <c r="Q1196" s="253"/>
    </row>
    <row r="1197" spans="1:17">
      <c r="A1197" s="253"/>
      <c r="B1197" s="253"/>
      <c r="C1197" s="253"/>
      <c r="D1197" s="253"/>
      <c r="E1197" s="253"/>
      <c r="F1197" s="253"/>
      <c r="G1197" s="253"/>
      <c r="H1197" s="253"/>
      <c r="I1197" s="253"/>
      <c r="J1197" s="253"/>
      <c r="K1197" s="253"/>
      <c r="L1197" s="253"/>
      <c r="M1197" s="253"/>
      <c r="N1197" s="253"/>
      <c r="O1197" s="253"/>
      <c r="P1197" s="253"/>
      <c r="Q1197" s="253"/>
    </row>
    <row r="1198" spans="1:17">
      <c r="A1198" s="253"/>
      <c r="B1198" s="253"/>
      <c r="C1198" s="253"/>
      <c r="D1198" s="253"/>
      <c r="E1198" s="253"/>
      <c r="F1198" s="253"/>
      <c r="G1198" s="253"/>
      <c r="H1198" s="253"/>
      <c r="I1198" s="253"/>
      <c r="J1198" s="253"/>
      <c r="K1198" s="253"/>
      <c r="L1198" s="253"/>
      <c r="M1198" s="253"/>
      <c r="N1198" s="253"/>
      <c r="O1198" s="253"/>
      <c r="P1198" s="253"/>
      <c r="Q1198" s="253"/>
    </row>
    <row r="1199" spans="1:17">
      <c r="A1199" s="253"/>
      <c r="B1199" s="253"/>
      <c r="C1199" s="253"/>
      <c r="D1199" s="253"/>
      <c r="E1199" s="253"/>
      <c r="F1199" s="253"/>
      <c r="G1199" s="253"/>
      <c r="H1199" s="253"/>
      <c r="I1199" s="253"/>
      <c r="J1199" s="253"/>
      <c r="K1199" s="253"/>
      <c r="L1199" s="253"/>
      <c r="M1199" s="253"/>
      <c r="N1199" s="253"/>
      <c r="O1199" s="253"/>
      <c r="P1199" s="253"/>
      <c r="Q1199" s="253"/>
    </row>
    <row r="1200" spans="1:17">
      <c r="A1200" s="253"/>
      <c r="B1200" s="253"/>
      <c r="C1200" s="253"/>
      <c r="D1200" s="253"/>
      <c r="E1200" s="253"/>
      <c r="F1200" s="253"/>
      <c r="G1200" s="253"/>
      <c r="H1200" s="253"/>
      <c r="I1200" s="253"/>
      <c r="J1200" s="253"/>
      <c r="K1200" s="253"/>
      <c r="L1200" s="253"/>
      <c r="M1200" s="253"/>
      <c r="N1200" s="253"/>
      <c r="O1200" s="253"/>
      <c r="P1200" s="253"/>
      <c r="Q1200" s="253"/>
    </row>
    <row r="1201" spans="1:17">
      <c r="A1201" s="253"/>
      <c r="B1201" s="253"/>
      <c r="C1201" s="253"/>
      <c r="D1201" s="253"/>
      <c r="E1201" s="253"/>
      <c r="F1201" s="253"/>
      <c r="G1201" s="253"/>
      <c r="H1201" s="253"/>
      <c r="I1201" s="253"/>
      <c r="J1201" s="253"/>
      <c r="K1201" s="253"/>
      <c r="L1201" s="253"/>
      <c r="M1201" s="253"/>
      <c r="N1201" s="253"/>
      <c r="O1201" s="253"/>
      <c r="P1201" s="253"/>
      <c r="Q1201" s="253"/>
    </row>
    <row r="1202" spans="1:17">
      <c r="A1202" s="253"/>
      <c r="B1202" s="253"/>
      <c r="C1202" s="253"/>
      <c r="D1202" s="253"/>
      <c r="E1202" s="253"/>
      <c r="F1202" s="253"/>
      <c r="G1202" s="253"/>
      <c r="H1202" s="253"/>
      <c r="I1202" s="253"/>
      <c r="J1202" s="253"/>
      <c r="K1202" s="253"/>
      <c r="L1202" s="253"/>
      <c r="M1202" s="253"/>
      <c r="N1202" s="253"/>
      <c r="O1202" s="253"/>
      <c r="P1202" s="253"/>
      <c r="Q1202" s="253"/>
    </row>
    <row r="1203" spans="1:17">
      <c r="A1203" s="253"/>
      <c r="B1203" s="253"/>
      <c r="C1203" s="253"/>
      <c r="D1203" s="253"/>
      <c r="E1203" s="253"/>
      <c r="F1203" s="253"/>
      <c r="G1203" s="253"/>
      <c r="H1203" s="253"/>
      <c r="I1203" s="253"/>
      <c r="J1203" s="253"/>
      <c r="K1203" s="253"/>
      <c r="L1203" s="253"/>
      <c r="M1203" s="253"/>
      <c r="N1203" s="253"/>
      <c r="O1203" s="253"/>
      <c r="P1203" s="253"/>
      <c r="Q1203" s="253"/>
    </row>
    <row r="1204" spans="1:17">
      <c r="A1204" s="253"/>
      <c r="B1204" s="253"/>
      <c r="C1204" s="253"/>
      <c r="D1204" s="253"/>
      <c r="E1204" s="253"/>
      <c r="F1204" s="253"/>
      <c r="G1204" s="253"/>
      <c r="H1204" s="253"/>
      <c r="I1204" s="253"/>
      <c r="J1204" s="253"/>
      <c r="K1204" s="253"/>
      <c r="L1204" s="253"/>
      <c r="M1204" s="253"/>
      <c r="N1204" s="253"/>
      <c r="O1204" s="253"/>
      <c r="P1204" s="253"/>
      <c r="Q1204" s="253"/>
    </row>
    <row r="1205" spans="1:17">
      <c r="A1205" s="253"/>
      <c r="B1205" s="253"/>
      <c r="C1205" s="253"/>
      <c r="D1205" s="253"/>
      <c r="E1205" s="253"/>
      <c r="F1205" s="253"/>
      <c r="G1205" s="253"/>
      <c r="H1205" s="253"/>
      <c r="I1205" s="253"/>
      <c r="J1205" s="253"/>
      <c r="K1205" s="253"/>
      <c r="L1205" s="253"/>
      <c r="M1205" s="253"/>
      <c r="N1205" s="253"/>
      <c r="O1205" s="253"/>
      <c r="P1205" s="253"/>
      <c r="Q1205" s="253"/>
    </row>
    <row r="1206" spans="1:17">
      <c r="A1206" s="253"/>
      <c r="B1206" s="253"/>
      <c r="C1206" s="253"/>
      <c r="D1206" s="253"/>
      <c r="E1206" s="253"/>
      <c r="F1206" s="253"/>
      <c r="G1206" s="253"/>
      <c r="H1206" s="253"/>
      <c r="I1206" s="253"/>
      <c r="J1206" s="253"/>
      <c r="K1206" s="253"/>
      <c r="L1206" s="253"/>
      <c r="M1206" s="253"/>
      <c r="N1206" s="253"/>
      <c r="O1206" s="253"/>
      <c r="P1206" s="253"/>
      <c r="Q1206" s="253"/>
    </row>
    <row r="1207" spans="1:17">
      <c r="A1207" s="253"/>
      <c r="B1207" s="253"/>
      <c r="C1207" s="253"/>
      <c r="D1207" s="253"/>
      <c r="E1207" s="253"/>
      <c r="F1207" s="253"/>
      <c r="G1207" s="253"/>
      <c r="H1207" s="253"/>
      <c r="I1207" s="253"/>
      <c r="J1207" s="253"/>
      <c r="K1207" s="253"/>
      <c r="L1207" s="253"/>
      <c r="M1207" s="253"/>
      <c r="N1207" s="253"/>
      <c r="O1207" s="253"/>
      <c r="P1207" s="253"/>
      <c r="Q1207" s="253"/>
    </row>
    <row r="1208" spans="1:17">
      <c r="A1208" s="253"/>
      <c r="B1208" s="253"/>
      <c r="C1208" s="253"/>
      <c r="D1208" s="253"/>
      <c r="E1208" s="253"/>
      <c r="F1208" s="253"/>
      <c r="G1208" s="253"/>
      <c r="H1208" s="253"/>
      <c r="I1208" s="253"/>
      <c r="J1208" s="253"/>
      <c r="K1208" s="253"/>
      <c r="L1208" s="253"/>
      <c r="M1208" s="253"/>
      <c r="N1208" s="253"/>
      <c r="O1208" s="253"/>
      <c r="P1208" s="253"/>
      <c r="Q1208" s="253"/>
    </row>
    <row r="1209" spans="1:17">
      <c r="A1209" s="253"/>
      <c r="B1209" s="253"/>
      <c r="C1209" s="253"/>
      <c r="D1209" s="253"/>
      <c r="E1209" s="253"/>
      <c r="F1209" s="253"/>
      <c r="G1209" s="253"/>
      <c r="H1209" s="253"/>
      <c r="I1209" s="253"/>
      <c r="J1209" s="253"/>
      <c r="K1209" s="253"/>
      <c r="L1209" s="253"/>
      <c r="M1209" s="253"/>
      <c r="N1209" s="253"/>
      <c r="O1209" s="253"/>
      <c r="P1209" s="253"/>
      <c r="Q1209" s="253"/>
    </row>
    <row r="1210" spans="1:17">
      <c r="A1210" s="253"/>
      <c r="B1210" s="253"/>
      <c r="C1210" s="253"/>
      <c r="D1210" s="253"/>
      <c r="E1210" s="253"/>
      <c r="F1210" s="253"/>
      <c r="G1210" s="253"/>
      <c r="H1210" s="253"/>
      <c r="I1210" s="253"/>
      <c r="J1210" s="253"/>
      <c r="K1210" s="253"/>
      <c r="L1210" s="253"/>
      <c r="M1210" s="253"/>
      <c r="N1210" s="253"/>
      <c r="O1210" s="253"/>
      <c r="P1210" s="253"/>
      <c r="Q1210" s="253"/>
    </row>
    <row r="1211" spans="1:17">
      <c r="A1211" s="253"/>
      <c r="B1211" s="253"/>
      <c r="C1211" s="253"/>
      <c r="D1211" s="253"/>
      <c r="E1211" s="253"/>
      <c r="F1211" s="253"/>
      <c r="G1211" s="253"/>
      <c r="H1211" s="253"/>
      <c r="I1211" s="253"/>
      <c r="J1211" s="253"/>
      <c r="K1211" s="253"/>
      <c r="L1211" s="253"/>
      <c r="M1211" s="253"/>
      <c r="N1211" s="253"/>
      <c r="O1211" s="253"/>
      <c r="P1211" s="253"/>
      <c r="Q1211" s="253"/>
    </row>
    <row r="1212" spans="1:17">
      <c r="A1212" s="253"/>
      <c r="B1212" s="253"/>
      <c r="C1212" s="253"/>
      <c r="D1212" s="253"/>
      <c r="E1212" s="253"/>
      <c r="F1212" s="253"/>
      <c r="G1212" s="253"/>
      <c r="H1212" s="253"/>
      <c r="I1212" s="253"/>
      <c r="J1212" s="253"/>
      <c r="K1212" s="253"/>
      <c r="L1212" s="253"/>
      <c r="M1212" s="253"/>
      <c r="N1212" s="253"/>
      <c r="O1212" s="253"/>
      <c r="P1212" s="253"/>
      <c r="Q1212" s="253"/>
    </row>
    <row r="1213" spans="1:17">
      <c r="A1213" s="253"/>
      <c r="B1213" s="253"/>
      <c r="C1213" s="253"/>
      <c r="D1213" s="253"/>
      <c r="E1213" s="253"/>
      <c r="F1213" s="253"/>
      <c r="G1213" s="253"/>
      <c r="H1213" s="253"/>
      <c r="I1213" s="253"/>
      <c r="J1213" s="253"/>
      <c r="K1213" s="253"/>
      <c r="L1213" s="253"/>
      <c r="M1213" s="253"/>
      <c r="N1213" s="253"/>
      <c r="O1213" s="253"/>
      <c r="P1213" s="253"/>
      <c r="Q1213" s="253"/>
    </row>
    <row r="1214" spans="1:17">
      <c r="A1214" s="253"/>
      <c r="B1214" s="253"/>
      <c r="C1214" s="253"/>
      <c r="D1214" s="253"/>
      <c r="E1214" s="253"/>
      <c r="F1214" s="253"/>
      <c r="G1214" s="253"/>
      <c r="H1214" s="253"/>
      <c r="I1214" s="253"/>
      <c r="J1214" s="253"/>
      <c r="K1214" s="253"/>
      <c r="L1214" s="253"/>
      <c r="M1214" s="253"/>
      <c r="N1214" s="253"/>
      <c r="O1214" s="253"/>
      <c r="P1214" s="253"/>
      <c r="Q1214" s="253"/>
    </row>
    <row r="1215" spans="1:17">
      <c r="A1215" s="253"/>
      <c r="B1215" s="253"/>
      <c r="C1215" s="253"/>
      <c r="D1215" s="253"/>
      <c r="E1215" s="253"/>
      <c r="F1215" s="253"/>
      <c r="G1215" s="253"/>
      <c r="H1215" s="253"/>
      <c r="I1215" s="253"/>
      <c r="J1215" s="253"/>
      <c r="K1215" s="253"/>
      <c r="L1215" s="253"/>
      <c r="M1215" s="253"/>
      <c r="N1215" s="253"/>
      <c r="O1215" s="253"/>
      <c r="P1215" s="253"/>
      <c r="Q1215" s="253"/>
    </row>
    <row r="1216" spans="1:17">
      <c r="A1216" s="253"/>
      <c r="B1216" s="253"/>
      <c r="C1216" s="253"/>
      <c r="D1216" s="253"/>
      <c r="E1216" s="253"/>
      <c r="F1216" s="253"/>
      <c r="G1216" s="253"/>
      <c r="H1216" s="253"/>
      <c r="I1216" s="253"/>
      <c r="J1216" s="253"/>
      <c r="K1216" s="253"/>
      <c r="L1216" s="253"/>
      <c r="M1216" s="253"/>
      <c r="N1216" s="253"/>
      <c r="O1216" s="253"/>
      <c r="P1216" s="253"/>
      <c r="Q1216" s="253"/>
    </row>
    <row r="1217" spans="1:17">
      <c r="A1217" s="253"/>
      <c r="B1217" s="253"/>
      <c r="C1217" s="253"/>
      <c r="D1217" s="253"/>
      <c r="E1217" s="253"/>
      <c r="F1217" s="253"/>
      <c r="G1217" s="253"/>
      <c r="H1217" s="253"/>
      <c r="I1217" s="253"/>
      <c r="J1217" s="253"/>
      <c r="K1217" s="253"/>
      <c r="L1217" s="253"/>
      <c r="M1217" s="253"/>
      <c r="N1217" s="253"/>
      <c r="O1217" s="253"/>
      <c r="P1217" s="253"/>
      <c r="Q1217" s="253"/>
    </row>
    <row r="1218" spans="1:17">
      <c r="A1218" s="253"/>
      <c r="B1218" s="253"/>
      <c r="C1218" s="253"/>
      <c r="D1218" s="253"/>
      <c r="E1218" s="253"/>
      <c r="F1218" s="253"/>
      <c r="G1218" s="253"/>
      <c r="H1218" s="253"/>
      <c r="I1218" s="253"/>
      <c r="J1218" s="253"/>
      <c r="K1218" s="253"/>
      <c r="L1218" s="253"/>
      <c r="M1218" s="253"/>
      <c r="N1218" s="253"/>
      <c r="O1218" s="253"/>
      <c r="P1218" s="253"/>
      <c r="Q1218" s="253"/>
    </row>
    <row r="1219" spans="1:17">
      <c r="A1219" s="253"/>
      <c r="B1219" s="253"/>
      <c r="C1219" s="253"/>
      <c r="D1219" s="253"/>
      <c r="E1219" s="253"/>
      <c r="F1219" s="253"/>
      <c r="G1219" s="253"/>
      <c r="H1219" s="253"/>
      <c r="I1219" s="253"/>
      <c r="J1219" s="253"/>
      <c r="K1219" s="253"/>
      <c r="L1219" s="253"/>
      <c r="M1219" s="253"/>
      <c r="N1219" s="253"/>
      <c r="O1219" s="253"/>
      <c r="P1219" s="253"/>
      <c r="Q1219" s="253"/>
    </row>
    <row r="1220" spans="1:17">
      <c r="A1220" s="253"/>
      <c r="B1220" s="253"/>
      <c r="C1220" s="253"/>
      <c r="D1220" s="253"/>
      <c r="E1220" s="253"/>
      <c r="F1220" s="253"/>
      <c r="G1220" s="253"/>
      <c r="H1220" s="253"/>
      <c r="I1220" s="253"/>
      <c r="J1220" s="253"/>
      <c r="K1220" s="253"/>
      <c r="L1220" s="253"/>
      <c r="M1220" s="253"/>
      <c r="N1220" s="253"/>
      <c r="O1220" s="253"/>
      <c r="P1220" s="253"/>
      <c r="Q1220" s="253"/>
    </row>
    <row r="1221" spans="1:17">
      <c r="A1221" s="253"/>
      <c r="B1221" s="253"/>
      <c r="C1221" s="253"/>
      <c r="D1221" s="253"/>
      <c r="E1221" s="253"/>
      <c r="F1221" s="253"/>
      <c r="G1221" s="253"/>
      <c r="H1221" s="253"/>
      <c r="I1221" s="253"/>
      <c r="J1221" s="253"/>
      <c r="K1221" s="253"/>
      <c r="L1221" s="253"/>
      <c r="M1221" s="253"/>
      <c r="N1221" s="253"/>
      <c r="O1221" s="253"/>
      <c r="P1221" s="253"/>
      <c r="Q1221" s="253"/>
    </row>
    <row r="1222" spans="1:17">
      <c r="A1222" s="253"/>
      <c r="B1222" s="253"/>
      <c r="C1222" s="253"/>
      <c r="D1222" s="253"/>
      <c r="E1222" s="253"/>
      <c r="F1222" s="253"/>
      <c r="G1222" s="253"/>
      <c r="H1222" s="253"/>
      <c r="I1222" s="253"/>
      <c r="J1222" s="253"/>
      <c r="K1222" s="253"/>
      <c r="L1222" s="253"/>
      <c r="M1222" s="253"/>
      <c r="N1222" s="253"/>
      <c r="O1222" s="253"/>
      <c r="P1222" s="253"/>
      <c r="Q1222" s="253"/>
    </row>
    <row r="1223" spans="1:17">
      <c r="A1223" s="253"/>
      <c r="B1223" s="253"/>
      <c r="C1223" s="253"/>
      <c r="D1223" s="253"/>
      <c r="E1223" s="253"/>
      <c r="F1223" s="253"/>
      <c r="G1223" s="253"/>
      <c r="H1223" s="253"/>
      <c r="I1223" s="253"/>
      <c r="J1223" s="253"/>
      <c r="K1223" s="253"/>
      <c r="L1223" s="253"/>
      <c r="M1223" s="253"/>
      <c r="N1223" s="253"/>
      <c r="O1223" s="253"/>
      <c r="P1223" s="253"/>
      <c r="Q1223" s="253"/>
    </row>
    <row r="1224" spans="1:17">
      <c r="A1224" s="253"/>
      <c r="B1224" s="253"/>
      <c r="C1224" s="253"/>
      <c r="D1224" s="253"/>
      <c r="E1224" s="253"/>
      <c r="F1224" s="253"/>
      <c r="G1224" s="253"/>
      <c r="H1224" s="253"/>
      <c r="I1224" s="253"/>
      <c r="J1224" s="253"/>
      <c r="K1224" s="253"/>
      <c r="L1224" s="253"/>
      <c r="M1224" s="253"/>
      <c r="N1224" s="253"/>
      <c r="O1224" s="253"/>
      <c r="P1224" s="253"/>
      <c r="Q1224" s="253"/>
    </row>
    <row r="1225" spans="1:17">
      <c r="A1225" s="253"/>
      <c r="B1225" s="253"/>
      <c r="C1225" s="253"/>
      <c r="D1225" s="253"/>
      <c r="E1225" s="253"/>
      <c r="F1225" s="253"/>
      <c r="G1225" s="253"/>
      <c r="H1225" s="253"/>
      <c r="I1225" s="253"/>
      <c r="J1225" s="253"/>
      <c r="K1225" s="253"/>
      <c r="L1225" s="253"/>
      <c r="M1225" s="253"/>
      <c r="N1225" s="253"/>
      <c r="O1225" s="253"/>
      <c r="P1225" s="253"/>
      <c r="Q1225" s="253"/>
    </row>
    <row r="1226" spans="1:17">
      <c r="A1226" s="253"/>
      <c r="B1226" s="253"/>
      <c r="C1226" s="253"/>
      <c r="D1226" s="253"/>
      <c r="E1226" s="253"/>
      <c r="F1226" s="253"/>
      <c r="G1226" s="253"/>
      <c r="H1226" s="253"/>
      <c r="I1226" s="253"/>
      <c r="J1226" s="253"/>
      <c r="K1226" s="253"/>
      <c r="L1226" s="253"/>
      <c r="M1226" s="253"/>
      <c r="N1226" s="253"/>
      <c r="O1226" s="253"/>
      <c r="P1226" s="253"/>
      <c r="Q1226" s="253"/>
    </row>
    <row r="1227" spans="1:17">
      <c r="A1227" s="253"/>
      <c r="B1227" s="253"/>
      <c r="C1227" s="253"/>
      <c r="D1227" s="253"/>
      <c r="E1227" s="253"/>
      <c r="F1227" s="253"/>
      <c r="G1227" s="253"/>
      <c r="H1227" s="253"/>
      <c r="I1227" s="253"/>
      <c r="J1227" s="253"/>
      <c r="K1227" s="253"/>
      <c r="L1227" s="253"/>
      <c r="M1227" s="253"/>
      <c r="N1227" s="253"/>
      <c r="O1227" s="253"/>
      <c r="P1227" s="253"/>
      <c r="Q1227" s="253"/>
    </row>
    <row r="1228" spans="1:17">
      <c r="A1228" s="253"/>
      <c r="B1228" s="253"/>
      <c r="C1228" s="253"/>
      <c r="D1228" s="253"/>
      <c r="E1228" s="253"/>
      <c r="F1228" s="253"/>
      <c r="G1228" s="253"/>
      <c r="H1228" s="253"/>
      <c r="I1228" s="253"/>
      <c r="J1228" s="253"/>
      <c r="K1228" s="253"/>
      <c r="L1228" s="253"/>
      <c r="M1228" s="253"/>
      <c r="N1228" s="253"/>
      <c r="O1228" s="253"/>
      <c r="P1228" s="253"/>
      <c r="Q1228" s="253"/>
    </row>
    <row r="1229" spans="1:17">
      <c r="A1229" s="253"/>
      <c r="B1229" s="253"/>
      <c r="C1229" s="253"/>
      <c r="D1229" s="253"/>
      <c r="E1229" s="253"/>
      <c r="F1229" s="253"/>
      <c r="G1229" s="253"/>
      <c r="H1229" s="253"/>
      <c r="I1229" s="253"/>
      <c r="J1229" s="253"/>
      <c r="K1229" s="253"/>
      <c r="L1229" s="253"/>
      <c r="M1229" s="253"/>
      <c r="N1229" s="253"/>
      <c r="O1229" s="253"/>
      <c r="P1229" s="253"/>
      <c r="Q1229" s="253"/>
    </row>
    <row r="1230" spans="1:17">
      <c r="A1230" s="253"/>
      <c r="B1230" s="253"/>
      <c r="C1230" s="253"/>
      <c r="D1230" s="253"/>
      <c r="E1230" s="253"/>
      <c r="F1230" s="253"/>
      <c r="G1230" s="253"/>
      <c r="H1230" s="253"/>
      <c r="I1230" s="253"/>
      <c r="J1230" s="253"/>
      <c r="K1230" s="253"/>
      <c r="L1230" s="253"/>
      <c r="M1230" s="253"/>
      <c r="N1230" s="253"/>
      <c r="O1230" s="253"/>
      <c r="P1230" s="253"/>
      <c r="Q1230" s="253"/>
    </row>
    <row r="1231" spans="1:17">
      <c r="A1231" s="253"/>
      <c r="B1231" s="253"/>
      <c r="C1231" s="253"/>
      <c r="D1231" s="253"/>
      <c r="E1231" s="253"/>
      <c r="F1231" s="253"/>
      <c r="G1231" s="253"/>
      <c r="H1231" s="253"/>
      <c r="I1231" s="253"/>
      <c r="J1231" s="253"/>
      <c r="K1231" s="253"/>
      <c r="L1231" s="253"/>
      <c r="M1231" s="253"/>
      <c r="N1231" s="253"/>
      <c r="O1231" s="253"/>
      <c r="P1231" s="253"/>
      <c r="Q1231" s="253"/>
    </row>
    <row r="1232" spans="1:17">
      <c r="A1232" s="253"/>
      <c r="B1232" s="253"/>
      <c r="C1232" s="253"/>
      <c r="D1232" s="253"/>
      <c r="E1232" s="253"/>
      <c r="F1232" s="253"/>
      <c r="G1232" s="253"/>
      <c r="H1232" s="253"/>
      <c r="I1232" s="253"/>
      <c r="J1232" s="253"/>
      <c r="K1232" s="253"/>
      <c r="L1232" s="253"/>
      <c r="M1232" s="253"/>
      <c r="N1232" s="253"/>
      <c r="O1232" s="253"/>
      <c r="P1232" s="253"/>
      <c r="Q1232" s="253"/>
    </row>
    <row r="1233" spans="1:17">
      <c r="A1233" s="253"/>
      <c r="B1233" s="253"/>
      <c r="C1233" s="253"/>
      <c r="D1233" s="253"/>
      <c r="E1233" s="253"/>
      <c r="F1233" s="253"/>
      <c r="G1233" s="253"/>
      <c r="H1233" s="253"/>
      <c r="I1233" s="253"/>
      <c r="J1233" s="253"/>
      <c r="K1233" s="253"/>
      <c r="L1233" s="253"/>
      <c r="M1233" s="253"/>
      <c r="N1233" s="253"/>
      <c r="O1233" s="253"/>
      <c r="P1233" s="253"/>
      <c r="Q1233" s="253"/>
    </row>
    <row r="1234" spans="1:17">
      <c r="A1234" s="253"/>
      <c r="B1234" s="253"/>
      <c r="C1234" s="253"/>
      <c r="D1234" s="253"/>
      <c r="E1234" s="253"/>
      <c r="F1234" s="253"/>
      <c r="G1234" s="253"/>
      <c r="H1234" s="253"/>
      <c r="I1234" s="253"/>
      <c r="J1234" s="253"/>
      <c r="K1234" s="253"/>
      <c r="L1234" s="253"/>
      <c r="M1234" s="253"/>
      <c r="N1234" s="253"/>
      <c r="O1234" s="253"/>
      <c r="P1234" s="253"/>
      <c r="Q1234" s="253"/>
    </row>
    <row r="1235" spans="1:17">
      <c r="A1235" s="253"/>
      <c r="B1235" s="253"/>
      <c r="C1235" s="253"/>
      <c r="D1235" s="253"/>
      <c r="E1235" s="253"/>
      <c r="F1235" s="253"/>
      <c r="G1235" s="253"/>
      <c r="H1235" s="253"/>
      <c r="I1235" s="253"/>
      <c r="J1235" s="253"/>
      <c r="K1235" s="253"/>
      <c r="L1235" s="253"/>
      <c r="M1235" s="253"/>
      <c r="N1235" s="253"/>
      <c r="O1235" s="253"/>
      <c r="P1235" s="253"/>
      <c r="Q1235" s="253"/>
    </row>
    <row r="1236" spans="1:17">
      <c r="A1236" s="253"/>
      <c r="B1236" s="253"/>
      <c r="C1236" s="253"/>
      <c r="D1236" s="253"/>
      <c r="E1236" s="253"/>
      <c r="F1236" s="253"/>
      <c r="G1236" s="253"/>
      <c r="H1236" s="253"/>
      <c r="I1236" s="253"/>
      <c r="J1236" s="253"/>
      <c r="K1236" s="253"/>
      <c r="L1236" s="253"/>
      <c r="M1236" s="253"/>
      <c r="N1236" s="253"/>
      <c r="O1236" s="253"/>
      <c r="P1236" s="253"/>
      <c r="Q1236" s="253"/>
    </row>
    <row r="1237" spans="1:17">
      <c r="A1237" s="253"/>
      <c r="B1237" s="253"/>
      <c r="C1237" s="253"/>
      <c r="D1237" s="253"/>
      <c r="E1237" s="253"/>
      <c r="F1237" s="253"/>
      <c r="G1237" s="253"/>
      <c r="H1237" s="253"/>
      <c r="I1237" s="253"/>
      <c r="J1237" s="253"/>
      <c r="K1237" s="253"/>
      <c r="L1237" s="253"/>
      <c r="M1237" s="253"/>
      <c r="N1237" s="253"/>
      <c r="O1237" s="253"/>
      <c r="P1237" s="253"/>
      <c r="Q1237" s="253"/>
    </row>
    <row r="1238" spans="1:17">
      <c r="A1238" s="253"/>
      <c r="B1238" s="253"/>
      <c r="C1238" s="253"/>
      <c r="D1238" s="253"/>
      <c r="E1238" s="253"/>
      <c r="F1238" s="253"/>
      <c r="G1238" s="253"/>
      <c r="H1238" s="253"/>
      <c r="I1238" s="253"/>
      <c r="J1238" s="253"/>
      <c r="K1238" s="253"/>
      <c r="L1238" s="253"/>
      <c r="M1238" s="253"/>
      <c r="N1238" s="253"/>
      <c r="O1238" s="253"/>
      <c r="P1238" s="253"/>
      <c r="Q1238" s="253"/>
    </row>
    <row r="1239" spans="1:17">
      <c r="A1239" s="253"/>
      <c r="B1239" s="253"/>
      <c r="C1239" s="253"/>
      <c r="D1239" s="253"/>
      <c r="E1239" s="253"/>
      <c r="F1239" s="253"/>
      <c r="G1239" s="253"/>
      <c r="H1239" s="253"/>
      <c r="I1239" s="253"/>
      <c r="J1239" s="253"/>
      <c r="K1239" s="253"/>
      <c r="L1239" s="253"/>
      <c r="M1239" s="253"/>
      <c r="N1239" s="253"/>
      <c r="O1239" s="253"/>
      <c r="P1239" s="253"/>
      <c r="Q1239" s="253"/>
    </row>
    <row r="1240" spans="1:17">
      <c r="A1240" s="253"/>
      <c r="B1240" s="253"/>
      <c r="C1240" s="253"/>
      <c r="D1240" s="253"/>
      <c r="E1240" s="253"/>
      <c r="F1240" s="253"/>
      <c r="G1240" s="253"/>
      <c r="H1240" s="253"/>
      <c r="I1240" s="253"/>
      <c r="J1240" s="253"/>
      <c r="K1240" s="253"/>
      <c r="L1240" s="253"/>
      <c r="M1240" s="253"/>
      <c r="N1240" s="253"/>
      <c r="O1240" s="253"/>
      <c r="P1240" s="253"/>
      <c r="Q1240" s="253"/>
    </row>
    <row r="1241" spans="1:17">
      <c r="A1241" s="253"/>
      <c r="B1241" s="253"/>
      <c r="C1241" s="253"/>
      <c r="D1241" s="253"/>
      <c r="E1241" s="253"/>
      <c r="F1241" s="253"/>
      <c r="G1241" s="253"/>
      <c r="H1241" s="253"/>
      <c r="I1241" s="253"/>
      <c r="J1241" s="253"/>
      <c r="K1241" s="253"/>
      <c r="L1241" s="253"/>
      <c r="M1241" s="253"/>
      <c r="N1241" s="253"/>
      <c r="O1241" s="253"/>
      <c r="P1241" s="253"/>
      <c r="Q1241" s="253"/>
    </row>
    <row r="1242" spans="1:17">
      <c r="A1242" s="253"/>
      <c r="B1242" s="253"/>
      <c r="C1242" s="253"/>
      <c r="D1242" s="253"/>
      <c r="E1242" s="253"/>
      <c r="F1242" s="253"/>
      <c r="G1242" s="253"/>
      <c r="H1242" s="253"/>
      <c r="I1242" s="253"/>
      <c r="J1242" s="253"/>
      <c r="K1242" s="253"/>
      <c r="L1242" s="253"/>
      <c r="M1242" s="253"/>
      <c r="N1242" s="253"/>
      <c r="O1242" s="253"/>
      <c r="P1242" s="253"/>
      <c r="Q1242" s="253"/>
    </row>
    <row r="1243" spans="1:17">
      <c r="A1243" s="253"/>
      <c r="B1243" s="253"/>
      <c r="C1243" s="253"/>
      <c r="D1243" s="253"/>
      <c r="E1243" s="253"/>
      <c r="F1243" s="253"/>
      <c r="G1243" s="253"/>
      <c r="H1243" s="253"/>
      <c r="I1243" s="253"/>
      <c r="J1243" s="253"/>
      <c r="K1243" s="253"/>
      <c r="L1243" s="253"/>
      <c r="M1243" s="253"/>
      <c r="N1243" s="253"/>
      <c r="O1243" s="253"/>
      <c r="P1243" s="253"/>
      <c r="Q1243" s="253"/>
    </row>
    <row r="1244" spans="1:17">
      <c r="A1244" s="253"/>
      <c r="B1244" s="253"/>
      <c r="C1244" s="253"/>
      <c r="D1244" s="253"/>
      <c r="E1244" s="253"/>
      <c r="F1244" s="253"/>
      <c r="G1244" s="253"/>
      <c r="H1244" s="253"/>
      <c r="I1244" s="253"/>
      <c r="J1244" s="253"/>
      <c r="K1244" s="253"/>
      <c r="L1244" s="253"/>
      <c r="M1244" s="253"/>
      <c r="N1244" s="253"/>
      <c r="O1244" s="253"/>
      <c r="P1244" s="253"/>
      <c r="Q1244" s="253"/>
    </row>
    <row r="1245" spans="1:17">
      <c r="A1245" s="253"/>
      <c r="B1245" s="253"/>
      <c r="C1245" s="253"/>
      <c r="D1245" s="253"/>
      <c r="E1245" s="253"/>
      <c r="F1245" s="253"/>
      <c r="G1245" s="253"/>
      <c r="H1245" s="253"/>
      <c r="I1245" s="253"/>
      <c r="J1245" s="253"/>
      <c r="K1245" s="253"/>
      <c r="L1245" s="253"/>
      <c r="M1245" s="253"/>
      <c r="N1245" s="253"/>
      <c r="O1245" s="253"/>
      <c r="P1245" s="253"/>
      <c r="Q1245" s="253"/>
    </row>
    <row r="1246" spans="1:17">
      <c r="A1246" s="253"/>
      <c r="B1246" s="253"/>
      <c r="C1246" s="253"/>
      <c r="D1246" s="253"/>
      <c r="E1246" s="253"/>
      <c r="F1246" s="253"/>
      <c r="G1246" s="253"/>
      <c r="H1246" s="253"/>
      <c r="I1246" s="253"/>
      <c r="J1246" s="253"/>
      <c r="K1246" s="253"/>
      <c r="L1246" s="253"/>
      <c r="M1246" s="253"/>
      <c r="N1246" s="253"/>
      <c r="O1246" s="253"/>
      <c r="P1246" s="253"/>
      <c r="Q1246" s="253"/>
    </row>
    <row r="1247" spans="1:17">
      <c r="A1247" s="253"/>
      <c r="B1247" s="253"/>
      <c r="C1247" s="253"/>
      <c r="D1247" s="253"/>
      <c r="E1247" s="253"/>
      <c r="F1247" s="253"/>
      <c r="G1247" s="253"/>
      <c r="H1247" s="253"/>
      <c r="I1247" s="253"/>
      <c r="J1247" s="253"/>
      <c r="K1247" s="253"/>
      <c r="L1247" s="253"/>
      <c r="M1247" s="253"/>
      <c r="N1247" s="253"/>
      <c r="O1247" s="253"/>
      <c r="P1247" s="253"/>
      <c r="Q1247" s="253"/>
    </row>
    <row r="1248" spans="1:17">
      <c r="A1248" s="253"/>
      <c r="B1248" s="253"/>
      <c r="C1248" s="253"/>
      <c r="D1248" s="253"/>
      <c r="E1248" s="253"/>
      <c r="F1248" s="253"/>
      <c r="G1248" s="253"/>
      <c r="H1248" s="253"/>
      <c r="I1248" s="253"/>
      <c r="J1248" s="253"/>
      <c r="K1248" s="253"/>
      <c r="L1248" s="253"/>
      <c r="M1248" s="253"/>
      <c r="N1248" s="253"/>
      <c r="O1248" s="253"/>
      <c r="P1248" s="253"/>
      <c r="Q1248" s="253"/>
    </row>
    <row r="1249" spans="1:17">
      <c r="A1249" s="253"/>
      <c r="B1249" s="253"/>
      <c r="C1249" s="253"/>
      <c r="D1249" s="253"/>
      <c r="E1249" s="253"/>
      <c r="F1249" s="253"/>
      <c r="G1249" s="253"/>
      <c r="H1249" s="253"/>
      <c r="I1249" s="253"/>
      <c r="J1249" s="253"/>
      <c r="K1249" s="253"/>
      <c r="L1249" s="253"/>
      <c r="M1249" s="253"/>
      <c r="N1249" s="253"/>
      <c r="O1249" s="253"/>
      <c r="P1249" s="253"/>
      <c r="Q1249" s="253"/>
    </row>
    <row r="1250" spans="1:17">
      <c r="A1250" s="253"/>
      <c r="B1250" s="253"/>
      <c r="C1250" s="253"/>
      <c r="D1250" s="253"/>
      <c r="E1250" s="253"/>
      <c r="F1250" s="253"/>
      <c r="G1250" s="253"/>
      <c r="H1250" s="253"/>
      <c r="I1250" s="253"/>
      <c r="J1250" s="253"/>
      <c r="K1250" s="253"/>
      <c r="L1250" s="253"/>
      <c r="M1250" s="253"/>
      <c r="N1250" s="253"/>
      <c r="O1250" s="253"/>
      <c r="P1250" s="253"/>
      <c r="Q1250" s="253"/>
    </row>
    <row r="1251" spans="1:17">
      <c r="A1251" s="253"/>
      <c r="B1251" s="253"/>
      <c r="C1251" s="253"/>
      <c r="D1251" s="253"/>
      <c r="E1251" s="253"/>
      <c r="F1251" s="253"/>
      <c r="G1251" s="253"/>
      <c r="H1251" s="253"/>
      <c r="I1251" s="253"/>
      <c r="J1251" s="253"/>
      <c r="K1251" s="253"/>
      <c r="L1251" s="253"/>
      <c r="M1251" s="253"/>
      <c r="N1251" s="253"/>
      <c r="O1251" s="253"/>
      <c r="P1251" s="253"/>
      <c r="Q1251" s="253"/>
    </row>
    <row r="1252" spans="1:17">
      <c r="A1252" s="253"/>
      <c r="B1252" s="253"/>
      <c r="C1252" s="253"/>
      <c r="D1252" s="253"/>
      <c r="E1252" s="253"/>
      <c r="F1252" s="253"/>
      <c r="G1252" s="253"/>
      <c r="H1252" s="253"/>
      <c r="I1252" s="253"/>
      <c r="J1252" s="253"/>
      <c r="K1252" s="253"/>
      <c r="L1252" s="253"/>
      <c r="M1252" s="253"/>
      <c r="N1252" s="253"/>
      <c r="O1252" s="253"/>
      <c r="P1252" s="253"/>
      <c r="Q1252" s="253"/>
    </row>
    <row r="1253" spans="1:17">
      <c r="A1253" s="253"/>
      <c r="B1253" s="253"/>
      <c r="C1253" s="253"/>
      <c r="D1253" s="253"/>
      <c r="E1253" s="253"/>
      <c r="F1253" s="253"/>
      <c r="G1253" s="253"/>
      <c r="H1253" s="253"/>
      <c r="I1253" s="253"/>
      <c r="J1253" s="253"/>
      <c r="K1253" s="253"/>
      <c r="L1253" s="253"/>
      <c r="M1253" s="253"/>
      <c r="N1253" s="253"/>
      <c r="O1253" s="253"/>
      <c r="P1253" s="253"/>
      <c r="Q1253" s="253"/>
    </row>
    <row r="1254" spans="1:17">
      <c r="A1254" s="253"/>
      <c r="B1254" s="253"/>
      <c r="C1254" s="253"/>
      <c r="D1254" s="253"/>
      <c r="E1254" s="253"/>
      <c r="F1254" s="253"/>
      <c r="G1254" s="253"/>
      <c r="H1254" s="253"/>
      <c r="I1254" s="253"/>
      <c r="J1254" s="253"/>
      <c r="K1254" s="253"/>
      <c r="L1254" s="253"/>
      <c r="M1254" s="253"/>
      <c r="N1254" s="253"/>
      <c r="O1254" s="253"/>
      <c r="P1254" s="253"/>
      <c r="Q1254" s="253"/>
    </row>
    <row r="1255" spans="1:17">
      <c r="A1255" s="253"/>
      <c r="B1255" s="253"/>
      <c r="C1255" s="253"/>
      <c r="D1255" s="253"/>
      <c r="E1255" s="253"/>
      <c r="F1255" s="253"/>
      <c r="G1255" s="253"/>
      <c r="H1255" s="253"/>
      <c r="I1255" s="253"/>
      <c r="J1255" s="253"/>
      <c r="K1255" s="253"/>
      <c r="L1255" s="253"/>
      <c r="M1255" s="253"/>
      <c r="N1255" s="253"/>
      <c r="O1255" s="253"/>
      <c r="P1255" s="253"/>
      <c r="Q1255" s="253"/>
    </row>
    <row r="1256" spans="1:17">
      <c r="A1256" s="253"/>
      <c r="B1256" s="253"/>
      <c r="C1256" s="253"/>
      <c r="D1256" s="253"/>
      <c r="E1256" s="253"/>
      <c r="F1256" s="253"/>
      <c r="G1256" s="253"/>
      <c r="H1256" s="253"/>
      <c r="I1256" s="253"/>
      <c r="J1256" s="253"/>
      <c r="K1256" s="253"/>
      <c r="L1256" s="253"/>
      <c r="M1256" s="253"/>
      <c r="N1256" s="253"/>
      <c r="O1256" s="253"/>
      <c r="P1256" s="253"/>
      <c r="Q1256" s="253"/>
    </row>
    <row r="1257" spans="1:17">
      <c r="A1257" s="253"/>
      <c r="B1257" s="253"/>
      <c r="C1257" s="253"/>
      <c r="D1257" s="253"/>
      <c r="E1257" s="253"/>
      <c r="F1257" s="253"/>
      <c r="G1257" s="253"/>
      <c r="H1257" s="253"/>
      <c r="I1257" s="253"/>
      <c r="J1257" s="253"/>
      <c r="K1257" s="253"/>
      <c r="L1257" s="253"/>
      <c r="M1257" s="253"/>
      <c r="N1257" s="253"/>
      <c r="O1257" s="253"/>
      <c r="P1257" s="253"/>
      <c r="Q1257" s="253"/>
    </row>
    <row r="1258" spans="1:17">
      <c r="A1258" s="253"/>
      <c r="B1258" s="253"/>
      <c r="C1258" s="253"/>
      <c r="D1258" s="253"/>
      <c r="E1258" s="253"/>
      <c r="F1258" s="253"/>
      <c r="G1258" s="253"/>
      <c r="H1258" s="253"/>
      <c r="I1258" s="253"/>
      <c r="J1258" s="253"/>
      <c r="K1258" s="253"/>
      <c r="L1258" s="253"/>
      <c r="M1258" s="253"/>
      <c r="N1258" s="253"/>
      <c r="O1258" s="253"/>
      <c r="P1258" s="253"/>
      <c r="Q1258" s="253"/>
    </row>
    <row r="1259" spans="1:17">
      <c r="A1259" s="253"/>
      <c r="B1259" s="253"/>
      <c r="C1259" s="253"/>
      <c r="D1259" s="253"/>
      <c r="E1259" s="253"/>
      <c r="F1259" s="253"/>
      <c r="G1259" s="253"/>
      <c r="H1259" s="253"/>
      <c r="I1259" s="253"/>
      <c r="J1259" s="253"/>
      <c r="K1259" s="253"/>
      <c r="L1259" s="253"/>
      <c r="M1259" s="253"/>
      <c r="N1259" s="253"/>
      <c r="O1259" s="253"/>
      <c r="P1259" s="253"/>
      <c r="Q1259" s="253"/>
    </row>
    <row r="1260" spans="1:17">
      <c r="A1260" s="253"/>
      <c r="B1260" s="253"/>
      <c r="C1260" s="253"/>
      <c r="D1260" s="253"/>
      <c r="E1260" s="253"/>
      <c r="F1260" s="253"/>
      <c r="G1260" s="253"/>
      <c r="H1260" s="253"/>
      <c r="I1260" s="253"/>
      <c r="J1260" s="253"/>
      <c r="K1260" s="253"/>
      <c r="L1260" s="253"/>
      <c r="M1260" s="253"/>
      <c r="N1260" s="253"/>
      <c r="O1260" s="253"/>
      <c r="P1260" s="253"/>
      <c r="Q1260" s="253"/>
    </row>
    <row r="1261" spans="1:17">
      <c r="A1261" s="253"/>
      <c r="B1261" s="253"/>
      <c r="C1261" s="253"/>
      <c r="D1261" s="253"/>
      <c r="E1261" s="253"/>
      <c r="F1261" s="253"/>
      <c r="G1261" s="253"/>
      <c r="H1261" s="253"/>
      <c r="I1261" s="253"/>
      <c r="J1261" s="253"/>
      <c r="K1261" s="253"/>
      <c r="L1261" s="253"/>
      <c r="M1261" s="253"/>
      <c r="N1261" s="253"/>
      <c r="O1261" s="253"/>
      <c r="P1261" s="253"/>
      <c r="Q1261" s="253"/>
    </row>
    <row r="1262" spans="1:17">
      <c r="A1262" s="253"/>
      <c r="B1262" s="253"/>
      <c r="C1262" s="253"/>
      <c r="D1262" s="253"/>
      <c r="E1262" s="253"/>
      <c r="F1262" s="253"/>
      <c r="G1262" s="253"/>
      <c r="H1262" s="253"/>
      <c r="I1262" s="253"/>
      <c r="J1262" s="253"/>
      <c r="K1262" s="253"/>
      <c r="L1262" s="253"/>
      <c r="M1262" s="253"/>
      <c r="N1262" s="253"/>
      <c r="O1262" s="253"/>
      <c r="P1262" s="253"/>
      <c r="Q1262" s="253"/>
    </row>
    <row r="1263" spans="1:17">
      <c r="A1263" s="253"/>
      <c r="B1263" s="253"/>
      <c r="C1263" s="253"/>
      <c r="D1263" s="253"/>
      <c r="E1263" s="253"/>
      <c r="F1263" s="253"/>
      <c r="G1263" s="253"/>
      <c r="H1263" s="253"/>
      <c r="I1263" s="253"/>
      <c r="J1263" s="253"/>
      <c r="K1263" s="253"/>
      <c r="L1263" s="253"/>
      <c r="M1263" s="253"/>
      <c r="N1263" s="253"/>
      <c r="O1263" s="253"/>
      <c r="P1263" s="253"/>
      <c r="Q1263" s="253"/>
    </row>
    <row r="1264" spans="1:17">
      <c r="A1264" s="253"/>
      <c r="B1264" s="253"/>
      <c r="C1264" s="253"/>
      <c r="D1264" s="253"/>
      <c r="E1264" s="253"/>
      <c r="F1264" s="253"/>
      <c r="G1264" s="253"/>
      <c r="H1264" s="253"/>
      <c r="I1264" s="253"/>
      <c r="J1264" s="253"/>
      <c r="K1264" s="253"/>
      <c r="L1264" s="253"/>
      <c r="M1264" s="253"/>
      <c r="N1264" s="253"/>
      <c r="O1264" s="253"/>
      <c r="P1264" s="253"/>
      <c r="Q1264" s="253"/>
    </row>
    <row r="1265" spans="1:17">
      <c r="A1265" s="253"/>
      <c r="B1265" s="253"/>
      <c r="C1265" s="253"/>
      <c r="D1265" s="253"/>
      <c r="E1265" s="253"/>
      <c r="F1265" s="253"/>
      <c r="G1265" s="253"/>
      <c r="H1265" s="253"/>
      <c r="I1265" s="253"/>
      <c r="J1265" s="253"/>
      <c r="K1265" s="253"/>
      <c r="L1265" s="253"/>
      <c r="M1265" s="253"/>
      <c r="N1265" s="253"/>
      <c r="O1265" s="253"/>
      <c r="P1265" s="253"/>
      <c r="Q1265" s="253"/>
    </row>
    <row r="1266" spans="1:17">
      <c r="A1266" s="253"/>
      <c r="B1266" s="253"/>
      <c r="C1266" s="253"/>
      <c r="D1266" s="253"/>
      <c r="E1266" s="253"/>
      <c r="F1266" s="253"/>
      <c r="G1266" s="253"/>
      <c r="H1266" s="253"/>
      <c r="I1266" s="253"/>
      <c r="J1266" s="253"/>
      <c r="K1266" s="253"/>
      <c r="L1266" s="253"/>
      <c r="M1266" s="253"/>
      <c r="N1266" s="253"/>
      <c r="O1266" s="253"/>
      <c r="P1266" s="253"/>
      <c r="Q1266" s="253"/>
    </row>
    <row r="1267" spans="1:17">
      <c r="A1267" s="253"/>
      <c r="B1267" s="253"/>
      <c r="C1267" s="253"/>
      <c r="D1267" s="253"/>
      <c r="E1267" s="253"/>
      <c r="F1267" s="253"/>
      <c r="G1267" s="253"/>
      <c r="H1267" s="253"/>
      <c r="I1267" s="253"/>
      <c r="J1267" s="253"/>
      <c r="K1267" s="253"/>
      <c r="L1267" s="253"/>
      <c r="M1267" s="253"/>
      <c r="N1267" s="253"/>
      <c r="O1267" s="253"/>
      <c r="P1267" s="253"/>
      <c r="Q1267" s="253"/>
    </row>
    <row r="1268" spans="1:17">
      <c r="A1268" s="253"/>
      <c r="B1268" s="253"/>
      <c r="C1268" s="253"/>
      <c r="D1268" s="253"/>
      <c r="E1268" s="253"/>
      <c r="F1268" s="253"/>
      <c r="G1268" s="253"/>
      <c r="H1268" s="253"/>
      <c r="I1268" s="253"/>
      <c r="J1268" s="253"/>
      <c r="K1268" s="253"/>
      <c r="L1268" s="253"/>
      <c r="M1268" s="253"/>
      <c r="N1268" s="253"/>
      <c r="O1268" s="253"/>
      <c r="P1268" s="253"/>
      <c r="Q1268" s="253"/>
    </row>
    <row r="1269" spans="1:17">
      <c r="A1269" s="253"/>
      <c r="B1269" s="253"/>
      <c r="C1269" s="253"/>
      <c r="D1269" s="253"/>
      <c r="E1269" s="253"/>
      <c r="F1269" s="253"/>
      <c r="G1269" s="253"/>
      <c r="H1269" s="253"/>
      <c r="I1269" s="253"/>
      <c r="J1269" s="253"/>
      <c r="K1269" s="253"/>
      <c r="L1269" s="253"/>
      <c r="M1269" s="253"/>
      <c r="N1269" s="253"/>
      <c r="O1269" s="253"/>
      <c r="P1269" s="253"/>
      <c r="Q1269" s="253"/>
    </row>
    <row r="1270" spans="1:17">
      <c r="A1270" s="253"/>
      <c r="B1270" s="253"/>
      <c r="C1270" s="253"/>
      <c r="D1270" s="253"/>
      <c r="E1270" s="253"/>
      <c r="F1270" s="253"/>
      <c r="G1270" s="253"/>
      <c r="H1270" s="253"/>
      <c r="I1270" s="253"/>
      <c r="J1270" s="253"/>
      <c r="K1270" s="253"/>
      <c r="L1270" s="253"/>
      <c r="M1270" s="253"/>
      <c r="N1270" s="253"/>
      <c r="O1270" s="253"/>
      <c r="P1270" s="253"/>
      <c r="Q1270" s="253"/>
    </row>
    <row r="1271" spans="1:17">
      <c r="A1271" s="253"/>
      <c r="B1271" s="253"/>
      <c r="C1271" s="253"/>
      <c r="D1271" s="253"/>
      <c r="E1271" s="253"/>
      <c r="F1271" s="253"/>
      <c r="G1271" s="253"/>
      <c r="H1271" s="253"/>
      <c r="I1271" s="253"/>
      <c r="J1271" s="253"/>
      <c r="K1271" s="253"/>
      <c r="L1271" s="253"/>
      <c r="M1271" s="253"/>
      <c r="N1271" s="253"/>
      <c r="O1271" s="253"/>
      <c r="P1271" s="253"/>
      <c r="Q1271" s="253"/>
    </row>
    <row r="1272" spans="1:17">
      <c r="A1272" s="253"/>
      <c r="B1272" s="253"/>
      <c r="C1272" s="253"/>
      <c r="D1272" s="253"/>
      <c r="E1272" s="253"/>
      <c r="F1272" s="253"/>
      <c r="G1272" s="253"/>
      <c r="H1272" s="253"/>
      <c r="I1272" s="253"/>
      <c r="J1272" s="253"/>
      <c r="K1272" s="253"/>
      <c r="L1272" s="253"/>
      <c r="M1272" s="253"/>
      <c r="N1272" s="253"/>
      <c r="O1272" s="253"/>
      <c r="P1272" s="253"/>
      <c r="Q1272" s="253"/>
    </row>
    <row r="1273" spans="1:17">
      <c r="A1273" s="253"/>
      <c r="B1273" s="253"/>
      <c r="C1273" s="253"/>
      <c r="D1273" s="253"/>
      <c r="E1273" s="253"/>
      <c r="F1273" s="253"/>
      <c r="G1273" s="253"/>
      <c r="H1273" s="253"/>
      <c r="I1273" s="253"/>
      <c r="J1273" s="253"/>
      <c r="K1273" s="253"/>
      <c r="L1273" s="253"/>
      <c r="M1273" s="253"/>
      <c r="N1273" s="253"/>
      <c r="O1273" s="253"/>
      <c r="P1273" s="253"/>
      <c r="Q1273" s="253"/>
    </row>
    <row r="1274" spans="1:17">
      <c r="A1274" s="253"/>
      <c r="B1274" s="253"/>
      <c r="C1274" s="253"/>
      <c r="D1274" s="253"/>
      <c r="E1274" s="253"/>
      <c r="F1274" s="253"/>
      <c r="G1274" s="253"/>
      <c r="H1274" s="253"/>
      <c r="I1274" s="253"/>
      <c r="J1274" s="253"/>
      <c r="K1274" s="253"/>
      <c r="L1274" s="253"/>
      <c r="M1274" s="253"/>
      <c r="N1274" s="253"/>
      <c r="O1274" s="253"/>
      <c r="P1274" s="253"/>
      <c r="Q1274" s="253"/>
    </row>
    <row r="1275" spans="1:17">
      <c r="A1275" s="253"/>
      <c r="B1275" s="253"/>
      <c r="C1275" s="253"/>
      <c r="D1275" s="253"/>
      <c r="E1275" s="253"/>
      <c r="F1275" s="253"/>
      <c r="G1275" s="253"/>
      <c r="H1275" s="253"/>
      <c r="I1275" s="253"/>
      <c r="J1275" s="253"/>
      <c r="K1275" s="253"/>
      <c r="L1275" s="253"/>
      <c r="M1275" s="253"/>
      <c r="N1275" s="253"/>
      <c r="O1275" s="253"/>
      <c r="P1275" s="253"/>
      <c r="Q1275" s="253"/>
    </row>
    <row r="1276" spans="1:17">
      <c r="A1276" s="253"/>
      <c r="B1276" s="253"/>
      <c r="C1276" s="253"/>
      <c r="D1276" s="253"/>
      <c r="E1276" s="253"/>
      <c r="F1276" s="253"/>
      <c r="G1276" s="253"/>
      <c r="H1276" s="253"/>
      <c r="I1276" s="253"/>
      <c r="J1276" s="253"/>
      <c r="K1276" s="253"/>
      <c r="L1276" s="253"/>
      <c r="M1276" s="253"/>
      <c r="N1276" s="253"/>
      <c r="O1276" s="253"/>
      <c r="P1276" s="253"/>
      <c r="Q1276" s="253"/>
    </row>
    <row r="1277" spans="1:17">
      <c r="A1277" s="253"/>
      <c r="B1277" s="253"/>
      <c r="C1277" s="253"/>
      <c r="D1277" s="253"/>
      <c r="E1277" s="253"/>
      <c r="F1277" s="253"/>
      <c r="G1277" s="253"/>
      <c r="H1277" s="253"/>
      <c r="I1277" s="253"/>
      <c r="J1277" s="253"/>
      <c r="K1277" s="253"/>
      <c r="L1277" s="253"/>
      <c r="M1277" s="253"/>
      <c r="N1277" s="253"/>
      <c r="O1277" s="253"/>
      <c r="P1277" s="253"/>
      <c r="Q1277" s="253"/>
    </row>
    <row r="1278" spans="1:17">
      <c r="A1278" s="253"/>
      <c r="B1278" s="253"/>
      <c r="C1278" s="253"/>
      <c r="D1278" s="253"/>
      <c r="E1278" s="253"/>
      <c r="F1278" s="253"/>
      <c r="G1278" s="253"/>
      <c r="H1278" s="253"/>
      <c r="I1278" s="253"/>
      <c r="J1278" s="253"/>
      <c r="K1278" s="253"/>
      <c r="L1278" s="253"/>
      <c r="M1278" s="253"/>
      <c r="N1278" s="253"/>
      <c r="O1278" s="253"/>
      <c r="P1278" s="253"/>
      <c r="Q1278" s="253"/>
    </row>
    <row r="1279" spans="1:17">
      <c r="A1279" s="253"/>
      <c r="B1279" s="253"/>
      <c r="C1279" s="253"/>
      <c r="D1279" s="253"/>
      <c r="E1279" s="253"/>
      <c r="F1279" s="253"/>
      <c r="G1279" s="253"/>
      <c r="H1279" s="253"/>
      <c r="I1279" s="253"/>
      <c r="J1279" s="253"/>
      <c r="K1279" s="253"/>
      <c r="L1279" s="253"/>
      <c r="M1279" s="253"/>
      <c r="N1279" s="253"/>
      <c r="O1279" s="253"/>
      <c r="P1279" s="253"/>
      <c r="Q1279" s="253"/>
    </row>
    <row r="1280" spans="1:17">
      <c r="A1280" s="253"/>
      <c r="B1280" s="253"/>
      <c r="C1280" s="253"/>
      <c r="D1280" s="253"/>
      <c r="E1280" s="253"/>
      <c r="F1280" s="253"/>
      <c r="G1280" s="253"/>
      <c r="H1280" s="253"/>
      <c r="I1280" s="253"/>
      <c r="J1280" s="253"/>
      <c r="K1280" s="253"/>
      <c r="L1280" s="253"/>
      <c r="M1280" s="253"/>
      <c r="N1280" s="253"/>
      <c r="O1280" s="253"/>
      <c r="P1280" s="253"/>
      <c r="Q1280" s="253"/>
    </row>
    <row r="1281" spans="1:17">
      <c r="A1281" s="253"/>
      <c r="B1281" s="253"/>
      <c r="C1281" s="253"/>
      <c r="D1281" s="253"/>
      <c r="E1281" s="253"/>
      <c r="F1281" s="253"/>
      <c r="G1281" s="253"/>
      <c r="H1281" s="253"/>
      <c r="I1281" s="253"/>
      <c r="J1281" s="253"/>
      <c r="K1281" s="253"/>
      <c r="L1281" s="253"/>
      <c r="M1281" s="253"/>
      <c r="N1281" s="253"/>
      <c r="O1281" s="253"/>
      <c r="P1281" s="253"/>
      <c r="Q1281" s="253"/>
    </row>
    <row r="1282" spans="1:17">
      <c r="A1282" s="253"/>
      <c r="B1282" s="253"/>
      <c r="C1282" s="253"/>
      <c r="D1282" s="253"/>
      <c r="E1282" s="253"/>
      <c r="F1282" s="253"/>
      <c r="G1282" s="253"/>
      <c r="H1282" s="253"/>
      <c r="I1282" s="253"/>
      <c r="J1282" s="253"/>
      <c r="K1282" s="253"/>
      <c r="L1282" s="253"/>
      <c r="M1282" s="253"/>
      <c r="N1282" s="253"/>
      <c r="O1282" s="253"/>
      <c r="P1282" s="253"/>
      <c r="Q1282" s="253"/>
    </row>
    <row r="1283" spans="1:17">
      <c r="A1283" s="253"/>
      <c r="B1283" s="253"/>
      <c r="C1283" s="253"/>
      <c r="D1283" s="253"/>
      <c r="E1283" s="253"/>
      <c r="F1283" s="253"/>
      <c r="G1283" s="253"/>
      <c r="H1283" s="253"/>
      <c r="I1283" s="253"/>
      <c r="J1283" s="253"/>
      <c r="K1283" s="253"/>
      <c r="L1283" s="253"/>
      <c r="M1283" s="253"/>
      <c r="N1283" s="253"/>
      <c r="O1283" s="253"/>
      <c r="P1283" s="253"/>
      <c r="Q1283" s="253"/>
    </row>
    <row r="1284" spans="1:17">
      <c r="A1284" s="253"/>
      <c r="B1284" s="253"/>
      <c r="C1284" s="253"/>
      <c r="D1284" s="253"/>
      <c r="E1284" s="253"/>
      <c r="F1284" s="253"/>
      <c r="G1284" s="253"/>
      <c r="H1284" s="253"/>
      <c r="I1284" s="253"/>
      <c r="J1284" s="253"/>
      <c r="K1284" s="253"/>
      <c r="L1284" s="253"/>
      <c r="M1284" s="253"/>
      <c r="N1284" s="253"/>
      <c r="O1284" s="253"/>
      <c r="P1284" s="253"/>
      <c r="Q1284" s="253"/>
    </row>
    <row r="1285" spans="1:17">
      <c r="A1285" s="253"/>
      <c r="B1285" s="253"/>
      <c r="C1285" s="253"/>
      <c r="D1285" s="253"/>
      <c r="E1285" s="253"/>
      <c r="F1285" s="253"/>
      <c r="G1285" s="253"/>
      <c r="H1285" s="253"/>
      <c r="I1285" s="253"/>
      <c r="J1285" s="253"/>
      <c r="K1285" s="253"/>
      <c r="L1285" s="253"/>
      <c r="M1285" s="253"/>
      <c r="N1285" s="253"/>
      <c r="O1285" s="253"/>
      <c r="P1285" s="253"/>
      <c r="Q1285" s="253"/>
    </row>
    <row r="1286" spans="1:17">
      <c r="A1286" s="253"/>
      <c r="B1286" s="253"/>
      <c r="C1286" s="253"/>
      <c r="D1286" s="253"/>
      <c r="E1286" s="253"/>
      <c r="F1286" s="253"/>
      <c r="G1286" s="253"/>
      <c r="H1286" s="253"/>
      <c r="I1286" s="253"/>
      <c r="J1286" s="253"/>
      <c r="K1286" s="253"/>
      <c r="L1286" s="253"/>
      <c r="M1286" s="253"/>
      <c r="N1286" s="253"/>
      <c r="O1286" s="253"/>
      <c r="P1286" s="253"/>
      <c r="Q1286" s="253"/>
    </row>
    <row r="1287" spans="1:17">
      <c r="A1287" s="253"/>
      <c r="B1287" s="253"/>
      <c r="C1287" s="253"/>
      <c r="D1287" s="253"/>
      <c r="E1287" s="253"/>
      <c r="F1287" s="253"/>
      <c r="G1287" s="253"/>
      <c r="H1287" s="253"/>
      <c r="I1287" s="253"/>
      <c r="J1287" s="253"/>
      <c r="K1287" s="253"/>
      <c r="L1287" s="253"/>
      <c r="M1287" s="253"/>
      <c r="N1287" s="253"/>
      <c r="O1287" s="253"/>
      <c r="P1287" s="253"/>
      <c r="Q1287" s="253"/>
    </row>
    <row r="1288" spans="1:17">
      <c r="A1288" s="253"/>
      <c r="B1288" s="253"/>
      <c r="C1288" s="253"/>
      <c r="D1288" s="253"/>
      <c r="E1288" s="253"/>
      <c r="F1288" s="253"/>
      <c r="G1288" s="253"/>
      <c r="H1288" s="253"/>
      <c r="I1288" s="253"/>
      <c r="J1288" s="253"/>
      <c r="K1288" s="253"/>
      <c r="L1288" s="253"/>
      <c r="M1288" s="253"/>
      <c r="N1288" s="253"/>
      <c r="O1288" s="253"/>
      <c r="P1288" s="253"/>
      <c r="Q1288" s="253"/>
    </row>
    <row r="1289" spans="1:17">
      <c r="A1289" s="253"/>
      <c r="B1289" s="253"/>
      <c r="C1289" s="253"/>
      <c r="D1289" s="253"/>
      <c r="E1289" s="253"/>
      <c r="F1289" s="253"/>
      <c r="G1289" s="253"/>
      <c r="H1289" s="253"/>
      <c r="I1289" s="253"/>
      <c r="J1289" s="253"/>
      <c r="K1289" s="253"/>
      <c r="L1289" s="253"/>
      <c r="M1289" s="253"/>
      <c r="N1289" s="253"/>
      <c r="O1289" s="253"/>
      <c r="P1289" s="253"/>
      <c r="Q1289" s="253"/>
    </row>
    <row r="1290" spans="1:17">
      <c r="A1290" s="253"/>
      <c r="B1290" s="253"/>
      <c r="C1290" s="253"/>
      <c r="D1290" s="253"/>
      <c r="E1290" s="253"/>
      <c r="F1290" s="253"/>
      <c r="G1290" s="253"/>
      <c r="H1290" s="253"/>
      <c r="I1290" s="253"/>
      <c r="J1290" s="253"/>
      <c r="K1290" s="253"/>
      <c r="L1290" s="253"/>
      <c r="M1290" s="253"/>
      <c r="N1290" s="253"/>
      <c r="O1290" s="253"/>
      <c r="P1290" s="253"/>
      <c r="Q1290" s="253"/>
    </row>
    <row r="1291" spans="1:17">
      <c r="A1291" s="253"/>
      <c r="B1291" s="253"/>
      <c r="C1291" s="253"/>
      <c r="D1291" s="253"/>
      <c r="E1291" s="253"/>
      <c r="F1291" s="253"/>
      <c r="G1291" s="253"/>
      <c r="H1291" s="253"/>
      <c r="I1291" s="253"/>
      <c r="J1291" s="253"/>
      <c r="K1291" s="253"/>
      <c r="L1291" s="253"/>
      <c r="M1291" s="253"/>
      <c r="N1291" s="253"/>
      <c r="O1291" s="253"/>
      <c r="P1291" s="253"/>
      <c r="Q1291" s="253"/>
    </row>
    <row r="1292" spans="1:17">
      <c r="A1292" s="253"/>
      <c r="B1292" s="253"/>
      <c r="C1292" s="253"/>
      <c r="D1292" s="253"/>
      <c r="E1292" s="253"/>
      <c r="F1292" s="253"/>
      <c r="G1292" s="253"/>
      <c r="H1292" s="253"/>
      <c r="I1292" s="253"/>
      <c r="J1292" s="253"/>
      <c r="K1292" s="253"/>
      <c r="L1292" s="253"/>
      <c r="M1292" s="253"/>
      <c r="N1292" s="253"/>
      <c r="O1292" s="253"/>
      <c r="P1292" s="253"/>
      <c r="Q1292" s="253"/>
    </row>
    <row r="1293" spans="1:17">
      <c r="A1293" s="253"/>
      <c r="B1293" s="253"/>
      <c r="C1293" s="253"/>
      <c r="D1293" s="253"/>
      <c r="E1293" s="253"/>
      <c r="F1293" s="253"/>
      <c r="G1293" s="253"/>
      <c r="H1293" s="253"/>
      <c r="I1293" s="253"/>
      <c r="J1293" s="253"/>
      <c r="K1293" s="253"/>
      <c r="L1293" s="253"/>
      <c r="M1293" s="253"/>
      <c r="N1293" s="253"/>
      <c r="O1293" s="253"/>
      <c r="P1293" s="253"/>
      <c r="Q1293" s="253"/>
    </row>
    <row r="1294" spans="1:17">
      <c r="A1294" s="253"/>
      <c r="B1294" s="253"/>
      <c r="C1294" s="253"/>
      <c r="D1294" s="253"/>
      <c r="E1294" s="253"/>
      <c r="F1294" s="253"/>
      <c r="G1294" s="253"/>
      <c r="H1294" s="253"/>
      <c r="I1294" s="253"/>
      <c r="J1294" s="253"/>
      <c r="K1294" s="253"/>
      <c r="L1294" s="253"/>
      <c r="M1294" s="253"/>
      <c r="N1294" s="253"/>
      <c r="O1294" s="253"/>
      <c r="P1294" s="253"/>
      <c r="Q1294" s="253"/>
    </row>
    <row r="1295" spans="1:17">
      <c r="A1295" s="253"/>
      <c r="B1295" s="253"/>
      <c r="C1295" s="253"/>
      <c r="D1295" s="253"/>
      <c r="E1295" s="253"/>
      <c r="F1295" s="253"/>
      <c r="G1295" s="253"/>
      <c r="H1295" s="253"/>
      <c r="I1295" s="253"/>
      <c r="J1295" s="253"/>
      <c r="K1295" s="253"/>
      <c r="L1295" s="253"/>
      <c r="M1295" s="253"/>
      <c r="N1295" s="253"/>
      <c r="O1295" s="253"/>
      <c r="P1295" s="253"/>
      <c r="Q1295" s="253"/>
    </row>
    <row r="1296" spans="1:17">
      <c r="A1296" s="253"/>
      <c r="B1296" s="253"/>
      <c r="C1296" s="253"/>
      <c r="D1296" s="253"/>
      <c r="E1296" s="253"/>
      <c r="F1296" s="253"/>
      <c r="G1296" s="253"/>
      <c r="H1296" s="253"/>
      <c r="I1296" s="253"/>
      <c r="J1296" s="253"/>
      <c r="K1296" s="253"/>
      <c r="L1296" s="253"/>
      <c r="M1296" s="253"/>
      <c r="N1296" s="253"/>
      <c r="O1296" s="253"/>
      <c r="P1296" s="253"/>
      <c r="Q1296" s="253"/>
    </row>
    <row r="1297" spans="1:17">
      <c r="A1297" s="253"/>
      <c r="B1297" s="253"/>
      <c r="C1297" s="253"/>
      <c r="D1297" s="253"/>
      <c r="E1297" s="253"/>
      <c r="F1297" s="253"/>
      <c r="G1297" s="253"/>
      <c r="H1297" s="253"/>
      <c r="I1297" s="253"/>
      <c r="J1297" s="253"/>
      <c r="K1297" s="253"/>
      <c r="L1297" s="253"/>
      <c r="M1297" s="253"/>
      <c r="N1297" s="253"/>
      <c r="O1297" s="253"/>
      <c r="P1297" s="253"/>
      <c r="Q1297" s="253"/>
    </row>
    <row r="1298" spans="1:17">
      <c r="A1298" s="253"/>
      <c r="B1298" s="253"/>
      <c r="C1298" s="253"/>
      <c r="D1298" s="253"/>
      <c r="E1298" s="253"/>
      <c r="F1298" s="253"/>
      <c r="G1298" s="253"/>
      <c r="H1298" s="253"/>
      <c r="I1298" s="253"/>
      <c r="J1298" s="253"/>
      <c r="K1298" s="253"/>
      <c r="L1298" s="253"/>
      <c r="M1298" s="253"/>
      <c r="N1298" s="253"/>
      <c r="O1298" s="253"/>
      <c r="P1298" s="253"/>
      <c r="Q1298" s="253"/>
    </row>
    <row r="1299" spans="1:17">
      <c r="A1299" s="253"/>
      <c r="B1299" s="253"/>
      <c r="C1299" s="253"/>
      <c r="D1299" s="253"/>
      <c r="E1299" s="253"/>
      <c r="F1299" s="253"/>
      <c r="G1299" s="253"/>
      <c r="H1299" s="253"/>
      <c r="I1299" s="253"/>
      <c r="J1299" s="253"/>
      <c r="K1299" s="253"/>
      <c r="L1299" s="253"/>
      <c r="M1299" s="253"/>
      <c r="N1299" s="253"/>
      <c r="O1299" s="253"/>
      <c r="P1299" s="253"/>
      <c r="Q1299" s="253"/>
    </row>
    <row r="1300" spans="1:17">
      <c r="A1300" s="253"/>
      <c r="B1300" s="253"/>
      <c r="C1300" s="253"/>
      <c r="D1300" s="253"/>
      <c r="E1300" s="253"/>
      <c r="F1300" s="253"/>
      <c r="G1300" s="253"/>
      <c r="H1300" s="253"/>
      <c r="I1300" s="253"/>
      <c r="J1300" s="253"/>
      <c r="K1300" s="253"/>
      <c r="L1300" s="253"/>
      <c r="M1300" s="253"/>
      <c r="N1300" s="253"/>
      <c r="O1300" s="253"/>
      <c r="P1300" s="253"/>
      <c r="Q1300" s="253"/>
    </row>
    <row r="1301" spans="1:17">
      <c r="A1301" s="253"/>
      <c r="B1301" s="253"/>
      <c r="C1301" s="253"/>
      <c r="D1301" s="253"/>
      <c r="E1301" s="253"/>
      <c r="F1301" s="253"/>
      <c r="G1301" s="253"/>
      <c r="H1301" s="253"/>
      <c r="I1301" s="253"/>
      <c r="J1301" s="253"/>
      <c r="K1301" s="253"/>
      <c r="L1301" s="253"/>
      <c r="M1301" s="253"/>
      <c r="N1301" s="253"/>
      <c r="O1301" s="253"/>
      <c r="P1301" s="253"/>
      <c r="Q1301" s="253"/>
    </row>
    <row r="1302" spans="1:17">
      <c r="A1302" s="253"/>
      <c r="B1302" s="253"/>
      <c r="C1302" s="253"/>
      <c r="D1302" s="253"/>
      <c r="E1302" s="253"/>
      <c r="F1302" s="253"/>
      <c r="G1302" s="253"/>
      <c r="H1302" s="253"/>
      <c r="I1302" s="253"/>
      <c r="J1302" s="253"/>
      <c r="K1302" s="253"/>
      <c r="L1302" s="253"/>
      <c r="M1302" s="253"/>
      <c r="N1302" s="253"/>
      <c r="O1302" s="253"/>
      <c r="P1302" s="253"/>
      <c r="Q1302" s="253"/>
    </row>
    <row r="1303" spans="1:17">
      <c r="A1303" s="253"/>
      <c r="B1303" s="253"/>
      <c r="C1303" s="253"/>
      <c r="D1303" s="253"/>
      <c r="E1303" s="253"/>
      <c r="F1303" s="253"/>
      <c r="G1303" s="253"/>
      <c r="H1303" s="253"/>
      <c r="I1303" s="253"/>
      <c r="J1303" s="253"/>
      <c r="K1303" s="253"/>
      <c r="L1303" s="253"/>
      <c r="M1303" s="253"/>
      <c r="N1303" s="253"/>
      <c r="O1303" s="253"/>
      <c r="P1303" s="253"/>
      <c r="Q1303" s="253"/>
    </row>
    <row r="1304" spans="1:17">
      <c r="A1304" s="253"/>
      <c r="B1304" s="253"/>
      <c r="C1304" s="253"/>
      <c r="D1304" s="253"/>
      <c r="E1304" s="253"/>
      <c r="F1304" s="253"/>
      <c r="G1304" s="253"/>
      <c r="H1304" s="253"/>
      <c r="I1304" s="253"/>
      <c r="J1304" s="253"/>
      <c r="K1304" s="253"/>
      <c r="L1304" s="253"/>
      <c r="M1304" s="253"/>
      <c r="N1304" s="253"/>
      <c r="O1304" s="253"/>
      <c r="P1304" s="253"/>
      <c r="Q1304" s="253"/>
    </row>
    <row r="1305" spans="1:17">
      <c r="A1305" s="253"/>
      <c r="B1305" s="253"/>
      <c r="C1305" s="253"/>
      <c r="D1305" s="253"/>
      <c r="E1305" s="253"/>
      <c r="F1305" s="253"/>
      <c r="G1305" s="253"/>
      <c r="H1305" s="253"/>
      <c r="I1305" s="253"/>
      <c r="J1305" s="253"/>
      <c r="K1305" s="253"/>
      <c r="L1305" s="253"/>
      <c r="M1305" s="253"/>
      <c r="N1305" s="253"/>
      <c r="O1305" s="253"/>
      <c r="P1305" s="253"/>
      <c r="Q1305" s="253"/>
    </row>
    <row r="1306" spans="1:17">
      <c r="A1306" s="253"/>
      <c r="B1306" s="253"/>
      <c r="C1306" s="253"/>
      <c r="D1306" s="253"/>
      <c r="E1306" s="253"/>
      <c r="F1306" s="253"/>
      <c r="G1306" s="253"/>
      <c r="H1306" s="253"/>
      <c r="I1306" s="253"/>
      <c r="J1306" s="253"/>
      <c r="K1306" s="253"/>
      <c r="L1306" s="253"/>
      <c r="M1306" s="253"/>
      <c r="N1306" s="253"/>
      <c r="O1306" s="253"/>
      <c r="P1306" s="253"/>
      <c r="Q1306" s="253"/>
    </row>
    <row r="1307" spans="1:17">
      <c r="A1307" s="253"/>
      <c r="B1307" s="253"/>
      <c r="C1307" s="253"/>
      <c r="D1307" s="253"/>
      <c r="E1307" s="253"/>
      <c r="F1307" s="253"/>
      <c r="G1307" s="253"/>
      <c r="H1307" s="253"/>
      <c r="I1307" s="253"/>
      <c r="J1307" s="253"/>
      <c r="K1307" s="253"/>
      <c r="L1307" s="253"/>
      <c r="M1307" s="253"/>
      <c r="N1307" s="253"/>
      <c r="O1307" s="253"/>
      <c r="P1307" s="253"/>
      <c r="Q1307" s="253"/>
    </row>
    <row r="1308" spans="1:17">
      <c r="A1308" s="253"/>
      <c r="B1308" s="253"/>
      <c r="C1308" s="253"/>
      <c r="D1308" s="253"/>
      <c r="E1308" s="253"/>
      <c r="F1308" s="253"/>
      <c r="G1308" s="253"/>
      <c r="H1308" s="253"/>
      <c r="I1308" s="253"/>
      <c r="J1308" s="253"/>
      <c r="K1308" s="253"/>
      <c r="L1308" s="253"/>
      <c r="M1308" s="253"/>
      <c r="N1308" s="253"/>
      <c r="O1308" s="253"/>
      <c r="P1308" s="253"/>
      <c r="Q1308" s="253"/>
    </row>
    <row r="1309" spans="1:17">
      <c r="A1309" s="253"/>
      <c r="B1309" s="253"/>
      <c r="C1309" s="253"/>
      <c r="D1309" s="253"/>
      <c r="E1309" s="253"/>
      <c r="F1309" s="253"/>
      <c r="G1309" s="253"/>
      <c r="H1309" s="253"/>
      <c r="I1309" s="253"/>
      <c r="J1309" s="253"/>
      <c r="K1309" s="253"/>
      <c r="L1309" s="253"/>
      <c r="M1309" s="253"/>
      <c r="N1309" s="253"/>
      <c r="O1309" s="253"/>
      <c r="P1309" s="253"/>
      <c r="Q1309" s="253"/>
    </row>
    <row r="1310" spans="1:17">
      <c r="A1310" s="253"/>
      <c r="B1310" s="253"/>
      <c r="C1310" s="253"/>
      <c r="D1310" s="253"/>
      <c r="E1310" s="253"/>
      <c r="F1310" s="253"/>
      <c r="G1310" s="253"/>
      <c r="H1310" s="253"/>
      <c r="I1310" s="253"/>
      <c r="J1310" s="253"/>
      <c r="K1310" s="253"/>
      <c r="L1310" s="253"/>
      <c r="M1310" s="253"/>
      <c r="N1310" s="253"/>
      <c r="O1310" s="253"/>
      <c r="P1310" s="253"/>
      <c r="Q1310" s="253"/>
    </row>
    <row r="1311" spans="1:17">
      <c r="A1311" s="253"/>
      <c r="B1311" s="253"/>
      <c r="C1311" s="253"/>
      <c r="D1311" s="253"/>
      <c r="E1311" s="253"/>
      <c r="F1311" s="253"/>
      <c r="G1311" s="253"/>
      <c r="H1311" s="253"/>
      <c r="I1311" s="253"/>
      <c r="J1311" s="253"/>
      <c r="K1311" s="253"/>
      <c r="L1311" s="253"/>
      <c r="M1311" s="253"/>
      <c r="N1311" s="253"/>
      <c r="O1311" s="253"/>
      <c r="P1311" s="253"/>
      <c r="Q1311" s="253"/>
    </row>
    <row r="1312" spans="1:17">
      <c r="A1312" s="253"/>
      <c r="B1312" s="253"/>
      <c r="C1312" s="253"/>
      <c r="D1312" s="253"/>
      <c r="E1312" s="253"/>
      <c r="F1312" s="253"/>
      <c r="G1312" s="253"/>
      <c r="H1312" s="253"/>
      <c r="I1312" s="253"/>
      <c r="J1312" s="253"/>
      <c r="K1312" s="253"/>
      <c r="L1312" s="253"/>
      <c r="M1312" s="253"/>
      <c r="N1312" s="253"/>
      <c r="O1312" s="253"/>
      <c r="P1312" s="253"/>
      <c r="Q1312" s="253"/>
    </row>
    <row r="1313" spans="1:17">
      <c r="A1313" s="253"/>
      <c r="B1313" s="253"/>
      <c r="C1313" s="253"/>
      <c r="D1313" s="253"/>
      <c r="E1313" s="253"/>
      <c r="F1313" s="253"/>
      <c r="G1313" s="253"/>
      <c r="H1313" s="253"/>
      <c r="I1313" s="253"/>
      <c r="J1313" s="253"/>
      <c r="K1313" s="253"/>
      <c r="L1313" s="253"/>
      <c r="M1313" s="253"/>
      <c r="N1313" s="253"/>
      <c r="O1313" s="253"/>
      <c r="P1313" s="253"/>
      <c r="Q1313" s="253"/>
    </row>
    <row r="1314" spans="1:17">
      <c r="A1314" s="253"/>
      <c r="B1314" s="253"/>
      <c r="C1314" s="253"/>
      <c r="D1314" s="253"/>
      <c r="E1314" s="253"/>
      <c r="F1314" s="253"/>
      <c r="G1314" s="253"/>
      <c r="H1314" s="253"/>
      <c r="I1314" s="253"/>
      <c r="J1314" s="253"/>
      <c r="K1314" s="253"/>
      <c r="L1314" s="253"/>
      <c r="M1314" s="253"/>
      <c r="N1314" s="253"/>
      <c r="O1314" s="253"/>
      <c r="P1314" s="253"/>
      <c r="Q1314" s="253"/>
    </row>
    <row r="1315" spans="1:17">
      <c r="A1315" s="253"/>
      <c r="B1315" s="253"/>
      <c r="C1315" s="253"/>
      <c r="D1315" s="253"/>
      <c r="E1315" s="253"/>
      <c r="F1315" s="253"/>
      <c r="G1315" s="253"/>
      <c r="H1315" s="253"/>
      <c r="I1315" s="253"/>
      <c r="J1315" s="253"/>
      <c r="K1315" s="253"/>
      <c r="L1315" s="253"/>
      <c r="M1315" s="253"/>
      <c r="N1315" s="253"/>
      <c r="O1315" s="253"/>
      <c r="P1315" s="253"/>
      <c r="Q1315" s="253"/>
    </row>
    <row r="1316" spans="1:17">
      <c r="A1316" s="253"/>
      <c r="B1316" s="253"/>
      <c r="C1316" s="253"/>
      <c r="D1316" s="253"/>
      <c r="E1316" s="253"/>
      <c r="F1316" s="253"/>
      <c r="G1316" s="253"/>
      <c r="H1316" s="253"/>
      <c r="I1316" s="253"/>
      <c r="J1316" s="253"/>
      <c r="K1316" s="253"/>
      <c r="L1316" s="253"/>
      <c r="M1316" s="253"/>
      <c r="N1316" s="253"/>
      <c r="O1316" s="253"/>
      <c r="P1316" s="253"/>
      <c r="Q1316" s="253"/>
    </row>
    <row r="1317" spans="1:17">
      <c r="A1317" s="253"/>
      <c r="B1317" s="253"/>
      <c r="C1317" s="253"/>
      <c r="D1317" s="253"/>
      <c r="E1317" s="253"/>
      <c r="F1317" s="253"/>
      <c r="G1317" s="253"/>
      <c r="H1317" s="253"/>
      <c r="I1317" s="253"/>
      <c r="J1317" s="253"/>
      <c r="K1317" s="253"/>
      <c r="L1317" s="253"/>
      <c r="M1317" s="253"/>
      <c r="N1317" s="253"/>
      <c r="O1317" s="253"/>
      <c r="P1317" s="253"/>
      <c r="Q1317" s="253"/>
    </row>
    <row r="1318" spans="1:17">
      <c r="A1318" s="253"/>
      <c r="B1318" s="253"/>
      <c r="C1318" s="253"/>
      <c r="D1318" s="253"/>
      <c r="E1318" s="253"/>
      <c r="F1318" s="253"/>
      <c r="G1318" s="253"/>
      <c r="H1318" s="253"/>
      <c r="I1318" s="253"/>
      <c r="J1318" s="253"/>
      <c r="K1318" s="253"/>
      <c r="L1318" s="253"/>
      <c r="M1318" s="253"/>
      <c r="N1318" s="253"/>
      <c r="O1318" s="253"/>
      <c r="P1318" s="253"/>
      <c r="Q1318" s="253"/>
    </row>
    <row r="1319" spans="1:17">
      <c r="A1319" s="253"/>
      <c r="B1319" s="253"/>
      <c r="C1319" s="253"/>
      <c r="D1319" s="253"/>
      <c r="E1319" s="253"/>
      <c r="F1319" s="253"/>
      <c r="G1319" s="253"/>
      <c r="H1319" s="253"/>
      <c r="I1319" s="253"/>
      <c r="J1319" s="253"/>
      <c r="K1319" s="253"/>
      <c r="L1319" s="253"/>
      <c r="M1319" s="253"/>
      <c r="N1319" s="253"/>
      <c r="O1319" s="253"/>
      <c r="P1319" s="253"/>
      <c r="Q1319" s="253"/>
    </row>
    <row r="1320" spans="1:17">
      <c r="A1320" s="253"/>
      <c r="B1320" s="253"/>
      <c r="C1320" s="253"/>
      <c r="D1320" s="253"/>
      <c r="E1320" s="253"/>
      <c r="F1320" s="253"/>
      <c r="G1320" s="253"/>
      <c r="H1320" s="253"/>
      <c r="I1320" s="253"/>
      <c r="J1320" s="253"/>
      <c r="K1320" s="253"/>
      <c r="L1320" s="253"/>
      <c r="M1320" s="253"/>
      <c r="N1320" s="253"/>
      <c r="O1320" s="253"/>
      <c r="P1320" s="253"/>
      <c r="Q1320" s="253"/>
    </row>
    <row r="1321" spans="1:17">
      <c r="A1321" s="253"/>
      <c r="B1321" s="253"/>
      <c r="C1321" s="253"/>
      <c r="D1321" s="253"/>
      <c r="E1321" s="253"/>
      <c r="F1321" s="253"/>
      <c r="G1321" s="253"/>
      <c r="H1321" s="253"/>
      <c r="I1321" s="253"/>
      <c r="J1321" s="253"/>
      <c r="K1321" s="253"/>
      <c r="L1321" s="253"/>
      <c r="M1321" s="253"/>
      <c r="N1321" s="253"/>
      <c r="O1321" s="253"/>
      <c r="P1321" s="253"/>
      <c r="Q1321" s="253"/>
    </row>
    <row r="1322" spans="1:17">
      <c r="A1322" s="253"/>
      <c r="B1322" s="253"/>
      <c r="C1322" s="253"/>
      <c r="D1322" s="253"/>
      <c r="E1322" s="253"/>
      <c r="F1322" s="253"/>
      <c r="G1322" s="253"/>
      <c r="H1322" s="253"/>
      <c r="I1322" s="253"/>
      <c r="J1322" s="253"/>
      <c r="K1322" s="253"/>
      <c r="L1322" s="253"/>
      <c r="M1322" s="253"/>
      <c r="N1322" s="253"/>
      <c r="O1322" s="253"/>
      <c r="P1322" s="253"/>
      <c r="Q1322" s="253"/>
    </row>
    <row r="1323" spans="1:17">
      <c r="A1323" s="253"/>
      <c r="B1323" s="253"/>
      <c r="C1323" s="253"/>
      <c r="D1323" s="253"/>
      <c r="E1323" s="253"/>
      <c r="F1323" s="253"/>
      <c r="G1323" s="253"/>
      <c r="H1323" s="253"/>
      <c r="I1323" s="253"/>
      <c r="J1323" s="253"/>
      <c r="K1323" s="253"/>
      <c r="L1323" s="253"/>
      <c r="M1323" s="253"/>
      <c r="N1323" s="253"/>
      <c r="O1323" s="253"/>
      <c r="P1323" s="253"/>
      <c r="Q1323" s="253"/>
    </row>
    <row r="1324" spans="1:17">
      <c r="A1324" s="253"/>
      <c r="B1324" s="253"/>
      <c r="C1324" s="253"/>
      <c r="D1324" s="253"/>
      <c r="E1324" s="253"/>
      <c r="F1324" s="253"/>
      <c r="G1324" s="253"/>
      <c r="H1324" s="253"/>
      <c r="I1324" s="253"/>
      <c r="J1324" s="253"/>
      <c r="K1324" s="253"/>
      <c r="L1324" s="253"/>
      <c r="M1324" s="253"/>
      <c r="N1324" s="253"/>
      <c r="O1324" s="253"/>
      <c r="P1324" s="253"/>
      <c r="Q1324" s="253"/>
    </row>
    <row r="1325" spans="1:17">
      <c r="A1325" s="253"/>
      <c r="B1325" s="253"/>
      <c r="C1325" s="253"/>
      <c r="D1325" s="253"/>
      <c r="E1325" s="253"/>
      <c r="F1325" s="253"/>
      <c r="G1325" s="253"/>
      <c r="H1325" s="253"/>
      <c r="I1325" s="253"/>
      <c r="J1325" s="253"/>
      <c r="K1325" s="253"/>
      <c r="L1325" s="253"/>
      <c r="M1325" s="253"/>
      <c r="N1325" s="253"/>
      <c r="O1325" s="253"/>
      <c r="P1325" s="253"/>
      <c r="Q1325" s="253"/>
    </row>
    <row r="1326" spans="1:17">
      <c r="A1326" s="253"/>
      <c r="B1326" s="253"/>
      <c r="C1326" s="253"/>
      <c r="D1326" s="253"/>
      <c r="E1326" s="253"/>
      <c r="F1326" s="253"/>
      <c r="G1326" s="253"/>
      <c r="H1326" s="253"/>
      <c r="I1326" s="253"/>
      <c r="J1326" s="253"/>
      <c r="K1326" s="253"/>
      <c r="L1326" s="253"/>
      <c r="M1326" s="253"/>
      <c r="N1326" s="253"/>
      <c r="O1326" s="253"/>
      <c r="P1326" s="253"/>
      <c r="Q1326" s="253"/>
    </row>
    <row r="1327" spans="1:17">
      <c r="A1327" s="253"/>
      <c r="B1327" s="253"/>
      <c r="C1327" s="253"/>
      <c r="D1327" s="253"/>
      <c r="E1327" s="253"/>
      <c r="F1327" s="253"/>
      <c r="G1327" s="253"/>
      <c r="H1327" s="253"/>
      <c r="I1327" s="253"/>
      <c r="J1327" s="253"/>
      <c r="K1327" s="253"/>
      <c r="L1327" s="253"/>
      <c r="M1327" s="253"/>
      <c r="N1327" s="253"/>
      <c r="O1327" s="253"/>
      <c r="P1327" s="253"/>
      <c r="Q1327" s="253"/>
    </row>
    <row r="1328" spans="1:17">
      <c r="A1328" s="253"/>
      <c r="B1328" s="253"/>
      <c r="C1328" s="253"/>
      <c r="D1328" s="253"/>
      <c r="E1328" s="253"/>
      <c r="F1328" s="253"/>
      <c r="G1328" s="253"/>
      <c r="H1328" s="253"/>
      <c r="I1328" s="253"/>
      <c r="J1328" s="253"/>
      <c r="K1328" s="253"/>
      <c r="L1328" s="253"/>
      <c r="M1328" s="253"/>
      <c r="N1328" s="253"/>
      <c r="O1328" s="253"/>
      <c r="P1328" s="253"/>
      <c r="Q1328" s="253"/>
    </row>
    <row r="1329" spans="1:17">
      <c r="A1329" s="253"/>
      <c r="B1329" s="253"/>
      <c r="C1329" s="253"/>
      <c r="D1329" s="253"/>
      <c r="E1329" s="253"/>
      <c r="F1329" s="253"/>
      <c r="G1329" s="253"/>
      <c r="H1329" s="253"/>
      <c r="I1329" s="253"/>
      <c r="J1329" s="253"/>
      <c r="K1329" s="253"/>
      <c r="L1329" s="253"/>
      <c r="M1329" s="253"/>
      <c r="N1329" s="253"/>
      <c r="O1329" s="253"/>
      <c r="P1329" s="253"/>
      <c r="Q1329" s="253"/>
    </row>
    <row r="1330" spans="1:17">
      <c r="A1330" s="253"/>
      <c r="B1330" s="253"/>
      <c r="C1330" s="253"/>
      <c r="D1330" s="253"/>
      <c r="E1330" s="253"/>
      <c r="F1330" s="253"/>
      <c r="G1330" s="253"/>
      <c r="H1330" s="253"/>
      <c r="I1330" s="253"/>
      <c r="J1330" s="253"/>
      <c r="K1330" s="253"/>
      <c r="L1330" s="253"/>
      <c r="M1330" s="253"/>
      <c r="N1330" s="253"/>
      <c r="O1330" s="253"/>
      <c r="P1330" s="253"/>
      <c r="Q1330" s="253"/>
    </row>
    <row r="1331" spans="1:17">
      <c r="A1331" s="253"/>
      <c r="B1331" s="253"/>
      <c r="C1331" s="253"/>
      <c r="D1331" s="253"/>
      <c r="E1331" s="253"/>
      <c r="F1331" s="253"/>
      <c r="G1331" s="253"/>
      <c r="H1331" s="253"/>
      <c r="I1331" s="253"/>
      <c r="J1331" s="253"/>
      <c r="K1331" s="253"/>
      <c r="L1331" s="253"/>
      <c r="M1331" s="253"/>
      <c r="N1331" s="253"/>
      <c r="O1331" s="253"/>
      <c r="P1331" s="253"/>
      <c r="Q1331" s="253"/>
    </row>
    <row r="1332" spans="1:17">
      <c r="A1332" s="253"/>
      <c r="B1332" s="253"/>
      <c r="C1332" s="253"/>
      <c r="D1332" s="253"/>
      <c r="E1332" s="253"/>
      <c r="F1332" s="253"/>
      <c r="G1332" s="253"/>
      <c r="H1332" s="253"/>
      <c r="I1332" s="253"/>
      <c r="J1332" s="253"/>
      <c r="K1332" s="253"/>
      <c r="L1332" s="253"/>
      <c r="M1332" s="253"/>
      <c r="N1332" s="253"/>
      <c r="O1332" s="253"/>
      <c r="P1332" s="253"/>
      <c r="Q1332" s="253"/>
    </row>
    <row r="1333" spans="1:17">
      <c r="A1333" s="253"/>
      <c r="B1333" s="253"/>
      <c r="C1333" s="253"/>
      <c r="D1333" s="253"/>
      <c r="E1333" s="253"/>
      <c r="F1333" s="253"/>
      <c r="G1333" s="253"/>
      <c r="H1333" s="253"/>
      <c r="I1333" s="253"/>
      <c r="J1333" s="253"/>
      <c r="K1333" s="253"/>
      <c r="L1333" s="253"/>
      <c r="M1333" s="253"/>
      <c r="N1333" s="253"/>
      <c r="O1333" s="253"/>
      <c r="P1333" s="253"/>
      <c r="Q1333" s="253"/>
    </row>
    <row r="1334" spans="1:17">
      <c r="A1334" s="253"/>
      <c r="B1334" s="253"/>
      <c r="C1334" s="253"/>
      <c r="D1334" s="253"/>
      <c r="E1334" s="253"/>
      <c r="F1334" s="253"/>
      <c r="G1334" s="253"/>
      <c r="H1334" s="253"/>
      <c r="I1334" s="253"/>
      <c r="J1334" s="253"/>
      <c r="K1334" s="253"/>
      <c r="L1334" s="253"/>
      <c r="M1334" s="253"/>
      <c r="N1334" s="253"/>
      <c r="O1334" s="253"/>
      <c r="P1334" s="253"/>
      <c r="Q1334" s="253"/>
    </row>
    <row r="1335" spans="1:17">
      <c r="A1335" s="253"/>
      <c r="B1335" s="253"/>
      <c r="C1335" s="253"/>
      <c r="D1335" s="253"/>
      <c r="E1335" s="253"/>
      <c r="F1335" s="253"/>
      <c r="G1335" s="253"/>
      <c r="H1335" s="253"/>
      <c r="I1335" s="253"/>
      <c r="J1335" s="253"/>
      <c r="K1335" s="253"/>
      <c r="L1335" s="253"/>
      <c r="M1335" s="253"/>
      <c r="N1335" s="253"/>
      <c r="O1335" s="253"/>
      <c r="P1335" s="253"/>
      <c r="Q1335" s="253"/>
    </row>
    <row r="1336" spans="1:17">
      <c r="A1336" s="253"/>
      <c r="B1336" s="253"/>
      <c r="C1336" s="253"/>
      <c r="D1336" s="253"/>
      <c r="E1336" s="253"/>
      <c r="F1336" s="253"/>
      <c r="G1336" s="253"/>
      <c r="H1336" s="253"/>
      <c r="I1336" s="253"/>
      <c r="J1336" s="253"/>
      <c r="K1336" s="253"/>
      <c r="L1336" s="253"/>
      <c r="M1336" s="253"/>
      <c r="N1336" s="253"/>
      <c r="O1336" s="253"/>
      <c r="P1336" s="253"/>
      <c r="Q1336" s="253"/>
    </row>
    <row r="1337" spans="1:17">
      <c r="A1337" s="253"/>
      <c r="B1337" s="253"/>
      <c r="C1337" s="253"/>
      <c r="D1337" s="253"/>
      <c r="E1337" s="253"/>
      <c r="F1337" s="253"/>
      <c r="G1337" s="253"/>
      <c r="H1337" s="253"/>
      <c r="I1337" s="253"/>
      <c r="J1337" s="253"/>
      <c r="K1337" s="253"/>
      <c r="L1337" s="253"/>
      <c r="M1337" s="253"/>
      <c r="N1337" s="253"/>
      <c r="O1337" s="253"/>
      <c r="P1337" s="253"/>
      <c r="Q1337" s="253"/>
    </row>
    <row r="1338" spans="1:17">
      <c r="A1338" s="253"/>
      <c r="B1338" s="253"/>
      <c r="C1338" s="253"/>
      <c r="D1338" s="253"/>
      <c r="E1338" s="253"/>
      <c r="F1338" s="253"/>
      <c r="G1338" s="253"/>
      <c r="H1338" s="253"/>
      <c r="I1338" s="253"/>
      <c r="J1338" s="253"/>
      <c r="K1338" s="253"/>
      <c r="L1338" s="253"/>
      <c r="M1338" s="253"/>
      <c r="N1338" s="253"/>
      <c r="O1338" s="253"/>
      <c r="P1338" s="253"/>
      <c r="Q1338" s="253"/>
    </row>
    <row r="1339" spans="1:17">
      <c r="A1339" s="253"/>
      <c r="B1339" s="253"/>
      <c r="C1339" s="253"/>
      <c r="D1339" s="253"/>
      <c r="E1339" s="253"/>
      <c r="F1339" s="253"/>
      <c r="G1339" s="253"/>
      <c r="H1339" s="253"/>
      <c r="I1339" s="253"/>
      <c r="J1339" s="253"/>
      <c r="K1339" s="253"/>
      <c r="L1339" s="253"/>
      <c r="M1339" s="253"/>
      <c r="N1339" s="253"/>
      <c r="O1339" s="253"/>
      <c r="P1339" s="253"/>
      <c r="Q1339" s="253"/>
    </row>
    <row r="1340" spans="1:17">
      <c r="A1340" s="253"/>
      <c r="B1340" s="253"/>
      <c r="C1340" s="253"/>
      <c r="D1340" s="253"/>
      <c r="E1340" s="253"/>
      <c r="F1340" s="253"/>
      <c r="G1340" s="253"/>
      <c r="H1340" s="253"/>
      <c r="I1340" s="253"/>
      <c r="J1340" s="253"/>
      <c r="K1340" s="253"/>
      <c r="L1340" s="253"/>
      <c r="M1340" s="253"/>
      <c r="N1340" s="253"/>
      <c r="O1340" s="253"/>
      <c r="P1340" s="253"/>
      <c r="Q1340" s="253"/>
    </row>
    <row r="1341" spans="1:17">
      <c r="A1341" s="253"/>
      <c r="B1341" s="253"/>
      <c r="C1341" s="253"/>
      <c r="D1341" s="253"/>
      <c r="E1341" s="253"/>
      <c r="F1341" s="253"/>
      <c r="G1341" s="253"/>
      <c r="H1341" s="253"/>
      <c r="I1341" s="253"/>
      <c r="J1341" s="253"/>
      <c r="K1341" s="253"/>
      <c r="L1341" s="253"/>
      <c r="M1341" s="253"/>
      <c r="N1341" s="253"/>
      <c r="O1341" s="253"/>
      <c r="P1341" s="253"/>
      <c r="Q1341" s="253"/>
    </row>
    <row r="1342" spans="1:17">
      <c r="A1342" s="253"/>
      <c r="B1342" s="253"/>
      <c r="C1342" s="253"/>
      <c r="D1342" s="253"/>
      <c r="E1342" s="253"/>
      <c r="F1342" s="253"/>
      <c r="G1342" s="253"/>
      <c r="H1342" s="253"/>
      <c r="I1342" s="253"/>
      <c r="J1342" s="253"/>
      <c r="K1342" s="253"/>
      <c r="L1342" s="253"/>
      <c r="M1342" s="253"/>
      <c r="N1342" s="253"/>
      <c r="O1342" s="253"/>
      <c r="P1342" s="253"/>
      <c r="Q1342" s="253"/>
    </row>
    <row r="1343" spans="1:17">
      <c r="A1343" s="253"/>
      <c r="B1343" s="253"/>
      <c r="C1343" s="253"/>
      <c r="D1343" s="253"/>
      <c r="E1343" s="253"/>
      <c r="F1343" s="253"/>
      <c r="G1343" s="253"/>
      <c r="H1343" s="253"/>
      <c r="I1343" s="253"/>
      <c r="J1343" s="253"/>
      <c r="K1343" s="253"/>
      <c r="L1343" s="253"/>
      <c r="M1343" s="253"/>
      <c r="N1343" s="253"/>
      <c r="O1343" s="253"/>
      <c r="P1343" s="253"/>
      <c r="Q1343" s="253"/>
    </row>
    <row r="1344" spans="1:17">
      <c r="A1344" s="253"/>
      <c r="B1344" s="253"/>
      <c r="C1344" s="253"/>
      <c r="D1344" s="253"/>
      <c r="E1344" s="253"/>
      <c r="F1344" s="253"/>
      <c r="G1344" s="253"/>
      <c r="H1344" s="253"/>
      <c r="I1344" s="253"/>
      <c r="J1344" s="253"/>
      <c r="K1344" s="253"/>
      <c r="L1344" s="253"/>
      <c r="M1344" s="253"/>
      <c r="N1344" s="253"/>
      <c r="O1344" s="253"/>
      <c r="P1344" s="253"/>
      <c r="Q1344" s="253"/>
    </row>
    <row r="1345" spans="1:17">
      <c r="A1345" s="253"/>
      <c r="B1345" s="253"/>
      <c r="C1345" s="253"/>
      <c r="D1345" s="253"/>
      <c r="E1345" s="253"/>
      <c r="F1345" s="253"/>
      <c r="G1345" s="253"/>
      <c r="H1345" s="253"/>
      <c r="I1345" s="253"/>
      <c r="J1345" s="253"/>
      <c r="K1345" s="253"/>
      <c r="L1345" s="253"/>
      <c r="M1345" s="253"/>
      <c r="N1345" s="253"/>
      <c r="O1345" s="253"/>
      <c r="P1345" s="253"/>
      <c r="Q1345" s="253"/>
    </row>
    <row r="1346" spans="1:17">
      <c r="A1346" s="253"/>
      <c r="B1346" s="253"/>
      <c r="C1346" s="253"/>
      <c r="D1346" s="253"/>
      <c r="E1346" s="253"/>
      <c r="F1346" s="253"/>
      <c r="G1346" s="253"/>
      <c r="H1346" s="253"/>
      <c r="I1346" s="253"/>
      <c r="J1346" s="253"/>
      <c r="K1346" s="253"/>
      <c r="L1346" s="253"/>
      <c r="M1346" s="253"/>
      <c r="N1346" s="253"/>
      <c r="O1346" s="253"/>
      <c r="P1346" s="253"/>
      <c r="Q1346" s="253"/>
    </row>
    <row r="1347" spans="1:17">
      <c r="A1347" s="253"/>
      <c r="B1347" s="253"/>
      <c r="C1347" s="253"/>
      <c r="D1347" s="253"/>
      <c r="E1347" s="253"/>
      <c r="F1347" s="253"/>
      <c r="G1347" s="253"/>
      <c r="H1347" s="253"/>
      <c r="I1347" s="253"/>
      <c r="J1347" s="253"/>
      <c r="K1347" s="253"/>
      <c r="L1347" s="253"/>
      <c r="M1347" s="253"/>
      <c r="N1347" s="253"/>
      <c r="O1347" s="253"/>
      <c r="P1347" s="253"/>
      <c r="Q1347" s="253"/>
    </row>
    <row r="1348" spans="1:17">
      <c r="A1348" s="253"/>
      <c r="B1348" s="253"/>
      <c r="C1348" s="253"/>
      <c r="D1348" s="253"/>
      <c r="E1348" s="253"/>
      <c r="F1348" s="253"/>
      <c r="G1348" s="253"/>
      <c r="H1348" s="253"/>
      <c r="I1348" s="253"/>
      <c r="J1348" s="253"/>
      <c r="K1348" s="253"/>
      <c r="L1348" s="253"/>
      <c r="M1348" s="253"/>
      <c r="N1348" s="253"/>
      <c r="O1348" s="253"/>
      <c r="P1348" s="253"/>
      <c r="Q1348" s="253"/>
    </row>
    <row r="1349" spans="1:17">
      <c r="A1349" s="253"/>
      <c r="B1349" s="253"/>
      <c r="C1349" s="253"/>
      <c r="D1349" s="253"/>
      <c r="E1349" s="253"/>
      <c r="F1349" s="253"/>
      <c r="G1349" s="253"/>
      <c r="H1349" s="253"/>
      <c r="I1349" s="253"/>
      <c r="J1349" s="253"/>
      <c r="K1349" s="253"/>
      <c r="L1349" s="253"/>
      <c r="M1349" s="253"/>
      <c r="N1349" s="253"/>
      <c r="O1349" s="253"/>
      <c r="P1349" s="253"/>
      <c r="Q1349" s="253"/>
    </row>
    <row r="1350" spans="1:17">
      <c r="A1350" s="253"/>
      <c r="B1350" s="253"/>
      <c r="C1350" s="253"/>
      <c r="D1350" s="253"/>
      <c r="E1350" s="253"/>
      <c r="F1350" s="253"/>
      <c r="G1350" s="253"/>
      <c r="H1350" s="253"/>
      <c r="I1350" s="253"/>
      <c r="J1350" s="253"/>
      <c r="K1350" s="253"/>
      <c r="L1350" s="253"/>
      <c r="M1350" s="253"/>
      <c r="N1350" s="253"/>
      <c r="O1350" s="253"/>
      <c r="P1350" s="253"/>
      <c r="Q1350" s="253"/>
    </row>
    <row r="1351" spans="1:17">
      <c r="A1351" s="253"/>
      <c r="B1351" s="253"/>
      <c r="C1351" s="253"/>
      <c r="D1351" s="253"/>
      <c r="E1351" s="253"/>
      <c r="F1351" s="253"/>
      <c r="G1351" s="253"/>
      <c r="H1351" s="253"/>
      <c r="I1351" s="253"/>
      <c r="J1351" s="253"/>
      <c r="K1351" s="253"/>
      <c r="L1351" s="253"/>
      <c r="M1351" s="253"/>
      <c r="N1351" s="253"/>
      <c r="O1351" s="253"/>
      <c r="P1351" s="253"/>
      <c r="Q1351" s="253"/>
    </row>
    <row r="1352" spans="1:17">
      <c r="A1352" s="253"/>
      <c r="B1352" s="253"/>
      <c r="C1352" s="253"/>
      <c r="D1352" s="253"/>
      <c r="E1352" s="253"/>
      <c r="F1352" s="253"/>
      <c r="G1352" s="253"/>
      <c r="H1352" s="253"/>
      <c r="I1352" s="253"/>
      <c r="J1352" s="253"/>
      <c r="K1352" s="253"/>
      <c r="L1352" s="253"/>
      <c r="M1352" s="253"/>
      <c r="N1352" s="253"/>
      <c r="O1352" s="253"/>
      <c r="P1352" s="253"/>
      <c r="Q1352" s="253"/>
    </row>
    <row r="1353" spans="1:17">
      <c r="A1353" s="253"/>
      <c r="B1353" s="253"/>
      <c r="C1353" s="253"/>
      <c r="D1353" s="253"/>
      <c r="E1353" s="253"/>
      <c r="F1353" s="253"/>
      <c r="G1353" s="253"/>
      <c r="H1353" s="253"/>
      <c r="I1353" s="253"/>
      <c r="J1353" s="253"/>
      <c r="K1353" s="253"/>
      <c r="L1353" s="253"/>
      <c r="M1353" s="253"/>
      <c r="N1353" s="253"/>
      <c r="O1353" s="253"/>
      <c r="P1353" s="253"/>
      <c r="Q1353" s="253"/>
    </row>
    <row r="1354" spans="1:17">
      <c r="A1354" s="253"/>
      <c r="B1354" s="253"/>
      <c r="C1354" s="253"/>
      <c r="D1354" s="253"/>
      <c r="E1354" s="253"/>
      <c r="F1354" s="253"/>
      <c r="G1354" s="253"/>
      <c r="H1354" s="253"/>
      <c r="I1354" s="253"/>
      <c r="J1354" s="253"/>
      <c r="K1354" s="253"/>
      <c r="L1354" s="253"/>
      <c r="M1354" s="253"/>
      <c r="N1354" s="253"/>
      <c r="O1354" s="253"/>
      <c r="P1354" s="253"/>
      <c r="Q1354" s="253"/>
    </row>
    <row r="1355" spans="1:17">
      <c r="A1355" s="253"/>
      <c r="B1355" s="253"/>
      <c r="C1355" s="253"/>
      <c r="D1355" s="253"/>
      <c r="E1355" s="253"/>
      <c r="F1355" s="253"/>
      <c r="G1355" s="253"/>
      <c r="H1355" s="253"/>
      <c r="I1355" s="253"/>
      <c r="J1355" s="253"/>
      <c r="K1355" s="253"/>
      <c r="L1355" s="253"/>
      <c r="M1355" s="253"/>
      <c r="N1355" s="253"/>
      <c r="O1355" s="253"/>
      <c r="P1355" s="253"/>
      <c r="Q1355" s="253"/>
    </row>
    <row r="1356" spans="1:17">
      <c r="A1356" s="253"/>
      <c r="B1356" s="253"/>
      <c r="C1356" s="253"/>
      <c r="D1356" s="253"/>
      <c r="E1356" s="253"/>
      <c r="F1356" s="253"/>
      <c r="G1356" s="253"/>
      <c r="H1356" s="253"/>
      <c r="I1356" s="253"/>
      <c r="J1356" s="253"/>
      <c r="K1356" s="253"/>
      <c r="L1356" s="253"/>
      <c r="M1356" s="253"/>
      <c r="N1356" s="253"/>
      <c r="O1356" s="253"/>
      <c r="P1356" s="253"/>
      <c r="Q1356" s="253"/>
    </row>
    <row r="1357" spans="1:17">
      <c r="A1357" s="253"/>
      <c r="B1357" s="253"/>
      <c r="C1357" s="253"/>
      <c r="D1357" s="253"/>
      <c r="E1357" s="253"/>
      <c r="F1357" s="253"/>
      <c r="G1357" s="253"/>
      <c r="H1357" s="253"/>
      <c r="I1357" s="253"/>
      <c r="J1357" s="253"/>
      <c r="K1357" s="253"/>
      <c r="L1357" s="253"/>
      <c r="M1357" s="253"/>
      <c r="N1357" s="253"/>
      <c r="O1357" s="253"/>
      <c r="P1357" s="253"/>
      <c r="Q1357" s="253"/>
    </row>
    <row r="1358" spans="1:17">
      <c r="A1358" s="253"/>
      <c r="B1358" s="253"/>
      <c r="C1358" s="253"/>
      <c r="D1358" s="253"/>
      <c r="E1358" s="253"/>
      <c r="F1358" s="253"/>
      <c r="G1358" s="253"/>
      <c r="H1358" s="253"/>
      <c r="I1358" s="253"/>
      <c r="J1358" s="253"/>
      <c r="K1358" s="253"/>
      <c r="L1358" s="253"/>
      <c r="M1358" s="253"/>
      <c r="N1358" s="253"/>
      <c r="O1358" s="253"/>
      <c r="P1358" s="253"/>
      <c r="Q1358" s="253"/>
    </row>
    <row r="1359" spans="1:17">
      <c r="A1359" s="253"/>
      <c r="B1359" s="253"/>
      <c r="C1359" s="253"/>
      <c r="D1359" s="253"/>
      <c r="E1359" s="253"/>
      <c r="F1359" s="253"/>
      <c r="G1359" s="253"/>
      <c r="H1359" s="253"/>
      <c r="I1359" s="253"/>
      <c r="J1359" s="253"/>
      <c r="K1359" s="253"/>
      <c r="L1359" s="253"/>
      <c r="M1359" s="253"/>
      <c r="N1359" s="253"/>
      <c r="O1359" s="253"/>
      <c r="P1359" s="253"/>
      <c r="Q1359" s="253"/>
    </row>
    <row r="1360" spans="1:17">
      <c r="A1360" s="253"/>
      <c r="B1360" s="253"/>
      <c r="C1360" s="253"/>
      <c r="D1360" s="253"/>
      <c r="E1360" s="253"/>
      <c r="F1360" s="253"/>
      <c r="G1360" s="253"/>
      <c r="H1360" s="253"/>
      <c r="I1360" s="253"/>
      <c r="J1360" s="253"/>
      <c r="K1360" s="253"/>
      <c r="L1360" s="253"/>
      <c r="M1360" s="253"/>
      <c r="N1360" s="253"/>
      <c r="O1360" s="253"/>
      <c r="P1360" s="253"/>
      <c r="Q1360" s="253"/>
    </row>
    <row r="1361" spans="1:17">
      <c r="A1361" s="253"/>
      <c r="B1361" s="253"/>
      <c r="C1361" s="253"/>
      <c r="D1361" s="253"/>
      <c r="E1361" s="253"/>
      <c r="F1361" s="253"/>
      <c r="G1361" s="253"/>
      <c r="H1361" s="253"/>
      <c r="I1361" s="253"/>
      <c r="J1361" s="253"/>
      <c r="K1361" s="253"/>
      <c r="L1361" s="253"/>
      <c r="M1361" s="253"/>
      <c r="N1361" s="253"/>
      <c r="O1361" s="253"/>
      <c r="P1361" s="253"/>
      <c r="Q1361" s="253"/>
    </row>
    <row r="1362" spans="1:17">
      <c r="A1362" s="253"/>
      <c r="B1362" s="253"/>
      <c r="C1362" s="253"/>
      <c r="D1362" s="253"/>
      <c r="E1362" s="253"/>
      <c r="F1362" s="253"/>
      <c r="G1362" s="253"/>
      <c r="H1362" s="253"/>
      <c r="I1362" s="253"/>
      <c r="J1362" s="253"/>
      <c r="K1362" s="253"/>
      <c r="L1362" s="253"/>
      <c r="M1362" s="253"/>
      <c r="N1362" s="253"/>
      <c r="O1362" s="253"/>
      <c r="P1362" s="253"/>
      <c r="Q1362" s="253"/>
    </row>
    <row r="1363" spans="1:17">
      <c r="A1363" s="253"/>
      <c r="B1363" s="253"/>
      <c r="C1363" s="253"/>
      <c r="D1363" s="253"/>
      <c r="E1363" s="253"/>
      <c r="F1363" s="253"/>
      <c r="G1363" s="253"/>
      <c r="H1363" s="253"/>
      <c r="I1363" s="253"/>
      <c r="J1363" s="253"/>
      <c r="K1363" s="253"/>
      <c r="L1363" s="253"/>
      <c r="M1363" s="253"/>
      <c r="N1363" s="253"/>
      <c r="O1363" s="253"/>
      <c r="P1363" s="253"/>
      <c r="Q1363" s="253"/>
    </row>
    <row r="1364" spans="1:17">
      <c r="A1364" s="253"/>
      <c r="B1364" s="253"/>
      <c r="C1364" s="253"/>
      <c r="D1364" s="253"/>
      <c r="E1364" s="253"/>
      <c r="F1364" s="253"/>
      <c r="G1364" s="253"/>
      <c r="H1364" s="253"/>
      <c r="I1364" s="253"/>
      <c r="J1364" s="253"/>
      <c r="K1364" s="253"/>
      <c r="L1364" s="253"/>
      <c r="M1364" s="253"/>
      <c r="N1364" s="253"/>
      <c r="O1364" s="253"/>
      <c r="P1364" s="253"/>
      <c r="Q1364" s="253"/>
    </row>
    <row r="1365" spans="1:17">
      <c r="A1365" s="253"/>
      <c r="B1365" s="253"/>
      <c r="C1365" s="253"/>
      <c r="D1365" s="253"/>
      <c r="E1365" s="253"/>
      <c r="F1365" s="253"/>
      <c r="G1365" s="253"/>
      <c r="H1365" s="253"/>
      <c r="I1365" s="253"/>
      <c r="J1365" s="253"/>
      <c r="K1365" s="253"/>
      <c r="L1365" s="253"/>
      <c r="M1365" s="253"/>
      <c r="N1365" s="253"/>
      <c r="O1365" s="253"/>
      <c r="P1365" s="253"/>
      <c r="Q1365" s="253"/>
    </row>
    <row r="1366" spans="1:17">
      <c r="A1366" s="253"/>
      <c r="B1366" s="253"/>
      <c r="C1366" s="253"/>
      <c r="D1366" s="253"/>
      <c r="E1366" s="253"/>
      <c r="F1366" s="253"/>
      <c r="G1366" s="253"/>
      <c r="H1366" s="253"/>
      <c r="I1366" s="253"/>
      <c r="J1366" s="253"/>
      <c r="K1366" s="253"/>
      <c r="L1366" s="253"/>
      <c r="M1366" s="253"/>
      <c r="N1366" s="253"/>
      <c r="O1366" s="253"/>
      <c r="P1366" s="253"/>
      <c r="Q1366" s="253"/>
    </row>
    <row r="1367" spans="1:17">
      <c r="A1367" s="253"/>
      <c r="B1367" s="253"/>
      <c r="C1367" s="253"/>
      <c r="D1367" s="253"/>
      <c r="E1367" s="253"/>
      <c r="F1367" s="253"/>
      <c r="G1367" s="253"/>
      <c r="H1367" s="253"/>
      <c r="I1367" s="253"/>
      <c r="J1367" s="253"/>
      <c r="K1367" s="253"/>
      <c r="L1367" s="253"/>
      <c r="M1367" s="253"/>
      <c r="N1367" s="253"/>
      <c r="O1367" s="253"/>
      <c r="P1367" s="253"/>
      <c r="Q1367" s="253"/>
    </row>
    <row r="1368" spans="1:17">
      <c r="A1368" s="253"/>
      <c r="B1368" s="253"/>
      <c r="C1368" s="253"/>
      <c r="D1368" s="253"/>
      <c r="E1368" s="253"/>
      <c r="F1368" s="253"/>
      <c r="G1368" s="253"/>
      <c r="H1368" s="253"/>
      <c r="I1368" s="253"/>
      <c r="J1368" s="253"/>
      <c r="K1368" s="253"/>
      <c r="L1368" s="253"/>
      <c r="M1368" s="253"/>
      <c r="N1368" s="253"/>
      <c r="O1368" s="253"/>
      <c r="P1368" s="253"/>
      <c r="Q1368" s="253"/>
    </row>
    <row r="1369" spans="1:17">
      <c r="A1369" s="253"/>
      <c r="B1369" s="253"/>
      <c r="C1369" s="253"/>
      <c r="D1369" s="253"/>
      <c r="E1369" s="253"/>
      <c r="F1369" s="253"/>
      <c r="G1369" s="253"/>
      <c r="H1369" s="253"/>
      <c r="I1369" s="253"/>
      <c r="J1369" s="253"/>
      <c r="K1369" s="253"/>
      <c r="L1369" s="253"/>
      <c r="M1369" s="253"/>
      <c r="N1369" s="253"/>
      <c r="O1369" s="253"/>
      <c r="P1369" s="253"/>
      <c r="Q1369" s="253"/>
    </row>
    <row r="1370" spans="1:17">
      <c r="A1370" s="253"/>
      <c r="B1370" s="253"/>
      <c r="C1370" s="253"/>
      <c r="D1370" s="253"/>
      <c r="E1370" s="253"/>
      <c r="F1370" s="253"/>
      <c r="G1370" s="253"/>
      <c r="H1370" s="253"/>
      <c r="I1370" s="253"/>
      <c r="J1370" s="253"/>
      <c r="K1370" s="253"/>
      <c r="L1370" s="253"/>
      <c r="M1370" s="253"/>
      <c r="N1370" s="253"/>
      <c r="O1370" s="253"/>
      <c r="P1370" s="253"/>
      <c r="Q1370" s="253"/>
    </row>
    <row r="1371" spans="1:17">
      <c r="A1371" s="253"/>
      <c r="B1371" s="253"/>
      <c r="C1371" s="253"/>
      <c r="D1371" s="253"/>
      <c r="E1371" s="253"/>
      <c r="F1371" s="253"/>
      <c r="G1371" s="253"/>
      <c r="H1371" s="253"/>
      <c r="I1371" s="253"/>
      <c r="J1371" s="253"/>
      <c r="K1371" s="253"/>
      <c r="L1371" s="253"/>
      <c r="M1371" s="253"/>
      <c r="N1371" s="253"/>
      <c r="O1371" s="253"/>
      <c r="P1371" s="253"/>
      <c r="Q1371" s="253"/>
    </row>
    <row r="1372" spans="1:17">
      <c r="A1372" s="253"/>
      <c r="B1372" s="253"/>
      <c r="C1372" s="253"/>
      <c r="D1372" s="253"/>
      <c r="E1372" s="253"/>
      <c r="F1372" s="253"/>
      <c r="G1372" s="253"/>
      <c r="H1372" s="253"/>
      <c r="I1372" s="253"/>
      <c r="J1372" s="253"/>
      <c r="K1372" s="253"/>
      <c r="L1372" s="253"/>
      <c r="M1372" s="253"/>
      <c r="N1372" s="253"/>
      <c r="O1372" s="253"/>
      <c r="P1372" s="253"/>
      <c r="Q1372" s="253"/>
    </row>
    <row r="1373" spans="1:17">
      <c r="A1373" s="253"/>
      <c r="B1373" s="253"/>
      <c r="C1373" s="253"/>
      <c r="D1373" s="253"/>
      <c r="E1373" s="253"/>
      <c r="F1373" s="253"/>
      <c r="G1373" s="253"/>
      <c r="H1373" s="253"/>
      <c r="I1373" s="253"/>
      <c r="J1373" s="253"/>
      <c r="K1373" s="253"/>
      <c r="L1373" s="253"/>
      <c r="M1373" s="253"/>
      <c r="N1373" s="253"/>
      <c r="O1373" s="253"/>
      <c r="P1373" s="253"/>
      <c r="Q1373" s="253"/>
    </row>
    <row r="1374" spans="1:17">
      <c r="A1374" s="253"/>
      <c r="B1374" s="253"/>
      <c r="C1374" s="253"/>
      <c r="D1374" s="253"/>
      <c r="E1374" s="253"/>
      <c r="F1374" s="253"/>
      <c r="G1374" s="253"/>
      <c r="H1374" s="253"/>
      <c r="I1374" s="253"/>
      <c r="J1374" s="253"/>
      <c r="K1374" s="253"/>
      <c r="L1374" s="253"/>
      <c r="M1374" s="253"/>
      <c r="N1374" s="253"/>
      <c r="O1374" s="253"/>
      <c r="P1374" s="253"/>
      <c r="Q1374" s="253"/>
    </row>
    <row r="1375" spans="1:17">
      <c r="A1375" s="253"/>
      <c r="B1375" s="253"/>
      <c r="C1375" s="253"/>
      <c r="D1375" s="253"/>
      <c r="E1375" s="253"/>
      <c r="F1375" s="253"/>
      <c r="G1375" s="253"/>
      <c r="H1375" s="253"/>
      <c r="I1375" s="253"/>
      <c r="J1375" s="253"/>
      <c r="K1375" s="253"/>
      <c r="L1375" s="253"/>
      <c r="M1375" s="253"/>
      <c r="N1375" s="253"/>
      <c r="O1375" s="253"/>
      <c r="P1375" s="253"/>
      <c r="Q1375" s="253"/>
    </row>
    <row r="1376" spans="1:17">
      <c r="A1376" s="253"/>
      <c r="B1376" s="253"/>
      <c r="C1376" s="253"/>
      <c r="D1376" s="253"/>
      <c r="E1376" s="253"/>
      <c r="F1376" s="253"/>
      <c r="G1376" s="253"/>
      <c r="H1376" s="253"/>
      <c r="I1376" s="253"/>
      <c r="J1376" s="253"/>
      <c r="K1376" s="253"/>
      <c r="L1376" s="253"/>
      <c r="M1376" s="253"/>
      <c r="N1376" s="253"/>
      <c r="O1376" s="253"/>
      <c r="P1376" s="253"/>
      <c r="Q1376" s="253"/>
    </row>
    <row r="1377" spans="1:17">
      <c r="A1377" s="253"/>
      <c r="B1377" s="253"/>
      <c r="C1377" s="253"/>
      <c r="D1377" s="253"/>
      <c r="E1377" s="253"/>
      <c r="F1377" s="253"/>
      <c r="G1377" s="253"/>
      <c r="H1377" s="253"/>
      <c r="I1377" s="253"/>
      <c r="J1377" s="253"/>
      <c r="K1377" s="253"/>
      <c r="L1377" s="253"/>
      <c r="M1377" s="253"/>
      <c r="N1377" s="253"/>
      <c r="O1377" s="253"/>
      <c r="P1377" s="253"/>
      <c r="Q1377" s="253"/>
    </row>
    <row r="1378" spans="1:17">
      <c r="A1378" s="253"/>
      <c r="B1378" s="253"/>
      <c r="C1378" s="253"/>
      <c r="D1378" s="253"/>
      <c r="E1378" s="253"/>
      <c r="F1378" s="253"/>
      <c r="G1378" s="253"/>
      <c r="H1378" s="253"/>
      <c r="I1378" s="253"/>
      <c r="J1378" s="253"/>
      <c r="K1378" s="253"/>
      <c r="L1378" s="253"/>
      <c r="M1378" s="253"/>
      <c r="N1378" s="253"/>
      <c r="O1378" s="253"/>
      <c r="P1378" s="253"/>
      <c r="Q1378" s="253"/>
    </row>
    <row r="1379" spans="1:17">
      <c r="A1379" s="253"/>
      <c r="B1379" s="253"/>
      <c r="C1379" s="253"/>
      <c r="D1379" s="253"/>
      <c r="E1379" s="253"/>
      <c r="F1379" s="253"/>
      <c r="G1379" s="253"/>
      <c r="H1379" s="253"/>
      <c r="I1379" s="253"/>
      <c r="J1379" s="253"/>
      <c r="K1379" s="253"/>
      <c r="L1379" s="253"/>
      <c r="M1379" s="253"/>
      <c r="N1379" s="253"/>
      <c r="O1379" s="253"/>
      <c r="P1379" s="253"/>
      <c r="Q1379" s="253"/>
    </row>
    <row r="1380" spans="1:17">
      <c r="A1380" s="253"/>
      <c r="B1380" s="253"/>
      <c r="C1380" s="253"/>
      <c r="D1380" s="253"/>
      <c r="E1380" s="253"/>
      <c r="F1380" s="253"/>
      <c r="G1380" s="253"/>
      <c r="H1380" s="253"/>
      <c r="I1380" s="253"/>
      <c r="J1380" s="253"/>
      <c r="K1380" s="253"/>
      <c r="L1380" s="253"/>
      <c r="M1380" s="253"/>
      <c r="N1380" s="253"/>
      <c r="O1380" s="253"/>
      <c r="P1380" s="253"/>
      <c r="Q1380" s="253"/>
    </row>
    <row r="1381" spans="1:17">
      <c r="A1381" s="253"/>
      <c r="B1381" s="253"/>
      <c r="C1381" s="253"/>
      <c r="D1381" s="253"/>
      <c r="E1381" s="253"/>
      <c r="F1381" s="253"/>
      <c r="G1381" s="253"/>
      <c r="H1381" s="253"/>
      <c r="I1381" s="253"/>
      <c r="J1381" s="253"/>
      <c r="K1381" s="253"/>
      <c r="L1381" s="253"/>
      <c r="M1381" s="253"/>
      <c r="N1381" s="253"/>
      <c r="O1381" s="253"/>
      <c r="P1381" s="253"/>
      <c r="Q1381" s="253"/>
    </row>
    <row r="1382" spans="1:17">
      <c r="A1382" s="253"/>
      <c r="B1382" s="253"/>
      <c r="C1382" s="253"/>
      <c r="D1382" s="253"/>
      <c r="E1382" s="253"/>
      <c r="F1382" s="253"/>
      <c r="G1382" s="253"/>
      <c r="H1382" s="253"/>
      <c r="I1382" s="253"/>
      <c r="J1382" s="253"/>
      <c r="K1382" s="253"/>
      <c r="L1382" s="253"/>
      <c r="M1382" s="253"/>
      <c r="N1382" s="253"/>
      <c r="O1382" s="253"/>
      <c r="P1382" s="253"/>
      <c r="Q1382" s="253"/>
    </row>
    <row r="1383" spans="1:17">
      <c r="A1383" s="253"/>
      <c r="B1383" s="253"/>
      <c r="C1383" s="253"/>
      <c r="D1383" s="253"/>
      <c r="E1383" s="253"/>
      <c r="F1383" s="253"/>
      <c r="G1383" s="253"/>
      <c r="H1383" s="253"/>
      <c r="I1383" s="253"/>
      <c r="J1383" s="253"/>
      <c r="K1383" s="253"/>
      <c r="L1383" s="253"/>
      <c r="M1383" s="253"/>
      <c r="N1383" s="253"/>
      <c r="O1383" s="253"/>
      <c r="P1383" s="253"/>
      <c r="Q1383" s="253"/>
    </row>
    <row r="1384" spans="1:17">
      <c r="A1384" s="253"/>
      <c r="B1384" s="253"/>
      <c r="C1384" s="253"/>
      <c r="D1384" s="253"/>
      <c r="E1384" s="253"/>
      <c r="F1384" s="253"/>
      <c r="G1384" s="253"/>
      <c r="H1384" s="253"/>
      <c r="I1384" s="253"/>
      <c r="J1384" s="253"/>
      <c r="K1384" s="253"/>
      <c r="L1384" s="253"/>
      <c r="M1384" s="253"/>
      <c r="N1384" s="253"/>
      <c r="O1384" s="253"/>
      <c r="P1384" s="253"/>
      <c r="Q1384" s="253"/>
    </row>
    <row r="1385" spans="1:17">
      <c r="A1385" s="253"/>
      <c r="B1385" s="253"/>
      <c r="C1385" s="253"/>
      <c r="D1385" s="253"/>
      <c r="E1385" s="253"/>
      <c r="F1385" s="253"/>
      <c r="G1385" s="253"/>
      <c r="H1385" s="253"/>
      <c r="I1385" s="253"/>
      <c r="J1385" s="253"/>
      <c r="K1385" s="253"/>
      <c r="L1385" s="253"/>
      <c r="M1385" s="253"/>
      <c r="N1385" s="253"/>
      <c r="O1385" s="253"/>
      <c r="P1385" s="253"/>
      <c r="Q1385" s="253"/>
    </row>
    <row r="1386" spans="1:17">
      <c r="A1386" s="253"/>
      <c r="B1386" s="253"/>
      <c r="C1386" s="253"/>
      <c r="D1386" s="253"/>
      <c r="E1386" s="253"/>
      <c r="F1386" s="253"/>
      <c r="G1386" s="253"/>
      <c r="H1386" s="253"/>
      <c r="I1386" s="253"/>
      <c r="J1386" s="253"/>
      <c r="K1386" s="253"/>
      <c r="L1386" s="253"/>
      <c r="M1386" s="253"/>
      <c r="N1386" s="253"/>
      <c r="O1386" s="253"/>
      <c r="P1386" s="253"/>
      <c r="Q1386" s="253"/>
    </row>
    <row r="1387" spans="1:17">
      <c r="A1387" s="253"/>
      <c r="B1387" s="253"/>
      <c r="C1387" s="253"/>
      <c r="D1387" s="253"/>
      <c r="E1387" s="253"/>
      <c r="F1387" s="253"/>
      <c r="G1387" s="253"/>
      <c r="H1387" s="253"/>
      <c r="I1387" s="253"/>
      <c r="J1387" s="253"/>
      <c r="K1387" s="253"/>
      <c r="L1387" s="253"/>
      <c r="M1387" s="253"/>
      <c r="N1387" s="253"/>
      <c r="O1387" s="253"/>
      <c r="P1387" s="253"/>
      <c r="Q1387" s="253"/>
    </row>
    <row r="1388" spans="1:17">
      <c r="A1388" s="253"/>
      <c r="B1388" s="253"/>
      <c r="C1388" s="253"/>
      <c r="D1388" s="253"/>
      <c r="E1388" s="253"/>
      <c r="F1388" s="253"/>
      <c r="G1388" s="253"/>
      <c r="H1388" s="253"/>
      <c r="I1388" s="253"/>
      <c r="J1388" s="253"/>
      <c r="K1388" s="253"/>
      <c r="L1388" s="253"/>
      <c r="M1388" s="253"/>
      <c r="N1388" s="253"/>
      <c r="O1388" s="253"/>
      <c r="P1388" s="253"/>
      <c r="Q1388" s="253"/>
    </row>
    <row r="1389" spans="1:17">
      <c r="A1389" s="253"/>
      <c r="B1389" s="253"/>
      <c r="C1389" s="253"/>
      <c r="D1389" s="253"/>
      <c r="E1389" s="253"/>
      <c r="F1389" s="253"/>
      <c r="G1389" s="253"/>
      <c r="H1389" s="253"/>
      <c r="I1389" s="253"/>
      <c r="J1389" s="253"/>
      <c r="K1389" s="253"/>
      <c r="L1389" s="253"/>
      <c r="M1389" s="253"/>
      <c r="N1389" s="253"/>
      <c r="O1389" s="253"/>
      <c r="P1389" s="253"/>
      <c r="Q1389" s="253"/>
    </row>
    <row r="1390" spans="1:17">
      <c r="A1390" s="253"/>
      <c r="B1390" s="253"/>
      <c r="C1390" s="253"/>
      <c r="D1390" s="253"/>
      <c r="E1390" s="253"/>
      <c r="F1390" s="253"/>
      <c r="G1390" s="253"/>
      <c r="H1390" s="253"/>
      <c r="I1390" s="253"/>
      <c r="J1390" s="253"/>
      <c r="K1390" s="253"/>
      <c r="L1390" s="253"/>
      <c r="M1390" s="253"/>
      <c r="N1390" s="253"/>
      <c r="O1390" s="253"/>
      <c r="P1390" s="253"/>
      <c r="Q1390" s="253"/>
    </row>
    <row r="1391" spans="1:17">
      <c r="A1391" s="253"/>
      <c r="B1391" s="253"/>
      <c r="C1391" s="253"/>
      <c r="D1391" s="253"/>
      <c r="E1391" s="253"/>
      <c r="F1391" s="253"/>
      <c r="G1391" s="253"/>
      <c r="H1391" s="253"/>
      <c r="I1391" s="253"/>
      <c r="J1391" s="253"/>
      <c r="K1391" s="253"/>
      <c r="L1391" s="253"/>
      <c r="M1391" s="253"/>
      <c r="N1391" s="253"/>
      <c r="O1391" s="253"/>
      <c r="P1391" s="253"/>
      <c r="Q1391" s="253"/>
    </row>
    <row r="1392" spans="1:17">
      <c r="A1392" s="253"/>
      <c r="B1392" s="253"/>
      <c r="C1392" s="253"/>
      <c r="D1392" s="253"/>
      <c r="E1392" s="253"/>
      <c r="F1392" s="253"/>
      <c r="G1392" s="253"/>
      <c r="H1392" s="253"/>
      <c r="I1392" s="253"/>
      <c r="J1392" s="253"/>
      <c r="K1392" s="253"/>
      <c r="L1392" s="253"/>
      <c r="M1392" s="253"/>
      <c r="N1392" s="253"/>
      <c r="O1392" s="253"/>
      <c r="P1392" s="253"/>
      <c r="Q1392" s="253"/>
    </row>
    <row r="1393" spans="1:17">
      <c r="A1393" s="253"/>
      <c r="B1393" s="253"/>
      <c r="C1393" s="253"/>
      <c r="D1393" s="253"/>
      <c r="E1393" s="253"/>
      <c r="F1393" s="253"/>
      <c r="G1393" s="253"/>
      <c r="H1393" s="253"/>
      <c r="I1393" s="253"/>
      <c r="J1393" s="253"/>
      <c r="K1393" s="253"/>
      <c r="L1393" s="253"/>
      <c r="M1393" s="253"/>
      <c r="N1393" s="253"/>
      <c r="O1393" s="253"/>
      <c r="P1393" s="253"/>
      <c r="Q1393" s="253"/>
    </row>
    <row r="1394" spans="1:17">
      <c r="A1394" s="253"/>
      <c r="B1394" s="253"/>
      <c r="C1394" s="253"/>
      <c r="D1394" s="253"/>
      <c r="E1394" s="253"/>
      <c r="F1394" s="253"/>
      <c r="G1394" s="253"/>
      <c r="H1394" s="253"/>
      <c r="I1394" s="253"/>
      <c r="J1394" s="253"/>
      <c r="K1394" s="253"/>
      <c r="L1394" s="253"/>
      <c r="M1394" s="253"/>
      <c r="N1394" s="253"/>
      <c r="O1394" s="253"/>
      <c r="P1394" s="253"/>
      <c r="Q1394" s="253"/>
    </row>
    <row r="1395" spans="1:17">
      <c r="A1395" s="253"/>
      <c r="B1395" s="253"/>
      <c r="C1395" s="253"/>
      <c r="D1395" s="253"/>
      <c r="E1395" s="253"/>
      <c r="F1395" s="253"/>
      <c r="G1395" s="253"/>
      <c r="H1395" s="253"/>
      <c r="I1395" s="253"/>
      <c r="J1395" s="253"/>
      <c r="K1395" s="253"/>
      <c r="L1395" s="253"/>
      <c r="M1395" s="253"/>
      <c r="N1395" s="253"/>
      <c r="O1395" s="253"/>
      <c r="P1395" s="253"/>
      <c r="Q1395" s="253"/>
    </row>
    <row r="1396" spans="1:17">
      <c r="A1396" s="253"/>
      <c r="B1396" s="253"/>
      <c r="C1396" s="253"/>
      <c r="D1396" s="253"/>
      <c r="E1396" s="253"/>
      <c r="F1396" s="253"/>
      <c r="G1396" s="253"/>
      <c r="H1396" s="253"/>
      <c r="I1396" s="253"/>
      <c r="J1396" s="253"/>
      <c r="K1396" s="253"/>
      <c r="L1396" s="253"/>
      <c r="M1396" s="253"/>
      <c r="N1396" s="253"/>
      <c r="O1396" s="253"/>
      <c r="P1396" s="253"/>
      <c r="Q1396" s="253"/>
    </row>
    <row r="1397" spans="1:17">
      <c r="A1397" s="253"/>
      <c r="B1397" s="253"/>
      <c r="C1397" s="253"/>
      <c r="D1397" s="253"/>
      <c r="E1397" s="253"/>
      <c r="F1397" s="253"/>
      <c r="G1397" s="253"/>
      <c r="H1397" s="253"/>
      <c r="I1397" s="253"/>
      <c r="J1397" s="253"/>
      <c r="K1397" s="253"/>
      <c r="L1397" s="253"/>
      <c r="M1397" s="253"/>
      <c r="N1397" s="253"/>
      <c r="O1397" s="253"/>
      <c r="P1397" s="253"/>
      <c r="Q1397" s="253"/>
    </row>
    <row r="1398" spans="1:17">
      <c r="A1398" s="253"/>
      <c r="B1398" s="253"/>
      <c r="C1398" s="253"/>
      <c r="D1398" s="253"/>
      <c r="E1398" s="253"/>
      <c r="F1398" s="253"/>
      <c r="G1398" s="253"/>
      <c r="H1398" s="253"/>
      <c r="I1398" s="253"/>
      <c r="J1398" s="253"/>
      <c r="K1398" s="253"/>
      <c r="L1398" s="253"/>
      <c r="M1398" s="253"/>
      <c r="N1398" s="253"/>
      <c r="O1398" s="253"/>
      <c r="P1398" s="253"/>
      <c r="Q1398" s="253"/>
    </row>
    <row r="1399" spans="1:17">
      <c r="A1399" s="253"/>
      <c r="B1399" s="253"/>
      <c r="C1399" s="253"/>
      <c r="D1399" s="253"/>
      <c r="E1399" s="253"/>
      <c r="F1399" s="253"/>
      <c r="G1399" s="253"/>
      <c r="H1399" s="253"/>
      <c r="I1399" s="253"/>
      <c r="J1399" s="253"/>
      <c r="K1399" s="253"/>
      <c r="L1399" s="253"/>
      <c r="M1399" s="253"/>
      <c r="N1399" s="253"/>
      <c r="O1399" s="253"/>
      <c r="P1399" s="253"/>
      <c r="Q1399" s="253"/>
    </row>
    <row r="1400" spans="1:17">
      <c r="A1400" s="253"/>
      <c r="B1400" s="253"/>
      <c r="C1400" s="253"/>
      <c r="D1400" s="253"/>
      <c r="E1400" s="253"/>
      <c r="F1400" s="253"/>
      <c r="G1400" s="253"/>
      <c r="H1400" s="253"/>
      <c r="I1400" s="253"/>
      <c r="J1400" s="253"/>
      <c r="K1400" s="253"/>
      <c r="L1400" s="253"/>
      <c r="M1400" s="253"/>
      <c r="N1400" s="253"/>
      <c r="O1400" s="253"/>
      <c r="P1400" s="253"/>
      <c r="Q1400" s="253"/>
    </row>
    <row r="1401" spans="1:17">
      <c r="A1401" s="253"/>
      <c r="B1401" s="253"/>
      <c r="C1401" s="253"/>
      <c r="D1401" s="253"/>
      <c r="E1401" s="253"/>
      <c r="F1401" s="253"/>
      <c r="G1401" s="253"/>
      <c r="H1401" s="253"/>
      <c r="I1401" s="253"/>
      <c r="J1401" s="253"/>
      <c r="K1401" s="253"/>
      <c r="L1401" s="253"/>
      <c r="M1401" s="253"/>
      <c r="N1401" s="253"/>
      <c r="O1401" s="253"/>
      <c r="P1401" s="253"/>
      <c r="Q1401" s="253"/>
    </row>
    <row r="1402" spans="1:17">
      <c r="A1402" s="253"/>
      <c r="B1402" s="253"/>
      <c r="C1402" s="253"/>
      <c r="D1402" s="253"/>
      <c r="E1402" s="253"/>
      <c r="F1402" s="253"/>
      <c r="G1402" s="253"/>
      <c r="H1402" s="253"/>
      <c r="I1402" s="253"/>
      <c r="J1402" s="253"/>
      <c r="K1402" s="253"/>
      <c r="L1402" s="253"/>
      <c r="M1402" s="253"/>
      <c r="N1402" s="253"/>
      <c r="O1402" s="253"/>
      <c r="P1402" s="253"/>
      <c r="Q1402" s="253"/>
    </row>
    <row r="1403" spans="1:17">
      <c r="A1403" s="253"/>
      <c r="B1403" s="253"/>
      <c r="C1403" s="253"/>
      <c r="D1403" s="253"/>
      <c r="E1403" s="253"/>
      <c r="F1403" s="253"/>
      <c r="G1403" s="253"/>
      <c r="H1403" s="253"/>
      <c r="I1403" s="253"/>
      <c r="J1403" s="253"/>
      <c r="K1403" s="253"/>
      <c r="L1403" s="253"/>
      <c r="M1403" s="253"/>
      <c r="N1403" s="253"/>
      <c r="O1403" s="253"/>
      <c r="P1403" s="253"/>
      <c r="Q1403" s="253"/>
    </row>
    <row r="1404" spans="1:17">
      <c r="A1404" s="253"/>
      <c r="B1404" s="253"/>
      <c r="C1404" s="253"/>
      <c r="D1404" s="253"/>
      <c r="E1404" s="253"/>
      <c r="F1404" s="253"/>
      <c r="G1404" s="253"/>
      <c r="H1404" s="253"/>
      <c r="I1404" s="253"/>
      <c r="J1404" s="253"/>
      <c r="K1404" s="253"/>
      <c r="L1404" s="253"/>
      <c r="M1404" s="253"/>
      <c r="N1404" s="253"/>
      <c r="O1404" s="253"/>
      <c r="P1404" s="253"/>
      <c r="Q1404" s="253"/>
    </row>
    <row r="1405" spans="1:17">
      <c r="A1405" s="253"/>
      <c r="B1405" s="253"/>
      <c r="C1405" s="253"/>
      <c r="D1405" s="253"/>
      <c r="E1405" s="253"/>
      <c r="F1405" s="253"/>
      <c r="G1405" s="253"/>
      <c r="H1405" s="253"/>
      <c r="I1405" s="253"/>
      <c r="J1405" s="253"/>
      <c r="K1405" s="253"/>
      <c r="L1405" s="253"/>
      <c r="M1405" s="253"/>
      <c r="N1405" s="253"/>
      <c r="O1405" s="253"/>
      <c r="P1405" s="253"/>
      <c r="Q1405" s="253"/>
    </row>
    <row r="1406" spans="1:17">
      <c r="A1406" s="253"/>
      <c r="B1406" s="253"/>
      <c r="C1406" s="253"/>
      <c r="D1406" s="253"/>
      <c r="E1406" s="253"/>
      <c r="F1406" s="253"/>
      <c r="G1406" s="253"/>
      <c r="H1406" s="253"/>
      <c r="I1406" s="253"/>
      <c r="J1406" s="253"/>
      <c r="K1406" s="253"/>
      <c r="L1406" s="253"/>
      <c r="M1406" s="253"/>
      <c r="N1406" s="253"/>
      <c r="O1406" s="253"/>
      <c r="P1406" s="253"/>
      <c r="Q1406" s="253"/>
    </row>
    <row r="1407" spans="1:17">
      <c r="A1407" s="253"/>
      <c r="B1407" s="253"/>
      <c r="C1407" s="253"/>
      <c r="D1407" s="253"/>
      <c r="E1407" s="253"/>
      <c r="F1407" s="253"/>
      <c r="G1407" s="253"/>
      <c r="H1407" s="253"/>
      <c r="I1407" s="253"/>
      <c r="J1407" s="253"/>
      <c r="K1407" s="253"/>
      <c r="L1407" s="253"/>
      <c r="M1407" s="253"/>
      <c r="N1407" s="253"/>
      <c r="O1407" s="253"/>
      <c r="P1407" s="253"/>
      <c r="Q1407" s="253"/>
    </row>
    <row r="1408" spans="1:17">
      <c r="A1408" s="253"/>
      <c r="B1408" s="253"/>
      <c r="C1408" s="253"/>
      <c r="D1408" s="253"/>
      <c r="E1408" s="253"/>
      <c r="F1408" s="253"/>
      <c r="G1408" s="253"/>
      <c r="H1408" s="253"/>
      <c r="I1408" s="253"/>
      <c r="J1408" s="253"/>
      <c r="K1408" s="253"/>
      <c r="L1408" s="253"/>
      <c r="M1408" s="253"/>
      <c r="N1408" s="253"/>
      <c r="O1408" s="253"/>
      <c r="P1408" s="253"/>
      <c r="Q1408" s="253"/>
    </row>
    <row r="1409" spans="1:17">
      <c r="A1409" s="253"/>
      <c r="B1409" s="253"/>
      <c r="C1409" s="253"/>
      <c r="D1409" s="253"/>
      <c r="E1409" s="253"/>
      <c r="F1409" s="253"/>
      <c r="G1409" s="253"/>
      <c r="H1409" s="253"/>
      <c r="I1409" s="253"/>
      <c r="J1409" s="253"/>
      <c r="K1409" s="253"/>
      <c r="L1409" s="253"/>
      <c r="M1409" s="253"/>
      <c r="N1409" s="253"/>
      <c r="O1409" s="253"/>
      <c r="P1409" s="253"/>
      <c r="Q1409" s="253"/>
    </row>
    <row r="1410" spans="1:17">
      <c r="A1410" s="253"/>
      <c r="B1410" s="253"/>
      <c r="C1410" s="253"/>
      <c r="D1410" s="253"/>
      <c r="E1410" s="253"/>
      <c r="F1410" s="253"/>
      <c r="G1410" s="253"/>
      <c r="H1410" s="253"/>
      <c r="I1410" s="253"/>
      <c r="J1410" s="253"/>
      <c r="K1410" s="253"/>
      <c r="L1410" s="253"/>
      <c r="M1410" s="253"/>
      <c r="N1410" s="253"/>
      <c r="O1410" s="253"/>
      <c r="P1410" s="253"/>
      <c r="Q1410" s="253"/>
    </row>
    <row r="1411" spans="1:17">
      <c r="A1411" s="253"/>
      <c r="B1411" s="253"/>
      <c r="C1411" s="253"/>
      <c r="D1411" s="253"/>
      <c r="E1411" s="253"/>
      <c r="F1411" s="253"/>
      <c r="G1411" s="253"/>
      <c r="H1411" s="253"/>
      <c r="I1411" s="253"/>
      <c r="J1411" s="253"/>
      <c r="K1411" s="253"/>
      <c r="L1411" s="253"/>
      <c r="M1411" s="253"/>
      <c r="N1411" s="253"/>
      <c r="O1411" s="253"/>
      <c r="P1411" s="253"/>
      <c r="Q1411" s="253"/>
    </row>
    <row r="1412" spans="1:17">
      <c r="A1412" s="253"/>
      <c r="B1412" s="253"/>
      <c r="C1412" s="253"/>
      <c r="D1412" s="253"/>
      <c r="E1412" s="253"/>
      <c r="F1412" s="253"/>
      <c r="G1412" s="253"/>
      <c r="H1412" s="253"/>
      <c r="I1412" s="253"/>
      <c r="J1412" s="253"/>
      <c r="K1412" s="253"/>
      <c r="L1412" s="253"/>
      <c r="M1412" s="253"/>
      <c r="N1412" s="253"/>
      <c r="O1412" s="253"/>
      <c r="P1412" s="253"/>
      <c r="Q1412" s="253"/>
    </row>
    <row r="1413" spans="1:17">
      <c r="A1413" s="253"/>
      <c r="B1413" s="253"/>
      <c r="C1413" s="253"/>
      <c r="D1413" s="253"/>
      <c r="E1413" s="253"/>
      <c r="F1413" s="253"/>
      <c r="G1413" s="253"/>
      <c r="H1413" s="253"/>
      <c r="I1413" s="253"/>
      <c r="J1413" s="253"/>
      <c r="K1413" s="253"/>
      <c r="L1413" s="253"/>
      <c r="M1413" s="253"/>
      <c r="N1413" s="253"/>
      <c r="O1413" s="253"/>
      <c r="P1413" s="253"/>
      <c r="Q1413" s="253"/>
    </row>
    <row r="1414" spans="1:17">
      <c r="A1414" s="253"/>
      <c r="B1414" s="253"/>
      <c r="C1414" s="253"/>
      <c r="D1414" s="253"/>
      <c r="E1414" s="253"/>
      <c r="F1414" s="253"/>
      <c r="G1414" s="253"/>
      <c r="H1414" s="253"/>
      <c r="I1414" s="253"/>
      <c r="J1414" s="253"/>
      <c r="K1414" s="253"/>
      <c r="L1414" s="253"/>
      <c r="M1414" s="253"/>
      <c r="N1414" s="253"/>
      <c r="O1414" s="253"/>
      <c r="P1414" s="253"/>
      <c r="Q1414" s="253"/>
    </row>
    <row r="1415" spans="1:17">
      <c r="A1415" s="253"/>
      <c r="B1415" s="253"/>
      <c r="C1415" s="253"/>
      <c r="D1415" s="253"/>
      <c r="E1415" s="253"/>
      <c r="F1415" s="253"/>
      <c r="G1415" s="253"/>
      <c r="H1415" s="253"/>
      <c r="I1415" s="253"/>
      <c r="J1415" s="253"/>
      <c r="K1415" s="253"/>
      <c r="L1415" s="253"/>
      <c r="M1415" s="253"/>
      <c r="N1415" s="253"/>
      <c r="O1415" s="253"/>
      <c r="P1415" s="253"/>
      <c r="Q1415" s="253"/>
    </row>
    <row r="1416" spans="1:17">
      <c r="A1416" s="253"/>
      <c r="B1416" s="253"/>
      <c r="C1416" s="253"/>
      <c r="D1416" s="253"/>
      <c r="E1416" s="253"/>
      <c r="F1416" s="253"/>
      <c r="G1416" s="253"/>
      <c r="H1416" s="253"/>
      <c r="I1416" s="253"/>
      <c r="J1416" s="253"/>
      <c r="K1416" s="253"/>
      <c r="L1416" s="253"/>
      <c r="M1416" s="253"/>
      <c r="N1416" s="253"/>
      <c r="O1416" s="253"/>
      <c r="P1416" s="253"/>
      <c r="Q1416" s="253"/>
    </row>
    <row r="1417" spans="1:17">
      <c r="A1417" s="253"/>
      <c r="B1417" s="253"/>
      <c r="C1417" s="253"/>
      <c r="D1417" s="253"/>
      <c r="E1417" s="253"/>
      <c r="F1417" s="253"/>
      <c r="G1417" s="253"/>
      <c r="H1417" s="253"/>
      <c r="I1417" s="253"/>
      <c r="J1417" s="253"/>
      <c r="K1417" s="253"/>
      <c r="L1417" s="253"/>
      <c r="M1417" s="253"/>
      <c r="N1417" s="253"/>
      <c r="O1417" s="253"/>
      <c r="P1417" s="253"/>
      <c r="Q1417" s="253"/>
    </row>
    <row r="1418" spans="1:17">
      <c r="A1418" s="253"/>
      <c r="B1418" s="253"/>
      <c r="C1418" s="253"/>
      <c r="D1418" s="253"/>
      <c r="E1418" s="253"/>
      <c r="F1418" s="253"/>
      <c r="G1418" s="253"/>
      <c r="H1418" s="253"/>
      <c r="I1418" s="253"/>
      <c r="J1418" s="253"/>
      <c r="K1418" s="253"/>
      <c r="L1418" s="253"/>
      <c r="M1418" s="253"/>
      <c r="N1418" s="253"/>
      <c r="O1418" s="253"/>
      <c r="P1418" s="253"/>
      <c r="Q1418" s="253"/>
    </row>
    <row r="1419" spans="1:17">
      <c r="A1419" s="253"/>
      <c r="B1419" s="253"/>
      <c r="C1419" s="253"/>
      <c r="D1419" s="253"/>
      <c r="E1419" s="253"/>
      <c r="F1419" s="253"/>
      <c r="G1419" s="253"/>
      <c r="H1419" s="253"/>
      <c r="I1419" s="253"/>
      <c r="J1419" s="253"/>
      <c r="K1419" s="253"/>
      <c r="L1419" s="253"/>
      <c r="M1419" s="253"/>
      <c r="N1419" s="253"/>
      <c r="O1419" s="253"/>
      <c r="P1419" s="253"/>
      <c r="Q1419" s="253"/>
    </row>
    <row r="1420" spans="1:17">
      <c r="A1420" s="253"/>
      <c r="B1420" s="253"/>
      <c r="C1420" s="253"/>
      <c r="D1420" s="253"/>
      <c r="E1420" s="253"/>
      <c r="F1420" s="253"/>
      <c r="G1420" s="253"/>
      <c r="H1420" s="253"/>
      <c r="I1420" s="253"/>
      <c r="J1420" s="253"/>
      <c r="K1420" s="253"/>
      <c r="L1420" s="253"/>
      <c r="M1420" s="253"/>
      <c r="N1420" s="253"/>
      <c r="O1420" s="253"/>
      <c r="P1420" s="253"/>
      <c r="Q1420" s="253"/>
    </row>
    <row r="1421" spans="1:17">
      <c r="A1421" s="253"/>
      <c r="B1421" s="253"/>
      <c r="C1421" s="253"/>
      <c r="D1421" s="253"/>
      <c r="E1421" s="253"/>
      <c r="F1421" s="253"/>
      <c r="G1421" s="253"/>
      <c r="H1421" s="253"/>
      <c r="I1421" s="253"/>
      <c r="J1421" s="253"/>
      <c r="K1421" s="253"/>
      <c r="L1421" s="253"/>
      <c r="M1421" s="253"/>
      <c r="N1421" s="253"/>
      <c r="O1421" s="253"/>
      <c r="P1421" s="253"/>
      <c r="Q1421" s="253"/>
    </row>
    <row r="1422" spans="1:17">
      <c r="A1422" s="253"/>
      <c r="B1422" s="253"/>
      <c r="C1422" s="253"/>
      <c r="D1422" s="253"/>
      <c r="E1422" s="253"/>
      <c r="F1422" s="253"/>
      <c r="G1422" s="253"/>
      <c r="H1422" s="253"/>
      <c r="I1422" s="253"/>
      <c r="J1422" s="253"/>
      <c r="K1422" s="253"/>
      <c r="L1422" s="253"/>
      <c r="M1422" s="253"/>
      <c r="N1422" s="253"/>
      <c r="O1422" s="253"/>
      <c r="P1422" s="253"/>
      <c r="Q1422" s="253"/>
    </row>
    <row r="1423" spans="1:17">
      <c r="A1423" s="253"/>
      <c r="B1423" s="253"/>
      <c r="C1423" s="253"/>
      <c r="D1423" s="253"/>
      <c r="E1423" s="253"/>
      <c r="F1423" s="253"/>
      <c r="G1423" s="253"/>
      <c r="H1423" s="253"/>
      <c r="I1423" s="253"/>
      <c r="J1423" s="253"/>
      <c r="K1423" s="253"/>
      <c r="L1423" s="253"/>
      <c r="M1423" s="253"/>
      <c r="N1423" s="253"/>
      <c r="O1423" s="253"/>
      <c r="P1423" s="253"/>
      <c r="Q1423" s="253"/>
    </row>
    <row r="1424" spans="1:17">
      <c r="A1424" s="253"/>
      <c r="B1424" s="253"/>
      <c r="C1424" s="253"/>
      <c r="D1424" s="253"/>
      <c r="E1424" s="253"/>
      <c r="F1424" s="253"/>
      <c r="G1424" s="253"/>
      <c r="H1424" s="253"/>
      <c r="I1424" s="253"/>
      <c r="J1424" s="253"/>
      <c r="K1424" s="253"/>
      <c r="L1424" s="253"/>
      <c r="M1424" s="253"/>
      <c r="N1424" s="253"/>
      <c r="O1424" s="253"/>
      <c r="P1424" s="253"/>
      <c r="Q1424" s="253"/>
    </row>
    <row r="1425" spans="1:17">
      <c r="A1425" s="253"/>
      <c r="B1425" s="253"/>
      <c r="C1425" s="253"/>
      <c r="D1425" s="253"/>
      <c r="E1425" s="253"/>
      <c r="F1425" s="253"/>
      <c r="G1425" s="253"/>
      <c r="H1425" s="253"/>
      <c r="I1425" s="253"/>
      <c r="J1425" s="253"/>
      <c r="K1425" s="253"/>
      <c r="L1425" s="253"/>
      <c r="M1425" s="253"/>
      <c r="N1425" s="253"/>
      <c r="O1425" s="253"/>
      <c r="P1425" s="253"/>
      <c r="Q1425" s="253"/>
    </row>
    <row r="1426" spans="1:17">
      <c r="A1426" s="253"/>
      <c r="B1426" s="253"/>
      <c r="C1426" s="253"/>
      <c r="D1426" s="253"/>
      <c r="E1426" s="253"/>
      <c r="F1426" s="253"/>
      <c r="G1426" s="253"/>
      <c r="H1426" s="253"/>
      <c r="I1426" s="253"/>
      <c r="J1426" s="253"/>
      <c r="K1426" s="253"/>
      <c r="L1426" s="253"/>
      <c r="M1426" s="253"/>
      <c r="N1426" s="253"/>
      <c r="O1426" s="253"/>
      <c r="P1426" s="253"/>
      <c r="Q1426" s="253"/>
    </row>
    <row r="1427" spans="1:17">
      <c r="A1427" s="253"/>
      <c r="B1427" s="253"/>
      <c r="C1427" s="253"/>
      <c r="D1427" s="253"/>
      <c r="E1427" s="253"/>
      <c r="F1427" s="253"/>
      <c r="G1427" s="253"/>
      <c r="H1427" s="253"/>
      <c r="I1427" s="253"/>
      <c r="J1427" s="253"/>
      <c r="K1427" s="253"/>
      <c r="L1427" s="253"/>
      <c r="M1427" s="253"/>
      <c r="N1427" s="253"/>
      <c r="O1427" s="253"/>
      <c r="P1427" s="253"/>
      <c r="Q1427" s="253"/>
    </row>
    <row r="1428" spans="1:17">
      <c r="A1428" s="253"/>
      <c r="B1428" s="253"/>
      <c r="C1428" s="253"/>
      <c r="D1428" s="253"/>
      <c r="E1428" s="253"/>
      <c r="F1428" s="253"/>
      <c r="G1428" s="253"/>
      <c r="H1428" s="253"/>
      <c r="I1428" s="253"/>
      <c r="J1428" s="253"/>
      <c r="K1428" s="253"/>
      <c r="L1428" s="253"/>
      <c r="M1428" s="253"/>
      <c r="N1428" s="253"/>
      <c r="O1428" s="253"/>
      <c r="P1428" s="253"/>
      <c r="Q1428" s="253"/>
    </row>
    <row r="1429" spans="1:17">
      <c r="A1429" s="253"/>
      <c r="B1429" s="253"/>
      <c r="C1429" s="253"/>
      <c r="D1429" s="253"/>
      <c r="E1429" s="253"/>
      <c r="F1429" s="253"/>
      <c r="G1429" s="253"/>
      <c r="H1429" s="253"/>
      <c r="I1429" s="253"/>
      <c r="J1429" s="253"/>
      <c r="K1429" s="253"/>
      <c r="L1429" s="253"/>
      <c r="M1429" s="253"/>
      <c r="N1429" s="253"/>
      <c r="O1429" s="253"/>
      <c r="P1429" s="253"/>
      <c r="Q1429" s="253"/>
    </row>
    <row r="1430" spans="1:17">
      <c r="A1430" s="253"/>
      <c r="B1430" s="253"/>
      <c r="C1430" s="253"/>
      <c r="D1430" s="253"/>
      <c r="E1430" s="253"/>
      <c r="F1430" s="253"/>
      <c r="G1430" s="253"/>
      <c r="H1430" s="253"/>
      <c r="I1430" s="253"/>
      <c r="J1430" s="253"/>
      <c r="K1430" s="253"/>
      <c r="L1430" s="253"/>
      <c r="M1430" s="253"/>
      <c r="N1430" s="253"/>
      <c r="O1430" s="253"/>
      <c r="P1430" s="253"/>
      <c r="Q1430" s="253"/>
    </row>
    <row r="1431" spans="1:17">
      <c r="A1431" s="253"/>
      <c r="B1431" s="253"/>
      <c r="C1431" s="253"/>
      <c r="D1431" s="253"/>
      <c r="E1431" s="253"/>
      <c r="F1431" s="253"/>
      <c r="G1431" s="253"/>
      <c r="H1431" s="253"/>
      <c r="I1431" s="253"/>
      <c r="J1431" s="253"/>
      <c r="K1431" s="253"/>
      <c r="L1431" s="253"/>
      <c r="M1431" s="253"/>
      <c r="N1431" s="253"/>
      <c r="O1431" s="253"/>
      <c r="P1431" s="253"/>
      <c r="Q1431" s="253"/>
    </row>
    <row r="1432" spans="1:17">
      <c r="A1432" s="253"/>
      <c r="B1432" s="253"/>
      <c r="C1432" s="253"/>
      <c r="D1432" s="253"/>
      <c r="E1432" s="253"/>
      <c r="F1432" s="253"/>
      <c r="G1432" s="253"/>
      <c r="H1432" s="253"/>
      <c r="I1432" s="253"/>
      <c r="J1432" s="253"/>
      <c r="K1432" s="253"/>
      <c r="L1432" s="253"/>
      <c r="M1432" s="253"/>
      <c r="N1432" s="253"/>
      <c r="O1432" s="253"/>
      <c r="P1432" s="253"/>
      <c r="Q1432" s="253"/>
    </row>
    <row r="1433" spans="1:17">
      <c r="A1433" s="253"/>
      <c r="B1433" s="253"/>
      <c r="C1433" s="253"/>
      <c r="D1433" s="253"/>
      <c r="E1433" s="253"/>
      <c r="F1433" s="253"/>
      <c r="G1433" s="253"/>
      <c r="H1433" s="253"/>
      <c r="I1433" s="253"/>
      <c r="J1433" s="253"/>
      <c r="K1433" s="253"/>
      <c r="L1433" s="253"/>
      <c r="M1433" s="253"/>
      <c r="N1433" s="253"/>
      <c r="O1433" s="253"/>
      <c r="P1433" s="253"/>
      <c r="Q1433" s="253"/>
    </row>
    <row r="1434" spans="1:17">
      <c r="A1434" s="253"/>
      <c r="B1434" s="253"/>
      <c r="C1434" s="253"/>
      <c r="D1434" s="253"/>
      <c r="E1434" s="253"/>
      <c r="F1434" s="253"/>
      <c r="G1434" s="253"/>
      <c r="H1434" s="253"/>
      <c r="I1434" s="253"/>
      <c r="J1434" s="253"/>
      <c r="K1434" s="253"/>
      <c r="L1434" s="253"/>
      <c r="M1434" s="253"/>
      <c r="N1434" s="253"/>
      <c r="O1434" s="253"/>
      <c r="P1434" s="253"/>
      <c r="Q1434" s="253"/>
    </row>
    <row r="1435" spans="1:17">
      <c r="A1435" s="253"/>
      <c r="B1435" s="253"/>
      <c r="C1435" s="253"/>
      <c r="D1435" s="253"/>
      <c r="E1435" s="253"/>
      <c r="F1435" s="253"/>
      <c r="G1435" s="253"/>
      <c r="H1435" s="253"/>
      <c r="I1435" s="253"/>
      <c r="J1435" s="253"/>
      <c r="K1435" s="253"/>
      <c r="L1435" s="253"/>
      <c r="M1435" s="253"/>
      <c r="N1435" s="253"/>
      <c r="O1435" s="253"/>
      <c r="P1435" s="253"/>
      <c r="Q1435" s="253"/>
    </row>
    <row r="1436" spans="1:17">
      <c r="A1436" s="253"/>
      <c r="B1436" s="253"/>
      <c r="C1436" s="253"/>
      <c r="D1436" s="253"/>
      <c r="E1436" s="253"/>
      <c r="F1436" s="253"/>
      <c r="G1436" s="253"/>
      <c r="H1436" s="253"/>
      <c r="I1436" s="253"/>
      <c r="J1436" s="253"/>
      <c r="K1436" s="253"/>
      <c r="L1436" s="253"/>
      <c r="M1436" s="253"/>
      <c r="N1436" s="253"/>
      <c r="O1436" s="253"/>
      <c r="P1436" s="253"/>
      <c r="Q1436" s="253"/>
    </row>
    <row r="1437" spans="1:17">
      <c r="A1437" s="253"/>
      <c r="B1437" s="253"/>
      <c r="C1437" s="253"/>
      <c r="D1437" s="253"/>
      <c r="E1437" s="253"/>
      <c r="F1437" s="253"/>
      <c r="G1437" s="253"/>
      <c r="H1437" s="253"/>
      <c r="I1437" s="253"/>
      <c r="J1437" s="253"/>
      <c r="K1437" s="253"/>
      <c r="L1437" s="253"/>
      <c r="M1437" s="253"/>
      <c r="N1437" s="253"/>
      <c r="O1437" s="253"/>
      <c r="P1437" s="253"/>
      <c r="Q1437" s="253"/>
    </row>
    <row r="1438" spans="1:17">
      <c r="A1438" s="253"/>
      <c r="B1438" s="253"/>
      <c r="C1438" s="253"/>
      <c r="D1438" s="253"/>
      <c r="E1438" s="253"/>
      <c r="F1438" s="253"/>
      <c r="G1438" s="253"/>
      <c r="H1438" s="253"/>
      <c r="I1438" s="253"/>
      <c r="J1438" s="253"/>
      <c r="K1438" s="253"/>
      <c r="L1438" s="253"/>
      <c r="M1438" s="253"/>
      <c r="N1438" s="253"/>
      <c r="O1438" s="253"/>
      <c r="P1438" s="253"/>
      <c r="Q1438" s="253"/>
    </row>
    <row r="1439" spans="1:17">
      <c r="A1439" s="253"/>
      <c r="B1439" s="253"/>
      <c r="C1439" s="253"/>
      <c r="D1439" s="253"/>
      <c r="E1439" s="253"/>
      <c r="F1439" s="253"/>
      <c r="G1439" s="253"/>
      <c r="H1439" s="253"/>
      <c r="I1439" s="253"/>
      <c r="J1439" s="253"/>
      <c r="K1439" s="253"/>
      <c r="L1439" s="253"/>
      <c r="M1439" s="253"/>
      <c r="N1439" s="253"/>
      <c r="O1439" s="253"/>
      <c r="P1439" s="253"/>
      <c r="Q1439" s="253"/>
    </row>
    <row r="1440" spans="1:17">
      <c r="A1440" s="253"/>
      <c r="B1440" s="253"/>
      <c r="C1440" s="253"/>
      <c r="D1440" s="253"/>
      <c r="E1440" s="253"/>
      <c r="F1440" s="253"/>
      <c r="G1440" s="253"/>
      <c r="H1440" s="253"/>
      <c r="I1440" s="253"/>
      <c r="J1440" s="253"/>
      <c r="K1440" s="253"/>
      <c r="L1440" s="253"/>
      <c r="M1440" s="253"/>
      <c r="N1440" s="253"/>
      <c r="O1440" s="253"/>
      <c r="P1440" s="253"/>
      <c r="Q1440" s="253"/>
    </row>
    <row r="1441" spans="1:17">
      <c r="A1441" s="253"/>
      <c r="B1441" s="253"/>
      <c r="C1441" s="253"/>
      <c r="D1441" s="253"/>
      <c r="E1441" s="253"/>
      <c r="F1441" s="253"/>
      <c r="G1441" s="253"/>
      <c r="H1441" s="253"/>
      <c r="I1441" s="253"/>
      <c r="J1441" s="253"/>
      <c r="K1441" s="253"/>
      <c r="L1441" s="253"/>
      <c r="M1441" s="253"/>
      <c r="N1441" s="253"/>
      <c r="O1441" s="253"/>
      <c r="P1441" s="253"/>
      <c r="Q1441" s="253"/>
    </row>
    <row r="1442" spans="1:17">
      <c r="A1442" s="253"/>
      <c r="B1442" s="253"/>
      <c r="C1442" s="253"/>
      <c r="D1442" s="253"/>
      <c r="E1442" s="253"/>
      <c r="F1442" s="253"/>
      <c r="G1442" s="253"/>
      <c r="H1442" s="253"/>
      <c r="I1442" s="253"/>
      <c r="J1442" s="253"/>
      <c r="K1442" s="253"/>
      <c r="L1442" s="253"/>
      <c r="M1442" s="253"/>
      <c r="N1442" s="253"/>
      <c r="O1442" s="253"/>
      <c r="P1442" s="253"/>
      <c r="Q1442" s="253"/>
    </row>
    <row r="1443" spans="1:17">
      <c r="A1443" s="253"/>
      <c r="B1443" s="253"/>
      <c r="C1443" s="253"/>
      <c r="D1443" s="253"/>
      <c r="E1443" s="253"/>
      <c r="F1443" s="253"/>
      <c r="G1443" s="253"/>
      <c r="H1443" s="253"/>
      <c r="I1443" s="253"/>
      <c r="J1443" s="253"/>
      <c r="K1443" s="253"/>
      <c r="L1443" s="253"/>
      <c r="M1443" s="253"/>
      <c r="N1443" s="253"/>
      <c r="O1443" s="253"/>
      <c r="P1443" s="253"/>
      <c r="Q1443" s="253"/>
    </row>
    <row r="1444" spans="1:17">
      <c r="A1444" s="253"/>
      <c r="B1444" s="253"/>
      <c r="C1444" s="253"/>
      <c r="D1444" s="253"/>
      <c r="E1444" s="253"/>
      <c r="F1444" s="253"/>
      <c r="G1444" s="253"/>
      <c r="H1444" s="253"/>
      <c r="I1444" s="253"/>
      <c r="J1444" s="253"/>
      <c r="K1444" s="253"/>
      <c r="L1444" s="253"/>
      <c r="M1444" s="253"/>
      <c r="N1444" s="253"/>
      <c r="O1444" s="253"/>
      <c r="P1444" s="253"/>
      <c r="Q1444" s="253"/>
    </row>
    <row r="1445" spans="1:17">
      <c r="A1445" s="253"/>
      <c r="B1445" s="253"/>
      <c r="C1445" s="253"/>
      <c r="D1445" s="253"/>
      <c r="E1445" s="253"/>
      <c r="F1445" s="253"/>
      <c r="G1445" s="253"/>
      <c r="H1445" s="253"/>
      <c r="I1445" s="253"/>
      <c r="J1445" s="253"/>
      <c r="K1445" s="253"/>
      <c r="L1445" s="253"/>
      <c r="M1445" s="253"/>
      <c r="N1445" s="253"/>
      <c r="O1445" s="253"/>
      <c r="P1445" s="253"/>
      <c r="Q1445" s="253"/>
    </row>
    <row r="1446" spans="1:17">
      <c r="A1446" s="253"/>
      <c r="B1446" s="253"/>
      <c r="C1446" s="253"/>
      <c r="D1446" s="253"/>
      <c r="E1446" s="253"/>
      <c r="F1446" s="253"/>
      <c r="G1446" s="253"/>
      <c r="H1446" s="253"/>
      <c r="I1446" s="253"/>
      <c r="J1446" s="253"/>
      <c r="K1446" s="253"/>
      <c r="L1446" s="253"/>
      <c r="M1446" s="253"/>
      <c r="N1446" s="253"/>
      <c r="O1446" s="253"/>
      <c r="P1446" s="253"/>
      <c r="Q1446" s="253"/>
    </row>
    <row r="1447" spans="1:17">
      <c r="A1447" s="253"/>
      <c r="B1447" s="253"/>
      <c r="C1447" s="253"/>
      <c r="D1447" s="253"/>
      <c r="E1447" s="253"/>
      <c r="F1447" s="253"/>
      <c r="G1447" s="253"/>
      <c r="H1447" s="253"/>
      <c r="I1447" s="253"/>
      <c r="J1447" s="253"/>
      <c r="K1447" s="253"/>
      <c r="L1447" s="253"/>
      <c r="M1447" s="253"/>
      <c r="N1447" s="253"/>
      <c r="O1447" s="253"/>
      <c r="P1447" s="253"/>
      <c r="Q1447" s="253"/>
    </row>
    <row r="1448" spans="1:17">
      <c r="A1448" s="253"/>
      <c r="B1448" s="253"/>
      <c r="C1448" s="253"/>
      <c r="D1448" s="253"/>
      <c r="E1448" s="253"/>
      <c r="F1448" s="253"/>
      <c r="G1448" s="253"/>
      <c r="H1448" s="253"/>
      <c r="I1448" s="253"/>
      <c r="J1448" s="253"/>
      <c r="K1448" s="253"/>
      <c r="L1448" s="253"/>
      <c r="M1448" s="253"/>
      <c r="N1448" s="253"/>
      <c r="O1448" s="253"/>
      <c r="P1448" s="253"/>
      <c r="Q1448" s="253"/>
    </row>
    <row r="1449" spans="1:17">
      <c r="A1449" s="253"/>
      <c r="B1449" s="253"/>
      <c r="C1449" s="253"/>
      <c r="D1449" s="253"/>
      <c r="E1449" s="253"/>
      <c r="F1449" s="253"/>
      <c r="G1449" s="253"/>
      <c r="H1449" s="253"/>
      <c r="I1449" s="253"/>
      <c r="J1449" s="253"/>
      <c r="K1449" s="253"/>
      <c r="L1449" s="253"/>
      <c r="M1449" s="253"/>
      <c r="N1449" s="253"/>
      <c r="O1449" s="253"/>
      <c r="P1449" s="253"/>
      <c r="Q1449" s="253"/>
    </row>
    <row r="1450" spans="1:17">
      <c r="A1450" s="253"/>
      <c r="B1450" s="253"/>
      <c r="C1450" s="253"/>
      <c r="D1450" s="253"/>
      <c r="E1450" s="253"/>
      <c r="F1450" s="253"/>
      <c r="G1450" s="253"/>
      <c r="H1450" s="253"/>
      <c r="I1450" s="253"/>
      <c r="J1450" s="253"/>
      <c r="K1450" s="253"/>
      <c r="L1450" s="253"/>
      <c r="M1450" s="253"/>
      <c r="N1450" s="253"/>
      <c r="O1450" s="253"/>
      <c r="P1450" s="253"/>
      <c r="Q1450" s="253"/>
    </row>
    <row r="1451" spans="1:17">
      <c r="A1451" s="253"/>
      <c r="B1451" s="253"/>
      <c r="C1451" s="253"/>
      <c r="D1451" s="253"/>
      <c r="E1451" s="253"/>
      <c r="F1451" s="253"/>
      <c r="G1451" s="253"/>
      <c r="H1451" s="253"/>
      <c r="I1451" s="253"/>
      <c r="J1451" s="253"/>
      <c r="K1451" s="253"/>
      <c r="L1451" s="253"/>
      <c r="M1451" s="253"/>
      <c r="N1451" s="253"/>
      <c r="O1451" s="253"/>
      <c r="P1451" s="253"/>
      <c r="Q1451" s="253"/>
    </row>
    <row r="1452" spans="1:17">
      <c r="A1452" s="253"/>
      <c r="B1452" s="253"/>
      <c r="C1452" s="253"/>
      <c r="D1452" s="253"/>
      <c r="E1452" s="253"/>
      <c r="F1452" s="253"/>
      <c r="G1452" s="253"/>
      <c r="H1452" s="253"/>
      <c r="I1452" s="253"/>
      <c r="J1452" s="253"/>
      <c r="K1452" s="253"/>
      <c r="L1452" s="253"/>
      <c r="M1452" s="253"/>
      <c r="N1452" s="253"/>
      <c r="O1452" s="253"/>
      <c r="P1452" s="253"/>
      <c r="Q1452" s="253"/>
    </row>
    <row r="1453" spans="1:17">
      <c r="A1453" s="253"/>
      <c r="B1453" s="253"/>
      <c r="C1453" s="253"/>
      <c r="D1453" s="253"/>
      <c r="E1453" s="253"/>
      <c r="F1453" s="253"/>
      <c r="G1453" s="253"/>
      <c r="H1453" s="253"/>
      <c r="I1453" s="253"/>
      <c r="J1453" s="253"/>
      <c r="K1453" s="253"/>
      <c r="L1453" s="253"/>
      <c r="M1453" s="253"/>
      <c r="N1453" s="253"/>
      <c r="O1453" s="253"/>
      <c r="P1453" s="253"/>
      <c r="Q1453" s="253"/>
    </row>
    <row r="1454" spans="1:17">
      <c r="A1454" s="253"/>
      <c r="B1454" s="253"/>
      <c r="C1454" s="253"/>
      <c r="D1454" s="253"/>
      <c r="E1454" s="253"/>
      <c r="F1454" s="253"/>
      <c r="G1454" s="253"/>
      <c r="H1454" s="253"/>
      <c r="I1454" s="253"/>
      <c r="J1454" s="253"/>
      <c r="K1454" s="253"/>
      <c r="L1454" s="253"/>
      <c r="M1454" s="253"/>
      <c r="N1454" s="253"/>
      <c r="O1454" s="253"/>
      <c r="P1454" s="253"/>
      <c r="Q1454" s="253"/>
    </row>
    <row r="1455" spans="1:17">
      <c r="A1455" s="253"/>
      <c r="B1455" s="253"/>
      <c r="C1455" s="253"/>
      <c r="D1455" s="253"/>
      <c r="E1455" s="253"/>
      <c r="F1455" s="253"/>
      <c r="G1455" s="253"/>
      <c r="H1455" s="253"/>
      <c r="I1455" s="253"/>
      <c r="J1455" s="253"/>
      <c r="K1455" s="253"/>
      <c r="L1455" s="253"/>
      <c r="M1455" s="253"/>
      <c r="N1455" s="253"/>
      <c r="O1455" s="253"/>
      <c r="P1455" s="253"/>
      <c r="Q1455" s="253"/>
    </row>
    <row r="1456" spans="1:17">
      <c r="A1456" s="253"/>
      <c r="B1456" s="253"/>
      <c r="C1456" s="253"/>
      <c r="D1456" s="253"/>
      <c r="E1456" s="253"/>
      <c r="F1456" s="253"/>
      <c r="G1456" s="253"/>
      <c r="H1456" s="253"/>
      <c r="I1456" s="253"/>
      <c r="J1456" s="253"/>
      <c r="K1456" s="253"/>
      <c r="L1456" s="253"/>
      <c r="M1456" s="253"/>
      <c r="N1456" s="253"/>
      <c r="O1456" s="253"/>
      <c r="P1456" s="253"/>
      <c r="Q1456" s="253"/>
    </row>
    <row r="1457" spans="1:17">
      <c r="A1457" s="253"/>
      <c r="B1457" s="253"/>
      <c r="C1457" s="253"/>
      <c r="D1457" s="253"/>
      <c r="E1457" s="253"/>
      <c r="F1457" s="253"/>
      <c r="G1457" s="253"/>
      <c r="H1457" s="253"/>
      <c r="I1457" s="253"/>
      <c r="J1457" s="253"/>
      <c r="K1457" s="253"/>
      <c r="L1457" s="253"/>
      <c r="M1457" s="253"/>
      <c r="N1457" s="253"/>
      <c r="O1457" s="253"/>
      <c r="P1457" s="253"/>
      <c r="Q1457" s="253"/>
    </row>
    <row r="1458" spans="1:17">
      <c r="A1458" s="253"/>
      <c r="B1458" s="253"/>
      <c r="C1458" s="253"/>
      <c r="D1458" s="253"/>
      <c r="E1458" s="253"/>
      <c r="F1458" s="253"/>
      <c r="G1458" s="253"/>
      <c r="H1458" s="253"/>
      <c r="I1458" s="253"/>
      <c r="J1458" s="253"/>
      <c r="K1458" s="253"/>
      <c r="L1458" s="253"/>
      <c r="M1458" s="253"/>
      <c r="N1458" s="253"/>
      <c r="O1458" s="253"/>
      <c r="P1458" s="253"/>
      <c r="Q1458" s="253"/>
    </row>
    <row r="1459" spans="1:17">
      <c r="A1459" s="253"/>
      <c r="B1459" s="253"/>
      <c r="C1459" s="253"/>
      <c r="D1459" s="253"/>
      <c r="E1459" s="253"/>
      <c r="F1459" s="253"/>
      <c r="G1459" s="253"/>
      <c r="H1459" s="253"/>
      <c r="I1459" s="253"/>
      <c r="J1459" s="253"/>
      <c r="K1459" s="253"/>
      <c r="L1459" s="253"/>
      <c r="M1459" s="253"/>
      <c r="N1459" s="253"/>
      <c r="O1459" s="253"/>
      <c r="P1459" s="253"/>
      <c r="Q1459" s="253"/>
    </row>
    <row r="1460" spans="1:17">
      <c r="A1460" s="253"/>
      <c r="B1460" s="253"/>
      <c r="C1460" s="253"/>
      <c r="D1460" s="253"/>
      <c r="E1460" s="253"/>
      <c r="F1460" s="253"/>
      <c r="G1460" s="253"/>
      <c r="H1460" s="253"/>
      <c r="I1460" s="253"/>
      <c r="J1460" s="253"/>
      <c r="K1460" s="253"/>
      <c r="L1460" s="253"/>
      <c r="M1460" s="253"/>
      <c r="N1460" s="253"/>
      <c r="O1460" s="253"/>
      <c r="P1460" s="253"/>
      <c r="Q1460" s="253"/>
    </row>
    <row r="1461" spans="1:17">
      <c r="A1461" s="253"/>
      <c r="B1461" s="253"/>
      <c r="C1461" s="253"/>
      <c r="D1461" s="253"/>
      <c r="E1461" s="253"/>
      <c r="F1461" s="253"/>
      <c r="G1461" s="253"/>
      <c r="H1461" s="253"/>
      <c r="I1461" s="253"/>
      <c r="J1461" s="253"/>
      <c r="K1461" s="253"/>
      <c r="L1461" s="253"/>
      <c r="M1461" s="253"/>
      <c r="N1461" s="253"/>
      <c r="O1461" s="253"/>
      <c r="P1461" s="253"/>
      <c r="Q1461" s="253"/>
    </row>
    <row r="1462" spans="1:17">
      <c r="A1462" s="253"/>
      <c r="B1462" s="253"/>
      <c r="C1462" s="253"/>
      <c r="D1462" s="253"/>
      <c r="E1462" s="253"/>
      <c r="F1462" s="253"/>
      <c r="G1462" s="253"/>
      <c r="H1462" s="253"/>
      <c r="I1462" s="253"/>
      <c r="J1462" s="253"/>
      <c r="K1462" s="253"/>
      <c r="L1462" s="253"/>
      <c r="M1462" s="253"/>
      <c r="N1462" s="253"/>
      <c r="O1462" s="253"/>
      <c r="P1462" s="253"/>
      <c r="Q1462" s="253"/>
    </row>
    <row r="1463" spans="1:17">
      <c r="A1463" s="253"/>
      <c r="B1463" s="253"/>
      <c r="C1463" s="253"/>
      <c r="D1463" s="253"/>
      <c r="E1463" s="253"/>
      <c r="F1463" s="253"/>
      <c r="G1463" s="253"/>
      <c r="H1463" s="253"/>
      <c r="I1463" s="253"/>
      <c r="J1463" s="253"/>
      <c r="K1463" s="253"/>
      <c r="L1463" s="253"/>
      <c r="M1463" s="253"/>
      <c r="N1463" s="253"/>
      <c r="O1463" s="253"/>
      <c r="P1463" s="253"/>
      <c r="Q1463" s="253"/>
    </row>
    <row r="1464" spans="1:17">
      <c r="A1464" s="253"/>
      <c r="B1464" s="253"/>
      <c r="C1464" s="253"/>
      <c r="D1464" s="253"/>
      <c r="E1464" s="253"/>
      <c r="F1464" s="253"/>
      <c r="G1464" s="253"/>
      <c r="H1464" s="253"/>
      <c r="I1464" s="253"/>
      <c r="J1464" s="253"/>
      <c r="K1464" s="253"/>
      <c r="L1464" s="253"/>
      <c r="M1464" s="253"/>
      <c r="N1464" s="253"/>
      <c r="O1464" s="253"/>
      <c r="P1464" s="253"/>
      <c r="Q1464" s="253"/>
    </row>
    <row r="1465" spans="1:17">
      <c r="A1465" s="253"/>
      <c r="B1465" s="253"/>
      <c r="C1465" s="253"/>
      <c r="D1465" s="253"/>
      <c r="E1465" s="253"/>
      <c r="F1465" s="253"/>
      <c r="G1465" s="253"/>
      <c r="H1465" s="253"/>
      <c r="I1465" s="253"/>
      <c r="J1465" s="253"/>
      <c r="K1465" s="253"/>
      <c r="L1465" s="253"/>
      <c r="M1465" s="253"/>
      <c r="N1465" s="253"/>
      <c r="O1465" s="253"/>
      <c r="P1465" s="253"/>
      <c r="Q1465" s="253"/>
    </row>
    <row r="1466" spans="1:17">
      <c r="A1466" s="253"/>
      <c r="B1466" s="253"/>
      <c r="C1466" s="253"/>
      <c r="D1466" s="253"/>
      <c r="E1466" s="253"/>
      <c r="F1466" s="253"/>
      <c r="G1466" s="253"/>
      <c r="H1466" s="253"/>
      <c r="I1466" s="253"/>
      <c r="J1466" s="253"/>
      <c r="K1466" s="253"/>
      <c r="L1466" s="253"/>
      <c r="M1466" s="253"/>
      <c r="N1466" s="253"/>
      <c r="O1466" s="253"/>
      <c r="P1466" s="253"/>
      <c r="Q1466" s="253"/>
    </row>
    <row r="1467" spans="1:17">
      <c r="A1467" s="253"/>
      <c r="B1467" s="253"/>
      <c r="C1467" s="253"/>
      <c r="D1467" s="253"/>
      <c r="E1467" s="253"/>
      <c r="F1467" s="253"/>
      <c r="G1467" s="253"/>
      <c r="H1467" s="253"/>
      <c r="I1467" s="253"/>
      <c r="J1467" s="253"/>
      <c r="K1467" s="253"/>
      <c r="L1467" s="253"/>
      <c r="M1467" s="253"/>
      <c r="N1467" s="253"/>
      <c r="O1467" s="253"/>
      <c r="P1467" s="253"/>
      <c r="Q1467" s="253"/>
    </row>
    <row r="1468" spans="1:17">
      <c r="A1468" s="253"/>
      <c r="B1468" s="253"/>
      <c r="C1468" s="253"/>
      <c r="D1468" s="253"/>
      <c r="E1468" s="253"/>
      <c r="F1468" s="253"/>
      <c r="G1468" s="253"/>
      <c r="H1468" s="253"/>
      <c r="I1468" s="253"/>
      <c r="J1468" s="253"/>
      <c r="K1468" s="253"/>
      <c r="L1468" s="253"/>
      <c r="M1468" s="253"/>
      <c r="N1468" s="253"/>
      <c r="O1468" s="253"/>
      <c r="P1468" s="253"/>
      <c r="Q1468" s="253"/>
    </row>
    <row r="1469" spans="1:17">
      <c r="A1469" s="253"/>
      <c r="B1469" s="253"/>
      <c r="C1469" s="253"/>
      <c r="D1469" s="253"/>
      <c r="E1469" s="253"/>
      <c r="F1469" s="253"/>
      <c r="G1469" s="253"/>
      <c r="H1469" s="253"/>
      <c r="I1469" s="253"/>
      <c r="J1469" s="253"/>
      <c r="K1469" s="253"/>
      <c r="L1469" s="253"/>
      <c r="M1469" s="253"/>
      <c r="N1469" s="253"/>
      <c r="O1469" s="253"/>
      <c r="P1469" s="253"/>
      <c r="Q1469" s="253"/>
    </row>
    <row r="1470" spans="1:17">
      <c r="A1470" s="253"/>
      <c r="B1470" s="253"/>
      <c r="C1470" s="253"/>
      <c r="D1470" s="253"/>
      <c r="E1470" s="253"/>
      <c r="F1470" s="253"/>
      <c r="G1470" s="253"/>
      <c r="H1470" s="253"/>
      <c r="I1470" s="253"/>
      <c r="J1470" s="253"/>
      <c r="K1470" s="253"/>
      <c r="L1470" s="253"/>
      <c r="M1470" s="253"/>
      <c r="N1470" s="253"/>
      <c r="O1470" s="253"/>
      <c r="P1470" s="253"/>
      <c r="Q1470" s="253"/>
    </row>
    <row r="1471" spans="1:17">
      <c r="A1471" s="253"/>
      <c r="B1471" s="253"/>
      <c r="C1471" s="253"/>
      <c r="D1471" s="253"/>
      <c r="E1471" s="253"/>
      <c r="F1471" s="253"/>
      <c r="G1471" s="253"/>
      <c r="H1471" s="253"/>
      <c r="I1471" s="253"/>
      <c r="J1471" s="253"/>
      <c r="K1471" s="253"/>
      <c r="L1471" s="253"/>
      <c r="M1471" s="253"/>
      <c r="N1471" s="253"/>
      <c r="O1471" s="253"/>
      <c r="P1471" s="253"/>
      <c r="Q1471" s="253"/>
    </row>
    <row r="1472" spans="1:17">
      <c r="A1472" s="253"/>
      <c r="B1472" s="253"/>
      <c r="C1472" s="253"/>
      <c r="D1472" s="253"/>
      <c r="E1472" s="253"/>
      <c r="F1472" s="253"/>
      <c r="G1472" s="253"/>
      <c r="H1472" s="253"/>
      <c r="I1472" s="253"/>
      <c r="J1472" s="253"/>
      <c r="K1472" s="253"/>
      <c r="L1472" s="253"/>
      <c r="M1472" s="253"/>
      <c r="N1472" s="253"/>
      <c r="O1472" s="253"/>
      <c r="P1472" s="253"/>
      <c r="Q1472" s="253"/>
    </row>
    <row r="1473" spans="1:17">
      <c r="A1473" s="253"/>
      <c r="B1473" s="253"/>
      <c r="C1473" s="253"/>
      <c r="D1473" s="253"/>
      <c r="E1473" s="253"/>
      <c r="F1473" s="253"/>
      <c r="G1473" s="253"/>
      <c r="H1473" s="253"/>
      <c r="I1473" s="253"/>
      <c r="J1473" s="253"/>
      <c r="K1473" s="253"/>
      <c r="L1473" s="253"/>
      <c r="M1473" s="253"/>
      <c r="N1473" s="253"/>
      <c r="O1473" s="253"/>
      <c r="P1473" s="253"/>
      <c r="Q1473" s="253"/>
    </row>
    <row r="1474" spans="1:17">
      <c r="A1474" s="253"/>
      <c r="B1474" s="253"/>
      <c r="C1474" s="253"/>
      <c r="D1474" s="253"/>
      <c r="E1474" s="253"/>
      <c r="F1474" s="253"/>
      <c r="G1474" s="253"/>
      <c r="H1474" s="253"/>
      <c r="I1474" s="253"/>
      <c r="J1474" s="253"/>
      <c r="K1474" s="253"/>
      <c r="L1474" s="253"/>
      <c r="M1474" s="253"/>
      <c r="N1474" s="253"/>
      <c r="O1474" s="253"/>
      <c r="P1474" s="253"/>
      <c r="Q1474" s="253"/>
    </row>
    <row r="1475" spans="1:17">
      <c r="A1475" s="253"/>
      <c r="B1475" s="253"/>
      <c r="C1475" s="253"/>
      <c r="D1475" s="253"/>
      <c r="E1475" s="253"/>
      <c r="F1475" s="253"/>
      <c r="G1475" s="253"/>
      <c r="H1475" s="253"/>
      <c r="I1475" s="253"/>
      <c r="J1475" s="253"/>
      <c r="K1475" s="253"/>
      <c r="L1475" s="253"/>
      <c r="M1475" s="253"/>
      <c r="N1475" s="253"/>
      <c r="O1475" s="253"/>
      <c r="P1475" s="253"/>
      <c r="Q1475" s="253"/>
    </row>
    <row r="1476" spans="1:17">
      <c r="A1476" s="253"/>
      <c r="B1476" s="253"/>
      <c r="C1476" s="253"/>
      <c r="D1476" s="253"/>
      <c r="E1476" s="253"/>
      <c r="F1476" s="253"/>
      <c r="G1476" s="253"/>
      <c r="H1476" s="253"/>
      <c r="I1476" s="253"/>
      <c r="J1476" s="253"/>
      <c r="K1476" s="253"/>
      <c r="L1476" s="253"/>
      <c r="M1476" s="253"/>
      <c r="N1476" s="253"/>
      <c r="O1476" s="253"/>
      <c r="P1476" s="253"/>
      <c r="Q1476" s="253"/>
    </row>
    <row r="1477" spans="1:17">
      <c r="A1477" s="253"/>
      <c r="B1477" s="253"/>
      <c r="C1477" s="253"/>
      <c r="D1477" s="253"/>
      <c r="E1477" s="253"/>
      <c r="F1477" s="253"/>
      <c r="G1477" s="253"/>
      <c r="H1477" s="253"/>
      <c r="I1477" s="253"/>
      <c r="J1477" s="253"/>
      <c r="K1477" s="253"/>
      <c r="L1477" s="253"/>
      <c r="M1477" s="253"/>
      <c r="N1477" s="253"/>
      <c r="O1477" s="253"/>
      <c r="P1477" s="253"/>
      <c r="Q1477" s="253"/>
    </row>
    <row r="1478" spans="1:17">
      <c r="A1478" s="253"/>
      <c r="B1478" s="253"/>
      <c r="C1478" s="253"/>
      <c r="D1478" s="253"/>
      <c r="E1478" s="253"/>
      <c r="F1478" s="253"/>
      <c r="G1478" s="253"/>
      <c r="H1478" s="253"/>
      <c r="I1478" s="253"/>
      <c r="J1478" s="253"/>
      <c r="K1478" s="253"/>
      <c r="L1478" s="253"/>
      <c r="M1478" s="253"/>
      <c r="N1478" s="253"/>
      <c r="O1478" s="253"/>
      <c r="P1478" s="253"/>
      <c r="Q1478" s="253"/>
    </row>
    <row r="1479" spans="1:17">
      <c r="A1479" s="253"/>
      <c r="B1479" s="253"/>
      <c r="C1479" s="253"/>
      <c r="D1479" s="253"/>
      <c r="E1479" s="253"/>
      <c r="F1479" s="253"/>
      <c r="G1479" s="253"/>
      <c r="H1479" s="253"/>
      <c r="I1479" s="253"/>
      <c r="J1479" s="253"/>
      <c r="K1479" s="253"/>
      <c r="L1479" s="253"/>
      <c r="M1479" s="253"/>
      <c r="N1479" s="253"/>
      <c r="O1479" s="253"/>
      <c r="P1479" s="253"/>
      <c r="Q1479" s="253"/>
    </row>
    <row r="1480" spans="1:17">
      <c r="A1480" s="253"/>
      <c r="B1480" s="253"/>
      <c r="C1480" s="253"/>
      <c r="D1480" s="253"/>
      <c r="E1480" s="253"/>
      <c r="F1480" s="253"/>
      <c r="G1480" s="253"/>
      <c r="H1480" s="253"/>
      <c r="I1480" s="253"/>
      <c r="J1480" s="253"/>
      <c r="K1480" s="253"/>
      <c r="L1480" s="253"/>
      <c r="M1480" s="253"/>
      <c r="N1480" s="253"/>
      <c r="O1480" s="253"/>
      <c r="P1480" s="253"/>
      <c r="Q1480" s="253"/>
    </row>
    <row r="1481" spans="1:17">
      <c r="A1481" s="253"/>
      <c r="B1481" s="253"/>
      <c r="C1481" s="253"/>
      <c r="D1481" s="253"/>
      <c r="E1481" s="253"/>
      <c r="F1481" s="253"/>
      <c r="G1481" s="253"/>
      <c r="H1481" s="253"/>
      <c r="I1481" s="253"/>
      <c r="J1481" s="253"/>
      <c r="K1481" s="253"/>
      <c r="L1481" s="253"/>
      <c r="M1481" s="253"/>
      <c r="N1481" s="253"/>
      <c r="O1481" s="253"/>
      <c r="P1481" s="253"/>
      <c r="Q1481" s="253"/>
    </row>
    <row r="1482" spans="1:17">
      <c r="A1482" s="253"/>
      <c r="B1482" s="253"/>
      <c r="C1482" s="253"/>
      <c r="D1482" s="253"/>
      <c r="E1482" s="253"/>
      <c r="F1482" s="253"/>
      <c r="G1482" s="253"/>
      <c r="H1482" s="253"/>
      <c r="I1482" s="253"/>
      <c r="J1482" s="253"/>
      <c r="K1482" s="253"/>
      <c r="L1482" s="253"/>
      <c r="M1482" s="253"/>
      <c r="N1482" s="253"/>
      <c r="O1482" s="253"/>
      <c r="P1482" s="253"/>
      <c r="Q1482" s="253"/>
    </row>
    <row r="1483" spans="1:17">
      <c r="A1483" s="253"/>
      <c r="B1483" s="253"/>
      <c r="C1483" s="253"/>
      <c r="D1483" s="253"/>
      <c r="E1483" s="253"/>
      <c r="F1483" s="253"/>
      <c r="G1483" s="253"/>
      <c r="H1483" s="253"/>
      <c r="I1483" s="253"/>
      <c r="J1483" s="253"/>
      <c r="K1483" s="253"/>
      <c r="L1483" s="253"/>
      <c r="M1483" s="253"/>
      <c r="N1483" s="253"/>
      <c r="O1483" s="253"/>
      <c r="P1483" s="253"/>
      <c r="Q1483" s="253"/>
    </row>
    <row r="1484" spans="1:17">
      <c r="A1484" s="253"/>
      <c r="B1484" s="253"/>
      <c r="C1484" s="253"/>
      <c r="D1484" s="253"/>
      <c r="E1484" s="253"/>
      <c r="F1484" s="253"/>
      <c r="G1484" s="253"/>
      <c r="H1484" s="253"/>
      <c r="I1484" s="253"/>
      <c r="J1484" s="253"/>
      <c r="K1484" s="253"/>
      <c r="L1484" s="253"/>
      <c r="M1484" s="253"/>
      <c r="N1484" s="253"/>
      <c r="O1484" s="253"/>
      <c r="P1484" s="253"/>
      <c r="Q1484" s="253"/>
    </row>
    <row r="1485" spans="1:17">
      <c r="A1485" s="253"/>
      <c r="B1485" s="253"/>
      <c r="C1485" s="253"/>
      <c r="D1485" s="253"/>
      <c r="E1485" s="253"/>
      <c r="F1485" s="253"/>
      <c r="G1485" s="253"/>
      <c r="H1485" s="253"/>
      <c r="I1485" s="253"/>
      <c r="J1485" s="253"/>
      <c r="K1485" s="253"/>
      <c r="L1485" s="253"/>
      <c r="M1485" s="253"/>
      <c r="N1485" s="253"/>
      <c r="O1485" s="253"/>
      <c r="P1485" s="253"/>
      <c r="Q1485" s="253"/>
    </row>
    <row r="1486" spans="1:17">
      <c r="A1486" s="253"/>
      <c r="B1486" s="253"/>
      <c r="C1486" s="253"/>
      <c r="D1486" s="253"/>
      <c r="E1486" s="253"/>
      <c r="F1486" s="253"/>
      <c r="G1486" s="253"/>
      <c r="H1486" s="253"/>
      <c r="I1486" s="253"/>
      <c r="J1486" s="253"/>
      <c r="K1486" s="253"/>
      <c r="L1486" s="253"/>
      <c r="M1486" s="253"/>
      <c r="N1486" s="253"/>
      <c r="O1486" s="253"/>
      <c r="P1486" s="253"/>
      <c r="Q1486" s="253"/>
    </row>
    <row r="1487" spans="1:17">
      <c r="A1487" s="253"/>
      <c r="B1487" s="253"/>
      <c r="C1487" s="253"/>
      <c r="D1487" s="253"/>
      <c r="E1487" s="253"/>
      <c r="F1487" s="253"/>
      <c r="G1487" s="253"/>
      <c r="H1487" s="253"/>
      <c r="I1487" s="253"/>
      <c r="J1487" s="253"/>
      <c r="K1487" s="253"/>
      <c r="L1487" s="253"/>
      <c r="M1487" s="253"/>
      <c r="N1487" s="253"/>
      <c r="O1487" s="253"/>
      <c r="P1487" s="253"/>
      <c r="Q1487" s="253"/>
    </row>
    <row r="1488" spans="1:17">
      <c r="A1488" s="253"/>
      <c r="B1488" s="253"/>
      <c r="C1488" s="253"/>
      <c r="D1488" s="253"/>
      <c r="E1488" s="253"/>
      <c r="F1488" s="253"/>
      <c r="G1488" s="253"/>
      <c r="H1488" s="253"/>
      <c r="I1488" s="253"/>
      <c r="J1488" s="253"/>
      <c r="K1488" s="253"/>
      <c r="L1488" s="253"/>
      <c r="M1488" s="253"/>
      <c r="N1488" s="253"/>
      <c r="O1488" s="253"/>
      <c r="P1488" s="253"/>
      <c r="Q1488" s="253"/>
    </row>
    <row r="1489" spans="1:17">
      <c r="A1489" s="253"/>
      <c r="B1489" s="253"/>
      <c r="C1489" s="253"/>
      <c r="D1489" s="253"/>
      <c r="E1489" s="253"/>
      <c r="F1489" s="253"/>
      <c r="G1489" s="253"/>
      <c r="H1489" s="253"/>
      <c r="I1489" s="253"/>
      <c r="J1489" s="253"/>
      <c r="K1489" s="253"/>
      <c r="L1489" s="253"/>
      <c r="M1489" s="253"/>
      <c r="N1489" s="253"/>
      <c r="O1489" s="253"/>
      <c r="P1489" s="253"/>
      <c r="Q1489" s="253"/>
    </row>
    <row r="1490" spans="1:17">
      <c r="A1490" s="253"/>
      <c r="B1490" s="253"/>
      <c r="C1490" s="253"/>
      <c r="D1490" s="253"/>
      <c r="E1490" s="253"/>
      <c r="F1490" s="253"/>
      <c r="G1490" s="253"/>
      <c r="H1490" s="253"/>
      <c r="I1490" s="253"/>
      <c r="J1490" s="253"/>
      <c r="K1490" s="253"/>
      <c r="L1490" s="253"/>
      <c r="M1490" s="253"/>
      <c r="N1490" s="253"/>
      <c r="O1490" s="253"/>
      <c r="P1490" s="253"/>
      <c r="Q1490" s="253"/>
    </row>
    <row r="1491" spans="1:17">
      <c r="A1491" s="253"/>
      <c r="B1491" s="253"/>
      <c r="C1491" s="253"/>
      <c r="D1491" s="253"/>
      <c r="E1491" s="253"/>
      <c r="F1491" s="253"/>
      <c r="G1491" s="253"/>
      <c r="H1491" s="253"/>
      <c r="I1491" s="253"/>
      <c r="J1491" s="253"/>
      <c r="K1491" s="253"/>
      <c r="L1491" s="253"/>
      <c r="M1491" s="253"/>
      <c r="N1491" s="253"/>
      <c r="O1491" s="253"/>
      <c r="P1491" s="253"/>
      <c r="Q1491" s="253"/>
    </row>
    <row r="1492" spans="1:17">
      <c r="A1492" s="253"/>
      <c r="B1492" s="253"/>
      <c r="C1492" s="253"/>
      <c r="D1492" s="253"/>
      <c r="E1492" s="253"/>
      <c r="F1492" s="253"/>
      <c r="G1492" s="253"/>
      <c r="H1492" s="253"/>
      <c r="I1492" s="253"/>
      <c r="J1492" s="253"/>
      <c r="K1492" s="253"/>
      <c r="L1492" s="253"/>
      <c r="M1492" s="253"/>
      <c r="N1492" s="253"/>
      <c r="O1492" s="253"/>
      <c r="P1492" s="253"/>
      <c r="Q1492" s="253"/>
    </row>
    <row r="1493" spans="1:17">
      <c r="A1493" s="253"/>
      <c r="B1493" s="253"/>
      <c r="C1493" s="253"/>
      <c r="D1493" s="253"/>
      <c r="E1493" s="253"/>
      <c r="F1493" s="253"/>
      <c r="G1493" s="253"/>
      <c r="H1493" s="253"/>
      <c r="I1493" s="253"/>
      <c r="J1493" s="253"/>
      <c r="K1493" s="253"/>
      <c r="L1493" s="253"/>
      <c r="M1493" s="253"/>
      <c r="N1493" s="253"/>
      <c r="O1493" s="253"/>
      <c r="P1493" s="253"/>
      <c r="Q1493" s="253"/>
    </row>
    <row r="1494" spans="1:17">
      <c r="A1494" s="253"/>
      <c r="B1494" s="253"/>
      <c r="C1494" s="253"/>
      <c r="D1494" s="253"/>
      <c r="E1494" s="253"/>
      <c r="F1494" s="253"/>
      <c r="G1494" s="253"/>
      <c r="H1494" s="253"/>
      <c r="I1494" s="253"/>
      <c r="J1494" s="253"/>
      <c r="K1494" s="253"/>
      <c r="L1494" s="253"/>
      <c r="M1494" s="253"/>
      <c r="N1494" s="253"/>
      <c r="O1494" s="253"/>
      <c r="P1494" s="253"/>
      <c r="Q1494" s="253"/>
    </row>
    <row r="1495" spans="1:17">
      <c r="A1495" s="253"/>
      <c r="B1495" s="253"/>
      <c r="C1495" s="253"/>
      <c r="D1495" s="253"/>
      <c r="E1495" s="253"/>
      <c r="F1495" s="253"/>
      <c r="G1495" s="253"/>
      <c r="H1495" s="253"/>
      <c r="I1495" s="253"/>
      <c r="J1495" s="253"/>
      <c r="K1495" s="253"/>
      <c r="L1495" s="253"/>
      <c r="M1495" s="253"/>
      <c r="N1495" s="253"/>
      <c r="O1495" s="253"/>
      <c r="P1495" s="253"/>
      <c r="Q1495" s="253"/>
    </row>
    <row r="1496" spans="1:17">
      <c r="A1496" s="253"/>
      <c r="B1496" s="253"/>
      <c r="C1496" s="253"/>
      <c r="D1496" s="253"/>
      <c r="E1496" s="253"/>
      <c r="F1496" s="253"/>
      <c r="G1496" s="253"/>
      <c r="H1496" s="253"/>
      <c r="I1496" s="253"/>
      <c r="J1496" s="253"/>
      <c r="K1496" s="253"/>
      <c r="L1496" s="253"/>
      <c r="M1496" s="253"/>
      <c r="N1496" s="253"/>
      <c r="O1496" s="253"/>
      <c r="P1496" s="253"/>
      <c r="Q1496" s="253"/>
    </row>
    <row r="1497" spans="1:17">
      <c r="A1497" s="253"/>
      <c r="B1497" s="253"/>
      <c r="C1497" s="253"/>
      <c r="D1497" s="253"/>
      <c r="E1497" s="253"/>
      <c r="F1497" s="253"/>
      <c r="G1497" s="253"/>
      <c r="H1497" s="253"/>
      <c r="I1497" s="253"/>
      <c r="J1497" s="253"/>
      <c r="K1497" s="253"/>
      <c r="L1497" s="253"/>
      <c r="M1497" s="253"/>
      <c r="N1497" s="253"/>
      <c r="O1497" s="253"/>
      <c r="P1497" s="253"/>
      <c r="Q1497" s="253"/>
    </row>
    <row r="1498" spans="1:17">
      <c r="A1498" s="253"/>
      <c r="B1498" s="253"/>
      <c r="C1498" s="253"/>
      <c r="D1498" s="253"/>
      <c r="E1498" s="253"/>
      <c r="F1498" s="253"/>
      <c r="G1498" s="253"/>
      <c r="H1498" s="253"/>
      <c r="I1498" s="253"/>
      <c r="J1498" s="253"/>
      <c r="K1498" s="253"/>
      <c r="L1498" s="253"/>
      <c r="M1498" s="253"/>
      <c r="N1498" s="253"/>
      <c r="O1498" s="253"/>
      <c r="P1498" s="253"/>
      <c r="Q1498" s="253"/>
    </row>
    <row r="1499" spans="1:17">
      <c r="A1499" s="253"/>
      <c r="B1499" s="253"/>
      <c r="C1499" s="253"/>
      <c r="D1499" s="253"/>
      <c r="E1499" s="253"/>
      <c r="F1499" s="253"/>
      <c r="G1499" s="253"/>
      <c r="H1499" s="253"/>
      <c r="I1499" s="253"/>
      <c r="J1499" s="253"/>
      <c r="K1499" s="253"/>
      <c r="L1499" s="253"/>
      <c r="M1499" s="253"/>
      <c r="N1499" s="253"/>
      <c r="O1499" s="253"/>
      <c r="P1499" s="253"/>
      <c r="Q1499" s="253"/>
    </row>
    <row r="1500" spans="1:17">
      <c r="A1500" s="253"/>
      <c r="B1500" s="253"/>
      <c r="C1500" s="253"/>
      <c r="D1500" s="253"/>
      <c r="E1500" s="253"/>
      <c r="F1500" s="253"/>
      <c r="G1500" s="253"/>
      <c r="H1500" s="253"/>
      <c r="I1500" s="253"/>
      <c r="J1500" s="253"/>
      <c r="K1500" s="253"/>
      <c r="L1500" s="253"/>
      <c r="M1500" s="253"/>
      <c r="N1500" s="253"/>
      <c r="O1500" s="253"/>
      <c r="P1500" s="253"/>
      <c r="Q1500" s="253"/>
    </row>
    <row r="1501" spans="1:17">
      <c r="A1501" s="253"/>
      <c r="B1501" s="253"/>
      <c r="C1501" s="253"/>
      <c r="D1501" s="253"/>
      <c r="E1501" s="253"/>
      <c r="F1501" s="253"/>
      <c r="G1501" s="253"/>
      <c r="H1501" s="253"/>
      <c r="I1501" s="253"/>
      <c r="J1501" s="253"/>
      <c r="K1501" s="253"/>
      <c r="L1501" s="253"/>
      <c r="M1501" s="253"/>
      <c r="N1501" s="253"/>
      <c r="O1501" s="253"/>
      <c r="P1501" s="253"/>
      <c r="Q1501" s="253"/>
    </row>
    <row r="1502" spans="1:17">
      <c r="A1502" s="253"/>
      <c r="B1502" s="253"/>
      <c r="C1502" s="253"/>
      <c r="D1502" s="253"/>
      <c r="E1502" s="253"/>
      <c r="F1502" s="253"/>
      <c r="G1502" s="253"/>
      <c r="H1502" s="253"/>
      <c r="I1502" s="253"/>
      <c r="J1502" s="253"/>
      <c r="K1502" s="253"/>
      <c r="L1502" s="253"/>
      <c r="M1502" s="253"/>
      <c r="N1502" s="253"/>
      <c r="O1502" s="253"/>
      <c r="P1502" s="253"/>
      <c r="Q1502" s="253"/>
    </row>
    <row r="1503" spans="1:17">
      <c r="A1503" s="253"/>
      <c r="B1503" s="253"/>
      <c r="C1503" s="253"/>
      <c r="D1503" s="253"/>
      <c r="E1503" s="253"/>
      <c r="F1503" s="253"/>
      <c r="G1503" s="253"/>
      <c r="H1503" s="253"/>
      <c r="I1503" s="253"/>
      <c r="J1503" s="253"/>
      <c r="K1503" s="253"/>
      <c r="L1503" s="253"/>
      <c r="M1503" s="253"/>
      <c r="N1503" s="253"/>
      <c r="O1503" s="253"/>
      <c r="P1503" s="253"/>
      <c r="Q1503" s="253"/>
    </row>
    <row r="1504" spans="1:17">
      <c r="A1504" s="253"/>
      <c r="B1504" s="253"/>
      <c r="C1504" s="253"/>
      <c r="D1504" s="253"/>
      <c r="E1504" s="253"/>
      <c r="F1504" s="253"/>
      <c r="G1504" s="253"/>
      <c r="H1504" s="253"/>
      <c r="I1504" s="253"/>
      <c r="J1504" s="253"/>
      <c r="K1504" s="253"/>
      <c r="L1504" s="253"/>
      <c r="M1504" s="253"/>
      <c r="N1504" s="253"/>
      <c r="O1504" s="253"/>
      <c r="P1504" s="253"/>
      <c r="Q1504" s="253"/>
    </row>
    <row r="1505" spans="1:17">
      <c r="A1505" s="253"/>
      <c r="B1505" s="253"/>
      <c r="C1505" s="253"/>
      <c r="D1505" s="253"/>
      <c r="E1505" s="253"/>
      <c r="F1505" s="253"/>
      <c r="G1505" s="253"/>
      <c r="H1505" s="253"/>
      <c r="I1505" s="253"/>
      <c r="J1505" s="253"/>
      <c r="K1505" s="253"/>
      <c r="L1505" s="253"/>
      <c r="M1505" s="253"/>
      <c r="N1505" s="253"/>
      <c r="O1505" s="253"/>
      <c r="P1505" s="253"/>
      <c r="Q1505" s="253"/>
    </row>
    <row r="1506" spans="1:17">
      <c r="A1506" s="253"/>
      <c r="B1506" s="253"/>
      <c r="C1506" s="253"/>
      <c r="D1506" s="253"/>
      <c r="E1506" s="253"/>
      <c r="F1506" s="253"/>
      <c r="G1506" s="253"/>
      <c r="H1506" s="253"/>
      <c r="I1506" s="253"/>
      <c r="J1506" s="253"/>
      <c r="K1506" s="253"/>
      <c r="L1506" s="253"/>
      <c r="M1506" s="253"/>
      <c r="N1506" s="253"/>
      <c r="O1506" s="253"/>
      <c r="P1506" s="253"/>
      <c r="Q1506" s="253"/>
    </row>
    <row r="1507" spans="1:17">
      <c r="A1507" s="253"/>
      <c r="B1507" s="253"/>
      <c r="C1507" s="253"/>
      <c r="D1507" s="253"/>
      <c r="E1507" s="253"/>
      <c r="F1507" s="253"/>
      <c r="G1507" s="253"/>
      <c r="H1507" s="253"/>
      <c r="I1507" s="253"/>
      <c r="J1507" s="253"/>
      <c r="K1507" s="253"/>
      <c r="L1507" s="253"/>
      <c r="M1507" s="253"/>
      <c r="N1507" s="253"/>
      <c r="O1507" s="253"/>
      <c r="P1507" s="253"/>
      <c r="Q1507" s="253"/>
    </row>
    <row r="1508" spans="1:17">
      <c r="A1508" s="253"/>
      <c r="B1508" s="253"/>
      <c r="C1508" s="253"/>
      <c r="D1508" s="253"/>
      <c r="E1508" s="253"/>
      <c r="F1508" s="253"/>
      <c r="G1508" s="253"/>
      <c r="H1508" s="253"/>
      <c r="I1508" s="253"/>
      <c r="J1508" s="253"/>
      <c r="K1508" s="253"/>
      <c r="L1508" s="253"/>
      <c r="M1508" s="253"/>
      <c r="N1508" s="253"/>
      <c r="O1508" s="253"/>
      <c r="P1508" s="253"/>
      <c r="Q1508" s="253"/>
    </row>
    <row r="1509" spans="1:17">
      <c r="A1509" s="253"/>
      <c r="B1509" s="253"/>
      <c r="C1509" s="253"/>
      <c r="D1509" s="253"/>
      <c r="E1509" s="253"/>
      <c r="F1509" s="253"/>
      <c r="G1509" s="253"/>
      <c r="H1509" s="253"/>
      <c r="I1509" s="253"/>
      <c r="J1509" s="253"/>
      <c r="K1509" s="253"/>
      <c r="L1509" s="253"/>
      <c r="M1509" s="253"/>
      <c r="N1509" s="253"/>
      <c r="O1509" s="253"/>
      <c r="P1509" s="253"/>
      <c r="Q1509" s="253"/>
    </row>
    <row r="1510" spans="1:17">
      <c r="A1510" s="253"/>
      <c r="B1510" s="253"/>
      <c r="C1510" s="253"/>
      <c r="D1510" s="253"/>
      <c r="E1510" s="253"/>
      <c r="F1510" s="253"/>
      <c r="G1510" s="253"/>
      <c r="H1510" s="253"/>
      <c r="I1510" s="253"/>
      <c r="J1510" s="253"/>
      <c r="K1510" s="253"/>
      <c r="L1510" s="253"/>
      <c r="M1510" s="253"/>
      <c r="N1510" s="253"/>
      <c r="O1510" s="253"/>
      <c r="P1510" s="253"/>
      <c r="Q1510" s="253"/>
    </row>
    <row r="1511" spans="1:17">
      <c r="A1511" s="253"/>
      <c r="B1511" s="253"/>
      <c r="C1511" s="253"/>
      <c r="D1511" s="253"/>
      <c r="E1511" s="253"/>
      <c r="F1511" s="253"/>
      <c r="G1511" s="253"/>
      <c r="H1511" s="253"/>
      <c r="I1511" s="253"/>
      <c r="J1511" s="253"/>
      <c r="K1511" s="253"/>
      <c r="L1511" s="253"/>
      <c r="M1511" s="253"/>
      <c r="N1511" s="253"/>
      <c r="O1511" s="253"/>
      <c r="P1511" s="253"/>
      <c r="Q1511" s="253"/>
    </row>
    <row r="1512" spans="1:17">
      <c r="A1512" s="253"/>
      <c r="B1512" s="253"/>
      <c r="C1512" s="253"/>
      <c r="D1512" s="253"/>
      <c r="E1512" s="253"/>
      <c r="F1512" s="253"/>
      <c r="G1512" s="253"/>
      <c r="H1512" s="253"/>
      <c r="I1512" s="253"/>
      <c r="J1512" s="253"/>
      <c r="K1512" s="253"/>
      <c r="L1512" s="253"/>
      <c r="M1512" s="253"/>
      <c r="N1512" s="253"/>
      <c r="O1512" s="253"/>
      <c r="P1512" s="253"/>
      <c r="Q1512" s="253"/>
    </row>
    <row r="1513" spans="1:17">
      <c r="A1513" s="253"/>
      <c r="B1513" s="253"/>
      <c r="C1513" s="253"/>
      <c r="D1513" s="253"/>
      <c r="E1513" s="253"/>
      <c r="F1513" s="253"/>
      <c r="G1513" s="253"/>
      <c r="H1513" s="253"/>
      <c r="I1513" s="253"/>
      <c r="J1513" s="253"/>
      <c r="K1513" s="253"/>
      <c r="L1513" s="253"/>
      <c r="M1513" s="253"/>
      <c r="N1513" s="253"/>
      <c r="O1513" s="253"/>
      <c r="P1513" s="253"/>
      <c r="Q1513" s="253"/>
    </row>
    <row r="1514" spans="1:17">
      <c r="A1514" s="253"/>
      <c r="B1514" s="253"/>
      <c r="C1514" s="253"/>
      <c r="D1514" s="253"/>
      <c r="E1514" s="253"/>
      <c r="F1514" s="253"/>
      <c r="G1514" s="253"/>
      <c r="H1514" s="253"/>
      <c r="I1514" s="253"/>
      <c r="J1514" s="253"/>
      <c r="K1514" s="253"/>
      <c r="L1514" s="253"/>
      <c r="M1514" s="253"/>
      <c r="N1514" s="253"/>
      <c r="O1514" s="253"/>
      <c r="P1514" s="253"/>
      <c r="Q1514" s="253"/>
    </row>
    <row r="1515" spans="1:17">
      <c r="A1515" s="253"/>
      <c r="B1515" s="253"/>
      <c r="C1515" s="253"/>
      <c r="D1515" s="253"/>
      <c r="E1515" s="253"/>
      <c r="F1515" s="253"/>
      <c r="G1515" s="253"/>
      <c r="H1515" s="253"/>
      <c r="I1515" s="253"/>
      <c r="J1515" s="253"/>
      <c r="K1515" s="253"/>
      <c r="L1515" s="253"/>
      <c r="M1515" s="253"/>
      <c r="N1515" s="253"/>
      <c r="O1515" s="253"/>
      <c r="P1515" s="253"/>
      <c r="Q1515" s="253"/>
    </row>
    <row r="1516" spans="1:17">
      <c r="A1516" s="253"/>
      <c r="B1516" s="253"/>
      <c r="C1516" s="253"/>
      <c r="D1516" s="253"/>
      <c r="E1516" s="253"/>
      <c r="F1516" s="253"/>
      <c r="G1516" s="253"/>
      <c r="H1516" s="253"/>
      <c r="I1516" s="253"/>
      <c r="J1516" s="253"/>
      <c r="K1516" s="253"/>
      <c r="L1516" s="253"/>
      <c r="M1516" s="253"/>
      <c r="N1516" s="253"/>
      <c r="O1516" s="253"/>
      <c r="P1516" s="253"/>
      <c r="Q1516" s="253"/>
    </row>
    <row r="1517" spans="1:17">
      <c r="A1517" s="253"/>
      <c r="B1517" s="253"/>
      <c r="C1517" s="253"/>
      <c r="D1517" s="253"/>
      <c r="E1517" s="253"/>
      <c r="F1517" s="253"/>
      <c r="G1517" s="253"/>
      <c r="H1517" s="253"/>
      <c r="I1517" s="253"/>
      <c r="J1517" s="253"/>
      <c r="K1517" s="253"/>
      <c r="L1517" s="253"/>
      <c r="M1517" s="253"/>
      <c r="N1517" s="253"/>
      <c r="O1517" s="253"/>
      <c r="P1517" s="253"/>
      <c r="Q1517" s="253"/>
    </row>
    <row r="1518" spans="1:17">
      <c r="A1518" s="253"/>
      <c r="B1518" s="253"/>
      <c r="C1518" s="253"/>
      <c r="D1518" s="253"/>
      <c r="E1518" s="253"/>
      <c r="F1518" s="253"/>
      <c r="G1518" s="253"/>
      <c r="H1518" s="253"/>
      <c r="I1518" s="253"/>
      <c r="J1518" s="253"/>
      <c r="K1518" s="253"/>
      <c r="L1518" s="253"/>
      <c r="M1518" s="253"/>
      <c r="N1518" s="253"/>
      <c r="O1518" s="253"/>
      <c r="P1518" s="253"/>
      <c r="Q1518" s="253"/>
    </row>
    <row r="1519" spans="1:17">
      <c r="A1519" s="253"/>
      <c r="B1519" s="253"/>
      <c r="C1519" s="253"/>
      <c r="D1519" s="253"/>
      <c r="E1519" s="253"/>
      <c r="F1519" s="253"/>
      <c r="G1519" s="253"/>
      <c r="H1519" s="253"/>
      <c r="I1519" s="253"/>
      <c r="J1519" s="253"/>
      <c r="K1519" s="253"/>
      <c r="L1519" s="253"/>
      <c r="M1519" s="253"/>
      <c r="N1519" s="253"/>
      <c r="O1519" s="253"/>
      <c r="P1519" s="253"/>
      <c r="Q1519" s="253"/>
    </row>
    <row r="1520" spans="1:17">
      <c r="A1520" s="253"/>
      <c r="B1520" s="253"/>
      <c r="C1520" s="253"/>
      <c r="D1520" s="253"/>
      <c r="E1520" s="253"/>
      <c r="F1520" s="253"/>
      <c r="G1520" s="253"/>
      <c r="H1520" s="253"/>
      <c r="I1520" s="253"/>
      <c r="J1520" s="253"/>
      <c r="K1520" s="253"/>
      <c r="L1520" s="253"/>
      <c r="M1520" s="253"/>
      <c r="N1520" s="253"/>
      <c r="O1520" s="253"/>
      <c r="P1520" s="253"/>
      <c r="Q1520" s="253"/>
    </row>
    <row r="1521" spans="1:17">
      <c r="A1521" s="253"/>
      <c r="B1521" s="253"/>
      <c r="C1521" s="253"/>
      <c r="D1521" s="253"/>
      <c r="E1521" s="253"/>
      <c r="F1521" s="253"/>
      <c r="G1521" s="253"/>
      <c r="H1521" s="253"/>
      <c r="I1521" s="253"/>
      <c r="J1521" s="253"/>
      <c r="K1521" s="253"/>
      <c r="L1521" s="253"/>
      <c r="M1521" s="253"/>
      <c r="N1521" s="253"/>
      <c r="O1521" s="253"/>
      <c r="P1521" s="253"/>
      <c r="Q1521" s="253"/>
    </row>
    <row r="1522" spans="1:17">
      <c r="A1522" s="253"/>
      <c r="B1522" s="253"/>
      <c r="C1522" s="253"/>
      <c r="D1522" s="253"/>
      <c r="E1522" s="253"/>
      <c r="F1522" s="253"/>
      <c r="G1522" s="253"/>
      <c r="H1522" s="253"/>
      <c r="I1522" s="253"/>
      <c r="J1522" s="253"/>
      <c r="K1522" s="253"/>
      <c r="L1522" s="253"/>
      <c r="M1522" s="253"/>
      <c r="N1522" s="253"/>
      <c r="O1522" s="253"/>
      <c r="P1522" s="253"/>
      <c r="Q1522" s="253"/>
    </row>
    <row r="1523" spans="1:17">
      <c r="A1523" s="253"/>
      <c r="B1523" s="253"/>
      <c r="C1523" s="253"/>
      <c r="D1523" s="253"/>
      <c r="E1523" s="253"/>
      <c r="F1523" s="253"/>
      <c r="G1523" s="253"/>
      <c r="H1523" s="253"/>
      <c r="I1523" s="253"/>
      <c r="J1523" s="253"/>
      <c r="K1523" s="253"/>
      <c r="L1523" s="253"/>
      <c r="M1523" s="253"/>
      <c r="N1523" s="253"/>
      <c r="O1523" s="253"/>
      <c r="P1523" s="253"/>
      <c r="Q1523" s="253"/>
    </row>
    <row r="1524" spans="1:17">
      <c r="A1524" s="253"/>
      <c r="B1524" s="253"/>
      <c r="C1524" s="253"/>
      <c r="D1524" s="253"/>
      <c r="E1524" s="253"/>
      <c r="F1524" s="253"/>
      <c r="G1524" s="253"/>
      <c r="H1524" s="253"/>
      <c r="I1524" s="253"/>
      <c r="J1524" s="253"/>
      <c r="K1524" s="253"/>
      <c r="L1524" s="253"/>
      <c r="M1524" s="253"/>
      <c r="N1524" s="253"/>
      <c r="O1524" s="253"/>
      <c r="P1524" s="253"/>
      <c r="Q1524" s="253"/>
    </row>
    <row r="1525" spans="1:17">
      <c r="A1525" s="253"/>
      <c r="B1525" s="253"/>
      <c r="C1525" s="253"/>
      <c r="D1525" s="253"/>
      <c r="E1525" s="253"/>
      <c r="F1525" s="253"/>
      <c r="G1525" s="253"/>
      <c r="H1525" s="253"/>
      <c r="I1525" s="253"/>
      <c r="J1525" s="253"/>
      <c r="K1525" s="253"/>
      <c r="L1525" s="253"/>
      <c r="M1525" s="253"/>
      <c r="N1525" s="253"/>
      <c r="O1525" s="253"/>
      <c r="P1525" s="253"/>
      <c r="Q1525" s="253"/>
    </row>
    <row r="1526" spans="1:17">
      <c r="A1526" s="253"/>
      <c r="B1526" s="253"/>
      <c r="C1526" s="253"/>
      <c r="D1526" s="253"/>
      <c r="E1526" s="253"/>
      <c r="F1526" s="253"/>
      <c r="G1526" s="253"/>
      <c r="H1526" s="253"/>
      <c r="I1526" s="253"/>
      <c r="J1526" s="253"/>
      <c r="K1526" s="253"/>
      <c r="L1526" s="253"/>
      <c r="M1526" s="253"/>
      <c r="N1526" s="253"/>
      <c r="O1526" s="253"/>
      <c r="P1526" s="253"/>
      <c r="Q1526" s="253"/>
    </row>
    <row r="1527" spans="1:17">
      <c r="A1527" s="253"/>
      <c r="B1527" s="253"/>
      <c r="C1527" s="253"/>
      <c r="D1527" s="253"/>
      <c r="E1527" s="253"/>
      <c r="F1527" s="253"/>
      <c r="G1527" s="253"/>
      <c r="H1527" s="253"/>
      <c r="I1527" s="253"/>
      <c r="J1527" s="253"/>
      <c r="K1527" s="253"/>
      <c r="L1527" s="253"/>
      <c r="M1527" s="253"/>
      <c r="N1527" s="253"/>
      <c r="O1527" s="253"/>
      <c r="P1527" s="253"/>
      <c r="Q1527" s="253"/>
    </row>
    <row r="1528" spans="1:17">
      <c r="A1528" s="253"/>
      <c r="B1528" s="253"/>
      <c r="C1528" s="253"/>
      <c r="D1528" s="253"/>
      <c r="E1528" s="253"/>
      <c r="F1528" s="253"/>
      <c r="G1528" s="253"/>
      <c r="H1528" s="253"/>
      <c r="I1528" s="253"/>
      <c r="J1528" s="253"/>
      <c r="K1528" s="253"/>
      <c r="L1528" s="253"/>
      <c r="M1528" s="253"/>
      <c r="N1528" s="253"/>
      <c r="O1528" s="253"/>
      <c r="P1528" s="253"/>
      <c r="Q1528" s="253"/>
    </row>
    <row r="1529" spans="1:17">
      <c r="A1529" s="253"/>
      <c r="B1529" s="253"/>
      <c r="C1529" s="253"/>
      <c r="D1529" s="253"/>
      <c r="E1529" s="253"/>
      <c r="F1529" s="253"/>
      <c r="G1529" s="253"/>
      <c r="H1529" s="253"/>
      <c r="I1529" s="253"/>
      <c r="J1529" s="253"/>
      <c r="K1529" s="253"/>
      <c r="L1529" s="253"/>
      <c r="M1529" s="253"/>
      <c r="N1529" s="253"/>
      <c r="O1529" s="253"/>
      <c r="P1529" s="253"/>
      <c r="Q1529" s="253"/>
    </row>
    <row r="1530" spans="1:17">
      <c r="A1530" s="253"/>
      <c r="B1530" s="253"/>
      <c r="C1530" s="253"/>
      <c r="D1530" s="253"/>
      <c r="E1530" s="253"/>
      <c r="F1530" s="253"/>
      <c r="G1530" s="253"/>
      <c r="H1530" s="253"/>
      <c r="I1530" s="253"/>
      <c r="J1530" s="253"/>
      <c r="K1530" s="253"/>
      <c r="L1530" s="253"/>
      <c r="M1530" s="253"/>
      <c r="N1530" s="253"/>
      <c r="O1530" s="253"/>
      <c r="P1530" s="253"/>
      <c r="Q1530" s="253"/>
    </row>
    <row r="1531" spans="1:17">
      <c r="A1531" s="253"/>
      <c r="B1531" s="253"/>
      <c r="C1531" s="253"/>
      <c r="D1531" s="253"/>
      <c r="E1531" s="253"/>
      <c r="F1531" s="253"/>
      <c r="G1531" s="253"/>
      <c r="H1531" s="253"/>
      <c r="I1531" s="253"/>
      <c r="J1531" s="253"/>
      <c r="K1531" s="253"/>
      <c r="L1531" s="253"/>
      <c r="M1531" s="253"/>
      <c r="N1531" s="253"/>
      <c r="O1531" s="253"/>
      <c r="P1531" s="253"/>
      <c r="Q1531" s="253"/>
    </row>
    <row r="1532" spans="1:17">
      <c r="A1532" s="253"/>
      <c r="B1532" s="253"/>
      <c r="C1532" s="253"/>
      <c r="D1532" s="253"/>
      <c r="E1532" s="253"/>
      <c r="F1532" s="253"/>
      <c r="G1532" s="253"/>
      <c r="H1532" s="253"/>
      <c r="I1532" s="253"/>
      <c r="J1532" s="253"/>
      <c r="K1532" s="253"/>
      <c r="L1532" s="253"/>
      <c r="M1532" s="253"/>
      <c r="N1532" s="253"/>
      <c r="O1532" s="253"/>
      <c r="P1532" s="253"/>
      <c r="Q1532" s="253"/>
    </row>
    <row r="1533" spans="1:17">
      <c r="A1533" s="253"/>
      <c r="B1533" s="253"/>
      <c r="C1533" s="253"/>
      <c r="D1533" s="253"/>
      <c r="E1533" s="253"/>
      <c r="F1533" s="253"/>
      <c r="G1533" s="253"/>
      <c r="H1533" s="253"/>
      <c r="I1533" s="253"/>
      <c r="J1533" s="253"/>
      <c r="K1533" s="253"/>
      <c r="L1533" s="253"/>
      <c r="M1533" s="253"/>
      <c r="N1533" s="253"/>
      <c r="O1533" s="253"/>
      <c r="P1533" s="253"/>
      <c r="Q1533" s="253"/>
    </row>
    <row r="1534" spans="1:17">
      <c r="A1534" s="253"/>
      <c r="B1534" s="253"/>
      <c r="C1534" s="253"/>
      <c r="D1534" s="253"/>
      <c r="E1534" s="253"/>
      <c r="F1534" s="253"/>
      <c r="G1534" s="253"/>
      <c r="H1534" s="253"/>
      <c r="I1534" s="253"/>
      <c r="J1534" s="253"/>
      <c r="K1534" s="253"/>
      <c r="L1534" s="253"/>
      <c r="M1534" s="253"/>
      <c r="N1534" s="253"/>
      <c r="O1534" s="253"/>
      <c r="P1534" s="253"/>
      <c r="Q1534" s="253"/>
    </row>
    <row r="1535" spans="1:17">
      <c r="A1535" s="253"/>
      <c r="B1535" s="253"/>
      <c r="C1535" s="253"/>
      <c r="D1535" s="253"/>
      <c r="E1535" s="253"/>
      <c r="F1535" s="253"/>
      <c r="G1535" s="253"/>
      <c r="H1535" s="253"/>
      <c r="I1535" s="253"/>
      <c r="J1535" s="253"/>
      <c r="K1535" s="253"/>
      <c r="L1535" s="253"/>
      <c r="M1535" s="253"/>
      <c r="N1535" s="253"/>
      <c r="O1535" s="253"/>
      <c r="P1535" s="253"/>
      <c r="Q1535" s="253"/>
    </row>
    <row r="1536" spans="1:17">
      <c r="A1536" s="253"/>
      <c r="B1536" s="253"/>
      <c r="C1536" s="253"/>
      <c r="D1536" s="253"/>
      <c r="E1536" s="253"/>
      <c r="F1536" s="253"/>
      <c r="G1536" s="253"/>
      <c r="H1536" s="253"/>
      <c r="I1536" s="253"/>
      <c r="J1536" s="253"/>
      <c r="K1536" s="253"/>
      <c r="L1536" s="253"/>
      <c r="M1536" s="253"/>
      <c r="N1536" s="253"/>
      <c r="O1536" s="253"/>
      <c r="P1536" s="253"/>
      <c r="Q1536" s="253"/>
    </row>
    <row r="1537" spans="1:17">
      <c r="A1537" s="253"/>
      <c r="B1537" s="253"/>
      <c r="C1537" s="253"/>
      <c r="D1537" s="253"/>
      <c r="E1537" s="253"/>
      <c r="F1537" s="253"/>
      <c r="G1537" s="253"/>
      <c r="H1537" s="253"/>
      <c r="I1537" s="253"/>
      <c r="J1537" s="253"/>
      <c r="K1537" s="253"/>
      <c r="L1537" s="253"/>
      <c r="M1537" s="253"/>
      <c r="N1537" s="253"/>
      <c r="O1537" s="253"/>
      <c r="P1537" s="253"/>
      <c r="Q1537" s="253"/>
    </row>
    <row r="1538" spans="1:17">
      <c r="A1538" s="253"/>
      <c r="B1538" s="253"/>
      <c r="C1538" s="253"/>
      <c r="D1538" s="253"/>
      <c r="E1538" s="253"/>
      <c r="F1538" s="253"/>
      <c r="G1538" s="253"/>
      <c r="H1538" s="253"/>
      <c r="I1538" s="253"/>
      <c r="J1538" s="253"/>
      <c r="K1538" s="253"/>
      <c r="L1538" s="253"/>
      <c r="M1538" s="253"/>
      <c r="N1538" s="253"/>
      <c r="O1538" s="253"/>
      <c r="P1538" s="253"/>
      <c r="Q1538" s="253"/>
    </row>
    <row r="1539" spans="1:17">
      <c r="A1539" s="253"/>
      <c r="B1539" s="253"/>
      <c r="C1539" s="253"/>
      <c r="D1539" s="253"/>
      <c r="E1539" s="253"/>
      <c r="F1539" s="253"/>
      <c r="G1539" s="253"/>
      <c r="H1539" s="253"/>
      <c r="I1539" s="253"/>
      <c r="J1539" s="253"/>
      <c r="K1539" s="253"/>
      <c r="L1539" s="253"/>
      <c r="M1539" s="253"/>
      <c r="N1539" s="253"/>
      <c r="O1539" s="253"/>
      <c r="P1539" s="253"/>
      <c r="Q1539" s="253"/>
    </row>
    <row r="1540" spans="1:17">
      <c r="A1540" s="253"/>
      <c r="B1540" s="253"/>
      <c r="C1540" s="253"/>
      <c r="D1540" s="253"/>
      <c r="E1540" s="253"/>
      <c r="F1540" s="253"/>
      <c r="G1540" s="253"/>
      <c r="H1540" s="253"/>
      <c r="I1540" s="253"/>
      <c r="J1540" s="253"/>
      <c r="K1540" s="253"/>
      <c r="L1540" s="253"/>
      <c r="M1540" s="253"/>
      <c r="N1540" s="253"/>
      <c r="O1540" s="253"/>
      <c r="P1540" s="253"/>
      <c r="Q1540" s="253"/>
    </row>
    <row r="1541" spans="1:17">
      <c r="A1541" s="253"/>
      <c r="B1541" s="253"/>
      <c r="C1541" s="253"/>
      <c r="D1541" s="253"/>
      <c r="E1541" s="253"/>
      <c r="F1541" s="253"/>
      <c r="G1541" s="253"/>
      <c r="H1541" s="253"/>
      <c r="I1541" s="253"/>
      <c r="J1541" s="253"/>
      <c r="K1541" s="253"/>
      <c r="L1541" s="253"/>
      <c r="M1541" s="253"/>
      <c r="N1541" s="253"/>
      <c r="O1541" s="253"/>
      <c r="P1541" s="253"/>
      <c r="Q1541" s="253"/>
    </row>
    <row r="1542" spans="1:17">
      <c r="A1542" s="253"/>
      <c r="B1542" s="253"/>
      <c r="C1542" s="253"/>
      <c r="D1542" s="253"/>
      <c r="E1542" s="253"/>
      <c r="F1542" s="253"/>
      <c r="G1542" s="253"/>
      <c r="H1542" s="253"/>
      <c r="I1542" s="253"/>
      <c r="J1542" s="253"/>
      <c r="K1542" s="253"/>
      <c r="L1542" s="253"/>
      <c r="M1542" s="253"/>
      <c r="N1542" s="253"/>
      <c r="O1542" s="253"/>
      <c r="P1542" s="253"/>
      <c r="Q1542" s="253"/>
    </row>
    <row r="1543" spans="1:17">
      <c r="A1543" s="253"/>
      <c r="B1543" s="253"/>
      <c r="C1543" s="253"/>
      <c r="D1543" s="253"/>
      <c r="E1543" s="253"/>
      <c r="F1543" s="253"/>
      <c r="G1543" s="253"/>
      <c r="H1543" s="253"/>
      <c r="I1543" s="253"/>
      <c r="J1543" s="253"/>
      <c r="K1543" s="253"/>
      <c r="L1543" s="253"/>
      <c r="M1543" s="253"/>
      <c r="N1543" s="253"/>
      <c r="O1543" s="253"/>
      <c r="P1543" s="253"/>
      <c r="Q1543" s="253"/>
    </row>
    <row r="1544" spans="1:17">
      <c r="A1544" s="253"/>
      <c r="B1544" s="253"/>
      <c r="C1544" s="253"/>
      <c r="D1544" s="253"/>
      <c r="E1544" s="253"/>
      <c r="F1544" s="253"/>
      <c r="G1544" s="253"/>
      <c r="H1544" s="253"/>
      <c r="I1544" s="253"/>
      <c r="J1544" s="253"/>
      <c r="K1544" s="253"/>
      <c r="L1544" s="253"/>
      <c r="M1544" s="253"/>
      <c r="N1544" s="253"/>
      <c r="O1544" s="253"/>
      <c r="P1544" s="253"/>
      <c r="Q1544" s="253"/>
    </row>
    <row r="1545" spans="1:17">
      <c r="A1545" s="253"/>
      <c r="B1545" s="253"/>
      <c r="C1545" s="253"/>
      <c r="D1545" s="253"/>
      <c r="E1545" s="253"/>
      <c r="F1545" s="253"/>
      <c r="G1545" s="253"/>
      <c r="H1545" s="253"/>
      <c r="I1545" s="253"/>
      <c r="J1545" s="253"/>
      <c r="K1545" s="253"/>
      <c r="L1545" s="253"/>
      <c r="M1545" s="253"/>
      <c r="N1545" s="253"/>
      <c r="O1545" s="253"/>
      <c r="P1545" s="253"/>
      <c r="Q1545" s="253"/>
    </row>
    <row r="1546" spans="1:17">
      <c r="A1546" s="253"/>
      <c r="B1546" s="253"/>
      <c r="C1546" s="253"/>
      <c r="D1546" s="253"/>
      <c r="E1546" s="253"/>
      <c r="F1546" s="253"/>
      <c r="G1546" s="253"/>
      <c r="H1546" s="253"/>
      <c r="I1546" s="253"/>
      <c r="J1546" s="253"/>
      <c r="K1546" s="253"/>
      <c r="L1546" s="253"/>
      <c r="M1546" s="253"/>
      <c r="N1546" s="253"/>
      <c r="O1546" s="253"/>
      <c r="P1546" s="253"/>
      <c r="Q1546" s="253"/>
    </row>
    <row r="1547" spans="1:17">
      <c r="A1547" s="253"/>
      <c r="B1547" s="253"/>
      <c r="C1547" s="253"/>
      <c r="D1547" s="253"/>
      <c r="E1547" s="253"/>
      <c r="F1547" s="253"/>
      <c r="G1547" s="253"/>
      <c r="H1547" s="253"/>
      <c r="I1547" s="253"/>
      <c r="J1547" s="253"/>
      <c r="K1547" s="253"/>
      <c r="L1547" s="253"/>
      <c r="M1547" s="253"/>
      <c r="N1547" s="253"/>
      <c r="O1547" s="253"/>
      <c r="P1547" s="253"/>
      <c r="Q1547" s="253"/>
    </row>
    <row r="1548" spans="1:17">
      <c r="A1548" s="253"/>
      <c r="B1548" s="253"/>
      <c r="C1548" s="253"/>
      <c r="D1548" s="253"/>
      <c r="E1548" s="253"/>
      <c r="F1548" s="253"/>
      <c r="G1548" s="253"/>
      <c r="H1548" s="253"/>
      <c r="I1548" s="253"/>
      <c r="J1548" s="253"/>
      <c r="K1548" s="253"/>
      <c r="L1548" s="253"/>
      <c r="M1548" s="253"/>
      <c r="N1548" s="253"/>
      <c r="O1548" s="253"/>
      <c r="P1548" s="253"/>
      <c r="Q1548" s="253"/>
    </row>
    <row r="1549" spans="1:17">
      <c r="A1549" s="253"/>
      <c r="B1549" s="253"/>
      <c r="C1549" s="253"/>
      <c r="D1549" s="253"/>
      <c r="E1549" s="253"/>
      <c r="F1549" s="253"/>
      <c r="G1549" s="253"/>
      <c r="H1549" s="253"/>
      <c r="I1549" s="253"/>
      <c r="J1549" s="253"/>
      <c r="K1549" s="253"/>
      <c r="L1549" s="253"/>
      <c r="M1549" s="253"/>
      <c r="N1549" s="253"/>
      <c r="O1549" s="253"/>
      <c r="P1549" s="253"/>
      <c r="Q1549" s="253"/>
    </row>
    <row r="1550" spans="1:17">
      <c r="A1550" s="253"/>
      <c r="B1550" s="253"/>
      <c r="C1550" s="253"/>
      <c r="D1550" s="253"/>
      <c r="E1550" s="253"/>
      <c r="F1550" s="253"/>
      <c r="G1550" s="253"/>
      <c r="H1550" s="253"/>
      <c r="I1550" s="253"/>
      <c r="J1550" s="253"/>
      <c r="K1550" s="253"/>
      <c r="L1550" s="253"/>
      <c r="M1550" s="253"/>
      <c r="N1550" s="253"/>
      <c r="O1550" s="253"/>
      <c r="P1550" s="253"/>
      <c r="Q1550" s="253"/>
    </row>
    <row r="1551" spans="1:17">
      <c r="A1551" s="253"/>
      <c r="B1551" s="253"/>
      <c r="C1551" s="253"/>
      <c r="D1551" s="253"/>
      <c r="E1551" s="253"/>
      <c r="F1551" s="253"/>
      <c r="G1551" s="253"/>
      <c r="H1551" s="253"/>
      <c r="I1551" s="253"/>
      <c r="J1551" s="253"/>
      <c r="K1551" s="253"/>
      <c r="L1551" s="253"/>
      <c r="M1551" s="253"/>
      <c r="N1551" s="253"/>
      <c r="O1551" s="253"/>
      <c r="P1551" s="253"/>
      <c r="Q1551" s="253"/>
    </row>
    <row r="1552" spans="1:17">
      <c r="A1552" s="253"/>
      <c r="B1552" s="253"/>
      <c r="C1552" s="253"/>
      <c r="D1552" s="253"/>
      <c r="E1552" s="253"/>
      <c r="F1552" s="253"/>
      <c r="G1552" s="253"/>
      <c r="H1552" s="253"/>
      <c r="I1552" s="253"/>
      <c r="J1552" s="253"/>
      <c r="K1552" s="253"/>
      <c r="L1552" s="253"/>
      <c r="M1552" s="253"/>
      <c r="N1552" s="253"/>
      <c r="O1552" s="253"/>
      <c r="P1552" s="253"/>
      <c r="Q1552" s="253"/>
    </row>
    <row r="1553" spans="1:17">
      <c r="A1553" s="253"/>
      <c r="B1553" s="253"/>
      <c r="C1553" s="253"/>
      <c r="D1553" s="253"/>
      <c r="E1553" s="253"/>
      <c r="F1553" s="253"/>
      <c r="G1553" s="253"/>
      <c r="H1553" s="253"/>
      <c r="I1553" s="253"/>
      <c r="J1553" s="253"/>
      <c r="K1553" s="253"/>
      <c r="L1553" s="253"/>
      <c r="M1553" s="253"/>
      <c r="N1553" s="253"/>
      <c r="O1553" s="253"/>
      <c r="P1553" s="253"/>
      <c r="Q1553" s="253"/>
    </row>
    <row r="1554" spans="1:17">
      <c r="A1554" s="253"/>
      <c r="B1554" s="253"/>
      <c r="C1554" s="253"/>
      <c r="D1554" s="253"/>
      <c r="E1554" s="253"/>
      <c r="F1554" s="253"/>
      <c r="G1554" s="253"/>
      <c r="H1554" s="253"/>
      <c r="I1554" s="253"/>
      <c r="J1554" s="253"/>
      <c r="K1554" s="253"/>
      <c r="L1554" s="253"/>
      <c r="M1554" s="253"/>
      <c r="N1554" s="253"/>
      <c r="O1554" s="253"/>
      <c r="P1554" s="253"/>
      <c r="Q1554" s="253"/>
    </row>
    <row r="1555" spans="1:17">
      <c r="A1555" s="253"/>
      <c r="B1555" s="253"/>
      <c r="C1555" s="253"/>
      <c r="D1555" s="253"/>
      <c r="E1555" s="253"/>
      <c r="F1555" s="253"/>
      <c r="G1555" s="253"/>
      <c r="H1555" s="253"/>
      <c r="I1555" s="253"/>
      <c r="J1555" s="253"/>
      <c r="K1555" s="253"/>
      <c r="L1555" s="253"/>
      <c r="M1555" s="253"/>
      <c r="N1555" s="253"/>
      <c r="O1555" s="253"/>
      <c r="P1555" s="253"/>
      <c r="Q1555" s="253"/>
    </row>
    <row r="1556" spans="1:17">
      <c r="A1556" s="253"/>
      <c r="B1556" s="253"/>
      <c r="C1556" s="253"/>
      <c r="D1556" s="253"/>
      <c r="E1556" s="253"/>
      <c r="F1556" s="253"/>
      <c r="G1556" s="253"/>
      <c r="H1556" s="253"/>
      <c r="I1556" s="253"/>
      <c r="J1556" s="253"/>
      <c r="K1556" s="253"/>
      <c r="L1556" s="253"/>
      <c r="M1556" s="253"/>
      <c r="N1556" s="253"/>
      <c r="O1556" s="253"/>
      <c r="P1556" s="253"/>
      <c r="Q1556" s="253"/>
    </row>
    <row r="1557" spans="1:17">
      <c r="A1557" s="253"/>
      <c r="B1557" s="253"/>
      <c r="C1557" s="253"/>
      <c r="D1557" s="253"/>
      <c r="E1557" s="253"/>
      <c r="F1557" s="253"/>
      <c r="G1557" s="253"/>
      <c r="H1557" s="253"/>
      <c r="I1557" s="253"/>
      <c r="J1557" s="253"/>
      <c r="K1557" s="253"/>
      <c r="L1557" s="253"/>
      <c r="M1557" s="253"/>
      <c r="N1557" s="253"/>
      <c r="O1557" s="253"/>
      <c r="P1557" s="253"/>
      <c r="Q1557" s="253"/>
    </row>
    <row r="1558" spans="1:17">
      <c r="A1558" s="253"/>
      <c r="B1558" s="253"/>
      <c r="C1558" s="253"/>
      <c r="D1558" s="253"/>
      <c r="E1558" s="253"/>
      <c r="F1558" s="253"/>
      <c r="G1558" s="253"/>
      <c r="H1558" s="253"/>
      <c r="I1558" s="253"/>
      <c r="J1558" s="253"/>
      <c r="K1558" s="253"/>
      <c r="L1558" s="253"/>
      <c r="M1558" s="253"/>
      <c r="N1558" s="253"/>
      <c r="O1558" s="253"/>
      <c r="P1558" s="253"/>
      <c r="Q1558" s="253"/>
    </row>
    <row r="1559" spans="1:17">
      <c r="A1559" s="253"/>
      <c r="B1559" s="253"/>
      <c r="C1559" s="253"/>
      <c r="D1559" s="253"/>
      <c r="E1559" s="253"/>
      <c r="F1559" s="253"/>
      <c r="G1559" s="253"/>
      <c r="H1559" s="253"/>
      <c r="I1559" s="253"/>
      <c r="J1559" s="253"/>
      <c r="K1559" s="253"/>
      <c r="L1559" s="253"/>
      <c r="M1559" s="253"/>
      <c r="N1559" s="253"/>
      <c r="O1559" s="253"/>
      <c r="P1559" s="253"/>
      <c r="Q1559" s="253"/>
    </row>
    <row r="1560" spans="1:17">
      <c r="A1560" s="253"/>
      <c r="B1560" s="253"/>
      <c r="C1560" s="253"/>
      <c r="D1560" s="253"/>
      <c r="E1560" s="253"/>
      <c r="F1560" s="253"/>
      <c r="G1560" s="253"/>
      <c r="H1560" s="253"/>
      <c r="I1560" s="253"/>
      <c r="J1560" s="253"/>
      <c r="K1560" s="253"/>
      <c r="L1560" s="253"/>
      <c r="M1560" s="253"/>
      <c r="N1560" s="253"/>
      <c r="O1560" s="253"/>
      <c r="P1560" s="253"/>
      <c r="Q1560" s="253"/>
    </row>
    <row r="1561" spans="1:17">
      <c r="A1561" s="253"/>
      <c r="B1561" s="253"/>
      <c r="C1561" s="253"/>
      <c r="D1561" s="253"/>
      <c r="E1561" s="253"/>
      <c r="F1561" s="253"/>
      <c r="G1561" s="253"/>
      <c r="H1561" s="253"/>
      <c r="I1561" s="253"/>
      <c r="J1561" s="253"/>
      <c r="K1561" s="253"/>
      <c r="L1561" s="253"/>
      <c r="M1561" s="253"/>
      <c r="N1561" s="253"/>
      <c r="O1561" s="253"/>
      <c r="P1561" s="253"/>
      <c r="Q1561" s="253"/>
    </row>
    <row r="1562" spans="1:17">
      <c r="A1562" s="253"/>
      <c r="B1562" s="253"/>
      <c r="C1562" s="253"/>
      <c r="D1562" s="253"/>
      <c r="E1562" s="253"/>
      <c r="F1562" s="253"/>
      <c r="G1562" s="253"/>
      <c r="H1562" s="253"/>
      <c r="I1562" s="253"/>
      <c r="J1562" s="253"/>
      <c r="K1562" s="253"/>
      <c r="L1562" s="253"/>
      <c r="M1562" s="253"/>
      <c r="N1562" s="253"/>
      <c r="O1562" s="253"/>
      <c r="P1562" s="253"/>
      <c r="Q1562" s="253"/>
    </row>
    <row r="1563" spans="1:17">
      <c r="A1563" s="253"/>
      <c r="B1563" s="253"/>
      <c r="C1563" s="253"/>
      <c r="D1563" s="253"/>
      <c r="E1563" s="253"/>
      <c r="F1563" s="253"/>
      <c r="G1563" s="253"/>
      <c r="H1563" s="253"/>
      <c r="I1563" s="253"/>
      <c r="J1563" s="253"/>
      <c r="K1563" s="253"/>
      <c r="L1563" s="253"/>
      <c r="M1563" s="253"/>
      <c r="N1563" s="253"/>
      <c r="O1563" s="253"/>
      <c r="P1563" s="253"/>
      <c r="Q1563" s="253"/>
    </row>
    <row r="1564" spans="1:17">
      <c r="A1564" s="253"/>
      <c r="B1564" s="253"/>
      <c r="C1564" s="253"/>
      <c r="D1564" s="253"/>
      <c r="E1564" s="253"/>
      <c r="F1564" s="253"/>
      <c r="G1564" s="253"/>
      <c r="H1564" s="253"/>
      <c r="I1564" s="253"/>
      <c r="J1564" s="253"/>
      <c r="K1564" s="253"/>
      <c r="L1564" s="253"/>
      <c r="M1564" s="253"/>
      <c r="N1564" s="253"/>
      <c r="O1564" s="253"/>
      <c r="P1564" s="253"/>
      <c r="Q1564" s="253"/>
    </row>
    <row r="1565" spans="1:17">
      <c r="A1565" s="253"/>
      <c r="B1565" s="253"/>
      <c r="C1565" s="253"/>
      <c r="D1565" s="253"/>
      <c r="E1565" s="253"/>
      <c r="F1565" s="253"/>
      <c r="G1565" s="253"/>
      <c r="H1565" s="253"/>
      <c r="I1565" s="253"/>
      <c r="J1565" s="253"/>
      <c r="K1565" s="253"/>
      <c r="L1565" s="253"/>
      <c r="M1565" s="253"/>
      <c r="N1565" s="253"/>
      <c r="O1565" s="253"/>
      <c r="P1565" s="253"/>
      <c r="Q1565" s="253"/>
    </row>
    <row r="1566" spans="1:17">
      <c r="A1566" s="253"/>
      <c r="B1566" s="253"/>
      <c r="C1566" s="253"/>
      <c r="D1566" s="253"/>
      <c r="E1566" s="253"/>
      <c r="F1566" s="253"/>
      <c r="G1566" s="253"/>
      <c r="H1566" s="253"/>
      <c r="I1566" s="253"/>
      <c r="J1566" s="253"/>
      <c r="K1566" s="253"/>
      <c r="L1566" s="253"/>
      <c r="M1566" s="253"/>
      <c r="N1566" s="253"/>
      <c r="O1566" s="253"/>
      <c r="P1566" s="253"/>
      <c r="Q1566" s="253"/>
    </row>
    <row r="1567" spans="1:17">
      <c r="A1567" s="253"/>
      <c r="B1567" s="253"/>
      <c r="C1567" s="253"/>
      <c r="D1567" s="253"/>
      <c r="E1567" s="253"/>
      <c r="F1567" s="253"/>
      <c r="G1567" s="253"/>
      <c r="H1567" s="253"/>
      <c r="I1567" s="253"/>
      <c r="J1567" s="253"/>
      <c r="K1567" s="253"/>
      <c r="L1567" s="253"/>
      <c r="M1567" s="253"/>
      <c r="N1567" s="253"/>
      <c r="O1567" s="253"/>
      <c r="P1567" s="253"/>
      <c r="Q1567" s="253"/>
    </row>
    <row r="1568" spans="1:17">
      <c r="A1568" s="253"/>
      <c r="B1568" s="253"/>
      <c r="C1568" s="253"/>
      <c r="D1568" s="253"/>
      <c r="E1568" s="253"/>
      <c r="F1568" s="253"/>
      <c r="G1568" s="253"/>
      <c r="H1568" s="253"/>
      <c r="I1568" s="253"/>
      <c r="J1568" s="253"/>
      <c r="K1568" s="253"/>
      <c r="L1568" s="253"/>
      <c r="M1568" s="253"/>
      <c r="N1568" s="253"/>
      <c r="O1568" s="253"/>
      <c r="P1568" s="253"/>
      <c r="Q1568" s="253"/>
    </row>
    <row r="1569" spans="1:17">
      <c r="A1569" s="253"/>
      <c r="B1569" s="253"/>
      <c r="C1569" s="253"/>
      <c r="D1569" s="253"/>
      <c r="E1569" s="253"/>
      <c r="F1569" s="253"/>
      <c r="G1569" s="253"/>
      <c r="H1569" s="253"/>
      <c r="I1569" s="253"/>
      <c r="J1569" s="253"/>
      <c r="K1569" s="253"/>
      <c r="L1569" s="253"/>
      <c r="M1569" s="253"/>
      <c r="N1569" s="253"/>
      <c r="O1569" s="253"/>
      <c r="P1569" s="253"/>
      <c r="Q1569" s="253"/>
    </row>
    <row r="1570" spans="1:17">
      <c r="A1570" s="253"/>
      <c r="B1570" s="253"/>
      <c r="C1570" s="253"/>
      <c r="D1570" s="253"/>
      <c r="E1570" s="253"/>
      <c r="F1570" s="253"/>
      <c r="G1570" s="253"/>
      <c r="H1570" s="253"/>
      <c r="I1570" s="253"/>
      <c r="J1570" s="253"/>
      <c r="K1570" s="253"/>
      <c r="L1570" s="253"/>
      <c r="M1570" s="253"/>
      <c r="N1570" s="253"/>
      <c r="O1570" s="253"/>
      <c r="P1570" s="253"/>
      <c r="Q1570" s="253"/>
    </row>
    <row r="1571" spans="1:17">
      <c r="A1571" s="253"/>
      <c r="B1571" s="253"/>
      <c r="C1571" s="253"/>
      <c r="D1571" s="253"/>
      <c r="E1571" s="253"/>
      <c r="F1571" s="253"/>
      <c r="G1571" s="253"/>
      <c r="H1571" s="253"/>
      <c r="I1571" s="253"/>
      <c r="J1571" s="253"/>
      <c r="K1571" s="253"/>
      <c r="L1571" s="253"/>
      <c r="M1571" s="253"/>
      <c r="N1571" s="253"/>
      <c r="O1571" s="253"/>
      <c r="P1571" s="253"/>
      <c r="Q1571" s="253"/>
    </row>
    <row r="1572" spans="1:17">
      <c r="A1572" s="253"/>
      <c r="B1572" s="253"/>
      <c r="C1572" s="253"/>
      <c r="D1572" s="253"/>
      <c r="E1572" s="253"/>
      <c r="F1572" s="253"/>
      <c r="G1572" s="253"/>
      <c r="H1572" s="253"/>
      <c r="I1572" s="253"/>
      <c r="J1572" s="253"/>
      <c r="K1572" s="253"/>
      <c r="L1572" s="253"/>
      <c r="M1572" s="253"/>
      <c r="N1572" s="253"/>
      <c r="O1572" s="253"/>
      <c r="P1572" s="253"/>
      <c r="Q1572" s="253"/>
    </row>
    <row r="1573" spans="1:17">
      <c r="A1573" s="253"/>
      <c r="B1573" s="253"/>
      <c r="C1573" s="253"/>
      <c r="D1573" s="253"/>
      <c r="E1573" s="253"/>
      <c r="F1573" s="253"/>
      <c r="G1573" s="253"/>
      <c r="H1573" s="253"/>
      <c r="I1573" s="253"/>
      <c r="J1573" s="253"/>
      <c r="K1573" s="253"/>
      <c r="L1573" s="253"/>
      <c r="M1573" s="253"/>
      <c r="N1573" s="253"/>
      <c r="O1573" s="253"/>
      <c r="P1573" s="253"/>
      <c r="Q1573" s="253"/>
    </row>
    <row r="1574" spans="1:17">
      <c r="A1574" s="253"/>
      <c r="B1574" s="253"/>
      <c r="C1574" s="253"/>
      <c r="D1574" s="253"/>
      <c r="E1574" s="253"/>
      <c r="F1574" s="253"/>
      <c r="G1574" s="253"/>
      <c r="H1574" s="253"/>
      <c r="I1574" s="253"/>
      <c r="J1574" s="253"/>
      <c r="K1574" s="253"/>
      <c r="L1574" s="253"/>
      <c r="M1574" s="253"/>
      <c r="N1574" s="253"/>
      <c r="O1574" s="253"/>
      <c r="P1574" s="253"/>
      <c r="Q1574" s="253"/>
    </row>
    <row r="1575" spans="1:17">
      <c r="A1575" s="253"/>
      <c r="B1575" s="253"/>
      <c r="C1575" s="253"/>
      <c r="D1575" s="253"/>
      <c r="E1575" s="253"/>
      <c r="F1575" s="253"/>
      <c r="G1575" s="253"/>
      <c r="H1575" s="253"/>
      <c r="I1575" s="253"/>
      <c r="J1575" s="253"/>
      <c r="K1575" s="253"/>
      <c r="L1575" s="253"/>
      <c r="M1575" s="253"/>
      <c r="N1575" s="253"/>
      <c r="O1575" s="253"/>
      <c r="P1575" s="253"/>
      <c r="Q1575" s="253"/>
    </row>
    <row r="1576" spans="1:17">
      <c r="A1576" s="253"/>
      <c r="B1576" s="253"/>
      <c r="C1576" s="253"/>
      <c r="D1576" s="253"/>
      <c r="E1576" s="253"/>
      <c r="F1576" s="253"/>
      <c r="G1576" s="253"/>
      <c r="H1576" s="253"/>
      <c r="I1576" s="253"/>
      <c r="J1576" s="253"/>
      <c r="K1576" s="253"/>
      <c r="L1576" s="253"/>
      <c r="M1576" s="253"/>
      <c r="N1576" s="253"/>
      <c r="O1576" s="253"/>
      <c r="P1576" s="253"/>
      <c r="Q1576" s="253"/>
    </row>
    <row r="1577" spans="1:17">
      <c r="A1577" s="253"/>
      <c r="B1577" s="253"/>
      <c r="C1577" s="253"/>
      <c r="D1577" s="253"/>
      <c r="E1577" s="253"/>
      <c r="F1577" s="253"/>
      <c r="G1577" s="253"/>
      <c r="H1577" s="253"/>
      <c r="I1577" s="253"/>
      <c r="J1577" s="253"/>
      <c r="K1577" s="253"/>
      <c r="L1577" s="253"/>
      <c r="M1577" s="253"/>
      <c r="N1577" s="253"/>
      <c r="O1577" s="253"/>
      <c r="P1577" s="253"/>
      <c r="Q1577" s="253"/>
    </row>
    <row r="1578" spans="1:17">
      <c r="A1578" s="253"/>
      <c r="B1578" s="253"/>
      <c r="C1578" s="253"/>
      <c r="D1578" s="253"/>
      <c r="E1578" s="253"/>
      <c r="F1578" s="253"/>
      <c r="G1578" s="253"/>
      <c r="H1578" s="253"/>
      <c r="I1578" s="253"/>
      <c r="J1578" s="253"/>
      <c r="K1578" s="253"/>
      <c r="L1578" s="253"/>
      <c r="M1578" s="253"/>
      <c r="N1578" s="253"/>
      <c r="O1578" s="253"/>
      <c r="P1578" s="253"/>
      <c r="Q1578" s="253"/>
    </row>
    <row r="1579" spans="1:17">
      <c r="A1579" s="253"/>
      <c r="B1579" s="253"/>
      <c r="C1579" s="253"/>
      <c r="D1579" s="253"/>
      <c r="E1579" s="253"/>
      <c r="F1579" s="253"/>
      <c r="G1579" s="253"/>
      <c r="H1579" s="253"/>
      <c r="I1579" s="253"/>
      <c r="J1579" s="253"/>
      <c r="K1579" s="253"/>
      <c r="L1579" s="253"/>
      <c r="M1579" s="253"/>
      <c r="N1579" s="253"/>
      <c r="O1579" s="253"/>
      <c r="P1579" s="253"/>
      <c r="Q1579" s="253"/>
    </row>
    <row r="1580" spans="1:17">
      <c r="A1580" s="253"/>
      <c r="B1580" s="253"/>
      <c r="C1580" s="253"/>
      <c r="D1580" s="253"/>
      <c r="E1580" s="253"/>
      <c r="F1580" s="253"/>
      <c r="G1580" s="253"/>
      <c r="H1580" s="253"/>
      <c r="I1580" s="253"/>
      <c r="J1580" s="253"/>
      <c r="K1580" s="253"/>
      <c r="L1580" s="253"/>
      <c r="M1580" s="253"/>
      <c r="N1580" s="253"/>
      <c r="O1580" s="253"/>
      <c r="P1580" s="253"/>
      <c r="Q1580" s="253"/>
    </row>
    <row r="1581" spans="1:17">
      <c r="A1581" s="253"/>
      <c r="B1581" s="253"/>
      <c r="C1581" s="253"/>
      <c r="D1581" s="253"/>
      <c r="E1581" s="253"/>
      <c r="F1581" s="253"/>
      <c r="G1581" s="253"/>
      <c r="H1581" s="253"/>
      <c r="I1581" s="253"/>
      <c r="J1581" s="253"/>
      <c r="K1581" s="253"/>
      <c r="L1581" s="253"/>
      <c r="M1581" s="253"/>
      <c r="N1581" s="253"/>
      <c r="O1581" s="253"/>
      <c r="P1581" s="253"/>
      <c r="Q1581" s="253"/>
    </row>
    <row r="1582" spans="1:17">
      <c r="A1582" s="253"/>
      <c r="B1582" s="253"/>
      <c r="C1582" s="253"/>
      <c r="D1582" s="253"/>
      <c r="E1582" s="253"/>
      <c r="F1582" s="253"/>
      <c r="G1582" s="253"/>
      <c r="H1582" s="253"/>
      <c r="I1582" s="253"/>
      <c r="J1582" s="253"/>
      <c r="K1582" s="253"/>
      <c r="L1582" s="253"/>
      <c r="M1582" s="253"/>
      <c r="N1582" s="253"/>
      <c r="O1582" s="253"/>
      <c r="P1582" s="253"/>
      <c r="Q1582" s="253"/>
    </row>
    <row r="1583" spans="1:17">
      <c r="A1583" s="253"/>
      <c r="B1583" s="253"/>
      <c r="C1583" s="253"/>
      <c r="D1583" s="253"/>
      <c r="E1583" s="253"/>
      <c r="F1583" s="253"/>
      <c r="G1583" s="253"/>
      <c r="H1583" s="253"/>
      <c r="I1583" s="253"/>
      <c r="J1583" s="253"/>
      <c r="K1583" s="253"/>
      <c r="L1583" s="253"/>
      <c r="M1583" s="253"/>
      <c r="N1583" s="253"/>
      <c r="O1583" s="253"/>
      <c r="P1583" s="253"/>
      <c r="Q1583" s="253"/>
    </row>
    <row r="1584" spans="1:17">
      <c r="A1584" s="253"/>
      <c r="B1584" s="253"/>
      <c r="C1584" s="253"/>
      <c r="D1584" s="253"/>
      <c r="E1584" s="253"/>
      <c r="F1584" s="253"/>
      <c r="G1584" s="253"/>
      <c r="H1584" s="253"/>
      <c r="I1584" s="253"/>
      <c r="J1584" s="253"/>
      <c r="K1584" s="253"/>
      <c r="L1584" s="253"/>
      <c r="M1584" s="253"/>
      <c r="N1584" s="253"/>
      <c r="O1584" s="253"/>
      <c r="P1584" s="253"/>
      <c r="Q1584" s="253"/>
    </row>
    <row r="1585" spans="1:17">
      <c r="A1585" s="253"/>
      <c r="B1585" s="253"/>
      <c r="C1585" s="253"/>
      <c r="D1585" s="253"/>
      <c r="E1585" s="253"/>
      <c r="F1585" s="253"/>
      <c r="G1585" s="253"/>
      <c r="H1585" s="253"/>
      <c r="I1585" s="253"/>
      <c r="J1585" s="253"/>
      <c r="K1585" s="253"/>
      <c r="L1585" s="253"/>
      <c r="M1585" s="253"/>
      <c r="N1585" s="253"/>
      <c r="O1585" s="253"/>
      <c r="P1585" s="253"/>
      <c r="Q1585" s="253"/>
    </row>
    <row r="1586" spans="1:17">
      <c r="A1586" s="253"/>
      <c r="B1586" s="253"/>
      <c r="C1586" s="253"/>
      <c r="D1586" s="253"/>
      <c r="E1586" s="253"/>
      <c r="F1586" s="253"/>
      <c r="G1586" s="253"/>
      <c r="H1586" s="253"/>
      <c r="I1586" s="253"/>
      <c r="J1586" s="253"/>
      <c r="K1586" s="253"/>
      <c r="L1586" s="253"/>
      <c r="M1586" s="253"/>
      <c r="N1586" s="253"/>
      <c r="O1586" s="253"/>
      <c r="P1586" s="253"/>
      <c r="Q1586" s="253"/>
    </row>
    <row r="1587" spans="1:17">
      <c r="A1587" s="253"/>
      <c r="B1587" s="253"/>
      <c r="C1587" s="253"/>
      <c r="D1587" s="253"/>
      <c r="E1587" s="253"/>
      <c r="F1587" s="253"/>
      <c r="G1587" s="253"/>
      <c r="H1587" s="253"/>
      <c r="I1587" s="253"/>
      <c r="J1587" s="253"/>
      <c r="K1587" s="253"/>
      <c r="L1587" s="253"/>
      <c r="M1587" s="253"/>
      <c r="N1587" s="253"/>
      <c r="O1587" s="253"/>
      <c r="P1587" s="253"/>
      <c r="Q1587" s="253"/>
    </row>
    <row r="1588" spans="1:17">
      <c r="A1588" s="253"/>
      <c r="B1588" s="253"/>
      <c r="C1588" s="253"/>
      <c r="D1588" s="253"/>
      <c r="E1588" s="253"/>
      <c r="F1588" s="253"/>
      <c r="G1588" s="253"/>
      <c r="H1588" s="253"/>
      <c r="I1588" s="253"/>
      <c r="J1588" s="253"/>
      <c r="K1588" s="253"/>
      <c r="L1588" s="253"/>
      <c r="M1588" s="253"/>
      <c r="N1588" s="253"/>
      <c r="O1588" s="253"/>
      <c r="P1588" s="253"/>
      <c r="Q1588" s="253"/>
    </row>
    <row r="1589" spans="1:17">
      <c r="A1589" s="253"/>
      <c r="B1589" s="253"/>
      <c r="C1589" s="253"/>
      <c r="D1589" s="253"/>
      <c r="E1589" s="253"/>
      <c r="F1589" s="253"/>
      <c r="G1589" s="253"/>
      <c r="H1589" s="253"/>
      <c r="I1589" s="253"/>
      <c r="J1589" s="253"/>
      <c r="K1589" s="253"/>
      <c r="L1589" s="253"/>
      <c r="M1589" s="253"/>
      <c r="N1589" s="253"/>
      <c r="O1589" s="253"/>
      <c r="P1589" s="253"/>
      <c r="Q1589" s="253"/>
    </row>
    <row r="1590" spans="1:17">
      <c r="A1590" s="253"/>
      <c r="B1590" s="253"/>
      <c r="C1590" s="253"/>
      <c r="D1590" s="253"/>
      <c r="E1590" s="253"/>
      <c r="F1590" s="253"/>
      <c r="G1590" s="253"/>
      <c r="H1590" s="253"/>
      <c r="I1590" s="253"/>
      <c r="J1590" s="253"/>
      <c r="K1590" s="253"/>
      <c r="L1590" s="253"/>
      <c r="M1590" s="253"/>
      <c r="N1590" s="253"/>
      <c r="O1590" s="253"/>
      <c r="P1590" s="253"/>
      <c r="Q1590" s="253"/>
    </row>
    <row r="1591" spans="1:17">
      <c r="A1591" s="253"/>
      <c r="B1591" s="253"/>
      <c r="C1591" s="253"/>
      <c r="D1591" s="253"/>
      <c r="E1591" s="253"/>
      <c r="F1591" s="253"/>
      <c r="G1591" s="253"/>
      <c r="H1591" s="253"/>
      <c r="I1591" s="253"/>
      <c r="J1591" s="253"/>
      <c r="K1591" s="253"/>
      <c r="L1591" s="253"/>
      <c r="M1591" s="253"/>
      <c r="N1591" s="253"/>
      <c r="O1591" s="253"/>
      <c r="P1591" s="253"/>
      <c r="Q1591" s="253"/>
    </row>
    <row r="1592" spans="1:17">
      <c r="A1592" s="253"/>
      <c r="B1592" s="253"/>
      <c r="C1592" s="253"/>
      <c r="D1592" s="253"/>
      <c r="E1592" s="253"/>
      <c r="F1592" s="253"/>
      <c r="G1592" s="253"/>
      <c r="H1592" s="253"/>
      <c r="I1592" s="253"/>
      <c r="J1592" s="253"/>
      <c r="K1592" s="253"/>
      <c r="L1592" s="253"/>
      <c r="M1592" s="253"/>
      <c r="N1592" s="253"/>
      <c r="O1592" s="253"/>
      <c r="P1592" s="253"/>
      <c r="Q1592" s="253"/>
    </row>
    <row r="1593" spans="1:17">
      <c r="A1593" s="253"/>
      <c r="B1593" s="253"/>
      <c r="C1593" s="253"/>
      <c r="D1593" s="253"/>
      <c r="E1593" s="253"/>
      <c r="F1593" s="253"/>
      <c r="G1593" s="253"/>
      <c r="H1593" s="253"/>
      <c r="I1593" s="253"/>
      <c r="J1593" s="253"/>
      <c r="K1593" s="253"/>
      <c r="L1593" s="253"/>
      <c r="M1593" s="253"/>
      <c r="N1593" s="253"/>
      <c r="O1593" s="253"/>
      <c r="P1593" s="253"/>
      <c r="Q1593" s="253"/>
    </row>
    <row r="1594" spans="1:17">
      <c r="A1594" s="253"/>
      <c r="B1594" s="253"/>
      <c r="C1594" s="253"/>
      <c r="D1594" s="253"/>
      <c r="E1594" s="253"/>
      <c r="F1594" s="253"/>
      <c r="G1594" s="253"/>
      <c r="H1594" s="253"/>
      <c r="I1594" s="253"/>
      <c r="J1594" s="253"/>
      <c r="K1594" s="253"/>
      <c r="L1594" s="253"/>
      <c r="M1594" s="253"/>
      <c r="N1594" s="253"/>
      <c r="O1594" s="253"/>
      <c r="P1594" s="253"/>
      <c r="Q1594" s="253"/>
    </row>
    <row r="1595" spans="1:17">
      <c r="A1595" s="253"/>
      <c r="B1595" s="253"/>
      <c r="C1595" s="253"/>
      <c r="D1595" s="253"/>
      <c r="E1595" s="253"/>
      <c r="F1595" s="253"/>
      <c r="G1595" s="253"/>
      <c r="H1595" s="253"/>
      <c r="I1595" s="253"/>
      <c r="J1595" s="253"/>
      <c r="K1595" s="253"/>
      <c r="L1595" s="253"/>
      <c r="M1595" s="253"/>
      <c r="N1595" s="253"/>
      <c r="O1595" s="253"/>
      <c r="P1595" s="253"/>
      <c r="Q1595" s="253"/>
    </row>
    <row r="1596" spans="1:17">
      <c r="A1596" s="253"/>
      <c r="B1596" s="253"/>
      <c r="C1596" s="253"/>
      <c r="D1596" s="253"/>
      <c r="E1596" s="253"/>
      <c r="F1596" s="253"/>
      <c r="G1596" s="253"/>
      <c r="H1596" s="253"/>
      <c r="I1596" s="253"/>
      <c r="J1596" s="253"/>
      <c r="K1596" s="253"/>
      <c r="L1596" s="253"/>
      <c r="M1596" s="253"/>
      <c r="N1596" s="253"/>
      <c r="O1596" s="253"/>
      <c r="P1596" s="253"/>
      <c r="Q1596" s="253"/>
    </row>
    <row r="1597" spans="1:17">
      <c r="A1597" s="253"/>
      <c r="B1597" s="253"/>
      <c r="C1597" s="253"/>
      <c r="D1597" s="253"/>
      <c r="E1597" s="253"/>
      <c r="F1597" s="253"/>
      <c r="G1597" s="253"/>
      <c r="H1597" s="253"/>
      <c r="I1597" s="253"/>
      <c r="J1597" s="253"/>
      <c r="K1597" s="253"/>
      <c r="L1597" s="253"/>
      <c r="M1597" s="253"/>
      <c r="N1597" s="253"/>
      <c r="O1597" s="253"/>
      <c r="P1597" s="253"/>
      <c r="Q1597" s="253"/>
    </row>
    <row r="1598" spans="1:17">
      <c r="A1598" s="253"/>
      <c r="B1598" s="253"/>
      <c r="C1598" s="253"/>
      <c r="D1598" s="253"/>
      <c r="E1598" s="253"/>
      <c r="F1598" s="253"/>
      <c r="G1598" s="253"/>
      <c r="H1598" s="253"/>
      <c r="I1598" s="253"/>
      <c r="J1598" s="253"/>
      <c r="K1598" s="253"/>
      <c r="L1598" s="253"/>
      <c r="M1598" s="253"/>
      <c r="N1598" s="253"/>
      <c r="O1598" s="253"/>
      <c r="P1598" s="253"/>
      <c r="Q1598" s="253"/>
    </row>
    <row r="1599" spans="1:17">
      <c r="A1599" s="253"/>
      <c r="B1599" s="253"/>
      <c r="C1599" s="253"/>
      <c r="D1599" s="253"/>
      <c r="E1599" s="253"/>
      <c r="F1599" s="253"/>
      <c r="G1599" s="253"/>
      <c r="H1599" s="253"/>
      <c r="I1599" s="253"/>
      <c r="J1599" s="253"/>
      <c r="K1599" s="253"/>
      <c r="L1599" s="253"/>
      <c r="M1599" s="253"/>
      <c r="N1599" s="253"/>
      <c r="O1599" s="253"/>
      <c r="P1599" s="253"/>
      <c r="Q1599" s="253"/>
    </row>
    <row r="1600" spans="1:17">
      <c r="A1600" s="253"/>
      <c r="B1600" s="253"/>
      <c r="C1600" s="253"/>
      <c r="D1600" s="253"/>
      <c r="E1600" s="253"/>
      <c r="F1600" s="253"/>
      <c r="G1600" s="253"/>
      <c r="H1600" s="253"/>
      <c r="I1600" s="253"/>
      <c r="J1600" s="253"/>
      <c r="K1600" s="253"/>
      <c r="L1600" s="253"/>
      <c r="M1600" s="253"/>
      <c r="N1600" s="253"/>
      <c r="O1600" s="253"/>
      <c r="P1600" s="253"/>
      <c r="Q1600" s="253"/>
    </row>
    <row r="1601" spans="1:17">
      <c r="A1601" s="253"/>
      <c r="B1601" s="253"/>
      <c r="C1601" s="253"/>
      <c r="D1601" s="253"/>
      <c r="E1601" s="253"/>
      <c r="F1601" s="253"/>
      <c r="G1601" s="253"/>
      <c r="H1601" s="253"/>
      <c r="I1601" s="253"/>
      <c r="J1601" s="253"/>
      <c r="K1601" s="253"/>
      <c r="L1601" s="253"/>
      <c r="M1601" s="253"/>
      <c r="N1601" s="253"/>
      <c r="O1601" s="253"/>
      <c r="P1601" s="253"/>
      <c r="Q1601" s="253"/>
    </row>
    <row r="1602" spans="1:17">
      <c r="A1602" s="253"/>
      <c r="B1602" s="253"/>
      <c r="C1602" s="253"/>
      <c r="D1602" s="253"/>
      <c r="E1602" s="253"/>
      <c r="F1602" s="253"/>
      <c r="G1602" s="253"/>
      <c r="H1602" s="253"/>
      <c r="I1602" s="253"/>
      <c r="J1602" s="253"/>
      <c r="K1602" s="253"/>
      <c r="L1602" s="253"/>
      <c r="M1602" s="253"/>
      <c r="N1602" s="253"/>
      <c r="O1602" s="253"/>
      <c r="P1602" s="253"/>
      <c r="Q1602" s="253"/>
    </row>
    <row r="1603" spans="1:17">
      <c r="A1603" s="253"/>
      <c r="B1603" s="253"/>
      <c r="C1603" s="253"/>
      <c r="D1603" s="253"/>
      <c r="E1603" s="253"/>
      <c r="F1603" s="253"/>
      <c r="G1603" s="253"/>
      <c r="H1603" s="253"/>
      <c r="I1603" s="253"/>
      <c r="J1603" s="253"/>
      <c r="K1603" s="253"/>
      <c r="L1603" s="253"/>
      <c r="M1603" s="253"/>
      <c r="N1603" s="253"/>
      <c r="O1603" s="253"/>
      <c r="P1603" s="253"/>
      <c r="Q1603" s="253"/>
    </row>
    <row r="1604" spans="1:17">
      <c r="A1604" s="253"/>
      <c r="B1604" s="253"/>
      <c r="C1604" s="253"/>
      <c r="D1604" s="253"/>
      <c r="E1604" s="253"/>
      <c r="F1604" s="253"/>
      <c r="G1604" s="253"/>
      <c r="H1604" s="253"/>
      <c r="I1604" s="253"/>
      <c r="J1604" s="253"/>
      <c r="K1604" s="253"/>
      <c r="L1604" s="253"/>
      <c r="M1604" s="253"/>
      <c r="N1604" s="253"/>
      <c r="O1604" s="253"/>
      <c r="P1604" s="253"/>
      <c r="Q1604" s="253"/>
    </row>
    <row r="1605" spans="1:17">
      <c r="A1605" s="253"/>
      <c r="B1605" s="253"/>
      <c r="C1605" s="253"/>
      <c r="D1605" s="253"/>
      <c r="E1605" s="253"/>
      <c r="F1605" s="253"/>
      <c r="G1605" s="253"/>
      <c r="H1605" s="253"/>
      <c r="I1605" s="253"/>
      <c r="J1605" s="253"/>
      <c r="K1605" s="253"/>
      <c r="L1605" s="253"/>
      <c r="M1605" s="253"/>
      <c r="N1605" s="253"/>
      <c r="O1605" s="253"/>
      <c r="P1605" s="253"/>
      <c r="Q1605" s="253"/>
    </row>
    <row r="1606" spans="1:17">
      <c r="A1606" s="253"/>
      <c r="B1606" s="253"/>
      <c r="C1606" s="253"/>
      <c r="D1606" s="253"/>
      <c r="E1606" s="253"/>
      <c r="F1606" s="253"/>
      <c r="G1606" s="253"/>
      <c r="H1606" s="253"/>
      <c r="I1606" s="253"/>
      <c r="J1606" s="253"/>
      <c r="K1606" s="253"/>
      <c r="L1606" s="253"/>
      <c r="M1606" s="253"/>
      <c r="N1606" s="253"/>
      <c r="O1606" s="253"/>
      <c r="P1606" s="253"/>
      <c r="Q1606" s="253"/>
    </row>
    <row r="1607" spans="1:17">
      <c r="A1607" s="253"/>
      <c r="B1607" s="253"/>
      <c r="C1607" s="253"/>
      <c r="D1607" s="253"/>
      <c r="E1607" s="253"/>
      <c r="F1607" s="253"/>
      <c r="G1607" s="253"/>
      <c r="H1607" s="253"/>
      <c r="I1607" s="253"/>
      <c r="J1607" s="253"/>
      <c r="K1607" s="253"/>
      <c r="L1607" s="253"/>
      <c r="M1607" s="253"/>
      <c r="N1607" s="253"/>
      <c r="O1607" s="253"/>
      <c r="P1607" s="253"/>
      <c r="Q1607" s="253"/>
    </row>
    <row r="1608" spans="1:17">
      <c r="A1608" s="253"/>
      <c r="B1608" s="253"/>
      <c r="C1608" s="253"/>
      <c r="D1608" s="253"/>
      <c r="E1608" s="253"/>
      <c r="F1608" s="253"/>
      <c r="G1608" s="253"/>
      <c r="H1608" s="253"/>
      <c r="I1608" s="253"/>
      <c r="J1608" s="253"/>
      <c r="K1608" s="253"/>
      <c r="L1608" s="253"/>
      <c r="M1608" s="253"/>
      <c r="N1608" s="253"/>
      <c r="O1608" s="253"/>
      <c r="P1608" s="253"/>
      <c r="Q1608" s="253"/>
    </row>
    <row r="1609" spans="1:17">
      <c r="A1609" s="253"/>
      <c r="B1609" s="253"/>
      <c r="C1609" s="253"/>
      <c r="D1609" s="253"/>
      <c r="E1609" s="253"/>
      <c r="F1609" s="253"/>
      <c r="G1609" s="253"/>
      <c r="H1609" s="253"/>
      <c r="I1609" s="253"/>
      <c r="J1609" s="253"/>
      <c r="K1609" s="253"/>
      <c r="L1609" s="253"/>
      <c r="M1609" s="253"/>
      <c r="N1609" s="253"/>
      <c r="O1609" s="253"/>
      <c r="P1609" s="253"/>
      <c r="Q1609" s="253"/>
    </row>
    <row r="1610" spans="1:17">
      <c r="A1610" s="253"/>
      <c r="B1610" s="253"/>
      <c r="C1610" s="253"/>
      <c r="D1610" s="253"/>
      <c r="E1610" s="253"/>
      <c r="F1610" s="253"/>
      <c r="G1610" s="253"/>
      <c r="H1610" s="253"/>
      <c r="I1610" s="253"/>
      <c r="J1610" s="253"/>
      <c r="K1610" s="253"/>
      <c r="L1610" s="253"/>
      <c r="M1610" s="253"/>
      <c r="N1610" s="253"/>
      <c r="O1610" s="253"/>
      <c r="P1610" s="253"/>
      <c r="Q1610" s="253"/>
    </row>
    <row r="1611" spans="1:17">
      <c r="A1611" s="253"/>
      <c r="B1611" s="253"/>
      <c r="C1611" s="253"/>
      <c r="D1611" s="253"/>
      <c r="E1611" s="253"/>
      <c r="F1611" s="253"/>
      <c r="G1611" s="253"/>
      <c r="H1611" s="253"/>
      <c r="I1611" s="253"/>
      <c r="J1611" s="253"/>
      <c r="K1611" s="253"/>
      <c r="L1611" s="253"/>
      <c r="M1611" s="253"/>
      <c r="N1611" s="253"/>
      <c r="O1611" s="253"/>
      <c r="P1611" s="253"/>
      <c r="Q1611" s="253"/>
    </row>
    <row r="1612" spans="1:17">
      <c r="A1612" s="253"/>
      <c r="B1612" s="253"/>
      <c r="C1612" s="253"/>
      <c r="D1612" s="253"/>
      <c r="E1612" s="253"/>
      <c r="F1612" s="253"/>
      <c r="G1612" s="253"/>
      <c r="H1612" s="253"/>
      <c r="I1612" s="253"/>
      <c r="J1612" s="253"/>
      <c r="K1612" s="253"/>
      <c r="L1612" s="253"/>
      <c r="M1612" s="253"/>
      <c r="N1612" s="253"/>
      <c r="O1612" s="253"/>
      <c r="P1612" s="253"/>
      <c r="Q1612" s="253"/>
    </row>
    <row r="1613" spans="1:17">
      <c r="A1613" s="253"/>
      <c r="B1613" s="253"/>
      <c r="C1613" s="253"/>
      <c r="D1613" s="253"/>
      <c r="E1613" s="253"/>
      <c r="F1613" s="253"/>
      <c r="G1613" s="253"/>
      <c r="H1613" s="253"/>
      <c r="I1613" s="253"/>
      <c r="J1613" s="253"/>
      <c r="K1613" s="253"/>
      <c r="L1613" s="253"/>
      <c r="M1613" s="253"/>
      <c r="N1613" s="253"/>
      <c r="O1613" s="253"/>
      <c r="P1613" s="253"/>
      <c r="Q1613" s="253"/>
    </row>
    <row r="1614" spans="1:17">
      <c r="A1614" s="253"/>
      <c r="B1614" s="253"/>
      <c r="C1614" s="253"/>
      <c r="D1614" s="253"/>
      <c r="E1614" s="253"/>
      <c r="F1614" s="253"/>
      <c r="G1614" s="253"/>
      <c r="H1614" s="253"/>
      <c r="I1614" s="253"/>
      <c r="J1614" s="253"/>
      <c r="K1614" s="253"/>
      <c r="L1614" s="253"/>
      <c r="M1614" s="253"/>
      <c r="N1614" s="253"/>
      <c r="O1614" s="253"/>
      <c r="P1614" s="253"/>
      <c r="Q1614" s="253"/>
    </row>
    <row r="1615" spans="1:17">
      <c r="A1615" s="253"/>
      <c r="B1615" s="253"/>
      <c r="C1615" s="253"/>
      <c r="D1615" s="253"/>
      <c r="E1615" s="253"/>
      <c r="F1615" s="253"/>
      <c r="G1615" s="253"/>
      <c r="H1615" s="253"/>
      <c r="I1615" s="253"/>
      <c r="J1615" s="253"/>
      <c r="K1615" s="253"/>
      <c r="L1615" s="253"/>
      <c r="M1615" s="253"/>
      <c r="N1615" s="253"/>
      <c r="O1615" s="253"/>
      <c r="P1615" s="253"/>
      <c r="Q1615" s="253"/>
    </row>
    <row r="1616" spans="1:17">
      <c r="A1616" s="253"/>
      <c r="B1616" s="253"/>
      <c r="C1616" s="253"/>
      <c r="D1616" s="253"/>
      <c r="E1616" s="253"/>
      <c r="F1616" s="253"/>
      <c r="G1616" s="253"/>
      <c r="H1616" s="253"/>
      <c r="I1616" s="253"/>
      <c r="J1616" s="253"/>
      <c r="K1616" s="253"/>
      <c r="L1616" s="253"/>
      <c r="M1616" s="253"/>
      <c r="N1616" s="253"/>
      <c r="O1616" s="253"/>
      <c r="P1616" s="253"/>
      <c r="Q1616" s="253"/>
    </row>
    <row r="1617" spans="1:17">
      <c r="A1617" s="253"/>
      <c r="B1617" s="253"/>
      <c r="C1617" s="253"/>
      <c r="D1617" s="253"/>
      <c r="E1617" s="253"/>
      <c r="F1617" s="253"/>
      <c r="G1617" s="253"/>
      <c r="H1617" s="253"/>
      <c r="I1617" s="253"/>
      <c r="J1617" s="253"/>
      <c r="K1617" s="253"/>
      <c r="L1617" s="253"/>
      <c r="M1617" s="253"/>
      <c r="N1617" s="253"/>
      <c r="O1617" s="253"/>
      <c r="P1617" s="253"/>
      <c r="Q1617" s="253"/>
    </row>
    <row r="1618" spans="1:17">
      <c r="A1618" s="253"/>
      <c r="B1618" s="253"/>
      <c r="C1618" s="253"/>
      <c r="D1618" s="253"/>
      <c r="E1618" s="253"/>
      <c r="F1618" s="253"/>
      <c r="G1618" s="253"/>
      <c r="H1618" s="253"/>
      <c r="I1618" s="253"/>
      <c r="J1618" s="253"/>
      <c r="K1618" s="253"/>
      <c r="L1618" s="253"/>
      <c r="M1618" s="253"/>
      <c r="N1618" s="253"/>
      <c r="O1618" s="253"/>
      <c r="P1618" s="253"/>
      <c r="Q1618" s="253"/>
    </row>
    <row r="1619" spans="1:17">
      <c r="A1619" s="253"/>
      <c r="B1619" s="253"/>
      <c r="C1619" s="253"/>
      <c r="D1619" s="253"/>
      <c r="E1619" s="253"/>
      <c r="F1619" s="253"/>
      <c r="G1619" s="253"/>
      <c r="H1619" s="253"/>
      <c r="I1619" s="253"/>
      <c r="J1619" s="253"/>
      <c r="K1619" s="253"/>
      <c r="L1619" s="253"/>
      <c r="M1619" s="253"/>
      <c r="N1619" s="253"/>
      <c r="O1619" s="253"/>
      <c r="P1619" s="253"/>
      <c r="Q1619" s="253"/>
    </row>
    <row r="1620" spans="1:17">
      <c r="A1620" s="253"/>
      <c r="B1620" s="253"/>
      <c r="C1620" s="253"/>
      <c r="D1620" s="253"/>
      <c r="E1620" s="253"/>
      <c r="F1620" s="253"/>
      <c r="G1620" s="253"/>
      <c r="H1620" s="253"/>
      <c r="I1620" s="253"/>
      <c r="J1620" s="253"/>
      <c r="K1620" s="253"/>
      <c r="L1620" s="253"/>
      <c r="M1620" s="253"/>
      <c r="N1620" s="253"/>
      <c r="O1620" s="253"/>
      <c r="P1620" s="253"/>
      <c r="Q1620" s="253"/>
    </row>
    <row r="1621" spans="1:17">
      <c r="A1621" s="253"/>
      <c r="B1621" s="253"/>
      <c r="C1621" s="253"/>
      <c r="D1621" s="253"/>
      <c r="E1621" s="253"/>
      <c r="F1621" s="253"/>
      <c r="G1621" s="253"/>
      <c r="H1621" s="253"/>
      <c r="I1621" s="253"/>
      <c r="J1621" s="253"/>
      <c r="K1621" s="253"/>
      <c r="L1621" s="253"/>
      <c r="M1621" s="253"/>
      <c r="N1621" s="253"/>
      <c r="O1621" s="253"/>
      <c r="P1621" s="253"/>
      <c r="Q1621" s="253"/>
    </row>
    <row r="1622" spans="1:17">
      <c r="A1622" s="253"/>
      <c r="B1622" s="253"/>
      <c r="C1622" s="253"/>
      <c r="D1622" s="253"/>
      <c r="E1622" s="253"/>
      <c r="F1622" s="253"/>
      <c r="G1622" s="253"/>
      <c r="H1622" s="253"/>
      <c r="I1622" s="253"/>
      <c r="J1622" s="253"/>
      <c r="K1622" s="253"/>
      <c r="L1622" s="253"/>
      <c r="M1622" s="253"/>
      <c r="N1622" s="253"/>
      <c r="O1622" s="253"/>
      <c r="P1622" s="253"/>
      <c r="Q1622" s="253"/>
    </row>
    <row r="1623" spans="1:17">
      <c r="A1623" s="253"/>
      <c r="B1623" s="253"/>
      <c r="C1623" s="253"/>
      <c r="D1623" s="253"/>
      <c r="E1623" s="253"/>
      <c r="F1623" s="253"/>
      <c r="G1623" s="253"/>
      <c r="H1623" s="253"/>
      <c r="I1623" s="253"/>
      <c r="J1623" s="253"/>
      <c r="K1623" s="253"/>
      <c r="L1623" s="253"/>
      <c r="M1623" s="253"/>
      <c r="N1623" s="253"/>
      <c r="O1623" s="253"/>
      <c r="P1623" s="253"/>
      <c r="Q1623" s="253"/>
    </row>
    <row r="1624" spans="1:17">
      <c r="A1624" s="253"/>
      <c r="B1624" s="253"/>
      <c r="C1624" s="253"/>
      <c r="D1624" s="253"/>
      <c r="E1624" s="253"/>
      <c r="F1624" s="253"/>
      <c r="G1624" s="253"/>
      <c r="H1624" s="253"/>
      <c r="I1624" s="253"/>
      <c r="J1624" s="253"/>
      <c r="K1624" s="253"/>
      <c r="L1624" s="253"/>
      <c r="M1624" s="253"/>
      <c r="N1624" s="253"/>
      <c r="O1624" s="253"/>
      <c r="P1624" s="253"/>
      <c r="Q1624" s="253"/>
    </row>
    <row r="1625" spans="1:17">
      <c r="A1625" s="253"/>
      <c r="B1625" s="253"/>
      <c r="C1625" s="253"/>
      <c r="D1625" s="253"/>
      <c r="E1625" s="253"/>
      <c r="F1625" s="253"/>
      <c r="G1625" s="253"/>
      <c r="H1625" s="253"/>
      <c r="I1625" s="253"/>
      <c r="J1625" s="253"/>
      <c r="K1625" s="253"/>
      <c r="L1625" s="253"/>
      <c r="M1625" s="253"/>
      <c r="N1625" s="253"/>
      <c r="O1625" s="253"/>
      <c r="P1625" s="253"/>
      <c r="Q1625" s="253"/>
    </row>
    <row r="1626" spans="1:17">
      <c r="A1626" s="253"/>
      <c r="B1626" s="253"/>
      <c r="C1626" s="253"/>
      <c r="D1626" s="253"/>
      <c r="E1626" s="253"/>
      <c r="F1626" s="253"/>
      <c r="G1626" s="253"/>
      <c r="H1626" s="253"/>
      <c r="I1626" s="253"/>
      <c r="J1626" s="253"/>
      <c r="K1626" s="253"/>
      <c r="L1626" s="253"/>
      <c r="M1626" s="253"/>
      <c r="N1626" s="253"/>
      <c r="O1626" s="253"/>
      <c r="P1626" s="253"/>
      <c r="Q1626" s="253"/>
    </row>
    <row r="1627" spans="1:17">
      <c r="A1627" s="253"/>
      <c r="B1627" s="253"/>
      <c r="C1627" s="253"/>
      <c r="D1627" s="253"/>
      <c r="E1627" s="253"/>
      <c r="F1627" s="253"/>
      <c r="G1627" s="253"/>
      <c r="H1627" s="253"/>
      <c r="I1627" s="253"/>
      <c r="J1627" s="253"/>
      <c r="K1627" s="253"/>
      <c r="L1627" s="253"/>
      <c r="M1627" s="253"/>
      <c r="N1627" s="253"/>
      <c r="O1627" s="253"/>
      <c r="P1627" s="253"/>
      <c r="Q1627" s="253"/>
    </row>
    <row r="1628" spans="1:17">
      <c r="A1628" s="253"/>
      <c r="B1628" s="253"/>
      <c r="C1628" s="253"/>
      <c r="D1628" s="253"/>
      <c r="E1628" s="253"/>
      <c r="F1628" s="253"/>
      <c r="G1628" s="253"/>
      <c r="H1628" s="253"/>
      <c r="I1628" s="253"/>
      <c r="J1628" s="253"/>
      <c r="K1628" s="253"/>
      <c r="L1628" s="253"/>
      <c r="M1628" s="253"/>
      <c r="N1628" s="253"/>
      <c r="O1628" s="253"/>
      <c r="P1628" s="253"/>
      <c r="Q1628" s="253"/>
    </row>
    <row r="1629" spans="1:17">
      <c r="A1629" s="253"/>
      <c r="B1629" s="253"/>
      <c r="C1629" s="253"/>
      <c r="D1629" s="253"/>
      <c r="E1629" s="253"/>
      <c r="F1629" s="253"/>
      <c r="G1629" s="253"/>
      <c r="H1629" s="253"/>
      <c r="I1629" s="253"/>
      <c r="J1629" s="253"/>
      <c r="K1629" s="253"/>
      <c r="L1629" s="253"/>
      <c r="M1629" s="253"/>
      <c r="N1629" s="253"/>
      <c r="O1629" s="253"/>
      <c r="P1629" s="253"/>
      <c r="Q1629" s="253"/>
    </row>
    <row r="1630" spans="1:17">
      <c r="A1630" s="253"/>
      <c r="B1630" s="253"/>
      <c r="C1630" s="253"/>
      <c r="D1630" s="253"/>
      <c r="E1630" s="253"/>
      <c r="F1630" s="253"/>
      <c r="G1630" s="253"/>
      <c r="H1630" s="253"/>
      <c r="I1630" s="253"/>
      <c r="J1630" s="253"/>
      <c r="K1630" s="253"/>
      <c r="L1630" s="253"/>
      <c r="M1630" s="253"/>
      <c r="N1630" s="253"/>
      <c r="O1630" s="253"/>
      <c r="P1630" s="253"/>
      <c r="Q1630" s="253"/>
    </row>
    <row r="1631" spans="1:17">
      <c r="A1631" s="253"/>
      <c r="B1631" s="253"/>
      <c r="C1631" s="253"/>
      <c r="D1631" s="253"/>
      <c r="E1631" s="253"/>
      <c r="F1631" s="253"/>
      <c r="G1631" s="253"/>
      <c r="H1631" s="253"/>
      <c r="I1631" s="253"/>
      <c r="J1631" s="253"/>
      <c r="K1631" s="253"/>
      <c r="L1631" s="253"/>
      <c r="M1631" s="253"/>
      <c r="N1631" s="253"/>
      <c r="O1631" s="253"/>
      <c r="P1631" s="253"/>
      <c r="Q1631" s="253"/>
    </row>
    <row r="1632" spans="1:17">
      <c r="A1632" s="253"/>
      <c r="B1632" s="253"/>
      <c r="C1632" s="253"/>
      <c r="D1632" s="253"/>
      <c r="E1632" s="253"/>
      <c r="F1632" s="253"/>
      <c r="G1632" s="253"/>
      <c r="H1632" s="253"/>
      <c r="I1632" s="253"/>
      <c r="J1632" s="253"/>
      <c r="K1632" s="253"/>
      <c r="L1632" s="253"/>
      <c r="M1632" s="253"/>
      <c r="N1632" s="253"/>
      <c r="O1632" s="253"/>
      <c r="P1632" s="253"/>
      <c r="Q1632" s="253"/>
    </row>
    <row r="1633" spans="1:17">
      <c r="A1633" s="253"/>
      <c r="B1633" s="253"/>
      <c r="C1633" s="253"/>
      <c r="D1633" s="253"/>
      <c r="E1633" s="253"/>
      <c r="F1633" s="253"/>
      <c r="G1633" s="253"/>
      <c r="H1633" s="253"/>
      <c r="I1633" s="253"/>
      <c r="J1633" s="253"/>
      <c r="K1633" s="253"/>
      <c r="L1633" s="253"/>
      <c r="M1633" s="253"/>
      <c r="N1633" s="253"/>
      <c r="O1633" s="253"/>
      <c r="P1633" s="253"/>
      <c r="Q1633" s="253"/>
    </row>
    <row r="1634" spans="1:17">
      <c r="A1634" s="253"/>
      <c r="B1634" s="253"/>
      <c r="C1634" s="253"/>
      <c r="D1634" s="253"/>
      <c r="E1634" s="253"/>
      <c r="F1634" s="253"/>
      <c r="G1634" s="253"/>
      <c r="H1634" s="253"/>
      <c r="I1634" s="253"/>
      <c r="J1634" s="253"/>
      <c r="K1634" s="253"/>
      <c r="L1634" s="253"/>
      <c r="M1634" s="253"/>
      <c r="N1634" s="253"/>
      <c r="O1634" s="253"/>
      <c r="P1634" s="253"/>
      <c r="Q1634" s="253"/>
    </row>
    <row r="1635" spans="1:17">
      <c r="A1635" s="253"/>
      <c r="B1635" s="253"/>
      <c r="C1635" s="253"/>
      <c r="D1635" s="253"/>
      <c r="E1635" s="253"/>
      <c r="F1635" s="253"/>
      <c r="G1635" s="253"/>
      <c r="H1635" s="253"/>
      <c r="I1635" s="253"/>
      <c r="J1635" s="253"/>
      <c r="K1635" s="253"/>
      <c r="L1635" s="253"/>
      <c r="M1635" s="253"/>
      <c r="N1635" s="253"/>
      <c r="O1635" s="253"/>
      <c r="P1635" s="253"/>
      <c r="Q1635" s="253"/>
    </row>
    <row r="1636" spans="1:17">
      <c r="A1636" s="253"/>
      <c r="B1636" s="253"/>
      <c r="C1636" s="253"/>
      <c r="D1636" s="253"/>
      <c r="E1636" s="253"/>
      <c r="F1636" s="253"/>
      <c r="G1636" s="253"/>
      <c r="H1636" s="253"/>
      <c r="I1636" s="253"/>
      <c r="J1636" s="253"/>
      <c r="K1636" s="253"/>
      <c r="L1636" s="253"/>
      <c r="M1636" s="253"/>
      <c r="N1636" s="253"/>
      <c r="O1636" s="253"/>
      <c r="P1636" s="253"/>
      <c r="Q1636" s="253"/>
    </row>
    <row r="1637" spans="1:17">
      <c r="A1637" s="253"/>
      <c r="B1637" s="253"/>
      <c r="C1637" s="253"/>
      <c r="D1637" s="253"/>
      <c r="E1637" s="253"/>
      <c r="F1637" s="253"/>
      <c r="G1637" s="253"/>
      <c r="H1637" s="253"/>
      <c r="I1637" s="253"/>
      <c r="J1637" s="253"/>
      <c r="K1637" s="253"/>
      <c r="L1637" s="253"/>
      <c r="M1637" s="253"/>
      <c r="N1637" s="253"/>
      <c r="O1637" s="253"/>
      <c r="P1637" s="253"/>
      <c r="Q1637" s="253"/>
    </row>
    <row r="1638" spans="1:17">
      <c r="A1638" s="253"/>
      <c r="B1638" s="253"/>
      <c r="C1638" s="253"/>
      <c r="D1638" s="253"/>
      <c r="E1638" s="253"/>
      <c r="F1638" s="253"/>
      <c r="G1638" s="253"/>
      <c r="H1638" s="253"/>
      <c r="I1638" s="253"/>
      <c r="J1638" s="253"/>
      <c r="K1638" s="253"/>
      <c r="L1638" s="253"/>
      <c r="M1638" s="253"/>
      <c r="N1638" s="253"/>
      <c r="O1638" s="253"/>
      <c r="P1638" s="253"/>
      <c r="Q1638" s="253"/>
    </row>
    <row r="1639" spans="1:17">
      <c r="A1639" s="253"/>
      <c r="B1639" s="253"/>
      <c r="C1639" s="253"/>
      <c r="D1639" s="253"/>
      <c r="E1639" s="253"/>
      <c r="F1639" s="253"/>
      <c r="G1639" s="253"/>
      <c r="H1639" s="253"/>
      <c r="I1639" s="253"/>
      <c r="J1639" s="253"/>
      <c r="K1639" s="253"/>
      <c r="L1639" s="253"/>
      <c r="M1639" s="253"/>
      <c r="N1639" s="253"/>
      <c r="O1639" s="253"/>
      <c r="P1639" s="253"/>
      <c r="Q1639" s="253"/>
    </row>
    <row r="1640" spans="1:17">
      <c r="A1640" s="253"/>
      <c r="B1640" s="253"/>
      <c r="C1640" s="253"/>
      <c r="D1640" s="253"/>
      <c r="E1640" s="253"/>
      <c r="F1640" s="253"/>
      <c r="G1640" s="253"/>
      <c r="H1640" s="253"/>
      <c r="I1640" s="253"/>
      <c r="J1640" s="253"/>
      <c r="K1640" s="253"/>
      <c r="L1640" s="253"/>
      <c r="M1640" s="253"/>
      <c r="N1640" s="253"/>
      <c r="O1640" s="253"/>
      <c r="P1640" s="253"/>
      <c r="Q1640" s="253"/>
    </row>
    <row r="1641" spans="1:17">
      <c r="A1641" s="253"/>
      <c r="B1641" s="253"/>
      <c r="C1641" s="253"/>
      <c r="D1641" s="253"/>
      <c r="E1641" s="253"/>
      <c r="F1641" s="253"/>
      <c r="G1641" s="253"/>
      <c r="H1641" s="253"/>
      <c r="I1641" s="253"/>
      <c r="J1641" s="253"/>
      <c r="K1641" s="253"/>
      <c r="L1641" s="253"/>
      <c r="M1641" s="253"/>
      <c r="N1641" s="253"/>
      <c r="O1641" s="253"/>
      <c r="P1641" s="253"/>
      <c r="Q1641" s="253"/>
    </row>
    <row r="1642" spans="1:17">
      <c r="A1642" s="253"/>
      <c r="B1642" s="253"/>
      <c r="C1642" s="253"/>
      <c r="D1642" s="253"/>
      <c r="E1642" s="253"/>
      <c r="F1642" s="253"/>
      <c r="G1642" s="253"/>
      <c r="H1642" s="253"/>
      <c r="I1642" s="253"/>
      <c r="J1642" s="253"/>
      <c r="K1642" s="253"/>
      <c r="L1642" s="253"/>
      <c r="M1642" s="253"/>
      <c r="N1642" s="253"/>
      <c r="O1642" s="253"/>
      <c r="P1642" s="253"/>
      <c r="Q1642" s="253"/>
    </row>
    <row r="1643" spans="1:17">
      <c r="A1643" s="253"/>
      <c r="B1643" s="253"/>
      <c r="C1643" s="253"/>
      <c r="D1643" s="253"/>
      <c r="E1643" s="253"/>
      <c r="F1643" s="253"/>
      <c r="G1643" s="253"/>
      <c r="H1643" s="253"/>
      <c r="I1643" s="253"/>
      <c r="J1643" s="253"/>
      <c r="K1643" s="253"/>
      <c r="L1643" s="253"/>
      <c r="M1643" s="253"/>
      <c r="N1643" s="253"/>
      <c r="O1643" s="253"/>
      <c r="P1643" s="253"/>
      <c r="Q1643" s="253"/>
    </row>
    <row r="1644" spans="1:17">
      <c r="A1644" s="253"/>
      <c r="B1644" s="253"/>
      <c r="C1644" s="253"/>
      <c r="D1644" s="253"/>
      <c r="E1644" s="253"/>
      <c r="F1644" s="253"/>
      <c r="G1644" s="253"/>
      <c r="H1644" s="253"/>
      <c r="I1644" s="253"/>
      <c r="J1644" s="253"/>
      <c r="K1644" s="253"/>
      <c r="L1644" s="253"/>
      <c r="M1644" s="253"/>
      <c r="N1644" s="253"/>
      <c r="O1644" s="253"/>
      <c r="P1644" s="253"/>
      <c r="Q1644" s="253"/>
    </row>
    <row r="1645" spans="1:17">
      <c r="A1645" s="253"/>
      <c r="B1645" s="253"/>
      <c r="C1645" s="253"/>
      <c r="D1645" s="253"/>
      <c r="E1645" s="253"/>
      <c r="F1645" s="253"/>
      <c r="G1645" s="253"/>
      <c r="H1645" s="253"/>
      <c r="I1645" s="253"/>
      <c r="J1645" s="253"/>
      <c r="K1645" s="253"/>
      <c r="L1645" s="253"/>
      <c r="M1645" s="253"/>
      <c r="N1645" s="253"/>
      <c r="O1645" s="253"/>
      <c r="P1645" s="253"/>
      <c r="Q1645" s="253"/>
    </row>
    <row r="1646" spans="1:17">
      <c r="A1646" s="253"/>
      <c r="B1646" s="253"/>
      <c r="C1646" s="253"/>
      <c r="D1646" s="253"/>
      <c r="E1646" s="253"/>
      <c r="F1646" s="253"/>
      <c r="G1646" s="253"/>
      <c r="H1646" s="253"/>
      <c r="I1646" s="253"/>
      <c r="J1646" s="253"/>
      <c r="K1646" s="253"/>
      <c r="L1646" s="253"/>
      <c r="M1646" s="253"/>
      <c r="N1646" s="253"/>
      <c r="O1646" s="253"/>
      <c r="P1646" s="253"/>
      <c r="Q1646" s="253"/>
    </row>
    <row r="1647" spans="1:17">
      <c r="A1647" s="253"/>
      <c r="B1647" s="253"/>
      <c r="C1647" s="253"/>
      <c r="D1647" s="253"/>
      <c r="E1647" s="253"/>
      <c r="F1647" s="253"/>
      <c r="G1647" s="253"/>
      <c r="H1647" s="253"/>
      <c r="I1647" s="253"/>
      <c r="J1647" s="253"/>
      <c r="K1647" s="253"/>
      <c r="L1647" s="253"/>
      <c r="M1647" s="253"/>
      <c r="N1647" s="253"/>
      <c r="O1647" s="253"/>
      <c r="P1647" s="253"/>
      <c r="Q1647" s="253"/>
    </row>
    <row r="1648" spans="1:17">
      <c r="A1648" s="253"/>
      <c r="B1648" s="253"/>
      <c r="C1648" s="253"/>
      <c r="D1648" s="253"/>
      <c r="E1648" s="253"/>
      <c r="F1648" s="253"/>
      <c r="G1648" s="253"/>
      <c r="H1648" s="253"/>
      <c r="I1648" s="253"/>
      <c r="J1648" s="253"/>
      <c r="K1648" s="253"/>
      <c r="L1648" s="253"/>
      <c r="M1648" s="253"/>
      <c r="N1648" s="253"/>
      <c r="O1648" s="253"/>
      <c r="P1648" s="253"/>
      <c r="Q1648" s="253"/>
    </row>
    <row r="1649" spans="1:17">
      <c r="A1649" s="253"/>
      <c r="B1649" s="253"/>
      <c r="C1649" s="253"/>
      <c r="D1649" s="253"/>
      <c r="E1649" s="253"/>
      <c r="F1649" s="253"/>
      <c r="G1649" s="253"/>
      <c r="H1649" s="253"/>
      <c r="I1649" s="253"/>
      <c r="J1649" s="253"/>
      <c r="K1649" s="253"/>
      <c r="L1649" s="253"/>
      <c r="M1649" s="253"/>
      <c r="N1649" s="253"/>
      <c r="O1649" s="253"/>
      <c r="P1649" s="253"/>
      <c r="Q1649" s="253"/>
    </row>
    <row r="1650" spans="1:17">
      <c r="A1650" s="253"/>
      <c r="B1650" s="253"/>
      <c r="C1650" s="253"/>
      <c r="D1650" s="253"/>
      <c r="E1650" s="253"/>
      <c r="F1650" s="253"/>
      <c r="G1650" s="253"/>
      <c r="H1650" s="253"/>
      <c r="I1650" s="253"/>
      <c r="J1650" s="253"/>
      <c r="K1650" s="253"/>
      <c r="L1650" s="253"/>
      <c r="M1650" s="253"/>
      <c r="N1650" s="253"/>
      <c r="O1650" s="253"/>
      <c r="P1650" s="253"/>
      <c r="Q1650" s="253"/>
    </row>
    <row r="1651" spans="1:17">
      <c r="A1651" s="253"/>
      <c r="B1651" s="253"/>
      <c r="C1651" s="253"/>
      <c r="D1651" s="253"/>
      <c r="E1651" s="253"/>
      <c r="F1651" s="253"/>
      <c r="G1651" s="253"/>
      <c r="H1651" s="253"/>
      <c r="I1651" s="253"/>
      <c r="J1651" s="253"/>
      <c r="K1651" s="253"/>
      <c r="L1651" s="253"/>
      <c r="M1651" s="253"/>
      <c r="N1651" s="253"/>
      <c r="O1651" s="253"/>
      <c r="P1651" s="253"/>
      <c r="Q1651" s="253"/>
    </row>
    <row r="1652" spans="1:17">
      <c r="A1652" s="253"/>
      <c r="B1652" s="253"/>
      <c r="C1652" s="253"/>
      <c r="D1652" s="253"/>
      <c r="E1652" s="253"/>
      <c r="F1652" s="253"/>
      <c r="G1652" s="253"/>
      <c r="H1652" s="253"/>
      <c r="I1652" s="253"/>
      <c r="J1652" s="253"/>
      <c r="K1652" s="253"/>
      <c r="L1652" s="253"/>
      <c r="M1652" s="253"/>
      <c r="N1652" s="253"/>
      <c r="O1652" s="253"/>
      <c r="P1652" s="253"/>
      <c r="Q1652" s="253"/>
    </row>
    <row r="1653" spans="1:17">
      <c r="A1653" s="253"/>
      <c r="B1653" s="253"/>
      <c r="C1653" s="253"/>
      <c r="D1653" s="253"/>
      <c r="E1653" s="253"/>
      <c r="F1653" s="253"/>
      <c r="G1653" s="253"/>
      <c r="H1653" s="253"/>
      <c r="I1653" s="253"/>
      <c r="J1653" s="253"/>
      <c r="K1653" s="253"/>
      <c r="L1653" s="253"/>
      <c r="M1653" s="253"/>
      <c r="N1653" s="253"/>
      <c r="O1653" s="253"/>
      <c r="P1653" s="253"/>
      <c r="Q1653" s="253"/>
    </row>
    <row r="1654" spans="1:17">
      <c r="A1654" s="253"/>
      <c r="B1654" s="253"/>
      <c r="C1654" s="253"/>
      <c r="D1654" s="253"/>
      <c r="E1654" s="253"/>
      <c r="F1654" s="253"/>
      <c r="G1654" s="253"/>
      <c r="H1654" s="253"/>
      <c r="I1654" s="253"/>
      <c r="J1654" s="253"/>
      <c r="K1654" s="253"/>
      <c r="L1654" s="253"/>
      <c r="M1654" s="253"/>
      <c r="N1654" s="253"/>
      <c r="O1654" s="253"/>
      <c r="P1654" s="253"/>
      <c r="Q1654" s="253"/>
    </row>
    <row r="1655" spans="1:17">
      <c r="A1655" s="253"/>
      <c r="B1655" s="253"/>
      <c r="C1655" s="253"/>
      <c r="D1655" s="253"/>
      <c r="E1655" s="253"/>
      <c r="F1655" s="253"/>
      <c r="G1655" s="253"/>
      <c r="H1655" s="253"/>
      <c r="I1655" s="253"/>
      <c r="J1655" s="253"/>
      <c r="K1655" s="253"/>
      <c r="L1655" s="253"/>
      <c r="M1655" s="253"/>
      <c r="N1655" s="253"/>
      <c r="O1655" s="253"/>
      <c r="P1655" s="253"/>
      <c r="Q1655" s="253"/>
    </row>
    <row r="1656" spans="1:17">
      <c r="A1656" s="253"/>
      <c r="B1656" s="253"/>
      <c r="C1656" s="253"/>
      <c r="D1656" s="253"/>
      <c r="E1656" s="253"/>
      <c r="F1656" s="253"/>
      <c r="G1656" s="253"/>
      <c r="H1656" s="253"/>
      <c r="I1656" s="253"/>
      <c r="J1656" s="253"/>
      <c r="K1656" s="253"/>
      <c r="L1656" s="253"/>
      <c r="M1656" s="253"/>
      <c r="N1656" s="253"/>
      <c r="O1656" s="253"/>
      <c r="P1656" s="253"/>
      <c r="Q1656" s="253"/>
    </row>
    <row r="1657" spans="1:17">
      <c r="A1657" s="253"/>
      <c r="B1657" s="253"/>
      <c r="C1657" s="253"/>
      <c r="D1657" s="253"/>
      <c r="E1657" s="253"/>
      <c r="F1657" s="253"/>
      <c r="G1657" s="253"/>
      <c r="H1657" s="253"/>
      <c r="I1657" s="253"/>
      <c r="J1657" s="253"/>
      <c r="K1657" s="253"/>
      <c r="L1657" s="253"/>
      <c r="M1657" s="253"/>
      <c r="N1657" s="253"/>
      <c r="O1657" s="253"/>
      <c r="P1657" s="253"/>
      <c r="Q1657" s="253"/>
    </row>
    <row r="1658" spans="1:17">
      <c r="A1658" s="253"/>
      <c r="B1658" s="253"/>
      <c r="C1658" s="253"/>
      <c r="D1658" s="253"/>
      <c r="E1658" s="253"/>
      <c r="F1658" s="253"/>
      <c r="G1658" s="253"/>
      <c r="H1658" s="253"/>
      <c r="I1658" s="253"/>
      <c r="J1658" s="253"/>
      <c r="K1658" s="253"/>
      <c r="L1658" s="253"/>
      <c r="M1658" s="253"/>
      <c r="N1658" s="253"/>
      <c r="O1658" s="253"/>
      <c r="P1658" s="253"/>
      <c r="Q1658" s="253"/>
    </row>
    <row r="1659" spans="1:17">
      <c r="A1659" s="253"/>
      <c r="B1659" s="253"/>
      <c r="C1659" s="253"/>
      <c r="D1659" s="253"/>
      <c r="E1659" s="253"/>
      <c r="F1659" s="253"/>
      <c r="G1659" s="253"/>
      <c r="H1659" s="253"/>
      <c r="I1659" s="253"/>
      <c r="J1659" s="253"/>
      <c r="K1659" s="253"/>
      <c r="L1659" s="253"/>
      <c r="M1659" s="253"/>
      <c r="N1659" s="253"/>
      <c r="O1659" s="253"/>
      <c r="P1659" s="253"/>
      <c r="Q1659" s="253"/>
    </row>
    <row r="1660" spans="1:17">
      <c r="A1660" s="253"/>
      <c r="B1660" s="253"/>
      <c r="C1660" s="253"/>
      <c r="D1660" s="253"/>
      <c r="E1660" s="253"/>
      <c r="F1660" s="253"/>
      <c r="G1660" s="253"/>
      <c r="H1660" s="253"/>
      <c r="I1660" s="253"/>
      <c r="J1660" s="253"/>
      <c r="K1660" s="253"/>
      <c r="L1660" s="253"/>
      <c r="M1660" s="253"/>
      <c r="N1660" s="253"/>
      <c r="O1660" s="253"/>
      <c r="P1660" s="253"/>
      <c r="Q1660" s="253"/>
    </row>
    <row r="1661" spans="1:17">
      <c r="A1661" s="253"/>
      <c r="B1661" s="253"/>
      <c r="C1661" s="253"/>
      <c r="D1661" s="253"/>
      <c r="E1661" s="253"/>
      <c r="F1661" s="253"/>
      <c r="G1661" s="253"/>
      <c r="H1661" s="253"/>
      <c r="I1661" s="253"/>
      <c r="J1661" s="253"/>
      <c r="K1661" s="253"/>
      <c r="L1661" s="253"/>
      <c r="M1661" s="253"/>
      <c r="N1661" s="253"/>
      <c r="O1661" s="253"/>
      <c r="P1661" s="253"/>
      <c r="Q1661" s="253"/>
    </row>
    <row r="1662" spans="1:17">
      <c r="A1662" s="253"/>
      <c r="B1662" s="253"/>
      <c r="C1662" s="253"/>
      <c r="D1662" s="253"/>
      <c r="E1662" s="253"/>
      <c r="F1662" s="253"/>
      <c r="G1662" s="253"/>
      <c r="H1662" s="253"/>
      <c r="I1662" s="253"/>
      <c r="J1662" s="253"/>
      <c r="K1662" s="253"/>
      <c r="L1662" s="253"/>
      <c r="M1662" s="253"/>
      <c r="N1662" s="253"/>
      <c r="O1662" s="253"/>
      <c r="P1662" s="253"/>
      <c r="Q1662" s="253"/>
    </row>
    <row r="1663" spans="1:17">
      <c r="A1663" s="253"/>
      <c r="B1663" s="253"/>
      <c r="C1663" s="253"/>
      <c r="D1663" s="253"/>
      <c r="E1663" s="253"/>
      <c r="F1663" s="253"/>
      <c r="G1663" s="253"/>
      <c r="H1663" s="253"/>
      <c r="I1663" s="253"/>
      <c r="J1663" s="253"/>
      <c r="K1663" s="253"/>
      <c r="L1663" s="253"/>
      <c r="M1663" s="253"/>
      <c r="N1663" s="253"/>
      <c r="O1663" s="253"/>
      <c r="P1663" s="253"/>
      <c r="Q1663" s="253"/>
    </row>
    <row r="1664" spans="1:17">
      <c r="A1664" s="253"/>
      <c r="B1664" s="253"/>
      <c r="C1664" s="253"/>
      <c r="D1664" s="253"/>
      <c r="E1664" s="253"/>
      <c r="F1664" s="253"/>
      <c r="G1664" s="253"/>
      <c r="H1664" s="253"/>
      <c r="I1664" s="253"/>
      <c r="J1664" s="253"/>
      <c r="K1664" s="253"/>
      <c r="L1664" s="253"/>
      <c r="M1664" s="253"/>
      <c r="N1664" s="253"/>
      <c r="O1664" s="253"/>
      <c r="P1664" s="253"/>
      <c r="Q1664" s="253"/>
    </row>
    <row r="1665" spans="1:17">
      <c r="A1665" s="253"/>
      <c r="B1665" s="253"/>
      <c r="C1665" s="253"/>
      <c r="D1665" s="253"/>
      <c r="E1665" s="253"/>
      <c r="F1665" s="253"/>
      <c r="G1665" s="253"/>
      <c r="H1665" s="253"/>
      <c r="I1665" s="253"/>
      <c r="J1665" s="253"/>
      <c r="K1665" s="253"/>
      <c r="L1665" s="253"/>
      <c r="M1665" s="253"/>
      <c r="N1665" s="253"/>
      <c r="O1665" s="253"/>
      <c r="P1665" s="253"/>
      <c r="Q1665" s="253"/>
    </row>
    <row r="1666" spans="1:17">
      <c r="A1666" s="253"/>
      <c r="B1666" s="253"/>
      <c r="C1666" s="253"/>
      <c r="D1666" s="253"/>
      <c r="E1666" s="253"/>
      <c r="F1666" s="253"/>
      <c r="G1666" s="253"/>
      <c r="H1666" s="253"/>
      <c r="I1666" s="253"/>
      <c r="J1666" s="253"/>
      <c r="K1666" s="253"/>
      <c r="L1666" s="253"/>
      <c r="M1666" s="253"/>
      <c r="N1666" s="253"/>
      <c r="O1666" s="253"/>
      <c r="P1666" s="253"/>
      <c r="Q1666" s="253"/>
    </row>
    <row r="1667" spans="1:17">
      <c r="A1667" s="253"/>
      <c r="B1667" s="253"/>
      <c r="C1667" s="253"/>
      <c r="D1667" s="253"/>
      <c r="E1667" s="253"/>
      <c r="F1667" s="253"/>
      <c r="G1667" s="253"/>
      <c r="H1667" s="253"/>
      <c r="I1667" s="253"/>
      <c r="J1667" s="253"/>
      <c r="K1667" s="253"/>
      <c r="L1667" s="253"/>
      <c r="M1667" s="253"/>
      <c r="N1667" s="253"/>
      <c r="O1667" s="253"/>
      <c r="P1667" s="253"/>
      <c r="Q1667" s="253"/>
    </row>
    <row r="1668" spans="1:17">
      <c r="A1668" s="253"/>
      <c r="B1668" s="253"/>
      <c r="C1668" s="253"/>
      <c r="D1668" s="253"/>
      <c r="E1668" s="253"/>
      <c r="F1668" s="253"/>
      <c r="G1668" s="253"/>
      <c r="H1668" s="253"/>
      <c r="I1668" s="253"/>
      <c r="J1668" s="253"/>
      <c r="K1668" s="253"/>
      <c r="L1668" s="253"/>
      <c r="M1668" s="253"/>
      <c r="N1668" s="253"/>
      <c r="O1668" s="253"/>
      <c r="P1668" s="253"/>
      <c r="Q1668" s="253"/>
    </row>
    <row r="1669" spans="1:17">
      <c r="A1669" s="253"/>
      <c r="B1669" s="253"/>
      <c r="C1669" s="253"/>
      <c r="D1669" s="253"/>
      <c r="E1669" s="253"/>
      <c r="F1669" s="253"/>
      <c r="G1669" s="253"/>
      <c r="H1669" s="253"/>
      <c r="I1669" s="253"/>
      <c r="J1669" s="253"/>
      <c r="K1669" s="253"/>
      <c r="L1669" s="253"/>
      <c r="M1669" s="253"/>
      <c r="N1669" s="253"/>
      <c r="O1669" s="253"/>
      <c r="P1669" s="253"/>
      <c r="Q1669" s="253"/>
    </row>
    <row r="1670" spans="1:17">
      <c r="A1670" s="253"/>
      <c r="B1670" s="253"/>
      <c r="C1670" s="253"/>
      <c r="D1670" s="253"/>
      <c r="E1670" s="253"/>
      <c r="F1670" s="253"/>
      <c r="G1670" s="253"/>
      <c r="H1670" s="253"/>
      <c r="I1670" s="253"/>
      <c r="J1670" s="253"/>
      <c r="K1670" s="253"/>
      <c r="L1670" s="253"/>
      <c r="M1670" s="253"/>
      <c r="N1670" s="253"/>
      <c r="O1670" s="253"/>
      <c r="P1670" s="253"/>
      <c r="Q1670" s="253"/>
    </row>
    <row r="1671" spans="1:17">
      <c r="A1671" s="253"/>
      <c r="B1671" s="253"/>
      <c r="C1671" s="253"/>
      <c r="D1671" s="253"/>
      <c r="E1671" s="253"/>
      <c r="F1671" s="253"/>
      <c r="G1671" s="253"/>
      <c r="H1671" s="253"/>
      <c r="I1671" s="253"/>
      <c r="J1671" s="253"/>
      <c r="K1671" s="253"/>
      <c r="L1671" s="253"/>
      <c r="M1671" s="253"/>
      <c r="N1671" s="253"/>
      <c r="O1671" s="253"/>
      <c r="P1671" s="253"/>
      <c r="Q1671" s="253"/>
    </row>
    <row r="1672" spans="1:17">
      <c r="A1672" s="253"/>
      <c r="B1672" s="253"/>
      <c r="C1672" s="253"/>
      <c r="D1672" s="253"/>
      <c r="E1672" s="253"/>
      <c r="F1672" s="253"/>
      <c r="G1672" s="253"/>
      <c r="H1672" s="253"/>
      <c r="I1672" s="253"/>
      <c r="J1672" s="253"/>
      <c r="K1672" s="253"/>
      <c r="L1672" s="253"/>
      <c r="M1672" s="253"/>
      <c r="N1672" s="253"/>
      <c r="O1672" s="253"/>
      <c r="P1672" s="253"/>
      <c r="Q1672" s="253"/>
    </row>
    <row r="1673" spans="1:17">
      <c r="A1673" s="253"/>
      <c r="B1673" s="253"/>
      <c r="C1673" s="253"/>
      <c r="D1673" s="253"/>
      <c r="E1673" s="253"/>
      <c r="F1673" s="253"/>
      <c r="G1673" s="253"/>
      <c r="H1673" s="253"/>
      <c r="I1673" s="253"/>
      <c r="J1673" s="253"/>
      <c r="K1673" s="253"/>
      <c r="L1673" s="253"/>
      <c r="M1673" s="253"/>
      <c r="N1673" s="253"/>
      <c r="O1673" s="253"/>
      <c r="P1673" s="253"/>
      <c r="Q1673" s="253"/>
    </row>
    <row r="1674" spans="1:17">
      <c r="A1674" s="253"/>
      <c r="B1674" s="253"/>
      <c r="C1674" s="253"/>
      <c r="D1674" s="253"/>
      <c r="E1674" s="253"/>
      <c r="F1674" s="253"/>
      <c r="G1674" s="253"/>
      <c r="H1674" s="253"/>
      <c r="I1674" s="253"/>
      <c r="J1674" s="253"/>
      <c r="K1674" s="253"/>
      <c r="L1674" s="253"/>
      <c r="M1674" s="253"/>
      <c r="N1674" s="253"/>
      <c r="O1674" s="253"/>
      <c r="P1674" s="253"/>
      <c r="Q1674" s="253"/>
    </row>
    <row r="1675" spans="1:17">
      <c r="A1675" s="253"/>
      <c r="B1675" s="253"/>
      <c r="C1675" s="253"/>
      <c r="D1675" s="253"/>
      <c r="E1675" s="253"/>
      <c r="F1675" s="253"/>
      <c r="G1675" s="253"/>
      <c r="H1675" s="253"/>
      <c r="I1675" s="253"/>
      <c r="J1675" s="253"/>
      <c r="K1675" s="253"/>
      <c r="L1675" s="253"/>
      <c r="M1675" s="253"/>
      <c r="N1675" s="253"/>
      <c r="O1675" s="253"/>
      <c r="P1675" s="253"/>
      <c r="Q1675" s="253"/>
    </row>
    <row r="1676" spans="1:17">
      <c r="A1676" s="253"/>
      <c r="B1676" s="253"/>
      <c r="C1676" s="253"/>
      <c r="D1676" s="253"/>
      <c r="E1676" s="253"/>
      <c r="F1676" s="253"/>
      <c r="G1676" s="253"/>
      <c r="H1676" s="253"/>
      <c r="I1676" s="253"/>
      <c r="J1676" s="253"/>
      <c r="K1676" s="253"/>
      <c r="L1676" s="253"/>
      <c r="M1676" s="253"/>
      <c r="N1676" s="253"/>
      <c r="O1676" s="253"/>
      <c r="P1676" s="253"/>
      <c r="Q1676" s="253"/>
    </row>
    <row r="1677" spans="1:17">
      <c r="A1677" s="253"/>
      <c r="B1677" s="253"/>
      <c r="C1677" s="253"/>
      <c r="D1677" s="253"/>
      <c r="E1677" s="253"/>
      <c r="F1677" s="253"/>
      <c r="G1677" s="253"/>
      <c r="H1677" s="253"/>
      <c r="I1677" s="253"/>
      <c r="J1677" s="253"/>
      <c r="K1677" s="253"/>
      <c r="L1677" s="253"/>
      <c r="M1677" s="253"/>
      <c r="N1677" s="253"/>
      <c r="O1677" s="253"/>
      <c r="P1677" s="253"/>
      <c r="Q1677" s="253"/>
    </row>
    <row r="1678" spans="1:17">
      <c r="A1678" s="253"/>
      <c r="B1678" s="253"/>
      <c r="C1678" s="253"/>
      <c r="D1678" s="253"/>
      <c r="E1678" s="253"/>
      <c r="F1678" s="253"/>
      <c r="G1678" s="253"/>
      <c r="H1678" s="253"/>
      <c r="I1678" s="253"/>
      <c r="J1678" s="253"/>
      <c r="K1678" s="253"/>
      <c r="L1678" s="253"/>
      <c r="M1678" s="253"/>
      <c r="N1678" s="253"/>
      <c r="O1678" s="253"/>
      <c r="P1678" s="253"/>
      <c r="Q1678" s="253"/>
    </row>
    <row r="1679" spans="1:17">
      <c r="A1679" s="253"/>
      <c r="B1679" s="253"/>
      <c r="C1679" s="253"/>
      <c r="D1679" s="253"/>
      <c r="E1679" s="253"/>
      <c r="F1679" s="253"/>
      <c r="G1679" s="253"/>
      <c r="H1679" s="253"/>
      <c r="I1679" s="253"/>
      <c r="J1679" s="253"/>
      <c r="K1679" s="253"/>
      <c r="L1679" s="253"/>
      <c r="M1679" s="253"/>
      <c r="N1679" s="253"/>
      <c r="O1679" s="253"/>
      <c r="P1679" s="253"/>
      <c r="Q1679" s="253"/>
    </row>
    <row r="1680" spans="1:17">
      <c r="A1680" s="253"/>
      <c r="B1680" s="253"/>
      <c r="C1680" s="253"/>
      <c r="D1680" s="253"/>
      <c r="E1680" s="253"/>
      <c r="F1680" s="253"/>
      <c r="G1680" s="253"/>
      <c r="H1680" s="253"/>
      <c r="I1680" s="253"/>
      <c r="J1680" s="253"/>
      <c r="K1680" s="253"/>
      <c r="L1680" s="253"/>
      <c r="M1680" s="253"/>
      <c r="N1680" s="253"/>
      <c r="O1680" s="253"/>
      <c r="P1680" s="253"/>
      <c r="Q1680" s="253"/>
    </row>
    <row r="1681" spans="1:17">
      <c r="A1681" s="253"/>
      <c r="B1681" s="253"/>
      <c r="C1681" s="253"/>
      <c r="D1681" s="253"/>
      <c r="E1681" s="253"/>
      <c r="F1681" s="253"/>
      <c r="G1681" s="253"/>
      <c r="H1681" s="253"/>
      <c r="I1681" s="253"/>
      <c r="J1681" s="253"/>
      <c r="K1681" s="253"/>
      <c r="L1681" s="253"/>
      <c r="M1681" s="253"/>
      <c r="N1681" s="253"/>
      <c r="O1681" s="253"/>
      <c r="P1681" s="253"/>
      <c r="Q1681" s="253"/>
    </row>
    <row r="1682" spans="1:17">
      <c r="A1682" s="253"/>
      <c r="B1682" s="253"/>
      <c r="C1682" s="253"/>
      <c r="D1682" s="253"/>
      <c r="E1682" s="253"/>
      <c r="F1682" s="253"/>
      <c r="G1682" s="253"/>
      <c r="H1682" s="253"/>
      <c r="I1682" s="253"/>
      <c r="J1682" s="253"/>
      <c r="K1682" s="253"/>
      <c r="L1682" s="253"/>
      <c r="M1682" s="253"/>
      <c r="N1682" s="253"/>
      <c r="O1682" s="253"/>
      <c r="P1682" s="253"/>
      <c r="Q1682" s="253"/>
    </row>
    <row r="1683" spans="1:17">
      <c r="A1683" s="253"/>
      <c r="B1683" s="253"/>
      <c r="C1683" s="253"/>
      <c r="D1683" s="253"/>
      <c r="E1683" s="253"/>
      <c r="F1683" s="253"/>
      <c r="G1683" s="253"/>
      <c r="H1683" s="253"/>
      <c r="I1683" s="253"/>
      <c r="J1683" s="253"/>
      <c r="K1683" s="253"/>
      <c r="L1683" s="253"/>
      <c r="M1683" s="253"/>
      <c r="N1683" s="253"/>
      <c r="O1683" s="253"/>
      <c r="P1683" s="253"/>
      <c r="Q1683" s="253"/>
    </row>
    <row r="1684" spans="1:17">
      <c r="A1684" s="253"/>
      <c r="B1684" s="253"/>
      <c r="C1684" s="253"/>
      <c r="D1684" s="253"/>
      <c r="E1684" s="253"/>
      <c r="F1684" s="253"/>
      <c r="G1684" s="253"/>
      <c r="H1684" s="253"/>
      <c r="I1684" s="253"/>
      <c r="J1684" s="253"/>
      <c r="K1684" s="253"/>
      <c r="L1684" s="253"/>
      <c r="M1684" s="253"/>
      <c r="N1684" s="253"/>
      <c r="O1684" s="253"/>
      <c r="P1684" s="253"/>
      <c r="Q1684" s="253"/>
    </row>
    <row r="1685" spans="1:17">
      <c r="A1685" s="253"/>
      <c r="B1685" s="253"/>
      <c r="C1685" s="253"/>
      <c r="D1685" s="253"/>
      <c r="E1685" s="253"/>
      <c r="F1685" s="253"/>
      <c r="G1685" s="253"/>
      <c r="H1685" s="253"/>
      <c r="I1685" s="253"/>
      <c r="J1685" s="253"/>
      <c r="K1685" s="253"/>
      <c r="L1685" s="253"/>
      <c r="M1685" s="253"/>
      <c r="N1685" s="253"/>
      <c r="O1685" s="253"/>
      <c r="P1685" s="253"/>
      <c r="Q1685" s="253"/>
    </row>
    <row r="1686" spans="1:17">
      <c r="A1686" s="253"/>
      <c r="B1686" s="253"/>
      <c r="C1686" s="253"/>
      <c r="D1686" s="253"/>
      <c r="E1686" s="253"/>
      <c r="F1686" s="253"/>
      <c r="G1686" s="253"/>
      <c r="H1686" s="253"/>
      <c r="I1686" s="253"/>
      <c r="J1686" s="253"/>
      <c r="K1686" s="253"/>
      <c r="L1686" s="253"/>
      <c r="M1686" s="253"/>
      <c r="N1686" s="253"/>
      <c r="O1686" s="253"/>
      <c r="P1686" s="253"/>
      <c r="Q1686" s="253"/>
    </row>
    <row r="1687" spans="1:17">
      <c r="A1687" s="253"/>
      <c r="B1687" s="253"/>
      <c r="C1687" s="253"/>
      <c r="D1687" s="253"/>
      <c r="E1687" s="253"/>
      <c r="F1687" s="253"/>
      <c r="G1687" s="253"/>
      <c r="H1687" s="253"/>
      <c r="I1687" s="253"/>
      <c r="J1687" s="253"/>
      <c r="K1687" s="253"/>
      <c r="L1687" s="253"/>
      <c r="M1687" s="253"/>
      <c r="N1687" s="253"/>
      <c r="O1687" s="253"/>
      <c r="P1687" s="253"/>
      <c r="Q1687" s="253"/>
    </row>
    <row r="1688" spans="1:17">
      <c r="A1688" s="253"/>
      <c r="B1688" s="253"/>
      <c r="C1688" s="253"/>
      <c r="D1688" s="253"/>
      <c r="E1688" s="253"/>
      <c r="F1688" s="253"/>
      <c r="G1688" s="253"/>
      <c r="H1688" s="253"/>
      <c r="I1688" s="253"/>
      <c r="J1688" s="253"/>
      <c r="K1688" s="253"/>
      <c r="L1688" s="253"/>
      <c r="M1688" s="253"/>
      <c r="N1688" s="253"/>
      <c r="O1688" s="253"/>
      <c r="P1688" s="253"/>
      <c r="Q1688" s="253"/>
    </row>
    <row r="1689" spans="1:17">
      <c r="A1689" s="253"/>
      <c r="B1689" s="253"/>
      <c r="C1689" s="253"/>
      <c r="D1689" s="253"/>
      <c r="E1689" s="253"/>
      <c r="F1689" s="253"/>
      <c r="G1689" s="253"/>
      <c r="H1689" s="253"/>
      <c r="I1689" s="253"/>
      <c r="J1689" s="253"/>
      <c r="K1689" s="253"/>
      <c r="L1689" s="253"/>
      <c r="M1689" s="253"/>
      <c r="N1689" s="253"/>
      <c r="O1689" s="253"/>
      <c r="P1689" s="253"/>
      <c r="Q1689" s="253"/>
    </row>
    <row r="1690" spans="1:17">
      <c r="A1690" s="253"/>
      <c r="B1690" s="253"/>
      <c r="C1690" s="253"/>
      <c r="D1690" s="253"/>
      <c r="E1690" s="253"/>
      <c r="F1690" s="253"/>
      <c r="G1690" s="253"/>
      <c r="H1690" s="253"/>
      <c r="I1690" s="253"/>
      <c r="J1690" s="253"/>
      <c r="K1690" s="253"/>
      <c r="L1690" s="253"/>
      <c r="M1690" s="253"/>
      <c r="N1690" s="253"/>
      <c r="O1690" s="253"/>
      <c r="P1690" s="253"/>
      <c r="Q1690" s="253"/>
    </row>
    <row r="1691" spans="1:17">
      <c r="A1691" s="253"/>
      <c r="B1691" s="253"/>
      <c r="C1691" s="253"/>
      <c r="D1691" s="253"/>
      <c r="E1691" s="253"/>
      <c r="F1691" s="253"/>
      <c r="G1691" s="253"/>
      <c r="H1691" s="253"/>
      <c r="I1691" s="253"/>
      <c r="J1691" s="253"/>
      <c r="K1691" s="253"/>
      <c r="L1691" s="253"/>
      <c r="M1691" s="253"/>
      <c r="N1691" s="253"/>
      <c r="O1691" s="253"/>
      <c r="P1691" s="253"/>
      <c r="Q1691" s="253"/>
    </row>
    <row r="1692" spans="1:17">
      <c r="A1692" s="253"/>
      <c r="B1692" s="253"/>
      <c r="C1692" s="253"/>
      <c r="D1692" s="253"/>
      <c r="E1692" s="253"/>
      <c r="F1692" s="253"/>
      <c r="G1692" s="253"/>
      <c r="H1692" s="253"/>
      <c r="I1692" s="253"/>
      <c r="J1692" s="253"/>
      <c r="K1692" s="253"/>
      <c r="L1692" s="253"/>
      <c r="M1692" s="253"/>
      <c r="N1692" s="253"/>
      <c r="O1692" s="253"/>
      <c r="P1692" s="253"/>
      <c r="Q1692" s="253"/>
    </row>
    <row r="1693" spans="1:17">
      <c r="A1693" s="253"/>
      <c r="B1693" s="253"/>
      <c r="C1693" s="253"/>
      <c r="D1693" s="253"/>
      <c r="E1693" s="253"/>
      <c r="F1693" s="253"/>
      <c r="G1693" s="253"/>
      <c r="H1693" s="253"/>
      <c r="I1693" s="253"/>
      <c r="J1693" s="253"/>
      <c r="K1693" s="253"/>
      <c r="L1693" s="253"/>
      <c r="M1693" s="253"/>
      <c r="N1693" s="253"/>
      <c r="O1693" s="253"/>
      <c r="P1693" s="253"/>
      <c r="Q1693" s="253"/>
    </row>
    <row r="1694" spans="1:17">
      <c r="A1694" s="253"/>
      <c r="B1694" s="253"/>
      <c r="C1694" s="253"/>
      <c r="D1694" s="253"/>
      <c r="E1694" s="253"/>
      <c r="F1694" s="253"/>
      <c r="G1694" s="253"/>
      <c r="H1694" s="253"/>
      <c r="I1694" s="253"/>
      <c r="J1694" s="253"/>
      <c r="K1694" s="253"/>
      <c r="L1694" s="253"/>
      <c r="M1694" s="253"/>
      <c r="N1694" s="253"/>
      <c r="O1694" s="253"/>
      <c r="P1694" s="253"/>
      <c r="Q1694" s="253"/>
    </row>
    <row r="1695" spans="1:17">
      <c r="A1695" s="253"/>
      <c r="B1695" s="253"/>
      <c r="C1695" s="253"/>
      <c r="D1695" s="253"/>
      <c r="E1695" s="253"/>
      <c r="F1695" s="253"/>
      <c r="G1695" s="253"/>
      <c r="H1695" s="253"/>
      <c r="I1695" s="253"/>
      <c r="J1695" s="253"/>
      <c r="K1695" s="253"/>
      <c r="L1695" s="253"/>
      <c r="M1695" s="253"/>
      <c r="N1695" s="253"/>
      <c r="O1695" s="253"/>
      <c r="P1695" s="253"/>
      <c r="Q1695" s="253"/>
    </row>
    <row r="1696" spans="1:17">
      <c r="A1696" s="253"/>
      <c r="B1696" s="253"/>
      <c r="C1696" s="253"/>
      <c r="D1696" s="253"/>
      <c r="E1696" s="253"/>
      <c r="F1696" s="253"/>
      <c r="G1696" s="253"/>
      <c r="H1696" s="253"/>
      <c r="I1696" s="253"/>
      <c r="J1696" s="253"/>
      <c r="K1696" s="253"/>
      <c r="L1696" s="253"/>
      <c r="M1696" s="253"/>
      <c r="N1696" s="253"/>
      <c r="O1696" s="253"/>
      <c r="P1696" s="253"/>
      <c r="Q1696" s="253"/>
    </row>
    <row r="1697" spans="1:17">
      <c r="A1697" s="253"/>
      <c r="B1697" s="253"/>
      <c r="C1697" s="253"/>
      <c r="D1697" s="253"/>
      <c r="E1697" s="253"/>
      <c r="F1697" s="253"/>
      <c r="G1697" s="253"/>
      <c r="H1697" s="253"/>
      <c r="I1697" s="253"/>
      <c r="J1697" s="253"/>
      <c r="K1697" s="253"/>
      <c r="L1697" s="253"/>
      <c r="M1697" s="253"/>
      <c r="N1697" s="253"/>
      <c r="O1697" s="253"/>
      <c r="P1697" s="253"/>
      <c r="Q1697" s="253"/>
    </row>
    <row r="1698" spans="1:17">
      <c r="A1698" s="253"/>
      <c r="B1698" s="253"/>
      <c r="C1698" s="253"/>
      <c r="D1698" s="253"/>
      <c r="E1698" s="253"/>
      <c r="F1698" s="253"/>
      <c r="G1698" s="253"/>
      <c r="H1698" s="253"/>
      <c r="I1698" s="253"/>
      <c r="J1698" s="253"/>
      <c r="K1698" s="253"/>
      <c r="L1698" s="253"/>
      <c r="M1698" s="253"/>
      <c r="N1698" s="253"/>
      <c r="O1698" s="253"/>
      <c r="P1698" s="253"/>
      <c r="Q1698" s="253"/>
    </row>
    <row r="1699" spans="1:17">
      <c r="A1699" s="253"/>
      <c r="B1699" s="253"/>
      <c r="C1699" s="253"/>
      <c r="D1699" s="253"/>
      <c r="E1699" s="253"/>
      <c r="F1699" s="253"/>
      <c r="G1699" s="253"/>
      <c r="H1699" s="253"/>
      <c r="I1699" s="253"/>
      <c r="J1699" s="253"/>
      <c r="K1699" s="253"/>
      <c r="L1699" s="253"/>
      <c r="M1699" s="253"/>
      <c r="N1699" s="253"/>
      <c r="O1699" s="253"/>
      <c r="P1699" s="253"/>
      <c r="Q1699" s="253"/>
    </row>
    <row r="1700" spans="1:17">
      <c r="A1700" s="253"/>
      <c r="B1700" s="253"/>
      <c r="C1700" s="253"/>
      <c r="D1700" s="253"/>
      <c r="E1700" s="253"/>
      <c r="F1700" s="253"/>
      <c r="G1700" s="253"/>
      <c r="H1700" s="253"/>
      <c r="I1700" s="253"/>
      <c r="J1700" s="253"/>
      <c r="K1700" s="253"/>
      <c r="L1700" s="253"/>
      <c r="M1700" s="253"/>
      <c r="N1700" s="253"/>
      <c r="O1700" s="253"/>
      <c r="P1700" s="253"/>
      <c r="Q1700" s="253"/>
    </row>
    <row r="1701" spans="1:17">
      <c r="A1701" s="253"/>
      <c r="B1701" s="253"/>
      <c r="C1701" s="253"/>
      <c r="D1701" s="253"/>
      <c r="E1701" s="253"/>
      <c r="F1701" s="253"/>
      <c r="G1701" s="253"/>
      <c r="H1701" s="253"/>
      <c r="I1701" s="253"/>
      <c r="J1701" s="253"/>
      <c r="K1701" s="253"/>
      <c r="L1701" s="253"/>
      <c r="M1701" s="253"/>
      <c r="N1701" s="253"/>
      <c r="O1701" s="253"/>
      <c r="P1701" s="253"/>
      <c r="Q1701" s="253"/>
    </row>
    <row r="1702" spans="1:17">
      <c r="A1702" s="253"/>
      <c r="B1702" s="253"/>
      <c r="C1702" s="253"/>
      <c r="D1702" s="253"/>
      <c r="E1702" s="253"/>
      <c r="F1702" s="253"/>
      <c r="G1702" s="253"/>
      <c r="H1702" s="253"/>
      <c r="I1702" s="253"/>
      <c r="J1702" s="253"/>
      <c r="K1702" s="253"/>
      <c r="L1702" s="253"/>
      <c r="M1702" s="253"/>
      <c r="N1702" s="253"/>
      <c r="O1702" s="253"/>
      <c r="P1702" s="253"/>
      <c r="Q1702" s="253"/>
    </row>
    <row r="1703" spans="1:17">
      <c r="A1703" s="253"/>
      <c r="B1703" s="253"/>
      <c r="C1703" s="253"/>
      <c r="D1703" s="253"/>
      <c r="E1703" s="253"/>
      <c r="F1703" s="253"/>
      <c r="G1703" s="253"/>
      <c r="H1703" s="253"/>
      <c r="I1703" s="253"/>
      <c r="J1703" s="253"/>
      <c r="K1703" s="253"/>
      <c r="L1703" s="253"/>
      <c r="M1703" s="253"/>
      <c r="N1703" s="253"/>
      <c r="O1703" s="253"/>
      <c r="P1703" s="253"/>
      <c r="Q1703" s="253"/>
    </row>
    <row r="1704" spans="1:17">
      <c r="A1704" s="253"/>
      <c r="B1704" s="253"/>
      <c r="C1704" s="253"/>
      <c r="D1704" s="253"/>
      <c r="E1704" s="253"/>
      <c r="F1704" s="253"/>
      <c r="G1704" s="253"/>
      <c r="H1704" s="253"/>
      <c r="I1704" s="253"/>
      <c r="J1704" s="253"/>
      <c r="K1704" s="253"/>
      <c r="L1704" s="253"/>
      <c r="M1704" s="253"/>
      <c r="N1704" s="253"/>
      <c r="O1704" s="253"/>
      <c r="P1704" s="253"/>
      <c r="Q1704" s="253"/>
    </row>
    <row r="1705" spans="1:17">
      <c r="A1705" s="253"/>
      <c r="B1705" s="253"/>
      <c r="C1705" s="253"/>
      <c r="D1705" s="253"/>
      <c r="E1705" s="253"/>
      <c r="F1705" s="253"/>
      <c r="G1705" s="253"/>
      <c r="H1705" s="253"/>
      <c r="I1705" s="253"/>
      <c r="J1705" s="253"/>
      <c r="K1705" s="253"/>
      <c r="L1705" s="253"/>
      <c r="M1705" s="253"/>
      <c r="N1705" s="253"/>
      <c r="O1705" s="253"/>
      <c r="P1705" s="253"/>
      <c r="Q1705" s="253"/>
    </row>
    <row r="1706" spans="1:17">
      <c r="A1706" s="253"/>
      <c r="B1706" s="253"/>
      <c r="C1706" s="253"/>
      <c r="D1706" s="253"/>
      <c r="E1706" s="253"/>
      <c r="F1706" s="253"/>
      <c r="G1706" s="253"/>
      <c r="H1706" s="253"/>
      <c r="I1706" s="253"/>
      <c r="J1706" s="253"/>
      <c r="K1706" s="253"/>
      <c r="L1706" s="253"/>
      <c r="M1706" s="253"/>
      <c r="N1706" s="253"/>
      <c r="O1706" s="253"/>
      <c r="P1706" s="253"/>
      <c r="Q1706" s="253"/>
    </row>
    <row r="1707" spans="1:17">
      <c r="A1707" s="253"/>
      <c r="B1707" s="253"/>
      <c r="C1707" s="253"/>
      <c r="D1707" s="253"/>
      <c r="E1707" s="253"/>
      <c r="F1707" s="253"/>
      <c r="G1707" s="253"/>
      <c r="H1707" s="253"/>
      <c r="I1707" s="253"/>
      <c r="J1707" s="253"/>
      <c r="K1707" s="253"/>
      <c r="L1707" s="253"/>
      <c r="M1707" s="253"/>
      <c r="N1707" s="253"/>
      <c r="O1707" s="253"/>
      <c r="P1707" s="253"/>
      <c r="Q1707" s="253"/>
    </row>
    <row r="1708" spans="1:17">
      <c r="A1708" s="253"/>
      <c r="B1708" s="253"/>
      <c r="C1708" s="253"/>
      <c r="D1708" s="253"/>
      <c r="E1708" s="253"/>
      <c r="F1708" s="253"/>
      <c r="G1708" s="253"/>
      <c r="H1708" s="253"/>
      <c r="I1708" s="253"/>
      <c r="J1708" s="253"/>
      <c r="K1708" s="253"/>
      <c r="L1708" s="253"/>
      <c r="M1708" s="253"/>
      <c r="N1708" s="253"/>
      <c r="O1708" s="253"/>
      <c r="P1708" s="253"/>
      <c r="Q1708" s="253"/>
    </row>
    <row r="1709" spans="1:17">
      <c r="A1709" s="253"/>
      <c r="B1709" s="253"/>
      <c r="C1709" s="253"/>
      <c r="D1709" s="253"/>
      <c r="E1709" s="253"/>
      <c r="F1709" s="253"/>
      <c r="G1709" s="253"/>
      <c r="H1709" s="253"/>
      <c r="I1709" s="253"/>
      <c r="J1709" s="253"/>
      <c r="K1709" s="253"/>
      <c r="L1709" s="253"/>
      <c r="M1709" s="253"/>
      <c r="N1709" s="253"/>
      <c r="O1709" s="253"/>
      <c r="P1709" s="253"/>
      <c r="Q1709" s="253"/>
    </row>
    <row r="1710" spans="1:17">
      <c r="A1710" s="253"/>
      <c r="B1710" s="253"/>
      <c r="C1710" s="253"/>
      <c r="D1710" s="253"/>
      <c r="E1710" s="253"/>
      <c r="F1710" s="253"/>
      <c r="G1710" s="253"/>
      <c r="H1710" s="253"/>
      <c r="I1710" s="253"/>
      <c r="J1710" s="253"/>
      <c r="K1710" s="253"/>
      <c r="L1710" s="253"/>
      <c r="M1710" s="253"/>
      <c r="N1710" s="253"/>
      <c r="O1710" s="253"/>
      <c r="P1710" s="253"/>
      <c r="Q1710" s="253"/>
    </row>
    <row r="1711" spans="1:17">
      <c r="A1711" s="253"/>
      <c r="B1711" s="253"/>
      <c r="C1711" s="253"/>
      <c r="D1711" s="253"/>
      <c r="E1711" s="253"/>
      <c r="F1711" s="253"/>
      <c r="G1711" s="253"/>
      <c r="H1711" s="253"/>
      <c r="I1711" s="253"/>
      <c r="J1711" s="253"/>
      <c r="K1711" s="253"/>
      <c r="L1711" s="253"/>
      <c r="M1711" s="253"/>
      <c r="N1711" s="253"/>
      <c r="O1711" s="253"/>
      <c r="P1711" s="253"/>
      <c r="Q1711" s="253"/>
    </row>
    <row r="1712" spans="1:17">
      <c r="A1712" s="253"/>
      <c r="B1712" s="253"/>
      <c r="C1712" s="253"/>
      <c r="D1712" s="253"/>
      <c r="E1712" s="253"/>
      <c r="F1712" s="253"/>
      <c r="G1712" s="253"/>
      <c r="H1712" s="253"/>
      <c r="I1712" s="253"/>
      <c r="J1712" s="253"/>
      <c r="K1712" s="253"/>
      <c r="L1712" s="253"/>
      <c r="M1712" s="253"/>
      <c r="N1712" s="253"/>
      <c r="O1712" s="253"/>
      <c r="P1712" s="253"/>
      <c r="Q1712" s="253"/>
    </row>
    <row r="1713" spans="1:17">
      <c r="A1713" s="253"/>
      <c r="B1713" s="253"/>
      <c r="C1713" s="253"/>
      <c r="D1713" s="253"/>
      <c r="E1713" s="253"/>
      <c r="F1713" s="253"/>
      <c r="G1713" s="253"/>
      <c r="H1713" s="253"/>
      <c r="I1713" s="253"/>
      <c r="J1713" s="253"/>
      <c r="K1713" s="253"/>
      <c r="L1713" s="253"/>
      <c r="M1713" s="253"/>
      <c r="N1713" s="253"/>
      <c r="O1713" s="253"/>
      <c r="P1713" s="253"/>
      <c r="Q1713" s="253"/>
    </row>
    <row r="1714" spans="1:17">
      <c r="A1714" s="253"/>
      <c r="B1714" s="253"/>
      <c r="C1714" s="253"/>
      <c r="D1714" s="253"/>
      <c r="E1714" s="253"/>
      <c r="F1714" s="253"/>
      <c r="G1714" s="253"/>
      <c r="H1714" s="253"/>
      <c r="I1714" s="253"/>
      <c r="J1714" s="253"/>
      <c r="K1714" s="253"/>
      <c r="L1714" s="253"/>
      <c r="M1714" s="253"/>
      <c r="N1714" s="253"/>
      <c r="O1714" s="253"/>
      <c r="P1714" s="253"/>
      <c r="Q1714" s="253"/>
    </row>
    <row r="1715" spans="1:17">
      <c r="A1715" s="253"/>
      <c r="B1715" s="253"/>
      <c r="C1715" s="253"/>
      <c r="D1715" s="253"/>
      <c r="E1715" s="253"/>
      <c r="F1715" s="253"/>
      <c r="G1715" s="253"/>
      <c r="H1715" s="253"/>
      <c r="I1715" s="253"/>
      <c r="J1715" s="253"/>
      <c r="K1715" s="253"/>
      <c r="L1715" s="253"/>
      <c r="M1715" s="253"/>
      <c r="N1715" s="253"/>
      <c r="O1715" s="253"/>
      <c r="P1715" s="253"/>
      <c r="Q1715" s="253"/>
    </row>
    <row r="1716" spans="1:17">
      <c r="A1716" s="253"/>
      <c r="B1716" s="253"/>
      <c r="C1716" s="253"/>
      <c r="D1716" s="253"/>
      <c r="E1716" s="253"/>
      <c r="F1716" s="253"/>
      <c r="G1716" s="253"/>
      <c r="H1716" s="253"/>
      <c r="I1716" s="253"/>
      <c r="J1716" s="253"/>
      <c r="K1716" s="253"/>
      <c r="L1716" s="253"/>
      <c r="M1716" s="253"/>
      <c r="N1716" s="253"/>
      <c r="O1716" s="253"/>
      <c r="P1716" s="253"/>
      <c r="Q1716" s="253"/>
    </row>
    <row r="1717" spans="1:17">
      <c r="A1717" s="253"/>
      <c r="B1717" s="253"/>
      <c r="C1717" s="253"/>
      <c r="D1717" s="253"/>
      <c r="E1717" s="253"/>
      <c r="F1717" s="253"/>
      <c r="G1717" s="253"/>
      <c r="H1717" s="253"/>
      <c r="I1717" s="253"/>
      <c r="J1717" s="253"/>
      <c r="K1717" s="253"/>
      <c r="L1717" s="253"/>
      <c r="M1717" s="253"/>
      <c r="N1717" s="253"/>
      <c r="O1717" s="253"/>
      <c r="P1717" s="253"/>
      <c r="Q1717" s="253"/>
    </row>
    <row r="1718" spans="1:17">
      <c r="A1718" s="253"/>
      <c r="B1718" s="253"/>
      <c r="C1718" s="253"/>
      <c r="D1718" s="253"/>
      <c r="E1718" s="253"/>
      <c r="F1718" s="253"/>
      <c r="G1718" s="253"/>
      <c r="H1718" s="253"/>
      <c r="I1718" s="253"/>
      <c r="J1718" s="253"/>
      <c r="K1718" s="253"/>
      <c r="L1718" s="253"/>
      <c r="M1718" s="253"/>
      <c r="N1718" s="253"/>
      <c r="O1718" s="253"/>
      <c r="P1718" s="253"/>
      <c r="Q1718" s="253"/>
    </row>
    <row r="1719" spans="1:17">
      <c r="A1719" s="253"/>
      <c r="B1719" s="253"/>
      <c r="C1719" s="253"/>
      <c r="D1719" s="253"/>
      <c r="E1719" s="253"/>
      <c r="F1719" s="253"/>
      <c r="G1719" s="253"/>
      <c r="H1719" s="253"/>
      <c r="I1719" s="253"/>
      <c r="J1719" s="253"/>
      <c r="K1719" s="253"/>
      <c r="L1719" s="253"/>
      <c r="M1719" s="253"/>
      <c r="N1719" s="253"/>
      <c r="O1719" s="253"/>
      <c r="P1719" s="253"/>
      <c r="Q1719" s="253"/>
    </row>
    <row r="1720" spans="1:17">
      <c r="A1720" s="253"/>
      <c r="B1720" s="253"/>
      <c r="C1720" s="253"/>
      <c r="D1720" s="253"/>
      <c r="E1720" s="253"/>
      <c r="F1720" s="253"/>
      <c r="G1720" s="253"/>
      <c r="H1720" s="253"/>
      <c r="I1720" s="253"/>
      <c r="J1720" s="253"/>
      <c r="K1720" s="253"/>
      <c r="L1720" s="253"/>
      <c r="M1720" s="253"/>
      <c r="N1720" s="253"/>
      <c r="O1720" s="253"/>
      <c r="P1720" s="253"/>
      <c r="Q1720" s="253"/>
    </row>
    <row r="1721" spans="1:17">
      <c r="A1721" s="253"/>
      <c r="B1721" s="253"/>
      <c r="C1721" s="253"/>
      <c r="D1721" s="253"/>
      <c r="E1721" s="253"/>
      <c r="F1721" s="253"/>
      <c r="G1721" s="253"/>
      <c r="H1721" s="253"/>
      <c r="I1721" s="253"/>
      <c r="J1721" s="253"/>
      <c r="K1721" s="253"/>
      <c r="L1721" s="253"/>
      <c r="M1721" s="253"/>
      <c r="N1721" s="253"/>
      <c r="O1721" s="253"/>
      <c r="P1721" s="253"/>
      <c r="Q1721" s="253"/>
    </row>
    <row r="1722" spans="1:17">
      <c r="A1722" s="253"/>
      <c r="B1722" s="253"/>
      <c r="C1722" s="253"/>
      <c r="D1722" s="253"/>
      <c r="E1722" s="253"/>
      <c r="F1722" s="253"/>
      <c r="G1722" s="253"/>
      <c r="H1722" s="253"/>
      <c r="I1722" s="253"/>
      <c r="J1722" s="253"/>
      <c r="K1722" s="253"/>
      <c r="L1722" s="253"/>
      <c r="M1722" s="253"/>
      <c r="N1722" s="253"/>
      <c r="O1722" s="253"/>
      <c r="P1722" s="253"/>
      <c r="Q1722" s="253"/>
    </row>
    <row r="1723" spans="1:17">
      <c r="A1723" s="253"/>
      <c r="B1723" s="253"/>
      <c r="C1723" s="253"/>
      <c r="D1723" s="253"/>
      <c r="E1723" s="253"/>
      <c r="F1723" s="253"/>
      <c r="G1723" s="253"/>
      <c r="H1723" s="253"/>
      <c r="I1723" s="253"/>
      <c r="J1723" s="253"/>
      <c r="K1723" s="253"/>
      <c r="L1723" s="253"/>
      <c r="M1723" s="253"/>
      <c r="N1723" s="253"/>
      <c r="O1723" s="253"/>
      <c r="P1723" s="253"/>
      <c r="Q1723" s="253"/>
    </row>
    <row r="1724" spans="1:17">
      <c r="A1724" s="253"/>
      <c r="B1724" s="253"/>
      <c r="C1724" s="253"/>
      <c r="D1724" s="253"/>
      <c r="E1724" s="253"/>
      <c r="F1724" s="253"/>
      <c r="G1724" s="253"/>
      <c r="H1724" s="253"/>
      <c r="I1724" s="253"/>
      <c r="J1724" s="253"/>
      <c r="K1724" s="253"/>
      <c r="L1724" s="253"/>
      <c r="M1724" s="253"/>
      <c r="N1724" s="253"/>
      <c r="O1724" s="253"/>
      <c r="P1724" s="253"/>
      <c r="Q1724" s="253"/>
    </row>
    <row r="1725" spans="1:17">
      <c r="A1725" s="253"/>
      <c r="B1725" s="253"/>
      <c r="C1725" s="253"/>
      <c r="D1725" s="253"/>
      <c r="E1725" s="253"/>
      <c r="F1725" s="253"/>
      <c r="G1725" s="253"/>
      <c r="H1725" s="253"/>
      <c r="I1725" s="253"/>
      <c r="J1725" s="253"/>
      <c r="K1725" s="253"/>
      <c r="L1725" s="253"/>
      <c r="M1725" s="253"/>
      <c r="N1725" s="253"/>
      <c r="O1725" s="253"/>
      <c r="P1725" s="253"/>
      <c r="Q1725" s="253"/>
    </row>
    <row r="1726" spans="1:17">
      <c r="A1726" s="253"/>
      <c r="B1726" s="253"/>
      <c r="C1726" s="253"/>
      <c r="D1726" s="253"/>
      <c r="E1726" s="253"/>
      <c r="F1726" s="253"/>
      <c r="G1726" s="253"/>
      <c r="H1726" s="253"/>
      <c r="I1726" s="253"/>
      <c r="J1726" s="253"/>
      <c r="K1726" s="253"/>
      <c r="L1726" s="253"/>
      <c r="M1726" s="253"/>
      <c r="N1726" s="253"/>
      <c r="O1726" s="253"/>
      <c r="P1726" s="253"/>
      <c r="Q1726" s="253"/>
    </row>
    <row r="1727" spans="1:17">
      <c r="A1727" s="253"/>
      <c r="B1727" s="253"/>
      <c r="C1727" s="253"/>
      <c r="D1727" s="253"/>
      <c r="E1727" s="253"/>
      <c r="F1727" s="253"/>
      <c r="G1727" s="253"/>
      <c r="H1727" s="253"/>
      <c r="I1727" s="253"/>
      <c r="J1727" s="253"/>
      <c r="K1727" s="253"/>
      <c r="L1727" s="253"/>
      <c r="M1727" s="253"/>
      <c r="N1727" s="253"/>
      <c r="O1727" s="253"/>
      <c r="P1727" s="253"/>
      <c r="Q1727" s="253"/>
    </row>
    <row r="1728" spans="1:17">
      <c r="A1728" s="253"/>
      <c r="B1728" s="253"/>
      <c r="C1728" s="253"/>
      <c r="D1728" s="253"/>
      <c r="E1728" s="253"/>
      <c r="F1728" s="253"/>
      <c r="G1728" s="253"/>
      <c r="H1728" s="253"/>
      <c r="I1728" s="253"/>
      <c r="J1728" s="253"/>
      <c r="K1728" s="253"/>
      <c r="L1728" s="253"/>
      <c r="M1728" s="253"/>
      <c r="N1728" s="253"/>
      <c r="O1728" s="253"/>
      <c r="P1728" s="253"/>
      <c r="Q1728" s="253"/>
    </row>
    <row r="1729" spans="1:17">
      <c r="A1729" s="253"/>
      <c r="B1729" s="253"/>
      <c r="C1729" s="253"/>
      <c r="D1729" s="253"/>
      <c r="E1729" s="253"/>
      <c r="F1729" s="253"/>
      <c r="G1729" s="253"/>
      <c r="H1729" s="253"/>
      <c r="I1729" s="253"/>
      <c r="J1729" s="253"/>
      <c r="K1729" s="253"/>
      <c r="L1729" s="253"/>
      <c r="M1729" s="253"/>
      <c r="N1729" s="253"/>
      <c r="O1729" s="253"/>
      <c r="P1729" s="253"/>
      <c r="Q1729" s="253"/>
    </row>
    <row r="1730" spans="1:17">
      <c r="A1730" s="253"/>
      <c r="B1730" s="253"/>
      <c r="C1730" s="253"/>
      <c r="D1730" s="253"/>
      <c r="E1730" s="253"/>
      <c r="F1730" s="253"/>
      <c r="G1730" s="253"/>
      <c r="H1730" s="253"/>
      <c r="I1730" s="253"/>
      <c r="J1730" s="253"/>
      <c r="K1730" s="253"/>
      <c r="L1730" s="253"/>
      <c r="M1730" s="253"/>
      <c r="N1730" s="253"/>
      <c r="O1730" s="253"/>
      <c r="P1730" s="253"/>
      <c r="Q1730" s="253"/>
    </row>
    <row r="1731" spans="1:17">
      <c r="A1731" s="253"/>
      <c r="B1731" s="253"/>
      <c r="C1731" s="253"/>
      <c r="D1731" s="253"/>
      <c r="E1731" s="253"/>
      <c r="F1731" s="253"/>
      <c r="G1731" s="253"/>
      <c r="H1731" s="253"/>
      <c r="I1731" s="253"/>
      <c r="J1731" s="253"/>
      <c r="K1731" s="253"/>
      <c r="L1731" s="253"/>
      <c r="M1731" s="253"/>
      <c r="N1731" s="253"/>
      <c r="O1731" s="253"/>
      <c r="P1731" s="253"/>
      <c r="Q1731" s="253"/>
    </row>
    <row r="1732" spans="1:17">
      <c r="A1732" s="253"/>
      <c r="B1732" s="253"/>
      <c r="C1732" s="253"/>
      <c r="D1732" s="253"/>
      <c r="E1732" s="253"/>
      <c r="F1732" s="253"/>
      <c r="G1732" s="253"/>
      <c r="H1732" s="253"/>
      <c r="I1732" s="253"/>
      <c r="J1732" s="253"/>
      <c r="K1732" s="253"/>
      <c r="L1732" s="253"/>
      <c r="M1732" s="253"/>
      <c r="N1732" s="253"/>
      <c r="O1732" s="253"/>
      <c r="P1732" s="253"/>
      <c r="Q1732" s="253"/>
    </row>
    <row r="1733" spans="1:17">
      <c r="A1733" s="253"/>
      <c r="B1733" s="253"/>
      <c r="C1733" s="253"/>
      <c r="D1733" s="253"/>
      <c r="E1733" s="253"/>
      <c r="F1733" s="253"/>
      <c r="G1733" s="253"/>
      <c r="H1733" s="253"/>
      <c r="I1733" s="253"/>
      <c r="J1733" s="253"/>
      <c r="K1733" s="253"/>
      <c r="L1733" s="253"/>
      <c r="M1733" s="253"/>
      <c r="N1733" s="253"/>
      <c r="O1733" s="253"/>
      <c r="P1733" s="253"/>
      <c r="Q1733" s="253"/>
    </row>
    <row r="1734" spans="1:17">
      <c r="A1734" s="253"/>
      <c r="B1734" s="253"/>
      <c r="C1734" s="253"/>
      <c r="D1734" s="253"/>
      <c r="E1734" s="253"/>
      <c r="F1734" s="253"/>
      <c r="G1734" s="253"/>
      <c r="H1734" s="253"/>
      <c r="I1734" s="253"/>
      <c r="J1734" s="253"/>
      <c r="K1734" s="253"/>
      <c r="L1734" s="253"/>
      <c r="M1734" s="253"/>
      <c r="N1734" s="253"/>
      <c r="O1734" s="253"/>
      <c r="P1734" s="253"/>
      <c r="Q1734" s="253"/>
    </row>
    <row r="1735" spans="1:17">
      <c r="A1735" s="253"/>
      <c r="B1735" s="253"/>
      <c r="C1735" s="253"/>
      <c r="D1735" s="253"/>
      <c r="E1735" s="253"/>
      <c r="F1735" s="253"/>
      <c r="G1735" s="253"/>
      <c r="H1735" s="253"/>
      <c r="I1735" s="253"/>
      <c r="J1735" s="253"/>
      <c r="K1735" s="253"/>
      <c r="L1735" s="253"/>
      <c r="M1735" s="253"/>
      <c r="N1735" s="253"/>
      <c r="O1735" s="253"/>
      <c r="P1735" s="253"/>
      <c r="Q1735" s="253"/>
    </row>
    <row r="1736" spans="1:17">
      <c r="A1736" s="253"/>
      <c r="B1736" s="253"/>
      <c r="C1736" s="253"/>
      <c r="D1736" s="253"/>
      <c r="E1736" s="253"/>
      <c r="F1736" s="253"/>
      <c r="G1736" s="253"/>
      <c r="H1736" s="253"/>
      <c r="I1736" s="253"/>
      <c r="J1736" s="253"/>
      <c r="K1736" s="253"/>
      <c r="L1736" s="253"/>
      <c r="M1736" s="253"/>
      <c r="N1736" s="253"/>
      <c r="O1736" s="253"/>
      <c r="P1736" s="253"/>
      <c r="Q1736" s="253"/>
    </row>
    <row r="1737" spans="1:17">
      <c r="A1737" s="253"/>
      <c r="B1737" s="253"/>
      <c r="C1737" s="253"/>
      <c r="D1737" s="253"/>
      <c r="E1737" s="253"/>
      <c r="F1737" s="253"/>
      <c r="G1737" s="253"/>
      <c r="H1737" s="253"/>
      <c r="I1737" s="253"/>
      <c r="J1737" s="253"/>
      <c r="K1737" s="253"/>
      <c r="L1737" s="253"/>
      <c r="M1737" s="253"/>
      <c r="N1737" s="253"/>
      <c r="O1737" s="253"/>
      <c r="P1737" s="253"/>
      <c r="Q1737" s="253"/>
    </row>
    <row r="1738" spans="1:17">
      <c r="A1738" s="253"/>
      <c r="B1738" s="253"/>
      <c r="C1738" s="253"/>
      <c r="D1738" s="253"/>
      <c r="E1738" s="253"/>
      <c r="F1738" s="253"/>
      <c r="G1738" s="253"/>
      <c r="H1738" s="253"/>
      <c r="I1738" s="253"/>
      <c r="J1738" s="253"/>
      <c r="K1738" s="253"/>
      <c r="L1738" s="253"/>
      <c r="M1738" s="253"/>
      <c r="N1738" s="253"/>
      <c r="O1738" s="253"/>
      <c r="P1738" s="253"/>
      <c r="Q1738" s="253"/>
    </row>
    <row r="1739" spans="1:17">
      <c r="A1739" s="253"/>
      <c r="B1739" s="253"/>
      <c r="C1739" s="253"/>
      <c r="D1739" s="253"/>
      <c r="E1739" s="253"/>
      <c r="F1739" s="253"/>
      <c r="G1739" s="253"/>
      <c r="H1739" s="253"/>
      <c r="I1739" s="253"/>
      <c r="J1739" s="253"/>
      <c r="K1739" s="253"/>
      <c r="L1739" s="253"/>
      <c r="M1739" s="253"/>
      <c r="N1739" s="253"/>
      <c r="O1739" s="253"/>
      <c r="P1739" s="253"/>
      <c r="Q1739" s="253"/>
    </row>
    <row r="1740" spans="1:17">
      <c r="A1740" s="253"/>
      <c r="B1740" s="253"/>
      <c r="C1740" s="253"/>
      <c r="D1740" s="253"/>
      <c r="E1740" s="253"/>
      <c r="F1740" s="253"/>
      <c r="G1740" s="253"/>
      <c r="H1740" s="253"/>
      <c r="I1740" s="253"/>
      <c r="J1740" s="253"/>
      <c r="K1740" s="253"/>
      <c r="L1740" s="253"/>
      <c r="M1740" s="253"/>
      <c r="N1740" s="253"/>
      <c r="O1740" s="253"/>
      <c r="P1740" s="253"/>
      <c r="Q1740" s="253"/>
    </row>
    <row r="1741" spans="1:17">
      <c r="A1741" s="253"/>
      <c r="B1741" s="253"/>
      <c r="C1741" s="253"/>
      <c r="D1741" s="253"/>
      <c r="E1741" s="253"/>
      <c r="F1741" s="253"/>
      <c r="G1741" s="253"/>
      <c r="H1741" s="253"/>
      <c r="I1741" s="253"/>
      <c r="J1741" s="253"/>
      <c r="K1741" s="253"/>
      <c r="L1741" s="253"/>
      <c r="M1741" s="253"/>
      <c r="N1741" s="253"/>
      <c r="O1741" s="253"/>
      <c r="P1741" s="253"/>
      <c r="Q1741" s="253"/>
    </row>
    <row r="1742" spans="1:17">
      <c r="A1742" s="253"/>
      <c r="B1742" s="253"/>
      <c r="C1742" s="253"/>
      <c r="D1742" s="253"/>
      <c r="E1742" s="253"/>
      <c r="F1742" s="253"/>
      <c r="G1742" s="253"/>
      <c r="H1742" s="253"/>
      <c r="I1742" s="253"/>
      <c r="J1742" s="253"/>
      <c r="K1742" s="253"/>
      <c r="L1742" s="253"/>
      <c r="M1742" s="253"/>
      <c r="N1742" s="253"/>
      <c r="O1742" s="253"/>
      <c r="P1742" s="253"/>
      <c r="Q1742" s="253"/>
    </row>
    <row r="1743" spans="1:17">
      <c r="A1743" s="253"/>
      <c r="B1743" s="253"/>
      <c r="C1743" s="253"/>
      <c r="D1743" s="253"/>
      <c r="E1743" s="253"/>
      <c r="F1743" s="253"/>
      <c r="G1743" s="253"/>
      <c r="H1743" s="253"/>
      <c r="I1743" s="253"/>
      <c r="J1743" s="253"/>
      <c r="K1743" s="253"/>
      <c r="L1743" s="253"/>
      <c r="M1743" s="253"/>
      <c r="N1743" s="253"/>
      <c r="O1743" s="253"/>
      <c r="P1743" s="253"/>
      <c r="Q1743" s="253"/>
    </row>
    <row r="1744" spans="1:17">
      <c r="A1744" s="253"/>
      <c r="B1744" s="253"/>
      <c r="C1744" s="253"/>
      <c r="D1744" s="253"/>
      <c r="E1744" s="253"/>
      <c r="F1744" s="253"/>
      <c r="G1744" s="253"/>
      <c r="H1744" s="253"/>
      <c r="I1744" s="253"/>
      <c r="J1744" s="253"/>
      <c r="K1744" s="253"/>
      <c r="L1744" s="253"/>
      <c r="M1744" s="253"/>
      <c r="N1744" s="253"/>
      <c r="O1744" s="253"/>
      <c r="P1744" s="253"/>
      <c r="Q1744" s="253"/>
    </row>
  </sheetData>
  <mergeCells count="5">
    <mergeCell ref="C36:E36"/>
    <mergeCell ref="J36:J37"/>
    <mergeCell ref="K36:K37"/>
    <mergeCell ref="P36:P37"/>
    <mergeCell ref="Q36:Q37"/>
  </mergeCells>
  <phoneticPr fontId="7"/>
  <pageMargins left="0.7" right="0.7" top="0.75" bottom="0.75" header="0.3" footer="0.3"/>
  <pageSetup paperSize="9" orientation="portrait" r:id="rId1"/>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2:Y114"/>
  <sheetViews>
    <sheetView topLeftCell="A85" workbookViewId="0">
      <selection activeCell="N90" sqref="N90:N114"/>
    </sheetView>
  </sheetViews>
  <sheetFormatPr defaultColWidth="9" defaultRowHeight="13.2"/>
  <cols>
    <col min="1" max="2" width="9" style="200"/>
    <col min="3" max="3" width="9.44140625" style="200" bestFit="1" customWidth="1"/>
    <col min="4" max="10" width="9" style="200"/>
    <col min="11" max="12" width="9.44140625" style="200" bestFit="1" customWidth="1"/>
    <col min="13" max="16384" width="9" style="200"/>
  </cols>
  <sheetData>
    <row r="2" spans="5:25" ht="13.8" thickBot="1">
      <c r="L2" s="643" t="s">
        <v>567</v>
      </c>
      <c r="M2" s="643" t="s">
        <v>568</v>
      </c>
    </row>
    <row r="3" spans="5:25" ht="13.8" thickBot="1">
      <c r="K3" s="262" t="s">
        <v>273</v>
      </c>
      <c r="L3" s="263">
        <f>【事例3】危険部品判断シート!R5</f>
        <v>35.6</v>
      </c>
      <c r="M3" s="263">
        <v>0.4</v>
      </c>
      <c r="O3" s="200" t="s">
        <v>274</v>
      </c>
      <c r="Q3" s="263">
        <v>30</v>
      </c>
    </row>
    <row r="4" spans="5:25" ht="13.8" thickBot="1">
      <c r="K4" s="200" t="s">
        <v>275</v>
      </c>
      <c r="L4" s="264">
        <f>【事例3】危険部品判断シート!R7</f>
        <v>5</v>
      </c>
      <c r="Q4" s="265"/>
    </row>
    <row r="5" spans="5:25">
      <c r="E5" s="200" t="s">
        <v>276</v>
      </c>
      <c r="H5" s="200" t="s">
        <v>203</v>
      </c>
      <c r="I5" s="200" t="s">
        <v>277</v>
      </c>
      <c r="J5" s="200" t="s">
        <v>253</v>
      </c>
      <c r="K5" s="200" t="s">
        <v>278</v>
      </c>
      <c r="L5" s="200" t="s">
        <v>279</v>
      </c>
      <c r="M5" s="200" t="s">
        <v>280</v>
      </c>
      <c r="N5" s="200" t="s">
        <v>281</v>
      </c>
      <c r="O5" s="200" t="s">
        <v>282</v>
      </c>
      <c r="P5" s="200" t="s">
        <v>283</v>
      </c>
      <c r="Q5" s="200" t="s">
        <v>284</v>
      </c>
      <c r="R5" s="200" t="s">
        <v>285</v>
      </c>
      <c r="S5" s="200" t="s">
        <v>286</v>
      </c>
      <c r="T5" s="200" t="s">
        <v>287</v>
      </c>
      <c r="U5" s="200" t="s">
        <v>288</v>
      </c>
      <c r="V5" s="200" t="s">
        <v>289</v>
      </c>
      <c r="W5" s="200" t="s">
        <v>290</v>
      </c>
      <c r="X5" s="200" t="s">
        <v>291</v>
      </c>
    </row>
    <row r="6" spans="5:25">
      <c r="E6" s="200" t="s">
        <v>292</v>
      </c>
      <c r="F6" s="200">
        <v>1</v>
      </c>
      <c r="G6" s="200">
        <f>J6*1000</f>
        <v>8</v>
      </c>
      <c r="H6" s="200">
        <f ca="1">X6</f>
        <v>0.32007381227992521</v>
      </c>
      <c r="I6" s="200">
        <v>2E-3</v>
      </c>
      <c r="J6" s="200">
        <f t="shared" ref="J6:J30" si="0">I6*4</f>
        <v>8.0000000000000002E-3</v>
      </c>
      <c r="K6" s="200">
        <f>I6+$L$4/1000*2</f>
        <v>1.2E-2</v>
      </c>
      <c r="L6" s="200">
        <f>K6^2*2</f>
        <v>2.8800000000000001E-4</v>
      </c>
      <c r="M6" s="200">
        <f ca="1">IF(【事例3】危険部品判断シート!$O$36=0,2.51*0.56*(O6/K6)^0.25+0.0000000567*$F$9*(($F$10+273+O6)^2+($F$10+273)^2)*(($F$10+273+O6)+($F$10+273)),3.86*(【事例3】危険部品判断シート!$O$36/K6)^0.5+0.0000000567*$F$9*(($F$10+273+O6)^2+($F$10+273)^2)*(($F$10+273+O6)+($F$10+273)))</f>
        <v>37.045580124991346</v>
      </c>
      <c r="N6" s="200">
        <f ca="1">1/L6/M6+$F$8/$M$3/L6</f>
        <v>107.61726918437854</v>
      </c>
      <c r="O6" s="200">
        <f ca="1">H6*N6</f>
        <v>34.445469614998956</v>
      </c>
      <c r="P6" s="200">
        <f>I6^2</f>
        <v>3.9999999999999998E-6</v>
      </c>
      <c r="Q6" s="200">
        <f>K6^2</f>
        <v>1.44E-4</v>
      </c>
      <c r="R6" s="200">
        <f>(PI()^1.5)/((Q6)^0.5)+1/(P6)^0.5</f>
        <v>964.02733306930907</v>
      </c>
      <c r="S6" s="200">
        <f t="shared" ref="S6:S30" si="1">$F$6*(Q6^0.5-P6^0.5)/($L$3*(PI()*Q6*P6)^0.5)</f>
        <v>6.6033425040701816</v>
      </c>
      <c r="T6" s="200">
        <f t="shared" ref="T6:T30" ca="1" si="2">R6*$L$3*Q6*N6/$F$6</f>
        <v>531.84343803019988</v>
      </c>
      <c r="U6" s="200">
        <f t="shared" ref="U6:U30" si="3">TANH(R6*$F$8/$F$6)</f>
        <v>0.91253009128967677</v>
      </c>
      <c r="V6" s="200">
        <f ca="1">S6*(T6+U6)/(1+T6*U6)</f>
        <v>7.2338119073335365</v>
      </c>
      <c r="W6" s="262">
        <f ca="1">N6+V6</f>
        <v>114.85108109171208</v>
      </c>
      <c r="X6" s="200">
        <f ca="1">L6*M6*$Q$3</f>
        <v>0.32007381227992521</v>
      </c>
      <c r="Y6" s="200">
        <f>J6*1000</f>
        <v>8</v>
      </c>
    </row>
    <row r="7" spans="5:25">
      <c r="G7" s="200">
        <f t="shared" ref="G7:G30" si="4">J7*1000</f>
        <v>16</v>
      </c>
      <c r="H7" s="200">
        <f ca="1">X7</f>
        <v>0.41056997496430331</v>
      </c>
      <c r="I7" s="200">
        <f>I6+0.002</f>
        <v>4.0000000000000001E-3</v>
      </c>
      <c r="J7" s="200">
        <f t="shared" si="0"/>
        <v>1.6E-2</v>
      </c>
      <c r="K7" s="200">
        <f t="shared" ref="K7:K30" si="5">I7+$L$4/1000*2</f>
        <v>1.4E-2</v>
      </c>
      <c r="L7" s="200">
        <f t="shared" ref="L7:L30" si="6">K7^2*2</f>
        <v>3.9200000000000004E-4</v>
      </c>
      <c r="M7" s="200">
        <f ca="1">IF(【事例3】危険部品判断シート!$O$36=0,2.51*0.56*(O7/K7)^0.25+0.0000000567*$F$9*(($F$10+273+O7)^2+($F$10+273)^2)*(($F$10+273+O7)+($F$10+273)),3.86*(【事例3】危険部品判断シート!$O$36/K7)^0.5+0.0000000567*$F$9*(($F$10+273+O7)^2+($F$10+273)^2)*(($F$10+273+O7)+($F$10+273)))</f>
        <v>34.912412837100618</v>
      </c>
      <c r="N7" s="200">
        <f t="shared" ref="N7:N30" ca="1" si="7">1/L7/M7+$F$8/$M$3/L7</f>
        <v>83.273233858429748</v>
      </c>
      <c r="O7" s="200">
        <f t="shared" ref="O7:O30" ca="1" si="8">H7*N7</f>
        <v>34.18948954045208</v>
      </c>
      <c r="P7" s="200">
        <f t="shared" ref="P7:P30" si="9">I7^2</f>
        <v>1.5999999999999999E-5</v>
      </c>
      <c r="Q7" s="200">
        <f t="shared" ref="Q7:Q30" si="10">K7^2</f>
        <v>1.9600000000000002E-4</v>
      </c>
      <c r="R7" s="200">
        <f t="shared" ref="R7:R30" si="11">(PI()^1.5)/((Q7)^0.5)+1/(P7)^0.5</f>
        <v>647.73771405940784</v>
      </c>
      <c r="S7" s="200">
        <f t="shared" si="1"/>
        <v>2.830003930315792</v>
      </c>
      <c r="T7" s="200">
        <f t="shared" ca="1" si="2"/>
        <v>376.36626059578032</v>
      </c>
      <c r="U7" s="200">
        <f t="shared" si="3"/>
        <v>0.77645466972204769</v>
      </c>
      <c r="V7" s="200">
        <f t="shared" ref="V7:V30" ca="1" si="12">S7*(T7+U7)/(1+T7*U7)</f>
        <v>3.6398406951770816</v>
      </c>
      <c r="W7" s="262">
        <f t="shared" ref="W7:W30" ca="1" si="13">N7+V7</f>
        <v>86.913074553606833</v>
      </c>
      <c r="X7" s="200">
        <f t="shared" ref="X7:X30" ca="1" si="14">L7*M7*$Q$3</f>
        <v>0.41056997496430331</v>
      </c>
      <c r="Y7" s="200">
        <f t="shared" ref="Y7:Y30" si="15">J7*1000</f>
        <v>16</v>
      </c>
    </row>
    <row r="8" spans="5:25">
      <c r="E8" s="262" t="s">
        <v>293</v>
      </c>
      <c r="F8" s="266">
        <v>1.6000000000000001E-3</v>
      </c>
      <c r="G8" s="200">
        <f t="shared" si="4"/>
        <v>24</v>
      </c>
      <c r="H8" s="200">
        <f t="shared" ref="H8:H30" ca="1" si="16">X8</f>
        <v>0.50984329898538172</v>
      </c>
      <c r="I8" s="200">
        <f t="shared" ref="I8:I30" si="17">I7+0.002</f>
        <v>6.0000000000000001E-3</v>
      </c>
      <c r="J8" s="200">
        <f t="shared" si="0"/>
        <v>2.4E-2</v>
      </c>
      <c r="K8" s="200">
        <f t="shared" si="5"/>
        <v>1.6E-2</v>
      </c>
      <c r="L8" s="200">
        <f t="shared" si="6"/>
        <v>5.1199999999999998E-4</v>
      </c>
      <c r="M8" s="200">
        <f ca="1">IF(【事例3】危険部品判断シート!$O$36=0,2.51*0.56*(O8/K8)^0.25+0.0000000567*$F$9*(($F$10+273+O8)^2+($F$10+273)^2)*(($F$10+273+O8)+($F$10+273)),3.86*(【事例3】危険部品判断シート!$O$36/K8)^0.5+0.0000000567*$F$9*(($F$10+273+O8)^2+($F$10+273)^2)*(($F$10+273+O8)+($F$10+273)))</f>
        <v>33.192923111027454</v>
      </c>
      <c r="N8" s="200">
        <f t="shared" ca="1" si="7"/>
        <v>66.65410890160129</v>
      </c>
      <c r="O8" s="200">
        <f t="shared" ca="1" si="8"/>
        <v>33.983150773323302</v>
      </c>
      <c r="P8" s="200">
        <f t="shared" si="9"/>
        <v>3.6000000000000001E-5</v>
      </c>
      <c r="Q8" s="200">
        <f t="shared" si="10"/>
        <v>2.5599999999999999E-4</v>
      </c>
      <c r="R8" s="200">
        <f t="shared" si="11"/>
        <v>514.68716646864846</v>
      </c>
      <c r="S8" s="200">
        <f t="shared" si="1"/>
        <v>1.6508356260175454</v>
      </c>
      <c r="T8" s="200">
        <f t="shared" ca="1" si="2"/>
        <v>312.65129323736596</v>
      </c>
      <c r="U8" s="200">
        <f t="shared" si="3"/>
        <v>0.6769700699595429</v>
      </c>
      <c r="V8" s="200">
        <f t="shared" ca="1" si="12"/>
        <v>2.4323532410709516</v>
      </c>
      <c r="W8" s="262">
        <f t="shared" ca="1" si="13"/>
        <v>69.086462142672247</v>
      </c>
      <c r="X8" s="200">
        <f t="shared" ca="1" si="14"/>
        <v>0.50984329898538172</v>
      </c>
      <c r="Y8" s="200">
        <f t="shared" si="15"/>
        <v>24</v>
      </c>
    </row>
    <row r="9" spans="5:25">
      <c r="E9" s="262" t="s">
        <v>205</v>
      </c>
      <c r="F9" s="266">
        <f>【事例3】危険部品判断シート!P38</f>
        <v>0.9</v>
      </c>
      <c r="G9" s="200">
        <f t="shared" si="4"/>
        <v>32</v>
      </c>
      <c r="H9" s="200">
        <f t="shared" ca="1" si="16"/>
        <v>0.61758254139701063</v>
      </c>
      <c r="I9" s="200">
        <f t="shared" si="17"/>
        <v>8.0000000000000002E-3</v>
      </c>
      <c r="J9" s="200">
        <f t="shared" si="0"/>
        <v>3.2000000000000001E-2</v>
      </c>
      <c r="K9" s="200">
        <f t="shared" si="5"/>
        <v>1.8000000000000002E-2</v>
      </c>
      <c r="L9" s="200">
        <f t="shared" si="6"/>
        <v>6.4800000000000014E-4</v>
      </c>
      <c r="M9" s="200">
        <f ca="1">IF(【事例3】危険部品判断シート!$O$36=0,2.51*0.56*(O9/K9)^0.25+0.0000000567*$F$9*(($F$10+273+O9)^2+($F$10+273)^2)*(($F$10+273+O9)+($F$10+273)),3.86*(【事例3】危険部品判断シート!$O$36/K9)^0.5+0.0000000567*$F$9*(($F$10+273+O9)^2+($F$10+273)^2)*(($F$10+273+O9)+($F$10+273)))</f>
        <v>31.768649248817415</v>
      </c>
      <c r="N9" s="200">
        <f t="shared" ca="1" si="7"/>
        <v>54.749342222940228</v>
      </c>
      <c r="O9" s="200">
        <f t="shared" ca="1" si="8"/>
        <v>33.812237909858084</v>
      </c>
      <c r="P9" s="200">
        <f t="shared" si="9"/>
        <v>6.3999999999999997E-5</v>
      </c>
      <c r="Q9" s="200">
        <f t="shared" si="10"/>
        <v>3.2400000000000007E-4</v>
      </c>
      <c r="R9" s="200">
        <f t="shared" si="11"/>
        <v>434.35155537953932</v>
      </c>
      <c r="S9" s="200">
        <f t="shared" si="1"/>
        <v>1.1005570840116972</v>
      </c>
      <c r="T9" s="200">
        <f t="shared" ca="1" si="2"/>
        <v>274.29336032231754</v>
      </c>
      <c r="U9" s="200">
        <f t="shared" si="3"/>
        <v>0.60116053184182494</v>
      </c>
      <c r="V9" s="200">
        <f t="shared" ca="1" si="12"/>
        <v>1.8236734776859136</v>
      </c>
      <c r="W9" s="262">
        <f t="shared" ca="1" si="13"/>
        <v>56.573015700626144</v>
      </c>
      <c r="X9" s="200">
        <f t="shared" ca="1" si="14"/>
        <v>0.61758254139701063</v>
      </c>
      <c r="Y9" s="200">
        <f t="shared" si="15"/>
        <v>32</v>
      </c>
    </row>
    <row r="10" spans="5:25">
      <c r="E10" s="266" t="s">
        <v>214</v>
      </c>
      <c r="F10" s="266">
        <f>【事例3】危険部品判断シート!M36</f>
        <v>55</v>
      </c>
      <c r="G10" s="200">
        <f t="shared" si="4"/>
        <v>40</v>
      </c>
      <c r="H10" s="200">
        <f t="shared" ca="1" si="16"/>
        <v>0.73353022101866461</v>
      </c>
      <c r="I10" s="200">
        <f t="shared" si="17"/>
        <v>0.01</v>
      </c>
      <c r="J10" s="200">
        <f t="shared" si="0"/>
        <v>0.04</v>
      </c>
      <c r="K10" s="200">
        <f t="shared" si="5"/>
        <v>0.02</v>
      </c>
      <c r="L10" s="200">
        <f t="shared" si="6"/>
        <v>8.0000000000000004E-4</v>
      </c>
      <c r="M10" s="200">
        <f ca="1">IF(【事例3】危険部品判断シート!$O$36=0,2.51*0.56*(O10/K10)^0.25+0.0000000567*$F$9*(($F$10+273+O10)^2+($F$10+273)^2)*(($F$10+273+O10)+($F$10+273)),3.86*(【事例3】危険部品判断シート!$O$36/K10)^0.5+0.0000000567*$F$9*(($F$10+273+O10)^2+($F$10+273)^2)*(($F$10+273+O10)+($F$10+273)))</f>
        <v>30.563759209111026</v>
      </c>
      <c r="N10" s="200">
        <f t="shared" ca="1" si="7"/>
        <v>45.898110453225144</v>
      </c>
      <c r="O10" s="200">
        <f t="shared" ca="1" si="8"/>
        <v>33.66765110509332</v>
      </c>
      <c r="P10" s="200">
        <f t="shared" si="9"/>
        <v>1E-4</v>
      </c>
      <c r="Q10" s="200">
        <f t="shared" si="10"/>
        <v>4.0000000000000002E-4</v>
      </c>
      <c r="R10" s="200">
        <f t="shared" si="11"/>
        <v>378.41639984158542</v>
      </c>
      <c r="S10" s="200">
        <f t="shared" si="1"/>
        <v>0.79240110048842172</v>
      </c>
      <c r="T10" s="200">
        <f t="shared" ca="1" si="2"/>
        <v>247.32883149351039</v>
      </c>
      <c r="U10" s="200">
        <f t="shared" si="3"/>
        <v>0.54092779792344237</v>
      </c>
      <c r="V10" s="200">
        <f t="shared" ca="1" si="12"/>
        <v>1.4572044150091117</v>
      </c>
      <c r="W10" s="262">
        <f t="shared" ca="1" si="13"/>
        <v>47.355314868234252</v>
      </c>
      <c r="X10" s="200">
        <f t="shared" ca="1" si="14"/>
        <v>0.73353022101866461</v>
      </c>
      <c r="Y10" s="200">
        <f t="shared" si="15"/>
        <v>40</v>
      </c>
    </row>
    <row r="11" spans="5:25">
      <c r="E11" s="262"/>
      <c r="F11" s="266"/>
      <c r="G11" s="200">
        <f t="shared" si="4"/>
        <v>48</v>
      </c>
      <c r="H11" s="200">
        <f t="shared" ca="1" si="16"/>
        <v>0.85746870839716771</v>
      </c>
      <c r="I11" s="200">
        <f t="shared" si="17"/>
        <v>1.2E-2</v>
      </c>
      <c r="J11" s="200">
        <f t="shared" si="0"/>
        <v>4.8000000000000001E-2</v>
      </c>
      <c r="K11" s="200">
        <f t="shared" si="5"/>
        <v>2.1999999999999999E-2</v>
      </c>
      <c r="L11" s="200">
        <f>K11^2*2</f>
        <v>9.6799999999999989E-4</v>
      </c>
      <c r="M11" s="200">
        <f ca="1">IF(【事例3】危険部品判断シート!$O$36=0,2.51*0.56*(O11/K11)^0.25+0.0000000567*$F$9*(($F$10+273+O11)^2+($F$10+273)^2)*(($F$10+273+O11)+($F$10+273)),3.86*(【事例3】危険部品判断シート!$O$36/K11)^0.5+0.0000000567*$F$9*(($F$10+273+O11)^2+($F$10+273)^2)*(($F$10+273+O11)+($F$10+273)))</f>
        <v>29.527159380067761</v>
      </c>
      <c r="N11" s="200">
        <f t="shared" ca="1" si="7"/>
        <v>39.118930868403609</v>
      </c>
      <c r="O11" s="200">
        <f t="shared" ca="1" si="8"/>
        <v>33.543259125608138</v>
      </c>
      <c r="P11" s="200">
        <f t="shared" si="9"/>
        <v>1.44E-4</v>
      </c>
      <c r="Q11" s="200">
        <f t="shared" si="10"/>
        <v>4.8399999999999995E-4</v>
      </c>
      <c r="R11" s="200">
        <f t="shared" si="11"/>
        <v>336.43915137113828</v>
      </c>
      <c r="S11" s="200">
        <f t="shared" si="1"/>
        <v>0.60030386400638003</v>
      </c>
      <c r="T11" s="200">
        <f t="shared" ca="1" si="2"/>
        <v>226.77170500036419</v>
      </c>
      <c r="U11" s="200">
        <f t="shared" si="3"/>
        <v>0.49170205506160097</v>
      </c>
      <c r="V11" s="200">
        <f t="shared" ca="1" si="12"/>
        <v>1.2126410075660046</v>
      </c>
      <c r="W11" s="262">
        <f t="shared" ca="1" si="13"/>
        <v>40.331571875969615</v>
      </c>
      <c r="X11" s="200">
        <f t="shared" ca="1" si="14"/>
        <v>0.85746870839716771</v>
      </c>
      <c r="Y11" s="200">
        <f t="shared" si="15"/>
        <v>48</v>
      </c>
    </row>
    <row r="12" spans="5:25">
      <c r="G12" s="200">
        <f t="shared" si="4"/>
        <v>56</v>
      </c>
      <c r="H12" s="200">
        <f t="shared" ca="1" si="16"/>
        <v>0.98921089019042341</v>
      </c>
      <c r="I12" s="200">
        <f t="shared" si="17"/>
        <v>1.4E-2</v>
      </c>
      <c r="J12" s="200">
        <f t="shared" si="0"/>
        <v>5.6000000000000001E-2</v>
      </c>
      <c r="K12" s="200">
        <f t="shared" si="5"/>
        <v>2.4E-2</v>
      </c>
      <c r="L12" s="200">
        <f t="shared" si="6"/>
        <v>1.152E-3</v>
      </c>
      <c r="M12" s="200">
        <f ca="1">IF(【事例3】危険部品判断シート!$O$36=0,2.51*0.56*(O12/K12)^0.25+0.0000000567*$F$9*(($F$10+273+O12)^2+($F$10+273)^2)*(($F$10+273+O12)+($F$10+273)),3.86*(【事例3】危険部品判断シート!$O$36/K12)^0.5+0.0000000567*$F$9*(($F$10+273+O12)^2+($F$10+273)^2)*(($F$10+273+O12)+($F$10+273)))</f>
        <v>28.623000294861789</v>
      </c>
      <c r="N12" s="200">
        <f t="shared" ca="1" si="7"/>
        <v>33.799425751314985</v>
      </c>
      <c r="O12" s="200">
        <f t="shared" ca="1" si="8"/>
        <v>33.43476003538342</v>
      </c>
      <c r="P12" s="200">
        <f t="shared" si="9"/>
        <v>1.9600000000000002E-4</v>
      </c>
      <c r="Q12" s="200">
        <f t="shared" si="10"/>
        <v>5.7600000000000001E-4</v>
      </c>
      <c r="R12" s="200">
        <f t="shared" si="11"/>
        <v>303.44223796322598</v>
      </c>
      <c r="S12" s="200">
        <f t="shared" si="1"/>
        <v>0.47166732171929865</v>
      </c>
      <c r="T12" s="200">
        <f t="shared" ca="1" si="2"/>
        <v>210.30898910393802</v>
      </c>
      <c r="U12" s="200">
        <f t="shared" si="3"/>
        <v>0.45064358951546418</v>
      </c>
      <c r="V12" s="200">
        <f t="shared" ca="1" si="12"/>
        <v>1.0379436864861424</v>
      </c>
      <c r="W12" s="262">
        <f t="shared" ca="1" si="13"/>
        <v>34.837369437801129</v>
      </c>
      <c r="X12" s="200">
        <f t="shared" ca="1" si="14"/>
        <v>0.98921089019042341</v>
      </c>
      <c r="Y12" s="200">
        <f t="shared" si="15"/>
        <v>56</v>
      </c>
    </row>
    <row r="13" spans="5:25">
      <c r="G13" s="200">
        <f t="shared" si="4"/>
        <v>64</v>
      </c>
      <c r="H13" s="200">
        <f t="shared" ca="1" si="16"/>
        <v>1.1285936372468945</v>
      </c>
      <c r="I13" s="200">
        <f t="shared" si="17"/>
        <v>1.6E-2</v>
      </c>
      <c r="J13" s="200">
        <f t="shared" si="0"/>
        <v>6.4000000000000001E-2</v>
      </c>
      <c r="K13" s="200">
        <f t="shared" si="5"/>
        <v>2.6000000000000002E-2</v>
      </c>
      <c r="L13" s="200">
        <f t="shared" si="6"/>
        <v>1.3520000000000003E-3</v>
      </c>
      <c r="M13" s="200">
        <f ca="1">IF(【事例3】危険部品判断シート!$O$36=0,2.51*0.56*(O13/K13)^0.25+0.0000000567*$F$9*(($F$10+273+O13)^2+($F$10+273)^2)*(($F$10+273+O13)+($F$10+273)),3.86*(【事例3】危険部品判断シート!$O$36/K13)^0.5+0.0000000567*$F$9*(($F$10+273+O13)^2+($F$10+273)^2)*(($F$10+273+O13)+($F$10+273)))</f>
        <v>27.825286914371162</v>
      </c>
      <c r="N13" s="200">
        <f t="shared" ca="1" si="7"/>
        <v>29.540335271650296</v>
      </c>
      <c r="O13" s="200">
        <f t="shared" ca="1" si="8"/>
        <v>33.339034429724535</v>
      </c>
      <c r="P13" s="200">
        <f t="shared" si="9"/>
        <v>2.5599999999999999E-4</v>
      </c>
      <c r="Q13" s="200">
        <f t="shared" si="10"/>
        <v>6.7600000000000017E-4</v>
      </c>
      <c r="R13" s="200">
        <f t="shared" si="11"/>
        <v>276.66646141660419</v>
      </c>
      <c r="S13" s="200">
        <f t="shared" si="1"/>
        <v>0.3809620675425105</v>
      </c>
      <c r="T13" s="200">
        <f t="shared" ca="1" si="2"/>
        <v>196.68381768190278</v>
      </c>
      <c r="U13" s="200">
        <f t="shared" si="3"/>
        <v>0.41585212525732529</v>
      </c>
      <c r="V13" s="200">
        <f t="shared" ca="1" si="12"/>
        <v>0.90694821693624583</v>
      </c>
      <c r="W13" s="262">
        <f t="shared" ca="1" si="13"/>
        <v>30.447283488586542</v>
      </c>
      <c r="X13" s="200">
        <f t="shared" ca="1" si="14"/>
        <v>1.1285936372468945</v>
      </c>
      <c r="Y13" s="200">
        <f t="shared" si="15"/>
        <v>64</v>
      </c>
    </row>
    <row r="14" spans="5:25">
      <c r="G14" s="200">
        <f t="shared" si="4"/>
        <v>72.000000000000014</v>
      </c>
      <c r="H14" s="200">
        <f t="shared" ca="1" si="16"/>
        <v>1.2754730780521508</v>
      </c>
      <c r="I14" s="200">
        <f t="shared" si="17"/>
        <v>1.8000000000000002E-2</v>
      </c>
      <c r="J14" s="200">
        <f t="shared" si="0"/>
        <v>7.2000000000000008E-2</v>
      </c>
      <c r="K14" s="200">
        <f t="shared" si="5"/>
        <v>2.8000000000000004E-2</v>
      </c>
      <c r="L14" s="200">
        <f t="shared" si="6"/>
        <v>1.5680000000000004E-3</v>
      </c>
      <c r="M14" s="200">
        <f ca="1">IF(【事例3】危険部品判断シート!$O$36=0,2.51*0.56*(O14/K14)^0.25+0.0000000567*$F$9*(($F$10+273+O14)^2+($F$10+273)^2)*(($F$10+273+O14)+($F$10+273)),3.86*(【事例3】危険部品判断シート!$O$36/K14)^0.5+0.0000000567*$F$9*(($F$10+273+O14)^2+($F$10+273)^2)*(($F$10+273+O14)+($F$10+273)))</f>
        <v>27.114648768115444</v>
      </c>
      <c r="N14" s="200">
        <f t="shared" ca="1" si="7"/>
        <v>26.071705020193448</v>
      </c>
      <c r="O14" s="200">
        <f t="shared" ca="1" si="8"/>
        <v>33.253757852173848</v>
      </c>
      <c r="P14" s="200">
        <f t="shared" si="9"/>
        <v>3.2400000000000007E-4</v>
      </c>
      <c r="Q14" s="200">
        <f t="shared" si="10"/>
        <v>7.8400000000000019E-4</v>
      </c>
      <c r="R14" s="200">
        <f t="shared" si="11"/>
        <v>254.4244125852594</v>
      </c>
      <c r="S14" s="200">
        <f t="shared" si="1"/>
        <v>0.31444488114619912</v>
      </c>
      <c r="T14" s="200">
        <f t="shared" ca="1" si="2"/>
        <v>185.13744884620522</v>
      </c>
      <c r="U14" s="200">
        <f t="shared" si="3"/>
        <v>0.38598973202305409</v>
      </c>
      <c r="V14" s="200">
        <f t="shared" ca="1" si="12"/>
        <v>0.80507819925340196</v>
      </c>
      <c r="W14" s="262">
        <f t="shared" ca="1" si="13"/>
        <v>26.87678321944685</v>
      </c>
      <c r="X14" s="200">
        <f t="shared" ca="1" si="14"/>
        <v>1.2754730780521508</v>
      </c>
      <c r="Y14" s="200">
        <f t="shared" si="15"/>
        <v>72.000000000000014</v>
      </c>
    </row>
    <row r="15" spans="5:25">
      <c r="G15" s="200">
        <f t="shared" si="4"/>
        <v>80.000000000000014</v>
      </c>
      <c r="H15" s="200">
        <f t="shared" ca="1" si="16"/>
        <v>1.4297210822797612</v>
      </c>
      <c r="I15" s="200">
        <f t="shared" si="17"/>
        <v>2.0000000000000004E-2</v>
      </c>
      <c r="J15" s="200">
        <f t="shared" si="0"/>
        <v>8.0000000000000016E-2</v>
      </c>
      <c r="K15" s="200">
        <f t="shared" si="5"/>
        <v>3.0000000000000006E-2</v>
      </c>
      <c r="L15" s="200">
        <f t="shared" si="6"/>
        <v>1.8000000000000006E-3</v>
      </c>
      <c r="M15" s="200">
        <f ca="1">IF(【事例3】危険部品判断シート!$O$36=0,2.51*0.56*(O15/K15)^0.25+0.0000000567*$F$9*(($F$10+273+O15)^2+($F$10+273)^2)*(($F$10+273+O15)+($F$10+273)),3.86*(【事例3】危険部品判断シート!$O$36/K15)^0.5+0.0000000567*$F$9*(($F$10+273+O15)^2+($F$10+273)^2)*(($F$10+273+O15)+($F$10+273)))</f>
        <v>26.476316338514088</v>
      </c>
      <c r="N15" s="200">
        <f t="shared" ca="1" si="7"/>
        <v>23.20533590210411</v>
      </c>
      <c r="O15" s="200">
        <f t="shared" ca="1" si="8"/>
        <v>33.177157960621692</v>
      </c>
      <c r="P15" s="200">
        <f t="shared" si="9"/>
        <v>4.0000000000000018E-4</v>
      </c>
      <c r="Q15" s="200">
        <f t="shared" si="10"/>
        <v>9.000000000000003E-4</v>
      </c>
      <c r="R15" s="200">
        <f t="shared" si="11"/>
        <v>235.61093322772359</v>
      </c>
      <c r="S15" s="200">
        <f t="shared" si="1"/>
        <v>0.26413370016280718</v>
      </c>
      <c r="T15" s="200">
        <f t="shared" ca="1" si="2"/>
        <v>175.17648436215191</v>
      </c>
      <c r="U15" s="200">
        <f t="shared" si="3"/>
        <v>0.36007971902724906</v>
      </c>
      <c r="V15" s="200">
        <f t="shared" ca="1" si="12"/>
        <v>0.7235788336521094</v>
      </c>
      <c r="W15" s="262">
        <f t="shared" ca="1" si="13"/>
        <v>23.928914735756219</v>
      </c>
      <c r="X15" s="200">
        <f t="shared" ca="1" si="14"/>
        <v>1.4297210822797612</v>
      </c>
      <c r="Y15" s="200">
        <f t="shared" si="15"/>
        <v>80.000000000000014</v>
      </c>
    </row>
    <row r="16" spans="5:25">
      <c r="G16" s="200">
        <f t="shared" si="4"/>
        <v>88.000000000000028</v>
      </c>
      <c r="H16" s="200">
        <f t="shared" ca="1" si="16"/>
        <v>1.5912225829073654</v>
      </c>
      <c r="I16" s="200">
        <f t="shared" si="17"/>
        <v>2.2000000000000006E-2</v>
      </c>
      <c r="J16" s="200">
        <f t="shared" si="0"/>
        <v>8.8000000000000023E-2</v>
      </c>
      <c r="K16" s="200">
        <f t="shared" si="5"/>
        <v>3.2000000000000008E-2</v>
      </c>
      <c r="L16" s="200">
        <f t="shared" si="6"/>
        <v>2.0480000000000008E-3</v>
      </c>
      <c r="M16" s="200">
        <f ca="1">IF(【事例3】危険部品判断シート!$O$36=0,2.51*0.56*(O16/K16)^0.25+0.0000000567*$F$9*(($F$10+273+O16)^2+($F$10+273)^2)*(($F$10+273+O16)+($F$10+273)),3.86*(【事例3】危険部品判断シート!$O$36/K16)^0.5+0.0000000567*$F$9*(($F$10+273+O16)^2+($F$10+273)^2)*(($F$10+273+O16)+($F$10+273)))</f>
        <v>25.898805060341225</v>
      </c>
      <c r="N16" s="200">
        <f t="shared" ca="1" si="7"/>
        <v>20.80655274936376</v>
      </c>
      <c r="O16" s="200">
        <f t="shared" ca="1" si="8"/>
        <v>33.107856607240947</v>
      </c>
      <c r="P16" s="200">
        <f t="shared" si="9"/>
        <v>4.8400000000000027E-4</v>
      </c>
      <c r="Q16" s="200">
        <f t="shared" si="10"/>
        <v>1.0240000000000004E-3</v>
      </c>
      <c r="R16" s="200">
        <f t="shared" si="11"/>
        <v>219.4647953555363</v>
      </c>
      <c r="S16" s="200">
        <f t="shared" si="1"/>
        <v>0.22511394900239245</v>
      </c>
      <c r="T16" s="200">
        <f t="shared" ca="1" si="2"/>
        <v>166.46193965719669</v>
      </c>
      <c r="U16" s="200">
        <f t="shared" si="3"/>
        <v>0.3373894215775724</v>
      </c>
      <c r="V16" s="200">
        <f t="shared" ca="1" si="12"/>
        <v>0.65687920015168832</v>
      </c>
      <c r="W16" s="262">
        <f t="shared" ca="1" si="13"/>
        <v>21.463431949515449</v>
      </c>
      <c r="X16" s="200">
        <f t="shared" ca="1" si="14"/>
        <v>1.5912225829073654</v>
      </c>
      <c r="Y16" s="200">
        <f t="shared" si="15"/>
        <v>88.000000000000028</v>
      </c>
    </row>
    <row r="17" spans="3:25">
      <c r="G17" s="200">
        <f t="shared" si="4"/>
        <v>96.000000000000028</v>
      </c>
      <c r="H17" s="200">
        <f ca="1">X17</f>
        <v>1.7598734959876645</v>
      </c>
      <c r="I17" s="200">
        <f t="shared" si="17"/>
        <v>2.4000000000000007E-2</v>
      </c>
      <c r="J17" s="200">
        <f t="shared" si="0"/>
        <v>9.600000000000003E-2</v>
      </c>
      <c r="K17" s="200">
        <f t="shared" si="5"/>
        <v>3.4000000000000009E-2</v>
      </c>
      <c r="L17" s="200">
        <f t="shared" si="6"/>
        <v>2.3120000000000011E-3</v>
      </c>
      <c r="M17" s="200">
        <f ca="1">IF(【事例3】危険部品判断シート!$O$36=0,2.51*0.56*(O17/K17)^0.25+0.0000000567*$F$9*(($F$10+273+O17)^2+($F$10+273)^2)*(($F$10+273+O17)+($F$10+273)),3.86*(【事例3】危険部品判断シート!$O$36/K17)^0.5+0.0000000567*$F$9*(($F$10+273+O17)^2+($F$10+273)^2)*(($F$10+273+O17)+($F$10+273)))</f>
        <v>25.373031949072427</v>
      </c>
      <c r="N17" s="200">
        <f t="shared" ca="1" si="7"/>
        <v>18.776783620656513</v>
      </c>
      <c r="O17" s="200">
        <f t="shared" ca="1" si="8"/>
        <v>33.044763833888695</v>
      </c>
      <c r="P17" s="200">
        <f t="shared" si="9"/>
        <v>5.7600000000000034E-4</v>
      </c>
      <c r="Q17" s="200">
        <f t="shared" si="10"/>
        <v>1.1560000000000006E-3</v>
      </c>
      <c r="R17" s="200">
        <f t="shared" si="11"/>
        <v>205.44101951465805</v>
      </c>
      <c r="S17" s="200">
        <f t="shared" si="1"/>
        <v>0.19421595600206407</v>
      </c>
      <c r="T17" s="200">
        <f t="shared" ca="1" si="2"/>
        <v>158.75089969277406</v>
      </c>
      <c r="U17" s="200">
        <f t="shared" si="3"/>
        <v>0.3173572498856026</v>
      </c>
      <c r="V17" s="200">
        <f t="shared" ca="1" si="12"/>
        <v>0.6012678722483018</v>
      </c>
      <c r="W17" s="262">
        <f t="shared" ca="1" si="13"/>
        <v>19.378051492904813</v>
      </c>
      <c r="X17" s="200">
        <f ca="1">L17*M17*$Q$3</f>
        <v>1.7598734959876645</v>
      </c>
      <c r="Y17" s="200">
        <f t="shared" si="15"/>
        <v>96.000000000000028</v>
      </c>
    </row>
    <row r="18" spans="3:25">
      <c r="G18" s="200">
        <f t="shared" si="4"/>
        <v>104.00000000000004</v>
      </c>
      <c r="H18" s="200">
        <f ca="1">X18</f>
        <v>1.9355790767380747</v>
      </c>
      <c r="I18" s="200">
        <f t="shared" si="17"/>
        <v>2.6000000000000009E-2</v>
      </c>
      <c r="J18" s="200">
        <f t="shared" si="0"/>
        <v>0.10400000000000004</v>
      </c>
      <c r="K18" s="200">
        <f t="shared" si="5"/>
        <v>3.6000000000000011E-2</v>
      </c>
      <c r="L18" s="200">
        <f t="shared" si="6"/>
        <v>2.5920000000000014E-3</v>
      </c>
      <c r="M18" s="200">
        <f ca="1">IF(【事例3】危険部品判断シート!$O$36=0,2.51*0.56*(O18/K18)^0.25+0.0000000567*$F$9*(($F$10+273+O18)^2+($F$10+273)^2)*(($F$10+273+O18)+($F$10+273)),3.86*(【事例3】危険部品判断シート!$O$36/K18)^0.5+0.0000000567*$F$9*(($F$10+273+O18)^2+($F$10+273)^2)*(($F$10+273+O18)+($F$10+273)))</f>
        <v>24.891706233771522</v>
      </c>
      <c r="N18" s="200">
        <f t="shared" ca="1" si="7"/>
        <v>17.042447474501415</v>
      </c>
      <c r="O18" s="200">
        <f t="shared" ca="1" si="8"/>
        <v>32.987004748052584</v>
      </c>
      <c r="P18" s="200">
        <f t="shared" si="9"/>
        <v>6.7600000000000049E-4</v>
      </c>
      <c r="Q18" s="200">
        <f t="shared" si="10"/>
        <v>1.2960000000000007E-3</v>
      </c>
      <c r="R18" s="200">
        <f t="shared" si="11"/>
        <v>193.13731615130808</v>
      </c>
      <c r="S18" s="200">
        <f t="shared" si="1"/>
        <v>0.16931647446333792</v>
      </c>
      <c r="T18" s="200">
        <f t="shared" ca="1" si="2"/>
        <v>151.86341291130719</v>
      </c>
      <c r="U18" s="200">
        <f t="shared" si="3"/>
        <v>0.29954502429688962</v>
      </c>
      <c r="V18" s="200">
        <f t="shared" ca="1" si="12"/>
        <v>0.55417798525617423</v>
      </c>
      <c r="W18" s="262">
        <f t="shared" ca="1" si="13"/>
        <v>17.59662545975759</v>
      </c>
      <c r="X18" s="200">
        <f ca="1">L18*M18*$Q$3</f>
        <v>1.9355790767380747</v>
      </c>
      <c r="Y18" s="200">
        <f t="shared" si="15"/>
        <v>104.00000000000004</v>
      </c>
    </row>
    <row r="19" spans="3:25">
      <c r="G19" s="200">
        <f t="shared" si="4"/>
        <v>112.00000000000004</v>
      </c>
      <c r="H19" s="200">
        <f t="shared" ca="1" si="16"/>
        <v>2.1182526008645164</v>
      </c>
      <c r="I19" s="200">
        <f t="shared" si="17"/>
        <v>2.8000000000000011E-2</v>
      </c>
      <c r="J19" s="200">
        <f t="shared" si="0"/>
        <v>0.11200000000000004</v>
      </c>
      <c r="K19" s="200">
        <f t="shared" si="5"/>
        <v>3.8000000000000013E-2</v>
      </c>
      <c r="L19" s="200">
        <f t="shared" si="6"/>
        <v>2.8880000000000021E-3</v>
      </c>
      <c r="M19" s="200">
        <f ca="1">IF(【事例3】危険部品判断シート!$O$36=0,2.51*0.56*(O19/K19)^0.25+0.0000000567*$F$9*(($F$10+273+O19)^2+($F$10+273)^2)*(($F$10+273+O19)+($F$10+273)),3.86*(【事例3】危険部品判断シート!$O$36/K19)^0.5+0.0000000567*$F$9*(($F$10+273+O19)^2+($F$10+273)^2)*(($F$10+273+O19)+($F$10+273)))</f>
        <v>24.448898901945</v>
      </c>
      <c r="N19" s="200">
        <f t="shared" ca="1" si="7"/>
        <v>15.547658411840114</v>
      </c>
      <c r="O19" s="200">
        <f t="shared" ca="1" si="8"/>
        <v>32.933867868233399</v>
      </c>
      <c r="P19" s="200">
        <f t="shared" si="9"/>
        <v>7.8400000000000063E-4</v>
      </c>
      <c r="Q19" s="200">
        <f t="shared" si="10"/>
        <v>1.4440000000000011E-3</v>
      </c>
      <c r="R19" s="200">
        <f t="shared" si="11"/>
        <v>182.24923299933062</v>
      </c>
      <c r="S19" s="200">
        <f t="shared" si="1"/>
        <v>0.14894757527977845</v>
      </c>
      <c r="T19" s="200">
        <f t="shared" ca="1" si="2"/>
        <v>145.66254408581469</v>
      </c>
      <c r="U19" s="200">
        <f t="shared" si="3"/>
        <v>0.28360565836302504</v>
      </c>
      <c r="V19" s="200">
        <f t="shared" ca="1" si="12"/>
        <v>0.51377816886712457</v>
      </c>
      <c r="W19" s="262">
        <f t="shared" ca="1" si="13"/>
        <v>16.061436580707237</v>
      </c>
      <c r="X19" s="200">
        <f t="shared" ca="1" si="14"/>
        <v>2.1182526008645164</v>
      </c>
      <c r="Y19" s="200">
        <f t="shared" si="15"/>
        <v>112.00000000000004</v>
      </c>
    </row>
    <row r="20" spans="3:25">
      <c r="G20" s="200">
        <f t="shared" si="4"/>
        <v>120.00000000000006</v>
      </c>
      <c r="H20" s="200">
        <f t="shared" ca="1" si="16"/>
        <v>2.3078142927697187</v>
      </c>
      <c r="I20" s="200">
        <f t="shared" si="17"/>
        <v>3.0000000000000013E-2</v>
      </c>
      <c r="J20" s="200">
        <f t="shared" si="0"/>
        <v>0.12000000000000005</v>
      </c>
      <c r="K20" s="200">
        <f t="shared" si="5"/>
        <v>4.0000000000000015E-2</v>
      </c>
      <c r="L20" s="200">
        <f t="shared" si="6"/>
        <v>3.2000000000000023E-3</v>
      </c>
      <c r="M20" s="200">
        <f ca="1">IF(【事例3】危険部品判断シート!$O$36=0,2.51*0.56*(O20/K20)^0.25+0.0000000567*$F$9*(($F$10+273+O20)^2+($F$10+273)^2)*(($F$10+273+O20)+($F$10+273)),3.86*(【事例3】危険部品判断シート!$O$36/K20)^0.5+0.0000000567*$F$9*(($F$10+273+O20)^2+($F$10+273)^2)*(($F$10+273+O20)+($F$10+273)))</f>
        <v>24.039732216351219</v>
      </c>
      <c r="N20" s="200">
        <f t="shared" ca="1" si="7"/>
        <v>14.249312853719939</v>
      </c>
      <c r="O20" s="200">
        <f t="shared" ca="1" si="8"/>
        <v>32.884767865962147</v>
      </c>
      <c r="P20" s="200">
        <f t="shared" si="9"/>
        <v>9.0000000000000073E-4</v>
      </c>
      <c r="Q20" s="200">
        <f t="shared" si="10"/>
        <v>1.6000000000000012E-3</v>
      </c>
      <c r="R20" s="200">
        <f t="shared" si="11"/>
        <v>172.54153325412599</v>
      </c>
      <c r="S20" s="200">
        <f t="shared" si="1"/>
        <v>0.13206685008140354</v>
      </c>
      <c r="T20" s="200">
        <f t="shared" ca="1" si="2"/>
        <v>140.04175846161431</v>
      </c>
      <c r="U20" s="200">
        <f t="shared" si="3"/>
        <v>0.2692605997557056</v>
      </c>
      <c r="V20" s="200">
        <f t="shared" ca="1" si="12"/>
        <v>0.47872699682508313</v>
      </c>
      <c r="W20" s="262">
        <f t="shared" ca="1" si="13"/>
        <v>14.728039850545022</v>
      </c>
      <c r="X20" s="200">
        <f t="shared" ca="1" si="14"/>
        <v>2.3078142927697187</v>
      </c>
      <c r="Y20" s="200">
        <f t="shared" si="15"/>
        <v>120.00000000000006</v>
      </c>
    </row>
    <row r="21" spans="3:25">
      <c r="G21" s="200">
        <f t="shared" si="4"/>
        <v>128.00000000000006</v>
      </c>
      <c r="H21" s="200">
        <f t="shared" ca="1" si="16"/>
        <v>2.5041904442049003</v>
      </c>
      <c r="I21" s="200">
        <f t="shared" si="17"/>
        <v>3.2000000000000015E-2</v>
      </c>
      <c r="J21" s="200">
        <f t="shared" si="0"/>
        <v>0.12800000000000006</v>
      </c>
      <c r="K21" s="200">
        <f t="shared" si="5"/>
        <v>4.2000000000000016E-2</v>
      </c>
      <c r="L21" s="200">
        <f t="shared" si="6"/>
        <v>3.5280000000000029E-3</v>
      </c>
      <c r="M21" s="200">
        <f ca="1">IF(【事例3】危険部品判断シート!$O$36=0,2.51*0.56*(O21/K21)^0.25+0.0000000567*$F$9*(($F$10+273+O21)^2+($F$10+273)^2)*(($F$10+273+O21)+($F$10+273)),3.86*(【事例3】危険部品判断シート!$O$36/K21)^0.5+0.0000000567*$F$9*(($F$10+273+O21)^2+($F$10+273)^2)*(($F$10+273+O21)+($F$10+273)))</f>
        <v>23.660151589237515</v>
      </c>
      <c r="N21" s="200">
        <f t="shared" ca="1" si="7"/>
        <v>13.113706374330969</v>
      </c>
      <c r="O21" s="200">
        <f t="shared" ca="1" si="8"/>
        <v>32.8392181907085</v>
      </c>
      <c r="P21" s="200">
        <f t="shared" si="9"/>
        <v>1.024000000000001E-3</v>
      </c>
      <c r="Q21" s="200">
        <f t="shared" si="10"/>
        <v>1.7640000000000015E-3</v>
      </c>
      <c r="R21" s="200">
        <f t="shared" si="11"/>
        <v>163.82923801980252</v>
      </c>
      <c r="S21" s="200">
        <f t="shared" si="1"/>
        <v>0.11791683042982458</v>
      </c>
      <c r="T21" s="200">
        <f t="shared" ca="1" si="2"/>
        <v>134.91661778586945</v>
      </c>
      <c r="U21" s="200">
        <f t="shared" si="3"/>
        <v>0.25628370432311187</v>
      </c>
      <c r="V21" s="200">
        <f t="shared" ca="1" si="12"/>
        <v>0.44801954085044038</v>
      </c>
      <c r="W21" s="262">
        <f t="shared" ca="1" si="13"/>
        <v>13.561725915181409</v>
      </c>
      <c r="X21" s="200">
        <f t="shared" ca="1" si="14"/>
        <v>2.5041904442049003</v>
      </c>
      <c r="Y21" s="200">
        <f t="shared" si="15"/>
        <v>128.00000000000006</v>
      </c>
    </row>
    <row r="22" spans="3:25">
      <c r="G22" s="200">
        <f t="shared" si="4"/>
        <v>136.00000000000006</v>
      </c>
      <c r="H22" s="200">
        <f t="shared" ca="1" si="16"/>
        <v>2.7073126819391038</v>
      </c>
      <c r="I22" s="200">
        <f t="shared" si="17"/>
        <v>3.4000000000000016E-2</v>
      </c>
      <c r="J22" s="200">
        <f t="shared" si="0"/>
        <v>0.13600000000000007</v>
      </c>
      <c r="K22" s="200">
        <f t="shared" si="5"/>
        <v>4.4000000000000018E-2</v>
      </c>
      <c r="L22" s="200">
        <f t="shared" si="6"/>
        <v>3.872000000000003E-3</v>
      </c>
      <c r="M22" s="200">
        <f ca="1">IF(【事例3】危険部品判断シート!$O$36=0,2.51*0.56*(O22/K22)^0.25+0.0000000567*$F$9*(($F$10+273+O22)^2+($F$10+273)^2)*(($F$10+273+O22)+($F$10+273)),3.86*(【事例3】危険部品判断シート!$O$36/K22)^0.5+0.0000000567*$F$9*(($F$10+273+O22)^2+($F$10+273)^2)*(($F$10+273+O22)+($F$10+273)))</f>
        <v>23.306755181982624</v>
      </c>
      <c r="N22" s="200">
        <f t="shared" ca="1" si="7"/>
        <v>12.114156905713347</v>
      </c>
      <c r="O22" s="200">
        <f t="shared" ca="1" si="8"/>
        <v>32.796810621837921</v>
      </c>
      <c r="P22" s="200">
        <f t="shared" si="9"/>
        <v>1.1560000000000012E-3</v>
      </c>
      <c r="Q22" s="200">
        <f t="shared" si="10"/>
        <v>1.9360000000000015E-3</v>
      </c>
      <c r="R22" s="200">
        <f t="shared" si="11"/>
        <v>155.96467372478477</v>
      </c>
      <c r="S22" s="200">
        <f t="shared" si="1"/>
        <v>0.10593597600112582</v>
      </c>
      <c r="T22" s="200">
        <f t="shared" ca="1" si="2"/>
        <v>130.21912908478657</v>
      </c>
      <c r="U22" s="200">
        <f t="shared" si="3"/>
        <v>0.24448947694923887</v>
      </c>
      <c r="V22" s="200">
        <f t="shared" ca="1" si="12"/>
        <v>0.42088813663494307</v>
      </c>
      <c r="W22" s="262">
        <f t="shared" ca="1" si="13"/>
        <v>12.53504504234829</v>
      </c>
      <c r="X22" s="200">
        <f t="shared" ca="1" si="14"/>
        <v>2.7073126819391038</v>
      </c>
      <c r="Y22" s="200">
        <f t="shared" si="15"/>
        <v>136.00000000000006</v>
      </c>
    </row>
    <row r="23" spans="3:25">
      <c r="F23" s="267"/>
      <c r="G23" s="200">
        <f t="shared" si="4"/>
        <v>144.00000000000009</v>
      </c>
      <c r="H23" s="200">
        <f t="shared" ca="1" si="16"/>
        <v>2.9171173535307569</v>
      </c>
      <c r="I23" s="200">
        <f t="shared" si="17"/>
        <v>3.6000000000000018E-2</v>
      </c>
      <c r="J23" s="200">
        <f t="shared" si="0"/>
        <v>0.14400000000000007</v>
      </c>
      <c r="K23" s="200">
        <f t="shared" si="5"/>
        <v>4.600000000000002E-2</v>
      </c>
      <c r="L23" s="200">
        <f t="shared" si="6"/>
        <v>4.232000000000004E-3</v>
      </c>
      <c r="M23" s="200">
        <f ca="1">IF(【事例3】危険部品判断シート!$O$36=0,2.51*0.56*(O23/K23)^0.25+0.0000000567*$F$9*(($F$10+273+O23)^2+($F$10+273)^2)*(($F$10+273+O23)+($F$10+273)),3.86*(【事例3】危険部品判断シート!$O$36/K23)^0.5+0.0000000567*$F$9*(($F$10+273+O23)^2+($F$10+273)^2)*(($F$10+273+O23)+($F$10+273)))</f>
        <v>22.97666472535251</v>
      </c>
      <c r="N23" s="200">
        <f t="shared" ca="1" si="7"/>
        <v>11.229304754364561</v>
      </c>
      <c r="O23" s="200">
        <f t="shared" ca="1" si="8"/>
        <v>32.757199767042295</v>
      </c>
      <c r="P23" s="200">
        <f t="shared" si="9"/>
        <v>1.2960000000000014E-3</v>
      </c>
      <c r="Q23" s="200">
        <f t="shared" si="10"/>
        <v>2.116000000000002E-3</v>
      </c>
      <c r="R23" s="200">
        <f t="shared" si="11"/>
        <v>148.82838640455398</v>
      </c>
      <c r="S23" s="200">
        <f t="shared" si="1"/>
        <v>9.5700616001017036E-2</v>
      </c>
      <c r="T23" s="200">
        <f t="shared" ca="1" si="2"/>
        <v>125.89378850337934</v>
      </c>
      <c r="U23" s="200">
        <f t="shared" si="3"/>
        <v>0.23372434888504259</v>
      </c>
      <c r="V23" s="200">
        <f t="shared" ca="1" si="12"/>
        <v>0.39673628136512556</v>
      </c>
      <c r="W23" s="262">
        <f t="shared" ca="1" si="13"/>
        <v>11.626041035729687</v>
      </c>
      <c r="X23" s="200">
        <f t="shared" ca="1" si="14"/>
        <v>2.9171173535307573</v>
      </c>
      <c r="Y23" s="200">
        <f t="shared" si="15"/>
        <v>144.00000000000009</v>
      </c>
    </row>
    <row r="24" spans="3:25">
      <c r="C24" s="265"/>
      <c r="F24" s="267"/>
      <c r="G24" s="200">
        <f t="shared" si="4"/>
        <v>152.00000000000009</v>
      </c>
      <c r="H24" s="200">
        <f t="shared" ca="1" si="16"/>
        <v>3.1335450077826352</v>
      </c>
      <c r="I24" s="200">
        <f t="shared" si="17"/>
        <v>3.800000000000002E-2</v>
      </c>
      <c r="J24" s="200">
        <f t="shared" si="0"/>
        <v>0.15200000000000008</v>
      </c>
      <c r="K24" s="200">
        <f t="shared" si="5"/>
        <v>4.8000000000000022E-2</v>
      </c>
      <c r="L24" s="200">
        <f t="shared" si="6"/>
        <v>4.6080000000000045E-3</v>
      </c>
      <c r="M24" s="200">
        <f ca="1">IF(【事例3】危険部品判断シート!$O$36=0,2.51*0.56*(O24/K24)^0.25+0.0000000567*$F$9*(($F$10+273+O24)^2+($F$10+273)^2)*(($F$10+273+O24)+($F$10+273)),3.86*(【事例3】危険部品判断シート!$O$36/K24)^0.5+0.0000000567*$F$9*(($F$10+273+O24)^2+($F$10+273)^2)*(($F$10+273+O24)+($F$10+273)))</f>
        <v>22.667426271575753</v>
      </c>
      <c r="N24" s="200">
        <f t="shared" ca="1" si="7"/>
        <v>10.441876874697435</v>
      </c>
      <c r="O24" s="200">
        <f t="shared" ca="1" si="8"/>
        <v>32.720091152589092</v>
      </c>
      <c r="P24" s="200">
        <f t="shared" si="9"/>
        <v>1.4440000000000015E-3</v>
      </c>
      <c r="Q24" s="200">
        <f t="shared" si="10"/>
        <v>2.3040000000000022E-3</v>
      </c>
      <c r="R24" s="200">
        <f t="shared" si="11"/>
        <v>142.3226227410114</v>
      </c>
      <c r="S24" s="200">
        <f t="shared" si="1"/>
        <v>8.6886085579870737E-2</v>
      </c>
      <c r="T24" s="200">
        <f t="shared" ca="1" si="2"/>
        <v>121.89474384073425</v>
      </c>
      <c r="U24" s="200">
        <f t="shared" si="3"/>
        <v>0.22386011000054215</v>
      </c>
      <c r="V24" s="200">
        <f t="shared" ca="1" si="12"/>
        <v>0.37509344937098865</v>
      </c>
      <c r="W24" s="262">
        <f t="shared" ca="1" si="13"/>
        <v>10.816970324068423</v>
      </c>
      <c r="X24" s="200">
        <f t="shared" ca="1" si="14"/>
        <v>3.1335450077826352</v>
      </c>
      <c r="Y24" s="200">
        <f t="shared" si="15"/>
        <v>152.00000000000009</v>
      </c>
    </row>
    <row r="25" spans="3:25">
      <c r="G25" s="200">
        <f t="shared" si="4"/>
        <v>160.00000000000009</v>
      </c>
      <c r="H25" s="200">
        <f t="shared" ca="1" si="16"/>
        <v>3.356539951899594</v>
      </c>
      <c r="I25" s="200">
        <f t="shared" si="17"/>
        <v>4.0000000000000022E-2</v>
      </c>
      <c r="J25" s="200">
        <f t="shared" si="0"/>
        <v>0.16000000000000009</v>
      </c>
      <c r="K25" s="200">
        <f t="shared" si="5"/>
        <v>5.0000000000000024E-2</v>
      </c>
      <c r="L25" s="200">
        <f t="shared" si="6"/>
        <v>5.0000000000000044E-3</v>
      </c>
      <c r="M25" s="200">
        <f ca="1">IF(【事例3】危険部品判断シート!$O$36=0,2.51*0.56*(O25/K25)^0.25+0.0000000567*$F$9*(($F$10+273+O25)^2+($F$10+273)^2)*(($F$10+273+O25)+($F$10+273)),3.86*(【事例3】危険部品判断シート!$O$36/K25)^0.5+0.0000000567*$F$9*(($F$10+273+O25)^2+($F$10+273)^2)*(($F$10+273+O25)+($F$10+273)))</f>
        <v>22.37693301266394</v>
      </c>
      <c r="N25" s="200">
        <f t="shared" ca="1" si="7"/>
        <v>9.7377753370764601</v>
      </c>
      <c r="O25" s="200">
        <f t="shared" ca="1" si="8"/>
        <v>32.685231961519676</v>
      </c>
      <c r="P25" s="200">
        <f t="shared" si="9"/>
        <v>1.6000000000000018E-3</v>
      </c>
      <c r="Q25" s="200">
        <f t="shared" si="10"/>
        <v>2.5000000000000022E-3</v>
      </c>
      <c r="R25" s="200">
        <f t="shared" si="11"/>
        <v>136.3665599366341</v>
      </c>
      <c r="S25" s="200">
        <f t="shared" si="1"/>
        <v>7.9240110048842113E-2</v>
      </c>
      <c r="T25" s="200">
        <f t="shared" ca="1" si="2"/>
        <v>118.1837162496095</v>
      </c>
      <c r="U25" s="200">
        <f t="shared" si="3"/>
        <v>0.21478889752092473</v>
      </c>
      <c r="V25" s="200">
        <f t="shared" ca="1" si="12"/>
        <v>0.35558349622996643</v>
      </c>
      <c r="W25" s="262">
        <f t="shared" ca="1" si="13"/>
        <v>10.093358833306427</v>
      </c>
      <c r="X25" s="200">
        <f t="shared" ca="1" si="14"/>
        <v>3.356539951899594</v>
      </c>
      <c r="Y25" s="200">
        <f t="shared" si="15"/>
        <v>160.00000000000009</v>
      </c>
    </row>
    <row r="26" spans="3:25">
      <c r="G26" s="200">
        <f t="shared" si="4"/>
        <v>168.00000000000009</v>
      </c>
      <c r="H26" s="200">
        <f t="shared" ca="1" si="16"/>
        <v>3.586049871374196</v>
      </c>
      <c r="I26" s="200">
        <f t="shared" si="17"/>
        <v>4.2000000000000023E-2</v>
      </c>
      <c r="J26" s="200">
        <f t="shared" si="0"/>
        <v>0.16800000000000009</v>
      </c>
      <c r="K26" s="200">
        <f t="shared" si="5"/>
        <v>5.2000000000000025E-2</v>
      </c>
      <c r="L26" s="200">
        <f t="shared" si="6"/>
        <v>5.4080000000000057E-3</v>
      </c>
      <c r="M26" s="200">
        <f ca="1">IF(【事例3】危険部品判断シート!$O$36=0,2.51*0.56*(O26/K26)^0.25+0.0000000567*$F$9*(($F$10+273+O26)^2+($F$10+273)^2)*(($F$10+273+O26)+($F$10+273)),3.86*(【事例3】危険部品判断シート!$O$36/K26)^0.5+0.0000000567*$F$9*(($F$10+273+O26)^2+($F$10+273)^2)*(($F$10+273+O26)+($F$10+273)))</f>
        <v>22.103364591803452</v>
      </c>
      <c r="N26" s="200">
        <f t="shared" ca="1" si="7"/>
        <v>9.1053958874542431</v>
      </c>
      <c r="O26" s="200">
        <f t="shared" ca="1" si="8"/>
        <v>32.652403751016422</v>
      </c>
      <c r="P26" s="200">
        <f t="shared" si="9"/>
        <v>1.7640000000000019E-3</v>
      </c>
      <c r="Q26" s="200">
        <f t="shared" si="10"/>
        <v>2.7040000000000028E-3</v>
      </c>
      <c r="R26" s="200">
        <f t="shared" si="11"/>
        <v>130.89275451782584</v>
      </c>
      <c r="S26" s="200">
        <f t="shared" si="1"/>
        <v>7.2564203341430503E-2</v>
      </c>
      <c r="T26" s="200">
        <f t="shared" ca="1" si="2"/>
        <v>114.7284497571751</v>
      </c>
      <c r="U26" s="200">
        <f t="shared" si="3"/>
        <v>0.20641932653849454</v>
      </c>
      <c r="V26" s="200">
        <f t="shared" ca="1" si="12"/>
        <v>0.33790211461802938</v>
      </c>
      <c r="W26" s="262">
        <f t="shared" ca="1" si="13"/>
        <v>9.4432980020722717</v>
      </c>
      <c r="X26" s="200">
        <f t="shared" ca="1" si="14"/>
        <v>3.586049871374196</v>
      </c>
      <c r="Y26" s="200">
        <f t="shared" si="15"/>
        <v>168.00000000000009</v>
      </c>
    </row>
    <row r="27" spans="3:25">
      <c r="C27" s="268"/>
      <c r="G27" s="200">
        <f t="shared" si="4"/>
        <v>176.00000000000011</v>
      </c>
      <c r="H27" s="200">
        <f t="shared" ca="1" si="16"/>
        <v>3.82202550161715</v>
      </c>
      <c r="I27" s="200">
        <f t="shared" si="17"/>
        <v>4.4000000000000025E-2</v>
      </c>
      <c r="J27" s="200">
        <f t="shared" si="0"/>
        <v>0.1760000000000001</v>
      </c>
      <c r="K27" s="200">
        <f t="shared" si="5"/>
        <v>5.4000000000000027E-2</v>
      </c>
      <c r="L27" s="200">
        <f t="shared" si="6"/>
        <v>5.8320000000000056E-3</v>
      </c>
      <c r="M27" s="200">
        <f ca="1">IF(【事例3】危険部品判断シート!$O$36=0,2.51*0.56*(O27/K27)^0.25+0.0000000567*$F$9*(($F$10+273+O27)^2+($F$10+273)^2)*(($F$10+273+O27)+($F$10+273)),3.86*(【事例3】危険部品判断シート!$O$36/K27)^0.5+0.0000000567*$F$9*(($F$10+273+O27)^2+($F$10+273)^2)*(($F$10+273+O27)+($F$10+273)))</f>
        <v>21.845138898131843</v>
      </c>
      <c r="N27" s="200">
        <f t="shared" ca="1" si="7"/>
        <v>8.5351122471509573</v>
      </c>
      <c r="O27" s="200">
        <f t="shared" ca="1" si="8"/>
        <v>32.621416667775819</v>
      </c>
      <c r="P27" s="200">
        <f t="shared" si="9"/>
        <v>1.9360000000000022E-3</v>
      </c>
      <c r="Q27" s="200">
        <f t="shared" si="10"/>
        <v>2.9160000000000028E-3</v>
      </c>
      <c r="R27" s="200">
        <f t="shared" si="11"/>
        <v>125.8444578537858</v>
      </c>
      <c r="S27" s="200">
        <f t="shared" si="1"/>
        <v>6.6700429334042188E-2</v>
      </c>
      <c r="T27" s="200">
        <f t="shared" ca="1" si="2"/>
        <v>111.50153565266022</v>
      </c>
      <c r="U27" s="200">
        <f t="shared" si="3"/>
        <v>0.19867346971582525</v>
      </c>
      <c r="V27" s="200">
        <f t="shared" ca="1" si="12"/>
        <v>0.32180045616280922</v>
      </c>
      <c r="W27" s="262">
        <f t="shared" ca="1" si="13"/>
        <v>8.8569127033137658</v>
      </c>
      <c r="X27" s="200">
        <f t="shared" ca="1" si="14"/>
        <v>3.8220255016171509</v>
      </c>
      <c r="Y27" s="200">
        <f t="shared" si="15"/>
        <v>176.00000000000011</v>
      </c>
    </row>
    <row r="28" spans="3:25">
      <c r="G28" s="200">
        <f t="shared" si="4"/>
        <v>184.00000000000011</v>
      </c>
      <c r="H28" s="200">
        <f t="shared" ca="1" si="16"/>
        <v>4.0644203426125358</v>
      </c>
      <c r="I28" s="200">
        <f t="shared" si="17"/>
        <v>4.6000000000000027E-2</v>
      </c>
      <c r="J28" s="200">
        <f t="shared" si="0"/>
        <v>0.18400000000000011</v>
      </c>
      <c r="K28" s="200">
        <f t="shared" si="5"/>
        <v>5.6000000000000029E-2</v>
      </c>
      <c r="L28" s="200">
        <f t="shared" si="6"/>
        <v>6.2720000000000067E-3</v>
      </c>
      <c r="M28" s="200">
        <f ca="1">IF(【事例3】危険部品判断シート!$O$36=0,2.51*0.56*(O28/K28)^0.25+0.0000000567*$F$9*(($F$10+273+O28)^2+($F$10+273)^2)*(($F$10+273+O28)+($F$10+273)),3.86*(【事例3】危険部品判断シート!$O$36/K28)^0.5+0.0000000567*$F$9*(($F$10+273+O28)^2+($F$10+273)^2)*(($F$10+273+O28)+($F$10+273)))</f>
        <v>21.600873419496871</v>
      </c>
      <c r="N28" s="200">
        <f t="shared" ca="1" si="7"/>
        <v>8.0188814303074789</v>
      </c>
      <c r="O28" s="200">
        <f t="shared" ca="1" si="8"/>
        <v>32.592104810339627</v>
      </c>
      <c r="P28" s="200">
        <f t="shared" si="9"/>
        <v>2.1160000000000024E-3</v>
      </c>
      <c r="Q28" s="200">
        <f t="shared" si="10"/>
        <v>3.1360000000000034E-3</v>
      </c>
      <c r="R28" s="200">
        <f t="shared" si="11"/>
        <v>121.17355894963448</v>
      </c>
      <c r="S28" s="200">
        <f t="shared" si="1"/>
        <v>6.152182457208237E-2</v>
      </c>
      <c r="T28" s="200">
        <f t="shared" ca="1" si="2"/>
        <v>108.47950816864405</v>
      </c>
      <c r="U28" s="200">
        <f t="shared" si="3"/>
        <v>0.19148447646351829</v>
      </c>
      <c r="V28" s="200">
        <f t="shared" ca="1" si="12"/>
        <v>0.3070730384814776</v>
      </c>
      <c r="W28" s="262">
        <f t="shared" ca="1" si="13"/>
        <v>8.3259544687889573</v>
      </c>
      <c r="X28" s="200">
        <f t="shared" ca="1" si="14"/>
        <v>4.0644203426125358</v>
      </c>
      <c r="Y28" s="200">
        <f t="shared" si="15"/>
        <v>184.00000000000011</v>
      </c>
    </row>
    <row r="29" spans="3:25">
      <c r="G29" s="200">
        <f t="shared" si="4"/>
        <v>192.00000000000011</v>
      </c>
      <c r="H29" s="200">
        <f t="shared" ca="1" si="16"/>
        <v>4.3131904096094056</v>
      </c>
      <c r="I29" s="200">
        <f t="shared" si="17"/>
        <v>4.8000000000000029E-2</v>
      </c>
      <c r="J29" s="200">
        <f t="shared" si="0"/>
        <v>0.19200000000000012</v>
      </c>
      <c r="K29" s="200">
        <f t="shared" si="5"/>
        <v>5.8000000000000031E-2</v>
      </c>
      <c r="L29" s="200">
        <f t="shared" si="6"/>
        <v>6.7280000000000074E-3</v>
      </c>
      <c r="M29" s="200">
        <f ca="1">IF(【事例3】危険部品判断シート!$O$36=0,2.51*0.56*(O29/K29)^0.25+0.0000000567*$F$9*(($F$10+273+O29)^2+($F$10+273)^2)*(($F$10+273+O29)+($F$10+273)),3.86*(【事例3】危険部品判断シート!$O$36/K29)^0.5+0.0000000567*$F$9*(($F$10+273+O29)^2+($F$10+273)^2)*(($F$10+273+O29)+($F$10+273)))</f>
        <v>21.3693539913268</v>
      </c>
      <c r="N29" s="200">
        <f t="shared" ca="1" si="7"/>
        <v>7.5499385342248715</v>
      </c>
      <c r="O29" s="200">
        <f t="shared" ca="1" si="8"/>
        <v>32.564322478959205</v>
      </c>
      <c r="P29" s="200">
        <f t="shared" si="9"/>
        <v>2.3040000000000027E-3</v>
      </c>
      <c r="Q29" s="200">
        <f t="shared" si="10"/>
        <v>3.3640000000000037E-3</v>
      </c>
      <c r="R29" s="200">
        <f t="shared" si="11"/>
        <v>116.83898845112137</v>
      </c>
      <c r="S29" s="200">
        <f t="shared" si="1"/>
        <v>5.6925366414398056E-2</v>
      </c>
      <c r="T29" s="200">
        <f t="shared" ca="1" si="2"/>
        <v>105.64213981785764</v>
      </c>
      <c r="U29" s="200">
        <f t="shared" si="3"/>
        <v>0.184794679131945</v>
      </c>
      <c r="V29" s="200">
        <f t="shared" ca="1" si="12"/>
        <v>0.29354868449165272</v>
      </c>
      <c r="W29" s="262">
        <f t="shared" ca="1" si="13"/>
        <v>7.8434872187165245</v>
      </c>
      <c r="X29" s="200">
        <f t="shared" ca="1" si="14"/>
        <v>4.3131904096094056</v>
      </c>
      <c r="Y29" s="200">
        <f t="shared" si="15"/>
        <v>192.00000000000011</v>
      </c>
    </row>
    <row r="30" spans="3:25">
      <c r="G30" s="200">
        <f t="shared" si="4"/>
        <v>200.00000000000011</v>
      </c>
      <c r="H30" s="200">
        <f t="shared" ca="1" si="16"/>
        <v>4.5682940142008128</v>
      </c>
      <c r="I30" s="200">
        <f t="shared" si="17"/>
        <v>5.0000000000000031E-2</v>
      </c>
      <c r="J30" s="200">
        <f t="shared" si="0"/>
        <v>0.20000000000000012</v>
      </c>
      <c r="K30" s="200">
        <f t="shared" si="5"/>
        <v>6.0000000000000032E-2</v>
      </c>
      <c r="L30" s="200">
        <f t="shared" si="6"/>
        <v>7.2000000000000076E-3</v>
      </c>
      <c r="M30" s="200">
        <f ca="1">IF(【事例3】危険部品判断シート!$O$36=0,2.51*0.56*(O30/K30)^0.25+0.0000000567*$F$9*(($F$10+273+O30)^2+($F$10+273)^2)*(($F$10+273+O30)+($F$10+273)),3.86*(【事例3】危険部品判断シート!$O$36/K30)^0.5+0.0000000567*$F$9*(($F$10+273+O30)^2+($F$10+273)^2)*(($F$10+273+O30)+($F$10+273)))</f>
        <v>21.149509325003748</v>
      </c>
      <c r="N30" s="200">
        <f t="shared" ca="1" si="7"/>
        <v>7.1225584469507259</v>
      </c>
      <c r="O30" s="200">
        <f t="shared" ca="1" si="8"/>
        <v>32.537941119000436</v>
      </c>
      <c r="P30" s="200">
        <f t="shared" si="9"/>
        <v>2.5000000000000031E-3</v>
      </c>
      <c r="Q30" s="200">
        <f t="shared" si="10"/>
        <v>3.6000000000000038E-3</v>
      </c>
      <c r="R30" s="200">
        <f t="shared" si="11"/>
        <v>112.80546661386175</v>
      </c>
      <c r="S30" s="200">
        <f t="shared" si="1"/>
        <v>5.2826740032561409E-2</v>
      </c>
      <c r="T30" s="200">
        <f t="shared" ca="1" si="2"/>
        <v>102.97188588853069</v>
      </c>
      <c r="U30" s="200">
        <f t="shared" si="3"/>
        <v>0.17855407395523462</v>
      </c>
      <c r="V30" s="200">
        <f t="shared" ca="1" si="12"/>
        <v>0.28108364274965059</v>
      </c>
      <c r="W30" s="262">
        <f t="shared" ca="1" si="13"/>
        <v>7.4036420897003765</v>
      </c>
      <c r="X30" s="200">
        <f t="shared" ca="1" si="14"/>
        <v>4.5682940142008146</v>
      </c>
      <c r="Y30" s="200">
        <f t="shared" si="15"/>
        <v>200.00000000000011</v>
      </c>
    </row>
    <row r="31" spans="3:25">
      <c r="K31" s="262"/>
      <c r="L31" s="265"/>
    </row>
    <row r="32" spans="3:25">
      <c r="K32" s="200" t="s">
        <v>275</v>
      </c>
      <c r="L32" s="265">
        <f>L4+E33</f>
        <v>10</v>
      </c>
    </row>
    <row r="33" spans="2:24">
      <c r="E33" s="269">
        <f>(【事例3】危険部品判断シート!R8-【事例3】危険部品判断シート!R7)/3</f>
        <v>5</v>
      </c>
      <c r="H33" s="200" t="s">
        <v>203</v>
      </c>
      <c r="I33" s="200" t="s">
        <v>277</v>
      </c>
      <c r="J33" s="200" t="s">
        <v>253</v>
      </c>
      <c r="K33" s="200" t="s">
        <v>278</v>
      </c>
      <c r="L33" s="200" t="s">
        <v>279</v>
      </c>
      <c r="M33" s="200" t="s">
        <v>280</v>
      </c>
      <c r="N33" s="200" t="s">
        <v>281</v>
      </c>
      <c r="O33" s="200" t="s">
        <v>282</v>
      </c>
      <c r="P33" s="200" t="s">
        <v>283</v>
      </c>
      <c r="Q33" s="200" t="s">
        <v>284</v>
      </c>
      <c r="R33" s="200" t="s">
        <v>285</v>
      </c>
      <c r="S33" s="200" t="s">
        <v>286</v>
      </c>
      <c r="T33" s="200" t="s">
        <v>287</v>
      </c>
      <c r="U33" s="200" t="s">
        <v>288</v>
      </c>
      <c r="V33" s="200" t="s">
        <v>289</v>
      </c>
      <c r="W33" s="200" t="s">
        <v>290</v>
      </c>
      <c r="X33" s="200" t="s">
        <v>291</v>
      </c>
    </row>
    <row r="34" spans="2:24">
      <c r="G34" s="200">
        <f>J34*1000</f>
        <v>8</v>
      </c>
      <c r="H34" s="200">
        <f ca="1">X34</f>
        <v>0.85746870839716771</v>
      </c>
      <c r="I34" s="200">
        <v>2E-3</v>
      </c>
      <c r="J34" s="200">
        <f t="shared" ref="J34:J58" si="18">I34*4</f>
        <v>8.0000000000000002E-3</v>
      </c>
      <c r="K34" s="200">
        <f>I34+$L$32/1000*2</f>
        <v>2.1999999999999999E-2</v>
      </c>
      <c r="L34" s="200">
        <f>K34^2*2</f>
        <v>9.6799999999999989E-4</v>
      </c>
      <c r="M34" s="200">
        <f ca="1">IF(【事例3】危険部品判断シート!$O$36=0,2.51*0.56*(O34/K34)^0.25+0.0000000567*$F$9*(($F$10+273+O34)^2+($F$10+273)^2)*(($F$10+273+O34)+($F$10+273)),3.86*(【事例3】危険部品判断シート!$O$36/K34)^0.5+0.0000000567*$F$9*(($F$10+273+O34)^2+($F$10+273)^2)*(($F$10+273+O34)+($F$10+273)))</f>
        <v>29.527159380067761</v>
      </c>
      <c r="N34" s="200">
        <f t="shared" ref="N34:N58" ca="1" si="19">1/L34/M34+$F$8/$M$3/L34</f>
        <v>39.118930868403609</v>
      </c>
      <c r="O34" s="200">
        <f ca="1">H34*N34</f>
        <v>33.543259125608138</v>
      </c>
      <c r="P34" s="200">
        <f>I34^2</f>
        <v>3.9999999999999998E-6</v>
      </c>
      <c r="Q34" s="200">
        <f>K34^2</f>
        <v>4.8399999999999995E-4</v>
      </c>
      <c r="R34" s="200">
        <f>(PI()^1.5)/((Q34)^0.5)+1/(P34)^0.5</f>
        <v>753.10581803780497</v>
      </c>
      <c r="S34" s="200">
        <f t="shared" ref="S34:S58" si="20">$F$6*(Q34^0.5-P34^0.5)/($L$3*(PI()*Q34*P34)^0.5)</f>
        <v>7.2036463680765603</v>
      </c>
      <c r="T34" s="200">
        <f t="shared" ref="T34:T58" ca="1" si="21">R34*$L$3*Q34*N34/$F$6</f>
        <v>507.6195493482565</v>
      </c>
      <c r="U34" s="200">
        <f t="shared" ref="U34:U58" si="22">TANH(R34*$F$8/$F$6)</f>
        <v>0.83516407988298669</v>
      </c>
      <c r="V34" s="200">
        <f ca="1">S34*(T34+U34)/(1+T34*U34)</f>
        <v>8.6192863986284838</v>
      </c>
      <c r="W34" s="262">
        <f ca="1">N34+V34</f>
        <v>47.738217267032091</v>
      </c>
      <c r="X34" s="200">
        <f ca="1">L34*M34*$Q$3</f>
        <v>0.85746870839716771</v>
      </c>
    </row>
    <row r="35" spans="2:24">
      <c r="G35" s="200">
        <f t="shared" ref="G35:G58" si="23">J35*1000</f>
        <v>16</v>
      </c>
      <c r="H35" s="200">
        <f ca="1">X35</f>
        <v>0.98921089019042341</v>
      </c>
      <c r="I35" s="200">
        <f>I34+0.002</f>
        <v>4.0000000000000001E-3</v>
      </c>
      <c r="J35" s="200">
        <f t="shared" si="18"/>
        <v>1.6E-2</v>
      </c>
      <c r="K35" s="200">
        <f t="shared" ref="K35:K58" si="24">I35+$L$32/1000*2</f>
        <v>2.4E-2</v>
      </c>
      <c r="L35" s="200">
        <f t="shared" ref="L35:L58" si="25">K35^2*2</f>
        <v>1.152E-3</v>
      </c>
      <c r="M35" s="200">
        <f ca="1">IF(【事例3】危険部品判断シート!$O$36=0,2.51*0.56*(O35/K35)^0.25+0.0000000567*$F$9*(($F$10+273+O35)^2+($F$10+273)^2)*(($F$10+273+O35)+($F$10+273)),3.86*(【事例3】危険部品判断シート!$O$36/K35)^0.5+0.0000000567*$F$9*(($F$10+273+O35)^2+($F$10+273)^2)*(($F$10+273+O35)+($F$10+273)))</f>
        <v>28.623000294861789</v>
      </c>
      <c r="N35" s="200">
        <f t="shared" ca="1" si="19"/>
        <v>33.799425751314985</v>
      </c>
      <c r="O35" s="200">
        <f t="shared" ref="O35:O58" ca="1" si="26">H35*N35</f>
        <v>33.43476003538342</v>
      </c>
      <c r="P35" s="200">
        <f t="shared" ref="P35:P58" si="27">I35^2</f>
        <v>1.5999999999999999E-5</v>
      </c>
      <c r="Q35" s="200">
        <f t="shared" ref="Q35:Q58" si="28">K35^2</f>
        <v>5.7600000000000001E-4</v>
      </c>
      <c r="R35" s="200">
        <f t="shared" ref="R35:R58" si="29">(PI()^1.5)/((Q35)^0.5)+1/(P35)^0.5</f>
        <v>482.01366653465453</v>
      </c>
      <c r="S35" s="200">
        <f t="shared" si="20"/>
        <v>3.3016712520350908</v>
      </c>
      <c r="T35" s="200">
        <f t="shared" ca="1" si="21"/>
        <v>334.07282922646743</v>
      </c>
      <c r="U35" s="200">
        <f t="shared" si="22"/>
        <v>0.64763938261437681</v>
      </c>
      <c r="V35" s="200">
        <f t="shared" ref="V35:V58" ca="1" si="30">S35*(T35+U35)/(1+T35*U35)</f>
        <v>5.0843920329430086</v>
      </c>
      <c r="W35" s="262">
        <f t="shared" ref="W35:W58" ca="1" si="31">N35+V35</f>
        <v>38.883817784257992</v>
      </c>
      <c r="X35" s="200">
        <f t="shared" ref="X35:X58" ca="1" si="32">L35*M35*$Q$3</f>
        <v>0.98921089019042341</v>
      </c>
    </row>
    <row r="36" spans="2:24">
      <c r="C36" s="270"/>
      <c r="D36" s="270"/>
      <c r="E36" s="270"/>
      <c r="F36" s="270"/>
      <c r="G36" s="200">
        <f t="shared" si="23"/>
        <v>24</v>
      </c>
      <c r="H36" s="200">
        <f t="shared" ref="H36:H58" ca="1" si="33">X36</f>
        <v>1.1285936372468945</v>
      </c>
      <c r="I36" s="200">
        <f t="shared" ref="I36:I58" si="34">I35+0.002</f>
        <v>6.0000000000000001E-3</v>
      </c>
      <c r="J36" s="200">
        <f t="shared" si="18"/>
        <v>2.4E-2</v>
      </c>
      <c r="K36" s="200">
        <f t="shared" si="24"/>
        <v>2.6000000000000002E-2</v>
      </c>
      <c r="L36" s="200">
        <f t="shared" si="25"/>
        <v>1.3520000000000003E-3</v>
      </c>
      <c r="M36" s="200">
        <f ca="1">IF(【事例3】危険部品判断シート!$O$36=0,2.51*0.56*(O36/K36)^0.25+0.0000000567*$F$9*(($F$10+273+O36)^2+($F$10+273)^2)*(($F$10+273+O36)+($F$10+273)),3.86*(【事例3】危険部品判断シート!$O$36/K36)^0.5+0.0000000567*$F$9*(($F$10+273+O36)^2+($F$10+273)^2)*(($F$10+273+O36)+($F$10+273)))</f>
        <v>27.825286914371162</v>
      </c>
      <c r="N36" s="200">
        <f t="shared" ca="1" si="19"/>
        <v>29.540335271650296</v>
      </c>
      <c r="O36" s="200">
        <f t="shared" ca="1" si="26"/>
        <v>33.339034429724535</v>
      </c>
      <c r="P36" s="200">
        <f t="shared" si="27"/>
        <v>3.6000000000000001E-5</v>
      </c>
      <c r="Q36" s="200">
        <f t="shared" si="28"/>
        <v>6.7600000000000017E-4</v>
      </c>
      <c r="R36" s="200">
        <f t="shared" si="29"/>
        <v>380.83312808327082</v>
      </c>
      <c r="S36" s="200">
        <f t="shared" si="20"/>
        <v>2.0317976935600557</v>
      </c>
      <c r="T36" s="200">
        <f t="shared" ca="1" si="21"/>
        <v>270.73651481871815</v>
      </c>
      <c r="U36" s="200">
        <f t="shared" si="22"/>
        <v>0.5436574134908021</v>
      </c>
      <c r="V36" s="200">
        <f t="shared" ca="1" si="30"/>
        <v>3.7195100171375728</v>
      </c>
      <c r="W36" s="262">
        <f t="shared" ca="1" si="31"/>
        <v>33.259845288787872</v>
      </c>
      <c r="X36" s="200">
        <f t="shared" ca="1" si="32"/>
        <v>1.1285936372468945</v>
      </c>
    </row>
    <row r="37" spans="2:24">
      <c r="G37" s="200">
        <f t="shared" si="23"/>
        <v>32</v>
      </c>
      <c r="H37" s="200">
        <f t="shared" ca="1" si="33"/>
        <v>1.2754730780521506</v>
      </c>
      <c r="I37" s="200">
        <f t="shared" si="34"/>
        <v>8.0000000000000002E-3</v>
      </c>
      <c r="J37" s="200">
        <f t="shared" si="18"/>
        <v>3.2000000000000001E-2</v>
      </c>
      <c r="K37" s="200">
        <f t="shared" si="24"/>
        <v>2.8000000000000001E-2</v>
      </c>
      <c r="L37" s="200">
        <f t="shared" si="25"/>
        <v>1.5680000000000002E-3</v>
      </c>
      <c r="M37" s="200">
        <f ca="1">IF(【事例3】危険部品判断シート!$O$36=0,2.51*0.56*(O37/K37)^0.25+0.0000000567*$F$9*(($F$10+273+O37)^2+($F$10+273)^2)*(($F$10+273+O37)+($F$10+273)),3.86*(【事例3】危険部品判断シート!$O$36/K37)^0.5+0.0000000567*$F$9*(($F$10+273+O37)^2+($F$10+273)^2)*(($F$10+273+O37)+($F$10+273)))</f>
        <v>27.114648768115444</v>
      </c>
      <c r="N37" s="200">
        <f t="shared" ca="1" si="19"/>
        <v>26.071705020193455</v>
      </c>
      <c r="O37" s="200">
        <f t="shared" ca="1" si="26"/>
        <v>33.253757852173855</v>
      </c>
      <c r="P37" s="200">
        <f t="shared" si="27"/>
        <v>6.3999999999999997E-5</v>
      </c>
      <c r="Q37" s="200">
        <f t="shared" si="28"/>
        <v>7.8400000000000008E-4</v>
      </c>
      <c r="R37" s="200">
        <f t="shared" si="29"/>
        <v>323.86885702970392</v>
      </c>
      <c r="S37" s="200">
        <f t="shared" si="20"/>
        <v>1.415001965157896</v>
      </c>
      <c r="T37" s="200">
        <f t="shared" ca="1" si="21"/>
        <v>235.67020688756699</v>
      </c>
      <c r="U37" s="200">
        <f t="shared" si="22"/>
        <v>0.47630197429922477</v>
      </c>
      <c r="V37" s="200">
        <f t="shared" ca="1" si="30"/>
        <v>2.9505274064130491</v>
      </c>
      <c r="W37" s="262">
        <f t="shared" ca="1" si="31"/>
        <v>29.022232426606504</v>
      </c>
      <c r="X37" s="200">
        <f t="shared" ca="1" si="32"/>
        <v>1.2754730780521506</v>
      </c>
    </row>
    <row r="38" spans="2:24">
      <c r="G38" s="200">
        <f t="shared" si="23"/>
        <v>40</v>
      </c>
      <c r="H38" s="200">
        <f t="shared" ca="1" si="33"/>
        <v>1.4297210822797606</v>
      </c>
      <c r="I38" s="200">
        <f t="shared" si="34"/>
        <v>0.01</v>
      </c>
      <c r="J38" s="200">
        <f t="shared" si="18"/>
        <v>0.04</v>
      </c>
      <c r="K38" s="200">
        <f t="shared" si="24"/>
        <v>0.03</v>
      </c>
      <c r="L38" s="200">
        <f t="shared" si="25"/>
        <v>1.8E-3</v>
      </c>
      <c r="M38" s="200">
        <f ca="1">IF(【事例3】危険部品判断シート!$O$36=0,2.51*0.56*(O38/K38)^0.25+0.0000000567*$F$9*(($F$10+273+O38)^2+($F$10+273)^2)*(($F$10+273+O38)+($F$10+273)),3.86*(【事例3】危険部品判断シート!$O$36/K38)^0.5+0.0000000567*$F$9*(($F$10+273+O38)^2+($F$10+273)^2)*(($F$10+273+O38)+($F$10+273)))</f>
        <v>26.476316338514088</v>
      </c>
      <c r="N38" s="200">
        <f t="shared" ca="1" si="19"/>
        <v>23.205335902104117</v>
      </c>
      <c r="O38" s="200">
        <f t="shared" ca="1" si="26"/>
        <v>33.177157960621685</v>
      </c>
      <c r="P38" s="200">
        <f t="shared" si="27"/>
        <v>1E-4</v>
      </c>
      <c r="Q38" s="200">
        <f t="shared" si="28"/>
        <v>8.9999999999999998E-4</v>
      </c>
      <c r="R38" s="200">
        <f t="shared" si="29"/>
        <v>285.61093322772365</v>
      </c>
      <c r="S38" s="200">
        <f t="shared" si="20"/>
        <v>1.0565348006512287</v>
      </c>
      <c r="T38" s="200">
        <f t="shared" ca="1" si="21"/>
        <v>212.35143247732276</v>
      </c>
      <c r="U38" s="200">
        <f t="shared" si="22"/>
        <v>0.42761758606203659</v>
      </c>
      <c r="V38" s="200">
        <f t="shared" ca="1" si="30"/>
        <v>2.4487551273331905</v>
      </c>
      <c r="W38" s="262">
        <f t="shared" ca="1" si="31"/>
        <v>25.654091029437307</v>
      </c>
      <c r="X38" s="200">
        <f t="shared" ca="1" si="32"/>
        <v>1.4297210822797606</v>
      </c>
    </row>
    <row r="39" spans="2:24">
      <c r="G39" s="200">
        <f t="shared" si="23"/>
        <v>48</v>
      </c>
      <c r="H39" s="200">
        <f t="shared" ca="1" si="33"/>
        <v>1.591222582907365</v>
      </c>
      <c r="I39" s="200">
        <f t="shared" si="34"/>
        <v>1.2E-2</v>
      </c>
      <c r="J39" s="200">
        <f t="shared" si="18"/>
        <v>4.8000000000000001E-2</v>
      </c>
      <c r="K39" s="200">
        <f t="shared" si="24"/>
        <v>3.2000000000000001E-2</v>
      </c>
      <c r="L39" s="200">
        <f>K39^2*2</f>
        <v>2.0479999999999999E-3</v>
      </c>
      <c r="M39" s="200">
        <f ca="1">IF(【事例3】危険部品判断シート!$O$36=0,2.51*0.56*(O39/K39)^0.25+0.0000000567*$F$9*(($F$10+273+O39)^2+($F$10+273)^2)*(($F$10+273+O39)+($F$10+273)),3.86*(【事例3】危険部品判断シート!$O$36/K39)^0.5+0.0000000567*$F$9*(($F$10+273+O39)^2+($F$10+273)^2)*(($F$10+273+O39)+($F$10+273)))</f>
        <v>25.898805060341225</v>
      </c>
      <c r="N39" s="200">
        <f t="shared" ca="1" si="19"/>
        <v>20.806552749363767</v>
      </c>
      <c r="O39" s="200">
        <f t="shared" ca="1" si="26"/>
        <v>33.107856607240947</v>
      </c>
      <c r="P39" s="200">
        <f t="shared" si="27"/>
        <v>1.44E-4</v>
      </c>
      <c r="Q39" s="200">
        <f t="shared" si="28"/>
        <v>1.024E-3</v>
      </c>
      <c r="R39" s="200">
        <f t="shared" si="29"/>
        <v>257.34358323432423</v>
      </c>
      <c r="S39" s="200">
        <f t="shared" si="20"/>
        <v>0.8254178130087727</v>
      </c>
      <c r="T39" s="200">
        <f t="shared" ca="1" si="21"/>
        <v>195.19263649607575</v>
      </c>
      <c r="U39" s="200">
        <f t="shared" si="22"/>
        <v>0.38995734868785564</v>
      </c>
      <c r="V39" s="200">
        <f t="shared" ca="1" si="30"/>
        <v>2.093413504837053</v>
      </c>
      <c r="W39" s="262">
        <f t="shared" ca="1" si="31"/>
        <v>22.89996625420082</v>
      </c>
      <c r="X39" s="200">
        <f t="shared" ca="1" si="32"/>
        <v>1.591222582907365</v>
      </c>
    </row>
    <row r="40" spans="2:24">
      <c r="G40" s="200">
        <f t="shared" si="23"/>
        <v>56</v>
      </c>
      <c r="H40" s="200">
        <f t="shared" ca="1" si="33"/>
        <v>1.7598734959876641</v>
      </c>
      <c r="I40" s="200">
        <f t="shared" si="34"/>
        <v>1.4E-2</v>
      </c>
      <c r="J40" s="200">
        <f t="shared" si="18"/>
        <v>5.6000000000000001E-2</v>
      </c>
      <c r="K40" s="200">
        <f t="shared" si="24"/>
        <v>3.4000000000000002E-2</v>
      </c>
      <c r="L40" s="200">
        <f t="shared" si="25"/>
        <v>2.3120000000000003E-3</v>
      </c>
      <c r="M40" s="200">
        <f ca="1">IF(【事例3】危険部品判断シート!$O$36=0,2.51*0.56*(O40/K40)^0.25+0.0000000567*$F$9*(($F$10+273+O40)^2+($F$10+273)^2)*(($F$10+273+O40)+($F$10+273)),3.86*(【事例3】危険部品判断シート!$O$36/K40)^0.5+0.0000000567*$F$9*(($F$10+273+O40)^2+($F$10+273)^2)*(($F$10+273+O40)+($F$10+273)))</f>
        <v>25.373031949072431</v>
      </c>
      <c r="N40" s="200">
        <f t="shared" ca="1" si="19"/>
        <v>18.776783620656516</v>
      </c>
      <c r="O40" s="200">
        <f t="shared" ca="1" si="26"/>
        <v>33.044763833888695</v>
      </c>
      <c r="P40" s="200">
        <f t="shared" si="27"/>
        <v>1.9600000000000002E-4</v>
      </c>
      <c r="Q40" s="200">
        <f t="shared" si="28"/>
        <v>1.1560000000000001E-3</v>
      </c>
      <c r="R40" s="200">
        <f t="shared" si="29"/>
        <v>235.20292427656284</v>
      </c>
      <c r="S40" s="200">
        <f t="shared" si="20"/>
        <v>0.6658832777213628</v>
      </c>
      <c r="T40" s="200">
        <f t="shared" ca="1" si="21"/>
        <v>181.74888309786482</v>
      </c>
      <c r="U40" s="200">
        <f t="shared" si="22"/>
        <v>0.35951141340755177</v>
      </c>
      <c r="V40" s="200">
        <f t="shared" ca="1" si="30"/>
        <v>1.8278787499062392</v>
      </c>
      <c r="W40" s="262">
        <f t="shared" ca="1" si="31"/>
        <v>20.604662370562757</v>
      </c>
      <c r="X40" s="200">
        <f t="shared" ca="1" si="32"/>
        <v>1.7598734959876641</v>
      </c>
    </row>
    <row r="41" spans="2:24">
      <c r="G41" s="200">
        <f t="shared" si="23"/>
        <v>64</v>
      </c>
      <c r="H41" s="200">
        <f t="shared" ca="1" si="33"/>
        <v>1.9355790767380738</v>
      </c>
      <c r="I41" s="200">
        <f t="shared" si="34"/>
        <v>1.6E-2</v>
      </c>
      <c r="J41" s="200">
        <f t="shared" si="18"/>
        <v>6.4000000000000001E-2</v>
      </c>
      <c r="K41" s="200">
        <f t="shared" si="24"/>
        <v>3.6000000000000004E-2</v>
      </c>
      <c r="L41" s="200">
        <f t="shared" si="25"/>
        <v>2.5920000000000006E-3</v>
      </c>
      <c r="M41" s="200">
        <f ca="1">IF(【事例3】危険部品判断シート!$O$36=0,2.51*0.56*(O41/K41)^0.25+0.0000000567*$F$9*(($F$10+273+O41)^2+($F$10+273)^2)*(($F$10+273+O41)+($F$10+273)),3.86*(【事例3】危険部品判断シート!$O$36/K41)^0.5+0.0000000567*$F$9*(($F$10+273+O41)^2+($F$10+273)^2)*(($F$10+273+O41)+($F$10+273)))</f>
        <v>24.891706233771522</v>
      </c>
      <c r="N41" s="200">
        <f t="shared" ca="1" si="19"/>
        <v>17.042447474501422</v>
      </c>
      <c r="O41" s="200">
        <f t="shared" ca="1" si="26"/>
        <v>32.987004748052584</v>
      </c>
      <c r="P41" s="200">
        <f t="shared" si="27"/>
        <v>2.5599999999999999E-4</v>
      </c>
      <c r="Q41" s="200">
        <f t="shared" si="28"/>
        <v>1.2960000000000003E-3</v>
      </c>
      <c r="R41" s="200">
        <f t="shared" si="29"/>
        <v>217.17577768976966</v>
      </c>
      <c r="S41" s="200">
        <f t="shared" si="20"/>
        <v>0.55027854200584858</v>
      </c>
      <c r="T41" s="200">
        <f t="shared" ca="1" si="21"/>
        <v>170.76479811802736</v>
      </c>
      <c r="U41" s="200">
        <f t="shared" si="22"/>
        <v>0.33413989266282124</v>
      </c>
      <c r="V41" s="200">
        <f t="shared" ca="1" si="30"/>
        <v>1.6216527475744527</v>
      </c>
      <c r="W41" s="262">
        <f t="shared" ca="1" si="31"/>
        <v>18.664100222075874</v>
      </c>
      <c r="X41" s="200">
        <f t="shared" ca="1" si="32"/>
        <v>1.9355790767380738</v>
      </c>
    </row>
    <row r="42" spans="2:24">
      <c r="G42" s="200">
        <f t="shared" si="23"/>
        <v>72.000000000000014</v>
      </c>
      <c r="H42" s="200">
        <f t="shared" ca="1" si="33"/>
        <v>2.1182526008645155</v>
      </c>
      <c r="I42" s="200">
        <f t="shared" si="34"/>
        <v>1.8000000000000002E-2</v>
      </c>
      <c r="J42" s="200">
        <f t="shared" si="18"/>
        <v>7.2000000000000008E-2</v>
      </c>
      <c r="K42" s="200">
        <f t="shared" si="24"/>
        <v>3.8000000000000006E-2</v>
      </c>
      <c r="L42" s="200">
        <f t="shared" si="25"/>
        <v>2.8880000000000008E-3</v>
      </c>
      <c r="M42" s="200">
        <f ca="1">IF(【事例3】危険部品判断シート!$O$36=0,2.51*0.56*(O42/K42)^0.25+0.0000000567*$F$9*(($F$10+273+O42)^2+($F$10+273)^2)*(($F$10+273+O42)+($F$10+273)),3.86*(【事例3】危険部品判断シート!$O$36/K42)^0.5+0.0000000567*$F$9*(($F$10+273+O42)^2+($F$10+273)^2)*(($F$10+273+O42)+($F$10+273)))</f>
        <v>24.448898901945</v>
      </c>
      <c r="N42" s="200">
        <f t="shared" ca="1" si="19"/>
        <v>15.547658411840123</v>
      </c>
      <c r="O42" s="200">
        <f t="shared" ca="1" si="26"/>
        <v>32.933867868233406</v>
      </c>
      <c r="P42" s="200">
        <f t="shared" si="27"/>
        <v>3.2400000000000007E-4</v>
      </c>
      <c r="Q42" s="200">
        <f t="shared" si="28"/>
        <v>1.4440000000000004E-3</v>
      </c>
      <c r="R42" s="200">
        <f t="shared" si="29"/>
        <v>202.09050284060049</v>
      </c>
      <c r="S42" s="200">
        <f t="shared" si="20"/>
        <v>0.46339245642597759</v>
      </c>
      <c r="T42" s="200">
        <f t="shared" ca="1" si="21"/>
        <v>161.52066208943415</v>
      </c>
      <c r="U42" s="200">
        <f t="shared" si="22"/>
        <v>0.31252817277605865</v>
      </c>
      <c r="V42" s="200">
        <f t="shared" ca="1" si="30"/>
        <v>1.4567333525113071</v>
      </c>
      <c r="W42" s="262">
        <f t="shared" ca="1" si="31"/>
        <v>17.004391764351432</v>
      </c>
      <c r="X42" s="200">
        <f t="shared" ca="1" si="32"/>
        <v>2.1182526008645155</v>
      </c>
    </row>
    <row r="43" spans="2:24">
      <c r="B43" s="200">
        <v>0.1</v>
      </c>
      <c r="C43" s="200">
        <v>0.1</v>
      </c>
      <c r="G43" s="200">
        <f t="shared" si="23"/>
        <v>80.000000000000014</v>
      </c>
      <c r="H43" s="200">
        <f t="shared" ca="1" si="33"/>
        <v>2.3078142927697178</v>
      </c>
      <c r="I43" s="200">
        <f t="shared" si="34"/>
        <v>2.0000000000000004E-2</v>
      </c>
      <c r="J43" s="200">
        <f t="shared" si="18"/>
        <v>8.0000000000000016E-2</v>
      </c>
      <c r="K43" s="200">
        <f t="shared" si="24"/>
        <v>4.0000000000000008E-2</v>
      </c>
      <c r="L43" s="200">
        <f t="shared" si="25"/>
        <v>3.2000000000000015E-3</v>
      </c>
      <c r="M43" s="200">
        <f ca="1">IF(【事例3】危険部品判断シート!$O$36=0,2.51*0.56*(O43/K43)^0.25+0.0000000567*$F$9*(($F$10+273+O43)^2+($F$10+273)^2)*(($F$10+273+O43)+($F$10+273)),3.86*(【事例3】危険部品判断シート!$O$36/K43)^0.5+0.0000000567*$F$9*(($F$10+273+O43)^2+($F$10+273)^2)*(($F$10+273+O43)+($F$10+273)))</f>
        <v>24.039732216351219</v>
      </c>
      <c r="N43" s="200">
        <f t="shared" ca="1" si="19"/>
        <v>14.249312853719946</v>
      </c>
      <c r="O43" s="200">
        <f t="shared" ca="1" si="26"/>
        <v>32.884767865962147</v>
      </c>
      <c r="P43" s="200">
        <f t="shared" si="27"/>
        <v>4.0000000000000018E-4</v>
      </c>
      <c r="Q43" s="200">
        <f t="shared" si="28"/>
        <v>1.6000000000000007E-3</v>
      </c>
      <c r="R43" s="200">
        <f t="shared" si="29"/>
        <v>189.20819992079268</v>
      </c>
      <c r="S43" s="200">
        <f t="shared" si="20"/>
        <v>0.39620055024421075</v>
      </c>
      <c r="T43" s="200">
        <f t="shared" ca="1" si="21"/>
        <v>153.56910613074584</v>
      </c>
      <c r="U43" s="200">
        <f t="shared" si="22"/>
        <v>0.29381179541559732</v>
      </c>
      <c r="V43" s="200">
        <f t="shared" ca="1" si="30"/>
        <v>1.3217698283635007</v>
      </c>
      <c r="W43" s="262">
        <f t="shared" ca="1" si="31"/>
        <v>15.571082682083446</v>
      </c>
      <c r="X43" s="200">
        <f t="shared" ca="1" si="32"/>
        <v>2.3078142927697178</v>
      </c>
    </row>
    <row r="44" spans="2:24">
      <c r="B44" s="200">
        <v>1000</v>
      </c>
      <c r="C44" s="200">
        <v>1000</v>
      </c>
      <c r="G44" s="200">
        <f t="shared" si="23"/>
        <v>88.000000000000028</v>
      </c>
      <c r="H44" s="200">
        <f t="shared" ca="1" si="33"/>
        <v>2.5041904442048999</v>
      </c>
      <c r="I44" s="200">
        <f t="shared" si="34"/>
        <v>2.2000000000000006E-2</v>
      </c>
      <c r="J44" s="200">
        <f t="shared" si="18"/>
        <v>8.8000000000000023E-2</v>
      </c>
      <c r="K44" s="200">
        <f t="shared" si="24"/>
        <v>4.200000000000001E-2</v>
      </c>
      <c r="L44" s="200">
        <f t="shared" si="25"/>
        <v>3.5280000000000016E-3</v>
      </c>
      <c r="M44" s="200">
        <f ca="1">IF(【事例3】危険部品判断シート!$O$36=0,2.51*0.56*(O44/K44)^0.25+0.0000000567*$F$9*(($F$10+273+O44)^2+($F$10+273)^2)*(($F$10+273+O44)+($F$10+273)),3.86*(【事例3】危険部品判断シート!$O$36/K44)^0.5+0.0000000567*$F$9*(($F$10+273+O44)^2+($F$10+273)^2)*(($F$10+273+O44)+($F$10+273)))</f>
        <v>23.660151589237515</v>
      </c>
      <c r="N44" s="200">
        <f t="shared" ca="1" si="19"/>
        <v>13.11370637433097</v>
      </c>
      <c r="O44" s="200">
        <f t="shared" ca="1" si="26"/>
        <v>32.8392181907085</v>
      </c>
      <c r="P44" s="200">
        <f t="shared" si="27"/>
        <v>4.8400000000000027E-4</v>
      </c>
      <c r="Q44" s="200">
        <f t="shared" si="28"/>
        <v>1.7640000000000008E-3</v>
      </c>
      <c r="R44" s="200">
        <f t="shared" si="29"/>
        <v>178.03378347434798</v>
      </c>
      <c r="S44" s="200">
        <f t="shared" si="20"/>
        <v>0.3430307794322171</v>
      </c>
      <c r="T44" s="200">
        <f t="shared" ca="1" si="21"/>
        <v>146.61434191055386</v>
      </c>
      <c r="U44" s="200">
        <f t="shared" si="22"/>
        <v>0.27739163932387439</v>
      </c>
      <c r="V44" s="200">
        <f t="shared" ca="1" si="30"/>
        <v>1.2092363434852003</v>
      </c>
      <c r="W44" s="262">
        <f t="shared" ca="1" si="31"/>
        <v>14.32294271781617</v>
      </c>
      <c r="X44" s="200">
        <f t="shared" ca="1" si="32"/>
        <v>2.5041904442048999</v>
      </c>
    </row>
    <row r="45" spans="2:24">
      <c r="G45" s="200">
        <f t="shared" si="23"/>
        <v>96.000000000000028</v>
      </c>
      <c r="H45" s="200">
        <f t="shared" ca="1" si="33"/>
        <v>2.7073126819391029</v>
      </c>
      <c r="I45" s="200">
        <f t="shared" si="34"/>
        <v>2.4000000000000007E-2</v>
      </c>
      <c r="J45" s="200">
        <f t="shared" si="18"/>
        <v>9.600000000000003E-2</v>
      </c>
      <c r="K45" s="200">
        <f t="shared" si="24"/>
        <v>4.4000000000000011E-2</v>
      </c>
      <c r="L45" s="200">
        <f t="shared" si="25"/>
        <v>3.8720000000000022E-3</v>
      </c>
      <c r="M45" s="200">
        <f ca="1">IF(【事例3】危険部品判断シート!$O$36=0,2.51*0.56*(O45/K45)^0.25+0.0000000567*$F$9*(($F$10+273+O45)^2+($F$10+273)^2)*(($F$10+273+O45)+($F$10+273)),3.86*(【事例3】危険部品判断シート!$O$36/K45)^0.5+0.0000000567*$F$9*(($F$10+273+O45)^2+($F$10+273)^2)*(($F$10+273+O45)+($F$10+273)))</f>
        <v>23.306755181982627</v>
      </c>
      <c r="N45" s="200">
        <f t="shared" ca="1" si="19"/>
        <v>12.114156905713349</v>
      </c>
      <c r="O45" s="200">
        <f t="shared" ca="1" si="26"/>
        <v>32.796810621837913</v>
      </c>
      <c r="P45" s="200">
        <f t="shared" si="27"/>
        <v>5.7600000000000034E-4</v>
      </c>
      <c r="Q45" s="200">
        <f t="shared" si="28"/>
        <v>1.9360000000000011E-3</v>
      </c>
      <c r="R45" s="200">
        <f t="shared" si="29"/>
        <v>168.21957568556911</v>
      </c>
      <c r="S45" s="200">
        <f t="shared" si="20"/>
        <v>0.3001519320031899</v>
      </c>
      <c r="T45" s="200">
        <f t="shared" ca="1" si="21"/>
        <v>140.45107855283578</v>
      </c>
      <c r="U45" s="200">
        <f t="shared" si="22"/>
        <v>0.26283496157015451</v>
      </c>
      <c r="V45" s="200">
        <f t="shared" ca="1" si="30"/>
        <v>1.1139403259177754</v>
      </c>
      <c r="W45" s="262">
        <f t="shared" ca="1" si="31"/>
        <v>13.228097231631125</v>
      </c>
      <c r="X45" s="200">
        <f t="shared" ca="1" si="32"/>
        <v>2.7073126819391033</v>
      </c>
    </row>
    <row r="46" spans="2:24">
      <c r="G46" s="200">
        <f t="shared" si="23"/>
        <v>104.00000000000004</v>
      </c>
      <c r="H46" s="200">
        <f t="shared" ca="1" si="33"/>
        <v>2.9171173535307555</v>
      </c>
      <c r="I46" s="200">
        <f t="shared" si="34"/>
        <v>2.6000000000000009E-2</v>
      </c>
      <c r="J46" s="200">
        <f t="shared" si="18"/>
        <v>0.10400000000000004</v>
      </c>
      <c r="K46" s="200">
        <f t="shared" si="24"/>
        <v>4.6000000000000013E-2</v>
      </c>
      <c r="L46" s="200">
        <f t="shared" si="25"/>
        <v>4.2320000000000023E-3</v>
      </c>
      <c r="M46" s="200">
        <f ca="1">IF(【事例3】危険部品判断シート!$O$36=0,2.51*0.56*(O46/K46)^0.25+0.0000000567*$F$9*(($F$10+273+O46)^2+($F$10+273)^2)*(($F$10+273+O46)+($F$10+273)),3.86*(【事例3】危険部品判断シート!$O$36/K46)^0.5+0.0000000567*$F$9*(($F$10+273+O46)^2+($F$10+273)^2)*(($F$10+273+O46)+($F$10+273)))</f>
        <v>22.97666472535251</v>
      </c>
      <c r="N46" s="200">
        <f t="shared" ca="1" si="19"/>
        <v>11.229304754364565</v>
      </c>
      <c r="O46" s="200">
        <f t="shared" ca="1" si="26"/>
        <v>32.757199767042287</v>
      </c>
      <c r="P46" s="200">
        <f t="shared" si="27"/>
        <v>6.7600000000000049E-4</v>
      </c>
      <c r="Q46" s="200">
        <f t="shared" si="28"/>
        <v>2.1160000000000011E-3</v>
      </c>
      <c r="R46" s="200">
        <f t="shared" si="29"/>
        <v>159.51214708831469</v>
      </c>
      <c r="S46" s="200">
        <f t="shared" si="20"/>
        <v>0.26501709046435495</v>
      </c>
      <c r="T46" s="200">
        <f t="shared" ca="1" si="21"/>
        <v>134.93117136047746</v>
      </c>
      <c r="U46" s="200">
        <f t="shared" si="22"/>
        <v>0.24981870072966736</v>
      </c>
      <c r="V46" s="200">
        <f t="shared" ca="1" si="30"/>
        <v>1.0321808268381041</v>
      </c>
      <c r="W46" s="262">
        <f t="shared" ca="1" si="31"/>
        <v>12.261485581202669</v>
      </c>
      <c r="X46" s="200">
        <f t="shared" ca="1" si="32"/>
        <v>2.917117353530756</v>
      </c>
    </row>
    <row r="47" spans="2:24">
      <c r="G47" s="200">
        <f t="shared" si="23"/>
        <v>112.00000000000004</v>
      </c>
      <c r="H47" s="200">
        <f t="shared" ca="1" si="33"/>
        <v>3.1335450077826348</v>
      </c>
      <c r="I47" s="200">
        <f t="shared" si="34"/>
        <v>2.8000000000000011E-2</v>
      </c>
      <c r="J47" s="200">
        <f t="shared" si="18"/>
        <v>0.11200000000000004</v>
      </c>
      <c r="K47" s="200">
        <f t="shared" si="24"/>
        <v>4.8000000000000015E-2</v>
      </c>
      <c r="L47" s="200">
        <f t="shared" si="25"/>
        <v>4.6080000000000027E-3</v>
      </c>
      <c r="M47" s="200">
        <f ca="1">IF(【事例3】危険部品判断シート!$O$36=0,2.51*0.56*(O47/K47)^0.25+0.0000000567*$F$9*(($F$10+273+O47)^2+($F$10+273)^2)*(($F$10+273+O47)+($F$10+273)),3.86*(【事例3】危険部品判断シート!$O$36/K47)^0.5+0.0000000567*$F$9*(($F$10+273+O47)^2+($F$10+273)^2)*(($F$10+273+O47)+($F$10+273)))</f>
        <v>22.667426271575756</v>
      </c>
      <c r="N47" s="200">
        <f t="shared" ca="1" si="19"/>
        <v>10.441876874697439</v>
      </c>
      <c r="O47" s="200">
        <f t="shared" ca="1" si="26"/>
        <v>32.720091152589099</v>
      </c>
      <c r="P47" s="200">
        <f t="shared" si="27"/>
        <v>7.8400000000000063E-4</v>
      </c>
      <c r="Q47" s="200">
        <f t="shared" si="28"/>
        <v>2.3040000000000014E-3</v>
      </c>
      <c r="R47" s="200">
        <f t="shared" si="29"/>
        <v>151.72111898161293</v>
      </c>
      <c r="S47" s="200">
        <f t="shared" si="20"/>
        <v>0.23583366085964921</v>
      </c>
      <c r="T47" s="200">
        <f t="shared" ca="1" si="21"/>
        <v>129.94425325583936</v>
      </c>
      <c r="U47" s="200">
        <f t="shared" si="22"/>
        <v>0.23809512723711207</v>
      </c>
      <c r="V47" s="200">
        <f t="shared" ca="1" si="30"/>
        <v>0.96124768808162864</v>
      </c>
      <c r="W47" s="262">
        <f t="shared" ca="1" si="31"/>
        <v>11.403124562779068</v>
      </c>
      <c r="X47" s="200">
        <f t="shared" ca="1" si="32"/>
        <v>3.1335450077826348</v>
      </c>
    </row>
    <row r="48" spans="2:24">
      <c r="G48" s="200">
        <f t="shared" si="23"/>
        <v>120.00000000000006</v>
      </c>
      <c r="H48" s="200">
        <f t="shared" ca="1" si="33"/>
        <v>3.3565399518995935</v>
      </c>
      <c r="I48" s="200">
        <f t="shared" si="34"/>
        <v>3.0000000000000013E-2</v>
      </c>
      <c r="J48" s="200">
        <f t="shared" si="18"/>
        <v>0.12000000000000005</v>
      </c>
      <c r="K48" s="200">
        <f t="shared" si="24"/>
        <v>5.0000000000000017E-2</v>
      </c>
      <c r="L48" s="200">
        <f t="shared" si="25"/>
        <v>5.0000000000000036E-3</v>
      </c>
      <c r="M48" s="200">
        <f ca="1">IF(【事例3】危険部品判断シート!$O$36=0,2.51*0.56*(O48/K48)^0.25+0.0000000567*$F$9*(($F$10+273+O48)^2+($F$10+273)^2)*(($F$10+273+O48)+($F$10+273)),3.86*(【事例3】危険部品判断シート!$O$36/K48)^0.5+0.0000000567*$F$9*(($F$10+273+O48)^2+($F$10+273)^2)*(($F$10+273+O48)+($F$10+273)))</f>
        <v>22.37693301266394</v>
      </c>
      <c r="N48" s="200">
        <f t="shared" ca="1" si="19"/>
        <v>9.7377753370764601</v>
      </c>
      <c r="O48" s="200">
        <f t="shared" ca="1" si="26"/>
        <v>32.685231961519669</v>
      </c>
      <c r="P48" s="200">
        <f t="shared" si="27"/>
        <v>9.0000000000000073E-4</v>
      </c>
      <c r="Q48" s="200">
        <f t="shared" si="28"/>
        <v>2.5000000000000018E-3</v>
      </c>
      <c r="R48" s="200">
        <f t="shared" si="29"/>
        <v>144.69989326996745</v>
      </c>
      <c r="S48" s="200">
        <f t="shared" si="20"/>
        <v>0.21130696013024569</v>
      </c>
      <c r="T48" s="200">
        <f t="shared" ca="1" si="21"/>
        <v>125.40589962460787</v>
      </c>
      <c r="U48" s="200">
        <f t="shared" si="22"/>
        <v>0.22747003886988262</v>
      </c>
      <c r="V48" s="200">
        <f t="shared" ca="1" si="30"/>
        <v>0.89911024636270942</v>
      </c>
      <c r="W48" s="262">
        <f t="shared" ca="1" si="31"/>
        <v>10.63688558343917</v>
      </c>
      <c r="X48" s="200">
        <f t="shared" ca="1" si="32"/>
        <v>3.3565399518995935</v>
      </c>
    </row>
    <row r="49" spans="7:24">
      <c r="G49" s="200">
        <f t="shared" si="23"/>
        <v>128.00000000000006</v>
      </c>
      <c r="H49" s="200">
        <f t="shared" ca="1" si="33"/>
        <v>3.5860498713741946</v>
      </c>
      <c r="I49" s="200">
        <f t="shared" si="34"/>
        <v>3.2000000000000015E-2</v>
      </c>
      <c r="J49" s="200">
        <f t="shared" si="18"/>
        <v>0.12800000000000006</v>
      </c>
      <c r="K49" s="200">
        <f t="shared" si="24"/>
        <v>5.2000000000000018E-2</v>
      </c>
      <c r="L49" s="200">
        <f t="shared" si="25"/>
        <v>5.4080000000000039E-3</v>
      </c>
      <c r="M49" s="200">
        <f ca="1">IF(【事例3】危険部品判断シート!$O$36=0,2.51*0.56*(O49/K49)^0.25+0.0000000567*$F$9*(($F$10+273+O49)^2+($F$10+273)^2)*(($F$10+273+O49)+($F$10+273)),3.86*(【事例3】危険部品判断シート!$O$36/K49)^0.5+0.0000000567*$F$9*(($F$10+273+O49)^2+($F$10+273)^2)*(($F$10+273+O49)+($F$10+273)))</f>
        <v>22.103364591803452</v>
      </c>
      <c r="N49" s="200">
        <f t="shared" ca="1" si="19"/>
        <v>9.1053958874542449</v>
      </c>
      <c r="O49" s="200">
        <f t="shared" ca="1" si="26"/>
        <v>32.652403751016415</v>
      </c>
      <c r="P49" s="200">
        <f t="shared" si="27"/>
        <v>1.024000000000001E-3</v>
      </c>
      <c r="Q49" s="200">
        <f t="shared" si="28"/>
        <v>2.704000000000002E-3</v>
      </c>
      <c r="R49" s="200">
        <f t="shared" si="29"/>
        <v>138.33323070830204</v>
      </c>
      <c r="S49" s="200">
        <f t="shared" si="20"/>
        <v>0.19048103377125508</v>
      </c>
      <c r="T49" s="200">
        <f t="shared" ca="1" si="21"/>
        <v>121.25008116399411</v>
      </c>
      <c r="U49" s="200">
        <f t="shared" si="22"/>
        <v>0.21778836413070807</v>
      </c>
      <c r="V49" s="200">
        <f t="shared" ca="1" si="30"/>
        <v>0.8442166682375325</v>
      </c>
      <c r="W49" s="262">
        <f t="shared" ca="1" si="31"/>
        <v>9.9496125556917772</v>
      </c>
      <c r="X49" s="200">
        <f t="shared" ca="1" si="32"/>
        <v>3.5860498713741946</v>
      </c>
    </row>
    <row r="50" spans="7:24">
      <c r="G50" s="200">
        <f t="shared" si="23"/>
        <v>136.00000000000006</v>
      </c>
      <c r="H50" s="200">
        <f t="shared" ca="1" si="33"/>
        <v>3.82202550161715</v>
      </c>
      <c r="I50" s="200">
        <f t="shared" si="34"/>
        <v>3.4000000000000016E-2</v>
      </c>
      <c r="J50" s="200">
        <f t="shared" si="18"/>
        <v>0.13600000000000007</v>
      </c>
      <c r="K50" s="200">
        <f t="shared" si="24"/>
        <v>5.400000000000002E-2</v>
      </c>
      <c r="L50" s="200">
        <f t="shared" si="25"/>
        <v>5.8320000000000047E-3</v>
      </c>
      <c r="M50" s="200">
        <f ca="1">IF(【事例3】危険部品判断シート!$O$36=0,2.51*0.56*(O50/K50)^0.25+0.0000000567*$F$9*(($F$10+273+O50)^2+($F$10+273)^2)*(($F$10+273+O50)+($F$10+273)),3.86*(【事例3】危険部品判断シート!$O$36/K50)^0.5+0.0000000567*$F$9*(($F$10+273+O50)^2+($F$10+273)^2)*(($F$10+273+O50)+($F$10+273)))</f>
        <v>21.84513889813184</v>
      </c>
      <c r="N50" s="200">
        <f t="shared" ca="1" si="19"/>
        <v>8.5351122471509573</v>
      </c>
      <c r="O50" s="200">
        <f t="shared" ca="1" si="26"/>
        <v>32.621416667775819</v>
      </c>
      <c r="P50" s="200">
        <f t="shared" si="27"/>
        <v>1.1560000000000012E-3</v>
      </c>
      <c r="Q50" s="200">
        <f t="shared" si="28"/>
        <v>2.9160000000000024E-3</v>
      </c>
      <c r="R50" s="200">
        <f t="shared" si="29"/>
        <v>132.52894983239543</v>
      </c>
      <c r="S50" s="200">
        <f t="shared" si="20"/>
        <v>0.172636405335168</v>
      </c>
      <c r="T50" s="200">
        <f t="shared" ca="1" si="21"/>
        <v>117.42417327519927</v>
      </c>
      <c r="U50" s="200">
        <f t="shared" si="22"/>
        <v>0.20892433317177841</v>
      </c>
      <c r="V50" s="200">
        <f t="shared" ca="1" si="30"/>
        <v>0.7953605279129482</v>
      </c>
      <c r="W50" s="262">
        <f t="shared" ca="1" si="31"/>
        <v>9.3304727750639049</v>
      </c>
      <c r="X50" s="200">
        <f t="shared" ca="1" si="32"/>
        <v>3.82202550161715</v>
      </c>
    </row>
    <row r="51" spans="7:24">
      <c r="G51" s="200">
        <f t="shared" si="23"/>
        <v>144.00000000000009</v>
      </c>
      <c r="H51" s="200">
        <f t="shared" ca="1" si="33"/>
        <v>4.064420342612534</v>
      </c>
      <c r="I51" s="200">
        <f t="shared" si="34"/>
        <v>3.6000000000000018E-2</v>
      </c>
      <c r="J51" s="200">
        <f t="shared" si="18"/>
        <v>0.14400000000000007</v>
      </c>
      <c r="K51" s="200">
        <f t="shared" si="24"/>
        <v>5.6000000000000022E-2</v>
      </c>
      <c r="L51" s="200">
        <f t="shared" si="25"/>
        <v>6.272000000000005E-3</v>
      </c>
      <c r="M51" s="200">
        <f ca="1">IF(【事例3】危険部品判断シート!$O$36=0,2.51*0.56*(O51/K51)^0.25+0.0000000567*$F$9*(($F$10+273+O51)^2+($F$10+273)^2)*(($F$10+273+O51)+($F$10+273)),3.86*(【事例3】危険部品判断シート!$O$36/K51)^0.5+0.0000000567*$F$9*(($F$10+273+O51)^2+($F$10+273)^2)*(($F$10+273+O51)+($F$10+273)))</f>
        <v>21.600873419496871</v>
      </c>
      <c r="N51" s="200">
        <f t="shared" ca="1" si="19"/>
        <v>8.0188814303074807</v>
      </c>
      <c r="O51" s="200">
        <f t="shared" ca="1" si="26"/>
        <v>32.59210481033962</v>
      </c>
      <c r="P51" s="200">
        <f t="shared" si="27"/>
        <v>1.2960000000000014E-3</v>
      </c>
      <c r="Q51" s="200">
        <f t="shared" si="28"/>
        <v>3.1360000000000025E-3</v>
      </c>
      <c r="R51" s="200">
        <f t="shared" si="29"/>
        <v>127.21220629262967</v>
      </c>
      <c r="S51" s="200">
        <f t="shared" si="20"/>
        <v>0.15722244057309942</v>
      </c>
      <c r="T51" s="200">
        <f t="shared" ca="1" si="21"/>
        <v>113.88555136363087</v>
      </c>
      <c r="U51" s="200">
        <f t="shared" si="22"/>
        <v>0.20077457179325225</v>
      </c>
      <c r="V51" s="200">
        <f t="shared" ca="1" si="30"/>
        <v>0.75158969118232233</v>
      </c>
      <c r="W51" s="262">
        <f t="shared" ca="1" si="31"/>
        <v>8.7704711214898037</v>
      </c>
      <c r="X51" s="200">
        <f t="shared" ca="1" si="32"/>
        <v>4.064420342612534</v>
      </c>
    </row>
    <row r="52" spans="7:24">
      <c r="G52" s="200">
        <f t="shared" si="23"/>
        <v>152.00000000000009</v>
      </c>
      <c r="H52" s="200">
        <f t="shared" ca="1" si="33"/>
        <v>4.3131904096094047</v>
      </c>
      <c r="I52" s="200">
        <f t="shared" si="34"/>
        <v>3.800000000000002E-2</v>
      </c>
      <c r="J52" s="200">
        <f t="shared" si="18"/>
        <v>0.15200000000000008</v>
      </c>
      <c r="K52" s="200">
        <f t="shared" si="24"/>
        <v>5.8000000000000024E-2</v>
      </c>
      <c r="L52" s="200">
        <f t="shared" si="25"/>
        <v>6.7280000000000057E-3</v>
      </c>
      <c r="M52" s="200">
        <f ca="1">IF(【事例3】危険部品判断シート!$O$36=0,2.51*0.56*(O52/K52)^0.25+0.0000000567*$F$9*(($F$10+273+O52)^2+($F$10+273)^2)*(($F$10+273+O52)+($F$10+273)),3.86*(【事例3】危険部品判断シート!$O$36/K52)^0.5+0.0000000567*$F$9*(($F$10+273+O52)^2+($F$10+273)^2)*(($F$10+273+O52)+($F$10+273)))</f>
        <v>21.369353991326804</v>
      </c>
      <c r="N52" s="200">
        <f t="shared" ca="1" si="19"/>
        <v>7.5499385342248733</v>
      </c>
      <c r="O52" s="200">
        <f t="shared" ca="1" si="26"/>
        <v>32.564322478959213</v>
      </c>
      <c r="P52" s="200">
        <f t="shared" si="27"/>
        <v>1.4440000000000015E-3</v>
      </c>
      <c r="Q52" s="200">
        <f t="shared" si="28"/>
        <v>3.3640000000000028E-3</v>
      </c>
      <c r="R52" s="200">
        <f t="shared" si="29"/>
        <v>122.32144459147224</v>
      </c>
      <c r="S52" s="200">
        <f t="shared" si="20"/>
        <v>0.14381145199426879</v>
      </c>
      <c r="T52" s="200">
        <f t="shared" ca="1" si="21"/>
        <v>110.59920428582427</v>
      </c>
      <c r="U52" s="200">
        <f t="shared" si="22"/>
        <v>0.19325312753656981</v>
      </c>
      <c r="V52" s="200">
        <f t="shared" ca="1" si="30"/>
        <v>0.71214262198037814</v>
      </c>
      <c r="W52" s="262">
        <f t="shared" ca="1" si="31"/>
        <v>8.2620811562052516</v>
      </c>
      <c r="X52" s="200">
        <f t="shared" ca="1" si="32"/>
        <v>4.3131904096094056</v>
      </c>
    </row>
    <row r="53" spans="7:24">
      <c r="G53" s="200">
        <f t="shared" si="23"/>
        <v>160.00000000000009</v>
      </c>
      <c r="H53" s="200">
        <f t="shared" ca="1" si="33"/>
        <v>4.5682940142008128</v>
      </c>
      <c r="I53" s="200">
        <f t="shared" si="34"/>
        <v>4.0000000000000022E-2</v>
      </c>
      <c r="J53" s="200">
        <f t="shared" si="18"/>
        <v>0.16000000000000009</v>
      </c>
      <c r="K53" s="200">
        <f t="shared" si="24"/>
        <v>6.0000000000000026E-2</v>
      </c>
      <c r="L53" s="200">
        <f t="shared" si="25"/>
        <v>7.2000000000000059E-3</v>
      </c>
      <c r="M53" s="200">
        <f ca="1">IF(【事例3】危険部品判断シート!$O$36=0,2.51*0.56*(O53/K53)^0.25+0.0000000567*$F$9*(($F$10+273+O53)^2+($F$10+273)^2)*(($F$10+273+O53)+($F$10+273)),3.86*(【事例3】危険部品判断シート!$O$36/K53)^0.5+0.0000000567*$F$9*(($F$10+273+O53)^2+($F$10+273)^2)*(($F$10+273+O53)+($F$10+273)))</f>
        <v>21.149509325003745</v>
      </c>
      <c r="N53" s="200">
        <f t="shared" ca="1" si="19"/>
        <v>7.1225584469507286</v>
      </c>
      <c r="O53" s="200">
        <f t="shared" ca="1" si="26"/>
        <v>32.53794111900045</v>
      </c>
      <c r="P53" s="200">
        <f t="shared" si="27"/>
        <v>1.6000000000000018E-3</v>
      </c>
      <c r="Q53" s="200">
        <f t="shared" si="28"/>
        <v>3.6000000000000029E-3</v>
      </c>
      <c r="R53" s="200">
        <f t="shared" si="29"/>
        <v>117.80546661386175</v>
      </c>
      <c r="S53" s="200">
        <f t="shared" si="20"/>
        <v>0.13206685008140354</v>
      </c>
      <c r="T53" s="200">
        <f t="shared" ca="1" si="21"/>
        <v>107.53602134133673</v>
      </c>
      <c r="U53" s="200">
        <f t="shared" si="22"/>
        <v>0.18628780939122261</v>
      </c>
      <c r="V53" s="200">
        <f t="shared" ca="1" si="30"/>
        <v>0.67640293339059765</v>
      </c>
      <c r="W53" s="262">
        <f t="shared" ca="1" si="31"/>
        <v>7.7989613803413267</v>
      </c>
      <c r="X53" s="200">
        <f t="shared" ca="1" si="32"/>
        <v>4.5682940142008128</v>
      </c>
    </row>
    <row r="54" spans="7:24">
      <c r="G54" s="200">
        <f t="shared" si="23"/>
        <v>168.00000000000009</v>
      </c>
      <c r="H54" s="200">
        <f t="shared" ca="1" si="33"/>
        <v>4.8296915711873245</v>
      </c>
      <c r="I54" s="200">
        <f t="shared" si="34"/>
        <v>4.2000000000000023E-2</v>
      </c>
      <c r="J54" s="200">
        <f t="shared" si="18"/>
        <v>0.16800000000000009</v>
      </c>
      <c r="K54" s="200">
        <f t="shared" si="24"/>
        <v>6.2000000000000027E-2</v>
      </c>
      <c r="L54" s="200">
        <f t="shared" si="25"/>
        <v>7.6880000000000065E-3</v>
      </c>
      <c r="M54" s="200">
        <f ca="1">IF(【事例3】危険部品判断シート!$O$36=0,2.51*0.56*(O54/K54)^0.25+0.0000000567*$F$9*(($F$10+273+O54)^2+($F$10+273)^2)*(($F$10+273+O54)+($F$10+273)),3.86*(【事例3】危険部品判断シート!$O$36/K54)^0.5+0.0000000567*$F$9*(($F$10+273+O54)^2+($F$10+273)^2)*(($F$10+273+O54)+($F$10+273)))</f>
        <v>20.940390093597468</v>
      </c>
      <c r="N54" s="200">
        <f t="shared" ca="1" si="19"/>
        <v>6.731868139405595</v>
      </c>
      <c r="O54" s="200">
        <f t="shared" ca="1" si="26"/>
        <v>32.512846811231697</v>
      </c>
      <c r="P54" s="200">
        <f t="shared" si="27"/>
        <v>1.7640000000000019E-3</v>
      </c>
      <c r="Q54" s="200">
        <f t="shared" si="28"/>
        <v>3.8440000000000032E-3</v>
      </c>
      <c r="R54" s="200">
        <f t="shared" si="29"/>
        <v>113.62126569390615</v>
      </c>
      <c r="S54" s="200">
        <f t="shared" si="20"/>
        <v>0.12172059915336729</v>
      </c>
      <c r="T54" s="200">
        <f t="shared" ca="1" si="21"/>
        <v>104.67153676533802</v>
      </c>
      <c r="U54" s="200">
        <f t="shared" si="22"/>
        <v>0.17981744300926975</v>
      </c>
      <c r="V54" s="200">
        <f t="shared" ca="1" si="30"/>
        <v>0.64386635913763546</v>
      </c>
      <c r="W54" s="262">
        <f t="shared" ca="1" si="31"/>
        <v>7.3757344985432303</v>
      </c>
      <c r="X54" s="200">
        <f t="shared" ca="1" si="32"/>
        <v>4.8296915711873245</v>
      </c>
    </row>
    <row r="55" spans="7:24">
      <c r="G55" s="200">
        <f t="shared" si="23"/>
        <v>176.00000000000011</v>
      </c>
      <c r="H55" s="200">
        <f t="shared" ca="1" si="33"/>
        <v>5.0973454274467551</v>
      </c>
      <c r="I55" s="200">
        <f t="shared" si="34"/>
        <v>4.4000000000000025E-2</v>
      </c>
      <c r="J55" s="200">
        <f t="shared" si="18"/>
        <v>0.1760000000000001</v>
      </c>
      <c r="K55" s="200">
        <f t="shared" si="24"/>
        <v>6.4000000000000029E-2</v>
      </c>
      <c r="L55" s="200">
        <f t="shared" si="25"/>
        <v>8.1920000000000083E-3</v>
      </c>
      <c r="M55" s="200">
        <f ca="1">IF(【事例3】危険部品判断シート!$O$36=0,2.51*0.56*(O55/K55)^0.25+0.0000000567*$F$9*(($F$10+273+O55)^2+($F$10+273)^2)*(($F$10+273+O55)+($F$10+273)),3.86*(【事例3】危険部品判断シート!$O$36/K55)^0.5+0.0000000567*$F$9*(($F$10+273+O55)^2+($F$10+273)^2)*(($F$10+273+O55)+($F$10+273)))</f>
        <v>20.741151641629028</v>
      </c>
      <c r="N55" s="200">
        <f t="shared" ca="1" si="19"/>
        <v>6.3736975764008781</v>
      </c>
      <c r="O55" s="200">
        <f t="shared" ca="1" si="26"/>
        <v>32.488938196995484</v>
      </c>
      <c r="P55" s="200">
        <f t="shared" si="27"/>
        <v>1.9360000000000022E-3</v>
      </c>
      <c r="Q55" s="200">
        <f t="shared" si="28"/>
        <v>4.0960000000000042E-3</v>
      </c>
      <c r="R55" s="200">
        <f t="shared" si="29"/>
        <v>109.73239767776813</v>
      </c>
      <c r="S55" s="200">
        <f t="shared" si="20"/>
        <v>0.11255697450119617</v>
      </c>
      <c r="T55" s="200">
        <f t="shared" ca="1" si="21"/>
        <v>101.98499233742675</v>
      </c>
      <c r="U55" s="200">
        <f t="shared" si="22"/>
        <v>0.17378977806974827</v>
      </c>
      <c r="V55" s="200">
        <f t="shared" ca="1" si="30"/>
        <v>0.61411635548564802</v>
      </c>
      <c r="W55" s="262">
        <f t="shared" ca="1" si="31"/>
        <v>6.9878139318865262</v>
      </c>
      <c r="X55" s="200">
        <f t="shared" ca="1" si="32"/>
        <v>5.0973454274467551</v>
      </c>
    </row>
    <row r="56" spans="7:24">
      <c r="G56" s="200">
        <f t="shared" si="23"/>
        <v>184.00000000000011</v>
      </c>
      <c r="H56" s="200">
        <f t="shared" ca="1" si="33"/>
        <v>5.3712197096872778</v>
      </c>
      <c r="I56" s="200">
        <f t="shared" si="34"/>
        <v>4.6000000000000027E-2</v>
      </c>
      <c r="J56" s="200">
        <f t="shared" si="18"/>
        <v>0.18400000000000011</v>
      </c>
      <c r="K56" s="200">
        <f t="shared" si="24"/>
        <v>6.6000000000000031E-2</v>
      </c>
      <c r="L56" s="200">
        <f t="shared" si="25"/>
        <v>8.7120000000000079E-3</v>
      </c>
      <c r="M56" s="200">
        <f ca="1">IF(【事例3】危険部品判断シート!$O$36=0,2.51*0.56*(O56/K56)^0.25+0.0000000567*$F$9*(($F$10+273+O56)^2+($F$10+273)^2)*(($F$10+273+O56)+($F$10+273)),3.86*(【事例3】危険部品判断シート!$O$36/K56)^0.5+0.0000000567*$F$9*(($F$10+273+O56)^2+($F$10+273)^2)*(($F$10+273+O56)+($F$10+273)))</f>
        <v>20.551039599354429</v>
      </c>
      <c r="N56" s="200">
        <f t="shared" ca="1" si="19"/>
        <v>6.0444603845506748</v>
      </c>
      <c r="O56" s="200">
        <f t="shared" ca="1" si="26"/>
        <v>32.466124751922528</v>
      </c>
      <c r="P56" s="200">
        <f t="shared" si="27"/>
        <v>2.1160000000000024E-3</v>
      </c>
      <c r="Q56" s="200">
        <f t="shared" si="28"/>
        <v>4.356000000000004E-3</v>
      </c>
      <c r="R56" s="200">
        <f t="shared" si="29"/>
        <v>106.1077364473842</v>
      </c>
      <c r="S56" s="200">
        <f t="shared" si="20"/>
        <v>0.10440067200110949</v>
      </c>
      <c r="T56" s="200">
        <f t="shared" ca="1" si="21"/>
        <v>99.45862585593207</v>
      </c>
      <c r="U56" s="200">
        <f t="shared" si="22"/>
        <v>0.16815986928356499</v>
      </c>
      <c r="V56" s="200">
        <f t="shared" ca="1" si="30"/>
        <v>0.58680581095553175</v>
      </c>
      <c r="W56" s="262">
        <f t="shared" ca="1" si="31"/>
        <v>6.6312661955062069</v>
      </c>
      <c r="X56" s="200">
        <f t="shared" ca="1" si="32"/>
        <v>5.3712197096872778</v>
      </c>
    </row>
    <row r="57" spans="7:24">
      <c r="G57" s="200">
        <f t="shared" si="23"/>
        <v>192.00000000000011</v>
      </c>
      <c r="H57" s="200">
        <f t="shared" ca="1" si="33"/>
        <v>5.6512801884862833</v>
      </c>
      <c r="I57" s="200">
        <f t="shared" si="34"/>
        <v>4.8000000000000029E-2</v>
      </c>
      <c r="J57" s="200">
        <f t="shared" si="18"/>
        <v>0.19200000000000012</v>
      </c>
      <c r="K57" s="200">
        <f t="shared" si="24"/>
        <v>6.8000000000000033E-2</v>
      </c>
      <c r="L57" s="200">
        <f t="shared" si="25"/>
        <v>9.2480000000000097E-3</v>
      </c>
      <c r="M57" s="200">
        <f ca="1">IF(【事例3】危険部品判断シート!$O$36=0,2.51*0.56*(O57/K57)^0.25+0.0000000567*$F$9*(($F$10+273+O57)^2+($F$10+273)^2)*(($F$10+273+O57)+($F$10+273)),3.86*(【事例3】危険部品判断シート!$O$36/K57)^0.5+0.0000000567*$F$9*(($F$10+273+O57)^2+($F$10+273)^2)*(($F$10+273+O57)+($F$10+273)))</f>
        <v>20.369377842006479</v>
      </c>
      <c r="N57" s="200">
        <f t="shared" ca="1" si="19"/>
        <v>5.7410576469278034</v>
      </c>
      <c r="O57" s="200">
        <f t="shared" ca="1" si="26"/>
        <v>32.444325341040773</v>
      </c>
      <c r="P57" s="200">
        <f t="shared" si="27"/>
        <v>2.3040000000000027E-3</v>
      </c>
      <c r="Q57" s="200">
        <f t="shared" si="28"/>
        <v>4.6240000000000048E-3</v>
      </c>
      <c r="R57" s="200">
        <f t="shared" si="29"/>
        <v>102.72050975732901</v>
      </c>
      <c r="S57" s="200">
        <f t="shared" si="20"/>
        <v>9.7107978001031992E-2</v>
      </c>
      <c r="T57" s="200">
        <f t="shared" ca="1" si="21"/>
        <v>97.077123010059324</v>
      </c>
      <c r="U57" s="200">
        <f t="shared" si="22"/>
        <v>0.16288880738207773</v>
      </c>
      <c r="V57" s="200">
        <f t="shared" ca="1" si="30"/>
        <v>0.56164315066237269</v>
      </c>
      <c r="W57" s="262">
        <f t="shared" ca="1" si="31"/>
        <v>6.3027007975901759</v>
      </c>
      <c r="X57" s="200">
        <f t="shared" ca="1" si="32"/>
        <v>5.6512801884862833</v>
      </c>
    </row>
    <row r="58" spans="7:24">
      <c r="G58" s="200">
        <f t="shared" si="23"/>
        <v>200.00000000000011</v>
      </c>
      <c r="H58" s="200">
        <f t="shared" ca="1" si="33"/>
        <v>5.9374941564411579</v>
      </c>
      <c r="I58" s="200">
        <f t="shared" si="34"/>
        <v>5.0000000000000031E-2</v>
      </c>
      <c r="J58" s="200">
        <f t="shared" si="18"/>
        <v>0.20000000000000012</v>
      </c>
      <c r="K58" s="200">
        <f t="shared" si="24"/>
        <v>7.0000000000000034E-2</v>
      </c>
      <c r="L58" s="200">
        <f t="shared" si="25"/>
        <v>9.8000000000000101E-3</v>
      </c>
      <c r="M58" s="200">
        <f ca="1">IF(【事例3】危険部品判断シート!$O$36=0,2.51*0.56*(O58/K58)^0.25+0.0000000567*$F$9*(($F$10+273+O58)^2+($F$10+273)^2)*(($F$10+273+O58)+($F$10+273)),3.86*(【事例3】危険部品判断シート!$O$36/K58)^0.5+0.0000000567*$F$9*(($F$10+273+O58)^2+($F$10+273)^2)*(($F$10+273+O58)+($F$10+273)))</f>
        <v>20.195558355242021</v>
      </c>
      <c r="N58" s="200">
        <f t="shared" ca="1" si="19"/>
        <v>5.4607998169488985</v>
      </c>
      <c r="O58" s="200">
        <f t="shared" ca="1" si="26"/>
        <v>32.423467002629032</v>
      </c>
      <c r="P58" s="200">
        <f t="shared" si="27"/>
        <v>2.5000000000000031E-3</v>
      </c>
      <c r="Q58" s="200">
        <f t="shared" si="28"/>
        <v>4.900000000000005E-3</v>
      </c>
      <c r="R58" s="200">
        <f t="shared" si="29"/>
        <v>99.547542811881499</v>
      </c>
      <c r="S58" s="200">
        <f t="shared" si="20"/>
        <v>9.0560125770105263E-2</v>
      </c>
      <c r="T58" s="200">
        <f t="shared" ca="1" si="21"/>
        <v>94.827189469849941</v>
      </c>
      <c r="U58" s="200">
        <f t="shared" si="22"/>
        <v>0.15794271274300262</v>
      </c>
      <c r="V58" s="200">
        <f t="shared" ca="1" si="30"/>
        <v>0.53838165037606711</v>
      </c>
      <c r="W58" s="262">
        <f t="shared" ca="1" si="31"/>
        <v>5.9991814673249655</v>
      </c>
      <c r="X58" s="200">
        <f t="shared" ca="1" si="32"/>
        <v>5.9374941564411605</v>
      </c>
    </row>
    <row r="60" spans="7:24">
      <c r="K60" s="200" t="s">
        <v>275</v>
      </c>
      <c r="L60" s="265">
        <f>L32+E33</f>
        <v>15</v>
      </c>
    </row>
    <row r="61" spans="7:24">
      <c r="H61" s="200" t="s">
        <v>203</v>
      </c>
      <c r="I61" s="200" t="s">
        <v>277</v>
      </c>
      <c r="J61" s="200" t="s">
        <v>253</v>
      </c>
      <c r="K61" s="200" t="s">
        <v>278</v>
      </c>
      <c r="L61" s="200" t="s">
        <v>279</v>
      </c>
      <c r="M61" s="200" t="s">
        <v>280</v>
      </c>
      <c r="N61" s="200" t="s">
        <v>281</v>
      </c>
      <c r="O61" s="200" t="s">
        <v>282</v>
      </c>
      <c r="P61" s="200" t="s">
        <v>283</v>
      </c>
      <c r="Q61" s="200" t="s">
        <v>284</v>
      </c>
      <c r="R61" s="200" t="s">
        <v>285</v>
      </c>
      <c r="S61" s="200" t="s">
        <v>286</v>
      </c>
      <c r="T61" s="200" t="s">
        <v>287</v>
      </c>
      <c r="U61" s="200" t="s">
        <v>288</v>
      </c>
      <c r="V61" s="200" t="s">
        <v>289</v>
      </c>
      <c r="W61" s="200" t="s">
        <v>290</v>
      </c>
      <c r="X61" s="200" t="s">
        <v>291</v>
      </c>
    </row>
    <row r="62" spans="7:24">
      <c r="G62" s="200">
        <f>J62*1000</f>
        <v>8</v>
      </c>
      <c r="H62" s="200">
        <f ca="1">X62</f>
        <v>1.591222582907365</v>
      </c>
      <c r="I62" s="200">
        <v>2E-3</v>
      </c>
      <c r="J62" s="200">
        <f t="shared" ref="J62:J86" si="35">I62*4</f>
        <v>8.0000000000000002E-3</v>
      </c>
      <c r="K62" s="200">
        <f>I62+$L$60/1000*2</f>
        <v>3.2000000000000001E-2</v>
      </c>
      <c r="L62" s="200">
        <f>K62^2*2</f>
        <v>2.0479999999999999E-3</v>
      </c>
      <c r="M62" s="200">
        <f ca="1">IF(【事例3】危険部品判断シート!$O$36=0,2.51*0.56*(O62/K62)^0.25+0.0000000567*$F$9*(($F$10+273+O62)^2+($F$10+273)^2)*(($F$10+273+O62)+($F$10+273)),3.86*(【事例3】危険部品判断シート!$O$36/K62)^0.5+0.0000000567*$F$9*(($F$10+273+O62)^2+($F$10+273)^2)*(($F$10+273+O62)+($F$10+273)))</f>
        <v>25.898805060341225</v>
      </c>
      <c r="N62" s="200">
        <f t="shared" ref="N62:N86" ca="1" si="36">1/L62/M62+$F$8/$M$3/L62</f>
        <v>20.806552749363767</v>
      </c>
      <c r="O62" s="200">
        <f t="shared" ref="O62:O86" ca="1" si="37">H62*N62</f>
        <v>33.107856607240947</v>
      </c>
      <c r="P62" s="200">
        <f>I62^2</f>
        <v>3.9999999999999998E-6</v>
      </c>
      <c r="Q62" s="200">
        <f>K62^2</f>
        <v>1.024E-3</v>
      </c>
      <c r="R62" s="200">
        <f>(PI()^1.5)/((Q62)^0.5)+1/(P62)^0.5</f>
        <v>674.01024990099086</v>
      </c>
      <c r="S62" s="200">
        <f t="shared" ref="S62:S86" si="38">$F$6*(Q62^0.5-P62^0.5)/($L$3*(PI()*Q62*P62)^0.5)</f>
        <v>7.4287603170789538</v>
      </c>
      <c r="T62" s="200">
        <f t="shared" ref="T62:T86" ca="1" si="39">R62*$L$3*Q62*N62/$F$6</f>
        <v>511.23030172374513</v>
      </c>
      <c r="U62" s="200">
        <f t="shared" ref="U62:U86" si="40">TANH(R62*$F$8/$F$6)</f>
        <v>0.79261110432189874</v>
      </c>
      <c r="V62" s="200">
        <f ca="1">S62*(T62+U62)/(1+T62*U62)</f>
        <v>9.3639381838120759</v>
      </c>
      <c r="W62" s="262">
        <f ca="1">N62+V62</f>
        <v>30.170490933175842</v>
      </c>
      <c r="X62" s="200">
        <f ca="1">L62*M62*$Q$3</f>
        <v>1.591222582907365</v>
      </c>
    </row>
    <row r="63" spans="7:24">
      <c r="G63" s="200">
        <f t="shared" ref="G63:G86" si="41">J63*1000</f>
        <v>16</v>
      </c>
      <c r="H63" s="200">
        <f ca="1">X63</f>
        <v>1.7598734959876641</v>
      </c>
      <c r="I63" s="200">
        <f>I62+0.002</f>
        <v>4.0000000000000001E-3</v>
      </c>
      <c r="J63" s="200">
        <f t="shared" si="35"/>
        <v>1.6E-2</v>
      </c>
      <c r="K63" s="200">
        <f t="shared" ref="K63:K86" si="42">I63+$L$60/1000*2</f>
        <v>3.4000000000000002E-2</v>
      </c>
      <c r="L63" s="200">
        <f t="shared" ref="L63:L86" si="43">K63^2*2</f>
        <v>2.3120000000000003E-3</v>
      </c>
      <c r="M63" s="200">
        <f ca="1">IF(【事例3】危険部品判断シート!$O$36=0,2.51*0.56*(O63/K63)^0.25+0.0000000567*$F$9*(($F$10+273+O63)^2+($F$10+273)^2)*(($F$10+273+O63)+($F$10+273)),3.86*(【事例3】危険部品判断シート!$O$36/K63)^0.5+0.0000000567*$F$9*(($F$10+273+O63)^2+($F$10+273)^2)*(($F$10+273+O63)+($F$10+273)))</f>
        <v>25.373031949072431</v>
      </c>
      <c r="N63" s="200">
        <f t="shared" ca="1" si="36"/>
        <v>18.776783620656516</v>
      </c>
      <c r="O63" s="200">
        <f t="shared" ca="1" si="37"/>
        <v>33.044763833888695</v>
      </c>
      <c r="P63" s="200">
        <f t="shared" ref="P63:P86" si="44">I63^2</f>
        <v>1.5999999999999999E-5</v>
      </c>
      <c r="Q63" s="200">
        <f t="shared" ref="Q63:Q86" si="45">K63^2</f>
        <v>1.1560000000000001E-3</v>
      </c>
      <c r="R63" s="200">
        <f t="shared" ref="R63:R86" si="46">(PI()^1.5)/((Q63)^0.5)+1/(P63)^0.5</f>
        <v>413.77435284799139</v>
      </c>
      <c r="S63" s="200">
        <f t="shared" si="38"/>
        <v>3.4958872080371548</v>
      </c>
      <c r="T63" s="200">
        <f t="shared" ca="1" si="39"/>
        <v>319.73678352840943</v>
      </c>
      <c r="U63" s="200">
        <f t="shared" si="40"/>
        <v>0.57971873515809735</v>
      </c>
      <c r="V63" s="200">
        <f t="shared" ref="V63:V86" ca="1" si="47">S63*(T63+U63)/(1+T63*U63)</f>
        <v>6.0088321707096863</v>
      </c>
      <c r="W63" s="262">
        <f t="shared" ref="W63:W86" ca="1" si="48">N63+V63</f>
        <v>24.785615791366205</v>
      </c>
      <c r="X63" s="200">
        <f t="shared" ref="X63:X86" ca="1" si="49">L63*M63*$Q$3</f>
        <v>1.7598734959876641</v>
      </c>
    </row>
    <row r="64" spans="7:24">
      <c r="G64" s="200">
        <f t="shared" si="41"/>
        <v>24</v>
      </c>
      <c r="H64" s="200">
        <f t="shared" ref="H64:H86" ca="1" si="50">X64</f>
        <v>1.9355790767380738</v>
      </c>
      <c r="I64" s="200">
        <f t="shared" ref="I64:I86" si="51">I63+0.002</f>
        <v>6.0000000000000001E-3</v>
      </c>
      <c r="J64" s="200">
        <f t="shared" si="35"/>
        <v>2.4E-2</v>
      </c>
      <c r="K64" s="200">
        <f t="shared" si="42"/>
        <v>3.5999999999999997E-2</v>
      </c>
      <c r="L64" s="200">
        <f t="shared" si="43"/>
        <v>2.5919999999999997E-3</v>
      </c>
      <c r="M64" s="200">
        <f ca="1">IF(【事例3】危険部品判断シート!$O$36=0,2.51*0.56*(O64/K64)^0.25+0.0000000567*$F$9*(($F$10+273+O64)^2+($F$10+273)^2)*(($F$10+273+O64)+($F$10+273)),3.86*(【事例3】危険部品判断シート!$O$36/K64)^0.5+0.0000000567*$F$9*(($F$10+273+O64)^2+($F$10+273)^2)*(($F$10+273+O64)+($F$10+273)))</f>
        <v>24.891706233771529</v>
      </c>
      <c r="N64" s="200">
        <f t="shared" ca="1" si="36"/>
        <v>17.042447474501422</v>
      </c>
      <c r="O64" s="200">
        <f t="shared" ca="1" si="37"/>
        <v>32.987004748052584</v>
      </c>
      <c r="P64" s="200">
        <f t="shared" si="44"/>
        <v>3.6000000000000001E-5</v>
      </c>
      <c r="Q64" s="200">
        <f t="shared" si="45"/>
        <v>1.2959999999999998E-3</v>
      </c>
      <c r="R64" s="200">
        <f t="shared" si="46"/>
        <v>321.34244435643632</v>
      </c>
      <c r="S64" s="200">
        <f t="shared" si="38"/>
        <v>2.2011141680233934</v>
      </c>
      <c r="T64" s="200">
        <f t="shared" ca="1" si="39"/>
        <v>252.67080068048111</v>
      </c>
      <c r="U64" s="200">
        <f t="shared" si="40"/>
        <v>0.4731707440047504</v>
      </c>
      <c r="V64" s="200">
        <f t="shared" ca="1" si="47"/>
        <v>4.6218918277773771</v>
      </c>
      <c r="W64" s="262">
        <f t="shared" ca="1" si="48"/>
        <v>21.664339302278798</v>
      </c>
      <c r="X64" s="200">
        <f t="shared" ca="1" si="49"/>
        <v>1.9355790767380738</v>
      </c>
    </row>
    <row r="65" spans="7:24">
      <c r="G65" s="200">
        <f t="shared" si="41"/>
        <v>32</v>
      </c>
      <c r="H65" s="200">
        <f t="shared" ca="1" si="50"/>
        <v>2.1182526008645151</v>
      </c>
      <c r="I65" s="200">
        <f t="shared" si="51"/>
        <v>8.0000000000000002E-3</v>
      </c>
      <c r="J65" s="200">
        <f t="shared" si="35"/>
        <v>3.2000000000000001E-2</v>
      </c>
      <c r="K65" s="200">
        <f t="shared" si="42"/>
        <v>3.7999999999999999E-2</v>
      </c>
      <c r="L65" s="200">
        <f t="shared" si="43"/>
        <v>2.8879999999999999E-3</v>
      </c>
      <c r="M65" s="200">
        <f ca="1">IF(【事例3】危険部品判断シート!$O$36=0,2.51*0.56*(O65/K65)^0.25+0.0000000567*$F$9*(($F$10+273+O65)^2+($F$10+273)^2)*(($F$10+273+O65)+($F$10+273)),3.86*(【事例3】危険部品判断シート!$O$36/K65)^0.5+0.0000000567*$F$9*(($F$10+273+O65)^2+($F$10+273)^2)*(($F$10+273+O65)+($F$10+273)))</f>
        <v>24.448898901945</v>
      </c>
      <c r="N65" s="200">
        <f t="shared" ca="1" si="36"/>
        <v>15.547658411840127</v>
      </c>
      <c r="O65" s="200">
        <f t="shared" ca="1" si="37"/>
        <v>32.933867868233406</v>
      </c>
      <c r="P65" s="200">
        <f t="shared" si="44"/>
        <v>6.3999999999999997E-5</v>
      </c>
      <c r="Q65" s="200">
        <f t="shared" si="45"/>
        <v>1.444E-3</v>
      </c>
      <c r="R65" s="200">
        <f t="shared" si="46"/>
        <v>271.53494728504495</v>
      </c>
      <c r="S65" s="200">
        <f t="shared" si="38"/>
        <v>1.5639495404376744</v>
      </c>
      <c r="T65" s="200">
        <f t="shared" ca="1" si="39"/>
        <v>217.02407510210207</v>
      </c>
      <c r="U65" s="200">
        <f t="shared" si="40"/>
        <v>0.4090384445860526</v>
      </c>
      <c r="V65" s="200">
        <f t="shared" ca="1" si="47"/>
        <v>3.7880128085883693</v>
      </c>
      <c r="W65" s="262">
        <f t="shared" ca="1" si="48"/>
        <v>19.335671220428495</v>
      </c>
      <c r="X65" s="200">
        <f t="shared" ca="1" si="49"/>
        <v>2.1182526008645151</v>
      </c>
    </row>
    <row r="66" spans="7:24">
      <c r="G66" s="200">
        <f t="shared" si="41"/>
        <v>40</v>
      </c>
      <c r="H66" s="200">
        <f t="shared" ca="1" si="50"/>
        <v>2.3078142927697169</v>
      </c>
      <c r="I66" s="200">
        <f t="shared" si="51"/>
        <v>0.01</v>
      </c>
      <c r="J66" s="200">
        <f t="shared" si="35"/>
        <v>0.04</v>
      </c>
      <c r="K66" s="200">
        <f t="shared" si="42"/>
        <v>0.04</v>
      </c>
      <c r="L66" s="200">
        <f t="shared" si="43"/>
        <v>3.2000000000000002E-3</v>
      </c>
      <c r="M66" s="200">
        <f ca="1">IF(【事例3】危険部品判断シート!$O$36=0,2.51*0.56*(O66/K66)^0.25+0.0000000567*$F$9*(($F$10+273+O66)^2+($F$10+273)^2)*(($F$10+273+O66)+($F$10+273)),3.86*(【事例3】危険部品判断シート!$O$36/K66)^0.5+0.0000000567*$F$9*(($F$10+273+O66)^2+($F$10+273)^2)*(($F$10+273+O66)+($F$10+273)))</f>
        <v>24.039732216351219</v>
      </c>
      <c r="N66" s="200">
        <f t="shared" ca="1" si="36"/>
        <v>14.249312853719951</v>
      </c>
      <c r="O66" s="200">
        <f t="shared" ca="1" si="37"/>
        <v>32.884767865962147</v>
      </c>
      <c r="P66" s="200">
        <f t="shared" si="44"/>
        <v>1E-4</v>
      </c>
      <c r="Q66" s="200">
        <f t="shared" si="45"/>
        <v>1.6000000000000001E-3</v>
      </c>
      <c r="R66" s="200">
        <f t="shared" si="46"/>
        <v>239.20819992079271</v>
      </c>
      <c r="S66" s="200">
        <f t="shared" si="38"/>
        <v>1.1886016507326325</v>
      </c>
      <c r="T66" s="200">
        <f t="shared" ca="1" si="39"/>
        <v>194.15114913814028</v>
      </c>
      <c r="U66" s="200">
        <f t="shared" si="40"/>
        <v>0.36507867066847427</v>
      </c>
      <c r="V66" s="200">
        <f t="shared" ca="1" si="47"/>
        <v>3.2164841842321055</v>
      </c>
      <c r="W66" s="262">
        <f t="shared" ca="1" si="48"/>
        <v>17.465797037952058</v>
      </c>
      <c r="X66" s="200">
        <f t="shared" ca="1" si="49"/>
        <v>2.3078142927697169</v>
      </c>
    </row>
    <row r="67" spans="7:24">
      <c r="G67" s="200">
        <f t="shared" si="41"/>
        <v>48</v>
      </c>
      <c r="H67" s="200">
        <f t="shared" ca="1" si="50"/>
        <v>2.5041904442048986</v>
      </c>
      <c r="I67" s="200">
        <f t="shared" si="51"/>
        <v>1.2E-2</v>
      </c>
      <c r="J67" s="200">
        <f t="shared" si="35"/>
        <v>4.8000000000000001E-2</v>
      </c>
      <c r="K67" s="200">
        <f t="shared" si="42"/>
        <v>4.1999999999999996E-2</v>
      </c>
      <c r="L67" s="200">
        <f>K67^2*2</f>
        <v>3.5279999999999995E-3</v>
      </c>
      <c r="M67" s="200">
        <f ca="1">IF(【事例3】危険部品判断シート!$O$36=0,2.51*0.56*(O67/K67)^0.25+0.0000000567*$F$9*(($F$10+273+O67)^2+($F$10+273)^2)*(($F$10+273+O67)+($F$10+273)),3.86*(【事例3】危険部品判断シート!$O$36/K67)^0.5+0.0000000567*$F$9*(($F$10+273+O67)^2+($F$10+273)^2)*(($F$10+273+O67)+($F$10+273)))</f>
        <v>23.660151589237518</v>
      </c>
      <c r="N67" s="200">
        <f t="shared" ca="1" si="36"/>
        <v>13.113706374330979</v>
      </c>
      <c r="O67" s="200">
        <f t="shared" ca="1" si="37"/>
        <v>32.839218190708507</v>
      </c>
      <c r="P67" s="200">
        <f t="shared" si="44"/>
        <v>1.44E-4</v>
      </c>
      <c r="Q67" s="200">
        <f t="shared" si="45"/>
        <v>1.7639999999999997E-3</v>
      </c>
      <c r="R67" s="200">
        <f t="shared" si="46"/>
        <v>215.91257135313595</v>
      </c>
      <c r="S67" s="200">
        <f t="shared" si="38"/>
        <v>0.94333464343859719</v>
      </c>
      <c r="T67" s="200">
        <f t="shared" ca="1" si="39"/>
        <v>177.80827290971251</v>
      </c>
      <c r="U67" s="200">
        <f t="shared" si="40"/>
        <v>0.33234320970289677</v>
      </c>
      <c r="V67" s="200">
        <f t="shared" ca="1" si="47"/>
        <v>2.796418450671887</v>
      </c>
      <c r="W67" s="262">
        <f t="shared" ca="1" si="48"/>
        <v>15.910124825002866</v>
      </c>
      <c r="X67" s="200">
        <f t="shared" ca="1" si="49"/>
        <v>2.5041904442048986</v>
      </c>
    </row>
    <row r="68" spans="7:24">
      <c r="G68" s="200">
        <f t="shared" si="41"/>
        <v>56</v>
      </c>
      <c r="H68" s="200">
        <f t="shared" ca="1" si="50"/>
        <v>2.7073126819391016</v>
      </c>
      <c r="I68" s="200">
        <f t="shared" si="51"/>
        <v>1.4E-2</v>
      </c>
      <c r="J68" s="200">
        <f t="shared" si="35"/>
        <v>5.6000000000000001E-2</v>
      </c>
      <c r="K68" s="200">
        <f t="shared" si="42"/>
        <v>4.3999999999999997E-2</v>
      </c>
      <c r="L68" s="200">
        <f t="shared" si="43"/>
        <v>3.8719999999999996E-3</v>
      </c>
      <c r="M68" s="200">
        <f ca="1">IF(【事例3】危険部品判断シート!$O$36=0,2.51*0.56*(O68/K68)^0.25+0.0000000567*$F$9*(($F$10+273+O68)^2+($F$10+273)^2)*(($F$10+273+O68)+($F$10+273)),3.86*(【事例3】危険部品判断シート!$O$36/K68)^0.5+0.0000000567*$F$9*(($F$10+273+O68)^2+($F$10+273)^2)*(($F$10+273+O68)+($F$10+273)))</f>
        <v>23.306755181982631</v>
      </c>
      <c r="N68" s="200">
        <f t="shared" ca="1" si="36"/>
        <v>12.114156905713356</v>
      </c>
      <c r="O68" s="200">
        <f t="shared" ca="1" si="37"/>
        <v>32.796810621837913</v>
      </c>
      <c r="P68" s="200">
        <f t="shared" si="44"/>
        <v>1.9600000000000002E-4</v>
      </c>
      <c r="Q68" s="200">
        <f t="shared" si="45"/>
        <v>1.9359999999999998E-3</v>
      </c>
      <c r="R68" s="200">
        <f t="shared" si="46"/>
        <v>197.98148044747393</v>
      </c>
      <c r="S68" s="200">
        <f t="shared" si="38"/>
        <v>0.77181925372248861</v>
      </c>
      <c r="T68" s="200">
        <f t="shared" ca="1" si="39"/>
        <v>165.30009868952669</v>
      </c>
      <c r="U68" s="200">
        <f t="shared" si="40"/>
        <v>0.30658375914367086</v>
      </c>
      <c r="V68" s="200">
        <f t="shared" ca="1" si="47"/>
        <v>2.4733468909546148</v>
      </c>
      <c r="W68" s="262">
        <f t="shared" ca="1" si="48"/>
        <v>14.587503796667971</v>
      </c>
      <c r="X68" s="200">
        <f t="shared" ca="1" si="49"/>
        <v>2.707312681939102</v>
      </c>
    </row>
    <row r="69" spans="7:24">
      <c r="G69" s="200">
        <f t="shared" si="41"/>
        <v>64</v>
      </c>
      <c r="H69" s="200">
        <f t="shared" ca="1" si="50"/>
        <v>2.9171173535307551</v>
      </c>
      <c r="I69" s="200">
        <f t="shared" si="51"/>
        <v>1.6E-2</v>
      </c>
      <c r="J69" s="200">
        <f t="shared" si="35"/>
        <v>6.4000000000000001E-2</v>
      </c>
      <c r="K69" s="200">
        <f t="shared" si="42"/>
        <v>4.5999999999999999E-2</v>
      </c>
      <c r="L69" s="200">
        <f t="shared" si="43"/>
        <v>4.2319999999999997E-3</v>
      </c>
      <c r="M69" s="200">
        <f ca="1">IF(【事例3】危険部品判断シート!$O$36=0,2.51*0.56*(O69/K69)^0.25+0.0000000567*$F$9*(($F$10+273+O69)^2+($F$10+273)^2)*(($F$10+273+O69)+($F$10+273)),3.86*(【事例3】危険部品判断シート!$O$36/K69)^0.5+0.0000000567*$F$9*(($F$10+273+O69)^2+($F$10+273)^2)*(($F$10+273+O69)+($F$10+273)))</f>
        <v>22.976664725352514</v>
      </c>
      <c r="N69" s="200">
        <f t="shared" ca="1" si="36"/>
        <v>11.22930475436457</v>
      </c>
      <c r="O69" s="200">
        <f t="shared" ca="1" si="37"/>
        <v>32.757199767042302</v>
      </c>
      <c r="P69" s="200">
        <f t="shared" si="44"/>
        <v>2.5599999999999999E-4</v>
      </c>
      <c r="Q69" s="200">
        <f t="shared" si="45"/>
        <v>2.1159999999999998E-3</v>
      </c>
      <c r="R69" s="200">
        <f t="shared" si="46"/>
        <v>183.5506086267763</v>
      </c>
      <c r="S69" s="200">
        <f t="shared" si="38"/>
        <v>0.64597915800686545</v>
      </c>
      <c r="T69" s="200">
        <f t="shared" ca="1" si="39"/>
        <v>155.26528278894818</v>
      </c>
      <c r="U69" s="200">
        <f t="shared" si="40"/>
        <v>0.28551925063531575</v>
      </c>
      <c r="V69" s="200">
        <f t="shared" ca="1" si="47"/>
        <v>2.2166303970584949</v>
      </c>
      <c r="W69" s="262">
        <f t="shared" ca="1" si="48"/>
        <v>13.445935151423065</v>
      </c>
      <c r="X69" s="200">
        <f t="shared" ca="1" si="49"/>
        <v>2.9171173535307551</v>
      </c>
    </row>
    <row r="70" spans="7:24">
      <c r="G70" s="200">
        <f t="shared" si="41"/>
        <v>72.000000000000014</v>
      </c>
      <c r="H70" s="200">
        <f t="shared" ca="1" si="50"/>
        <v>3.1335450077826326</v>
      </c>
      <c r="I70" s="200">
        <f t="shared" si="51"/>
        <v>1.8000000000000002E-2</v>
      </c>
      <c r="J70" s="200">
        <f t="shared" si="35"/>
        <v>7.2000000000000008E-2</v>
      </c>
      <c r="K70" s="200">
        <f t="shared" si="42"/>
        <v>4.8000000000000001E-2</v>
      </c>
      <c r="L70" s="200">
        <f t="shared" si="43"/>
        <v>4.6080000000000001E-3</v>
      </c>
      <c r="M70" s="200">
        <f ca="1">IF(【事例3】危険部品判断シート!$O$36=0,2.51*0.56*(O70/K70)^0.25+0.0000000567*$F$9*(($F$10+273+O70)^2+($F$10+273)^2)*(($F$10+273+O70)+($F$10+273)),3.86*(【事例3】危険部品判断シート!$O$36/K70)^0.5+0.0000000567*$F$9*(($F$10+273+O70)^2+($F$10+273)^2)*(($F$10+273+O70)+($F$10+273)))</f>
        <v>22.667426271575756</v>
      </c>
      <c r="N70" s="200">
        <f t="shared" ca="1" si="36"/>
        <v>10.441876874697442</v>
      </c>
      <c r="O70" s="200">
        <f t="shared" ca="1" si="37"/>
        <v>32.720091152589085</v>
      </c>
      <c r="P70" s="200">
        <f t="shared" si="44"/>
        <v>3.2400000000000007E-4</v>
      </c>
      <c r="Q70" s="200">
        <f t="shared" si="45"/>
        <v>2.3040000000000001E-3</v>
      </c>
      <c r="R70" s="200">
        <f t="shared" si="46"/>
        <v>171.56238882288281</v>
      </c>
      <c r="S70" s="200">
        <f t="shared" si="38"/>
        <v>0.55027854200584836</v>
      </c>
      <c r="T70" s="200">
        <f t="shared" ca="1" si="39"/>
        <v>146.93766202106127</v>
      </c>
      <c r="U70" s="200">
        <f t="shared" si="40"/>
        <v>0.26780693939903272</v>
      </c>
      <c r="V70" s="200">
        <f t="shared" ca="1" si="47"/>
        <v>2.0074882975823614</v>
      </c>
      <c r="W70" s="262">
        <f t="shared" ca="1" si="48"/>
        <v>12.449365172279803</v>
      </c>
      <c r="X70" s="200">
        <f t="shared" ca="1" si="49"/>
        <v>3.1335450077826326</v>
      </c>
    </row>
    <row r="71" spans="7:24">
      <c r="G71" s="200">
        <f t="shared" si="41"/>
        <v>80.000000000000014</v>
      </c>
      <c r="H71" s="200">
        <f t="shared" ca="1" si="50"/>
        <v>3.3565399518995918</v>
      </c>
      <c r="I71" s="200">
        <f t="shared" si="51"/>
        <v>2.0000000000000004E-2</v>
      </c>
      <c r="J71" s="200">
        <f t="shared" si="35"/>
        <v>8.0000000000000016E-2</v>
      </c>
      <c r="K71" s="200">
        <f t="shared" si="42"/>
        <v>0.05</v>
      </c>
      <c r="L71" s="200">
        <f t="shared" si="43"/>
        <v>5.000000000000001E-3</v>
      </c>
      <c r="M71" s="200">
        <f ca="1">IF(【事例3】危険部品判断シート!$O$36=0,2.51*0.56*(O71/K71)^0.25+0.0000000567*$F$9*(($F$10+273+O71)^2+($F$10+273)^2)*(($F$10+273+O71)+($F$10+273)),3.86*(【事例3】危険部品判断シート!$O$36/K71)^0.5+0.0000000567*$F$9*(($F$10+273+O71)^2+($F$10+273)^2)*(($F$10+273+O71)+($F$10+273)))</f>
        <v>22.37693301266394</v>
      </c>
      <c r="N71" s="200">
        <f t="shared" ca="1" si="36"/>
        <v>9.7377753370764673</v>
      </c>
      <c r="O71" s="200">
        <f t="shared" ca="1" si="37"/>
        <v>32.685231961519676</v>
      </c>
      <c r="P71" s="200">
        <f t="shared" si="44"/>
        <v>4.0000000000000018E-4</v>
      </c>
      <c r="Q71" s="200">
        <f t="shared" si="45"/>
        <v>2.5000000000000005E-3</v>
      </c>
      <c r="R71" s="200">
        <f t="shared" si="46"/>
        <v>161.36655993663416</v>
      </c>
      <c r="S71" s="200">
        <f t="shared" si="38"/>
        <v>0.47544066029305287</v>
      </c>
      <c r="T71" s="200">
        <f t="shared" ca="1" si="39"/>
        <v>139.8502663746047</v>
      </c>
      <c r="U71" s="200">
        <f t="shared" si="40"/>
        <v>0.25259852023238644</v>
      </c>
      <c r="V71" s="200">
        <f t="shared" ca="1" si="47"/>
        <v>1.8336908269893228</v>
      </c>
      <c r="W71" s="262">
        <f t="shared" ca="1" si="48"/>
        <v>11.571466164065789</v>
      </c>
      <c r="X71" s="200">
        <f t="shared" ca="1" si="49"/>
        <v>3.3565399518995918</v>
      </c>
    </row>
    <row r="72" spans="7:24">
      <c r="G72" s="200">
        <f t="shared" si="41"/>
        <v>88.000000000000028</v>
      </c>
      <c r="H72" s="200">
        <f t="shared" ca="1" si="50"/>
        <v>3.5860498713741933</v>
      </c>
      <c r="I72" s="200">
        <f t="shared" si="51"/>
        <v>2.2000000000000006E-2</v>
      </c>
      <c r="J72" s="200">
        <f t="shared" si="35"/>
        <v>8.8000000000000023E-2</v>
      </c>
      <c r="K72" s="200">
        <f t="shared" si="42"/>
        <v>5.2000000000000005E-2</v>
      </c>
      <c r="L72" s="200">
        <f t="shared" si="43"/>
        <v>5.4080000000000013E-3</v>
      </c>
      <c r="M72" s="200">
        <f ca="1">IF(【事例3】危険部品判断シート!$O$36=0,2.51*0.56*(O72/K72)^0.25+0.0000000567*$F$9*(($F$10+273+O72)^2+($F$10+273)^2)*(($F$10+273+O72)+($F$10+273)),3.86*(【事例3】危険部品判断シート!$O$36/K72)^0.5+0.0000000567*$F$9*(($F$10+273+O72)^2+($F$10+273)^2)*(($F$10+273+O72)+($F$10+273)))</f>
        <v>22.103364591803455</v>
      </c>
      <c r="N72" s="200">
        <f t="shared" ca="1" si="36"/>
        <v>9.1053958874542467</v>
      </c>
      <c r="O72" s="200">
        <f t="shared" ca="1" si="37"/>
        <v>32.652403751016408</v>
      </c>
      <c r="P72" s="200">
        <f t="shared" si="44"/>
        <v>4.8400000000000027E-4</v>
      </c>
      <c r="Q72" s="200">
        <f t="shared" si="45"/>
        <v>2.7040000000000007E-3</v>
      </c>
      <c r="R72" s="200">
        <f t="shared" si="46"/>
        <v>152.53777616284754</v>
      </c>
      <c r="S72" s="200">
        <f t="shared" si="38"/>
        <v>0.41559498277364759</v>
      </c>
      <c r="T72" s="200">
        <f t="shared" ca="1" si="39"/>
        <v>133.70046839519406</v>
      </c>
      <c r="U72" s="200">
        <f t="shared" si="40"/>
        <v>0.23932732153638372</v>
      </c>
      <c r="V72" s="200">
        <f t="shared" ca="1" si="47"/>
        <v>1.6869025972451464</v>
      </c>
      <c r="W72" s="262">
        <f t="shared" ca="1" si="48"/>
        <v>10.792298484699392</v>
      </c>
      <c r="X72" s="200">
        <f t="shared" ca="1" si="49"/>
        <v>3.5860498713741933</v>
      </c>
    </row>
    <row r="73" spans="7:24">
      <c r="G73" s="200">
        <f t="shared" si="41"/>
        <v>96.000000000000028</v>
      </c>
      <c r="H73" s="200">
        <f t="shared" ca="1" si="50"/>
        <v>3.8220255016171483</v>
      </c>
      <c r="I73" s="200">
        <f t="shared" si="51"/>
        <v>2.4000000000000007E-2</v>
      </c>
      <c r="J73" s="200">
        <f t="shared" si="35"/>
        <v>9.600000000000003E-2</v>
      </c>
      <c r="K73" s="200">
        <f t="shared" si="42"/>
        <v>5.4000000000000006E-2</v>
      </c>
      <c r="L73" s="200">
        <f t="shared" si="43"/>
        <v>5.8320000000000012E-3</v>
      </c>
      <c r="M73" s="200">
        <f ca="1">IF(【事例3】危険部品判断シート!$O$36=0,2.51*0.56*(O73/K73)^0.25+0.0000000567*$F$9*(($F$10+273+O73)^2+($F$10+273)^2)*(($F$10+273+O73)+($F$10+273)),3.86*(【事例3】危険部品判断シート!$O$36/K73)^0.5+0.0000000567*$F$9*(($F$10+273+O73)^2+($F$10+273)^2)*(($F$10+273+O73)+($F$10+273)))</f>
        <v>21.845138898131843</v>
      </c>
      <c r="N73" s="200">
        <f t="shared" ca="1" si="36"/>
        <v>8.5351122471509626</v>
      </c>
      <c r="O73" s="200">
        <f t="shared" ca="1" si="37"/>
        <v>32.621416667775826</v>
      </c>
      <c r="P73" s="200">
        <f t="shared" si="44"/>
        <v>5.7600000000000034E-4</v>
      </c>
      <c r="Q73" s="200">
        <f t="shared" si="45"/>
        <v>2.9160000000000006E-3</v>
      </c>
      <c r="R73" s="200">
        <f t="shared" si="46"/>
        <v>144.78385179317976</v>
      </c>
      <c r="S73" s="200">
        <f t="shared" si="38"/>
        <v>0.36685236133723215</v>
      </c>
      <c r="T73" s="200">
        <f t="shared" ca="1" si="39"/>
        <v>128.28234224985422</v>
      </c>
      <c r="U73" s="200">
        <f t="shared" si="40"/>
        <v>0.22759741783980311</v>
      </c>
      <c r="V73" s="200">
        <f t="shared" ca="1" si="47"/>
        <v>1.5612344467692283</v>
      </c>
      <c r="W73" s="262">
        <f t="shared" ca="1" si="48"/>
        <v>10.096346693920191</v>
      </c>
      <c r="X73" s="200">
        <f t="shared" ca="1" si="49"/>
        <v>3.8220255016171483</v>
      </c>
    </row>
    <row r="74" spans="7:24">
      <c r="G74" s="200">
        <f t="shared" si="41"/>
        <v>104.00000000000004</v>
      </c>
      <c r="H74" s="200">
        <f t="shared" ca="1" si="50"/>
        <v>4.0644203426125332</v>
      </c>
      <c r="I74" s="200">
        <f t="shared" si="51"/>
        <v>2.6000000000000009E-2</v>
      </c>
      <c r="J74" s="200">
        <f t="shared" si="35"/>
        <v>0.10400000000000004</v>
      </c>
      <c r="K74" s="200">
        <f t="shared" si="42"/>
        <v>5.6000000000000008E-2</v>
      </c>
      <c r="L74" s="200">
        <f t="shared" si="43"/>
        <v>6.2720000000000015E-3</v>
      </c>
      <c r="M74" s="200">
        <f ca="1">IF(【事例3】危険部品判断シート!$O$36=0,2.51*0.56*(O74/K74)^0.25+0.0000000567*$F$9*(($F$10+273+O74)^2+($F$10+273)^2)*(($F$10+273+O74)+($F$10+273)),3.86*(【事例3】危険部品判断シート!$O$36/K74)^0.5+0.0000000567*$F$9*(($F$10+273+O74)^2+($F$10+273)^2)*(($F$10+273+O74)+($F$10+273)))</f>
        <v>21.600873419496875</v>
      </c>
      <c r="N74" s="200">
        <f t="shared" ca="1" si="36"/>
        <v>8.0188814303074842</v>
      </c>
      <c r="O74" s="200">
        <f t="shared" ca="1" si="37"/>
        <v>32.592104810339627</v>
      </c>
      <c r="P74" s="200">
        <f t="shared" si="44"/>
        <v>6.7600000000000049E-4</v>
      </c>
      <c r="Q74" s="200">
        <f t="shared" si="45"/>
        <v>3.1360000000000008E-3</v>
      </c>
      <c r="R74" s="200">
        <f t="shared" si="46"/>
        <v>137.89596697639038</v>
      </c>
      <c r="S74" s="200">
        <f t="shared" si="38"/>
        <v>0.32653891503643734</v>
      </c>
      <c r="T74" s="200">
        <f t="shared" ca="1" si="39"/>
        <v>123.45008932399217</v>
      </c>
      <c r="U74" s="200">
        <f t="shared" si="40"/>
        <v>0.21712182501765526</v>
      </c>
      <c r="V74" s="200">
        <f t="shared" ca="1" si="47"/>
        <v>1.4524018144709481</v>
      </c>
      <c r="W74" s="262">
        <f t="shared" ca="1" si="48"/>
        <v>9.4712832447784319</v>
      </c>
      <c r="X74" s="200">
        <f t="shared" ca="1" si="49"/>
        <v>4.0644203426125332</v>
      </c>
    </row>
    <row r="75" spans="7:24">
      <c r="G75" s="200">
        <f t="shared" si="41"/>
        <v>112.00000000000004</v>
      </c>
      <c r="H75" s="200">
        <f t="shared" ca="1" si="50"/>
        <v>4.3131904096094038</v>
      </c>
      <c r="I75" s="200">
        <f t="shared" si="51"/>
        <v>2.8000000000000011E-2</v>
      </c>
      <c r="J75" s="200">
        <f t="shared" si="35"/>
        <v>0.11200000000000004</v>
      </c>
      <c r="K75" s="200">
        <f t="shared" si="42"/>
        <v>5.800000000000001E-2</v>
      </c>
      <c r="L75" s="200">
        <f t="shared" si="43"/>
        <v>6.7280000000000022E-3</v>
      </c>
      <c r="M75" s="200">
        <f ca="1">IF(【事例3】危険部品判断シート!$O$36=0,2.51*0.56*(O75/K75)^0.25+0.0000000567*$F$9*(($F$10+273+O75)^2+($F$10+273)^2)*(($F$10+273+O75)+($F$10+273)),3.86*(【事例3】危険部品判断シート!$O$36/K75)^0.5+0.0000000567*$F$9*(($F$10+273+O75)^2+($F$10+273)^2)*(($F$10+273+O75)+($F$10+273)))</f>
        <v>21.369353991326804</v>
      </c>
      <c r="N75" s="200">
        <f t="shared" ca="1" si="36"/>
        <v>7.5499385342248768</v>
      </c>
      <c r="O75" s="200">
        <f t="shared" ca="1" si="37"/>
        <v>32.56432247895922</v>
      </c>
      <c r="P75" s="200">
        <f t="shared" si="44"/>
        <v>7.8400000000000063E-4</v>
      </c>
      <c r="Q75" s="200">
        <f t="shared" si="45"/>
        <v>3.3640000000000011E-3</v>
      </c>
      <c r="R75" s="200">
        <f t="shared" si="46"/>
        <v>131.71994083207377</v>
      </c>
      <c r="S75" s="200">
        <f t="shared" si="38"/>
        <v>0.29275902727404729</v>
      </c>
      <c r="T75" s="200">
        <f t="shared" ca="1" si="39"/>
        <v>119.09702908805285</v>
      </c>
      <c r="U75" s="200">
        <f t="shared" si="40"/>
        <v>0.20768608497974433</v>
      </c>
      <c r="V75" s="200">
        <f t="shared" ca="1" si="47"/>
        <v>1.3572103996851683</v>
      </c>
      <c r="W75" s="262">
        <f t="shared" ca="1" si="48"/>
        <v>8.9071489339100456</v>
      </c>
      <c r="X75" s="200">
        <f t="shared" ca="1" si="49"/>
        <v>4.3131904096094038</v>
      </c>
    </row>
    <row r="76" spans="7:24">
      <c r="G76" s="200">
        <f t="shared" si="41"/>
        <v>120.00000000000006</v>
      </c>
      <c r="H76" s="200">
        <f t="shared" ca="1" si="50"/>
        <v>4.5682940142008102</v>
      </c>
      <c r="I76" s="200">
        <f t="shared" si="51"/>
        <v>3.0000000000000013E-2</v>
      </c>
      <c r="J76" s="200">
        <f t="shared" si="35"/>
        <v>0.12000000000000005</v>
      </c>
      <c r="K76" s="200">
        <f t="shared" si="42"/>
        <v>6.0000000000000012E-2</v>
      </c>
      <c r="L76" s="200">
        <f t="shared" si="43"/>
        <v>7.2000000000000024E-3</v>
      </c>
      <c r="M76" s="200">
        <f ca="1">IF(【事例3】危険部品判断シート!$O$36=0,2.51*0.56*(O76/K76)^0.25+0.0000000567*$F$9*(($F$10+273+O76)^2+($F$10+273)^2)*(($F$10+273+O76)+($F$10+273)),3.86*(【事例3】危険部品判断シート!$O$36/K76)^0.5+0.0000000567*$F$9*(($F$10+273+O76)^2+($F$10+273)^2)*(($F$10+273+O76)+($F$10+273)))</f>
        <v>21.149509325003745</v>
      </c>
      <c r="N76" s="200">
        <f t="shared" ca="1" si="36"/>
        <v>7.1225584469507313</v>
      </c>
      <c r="O76" s="200">
        <f t="shared" ca="1" si="37"/>
        <v>32.537941119000443</v>
      </c>
      <c r="P76" s="200">
        <f t="shared" si="44"/>
        <v>9.0000000000000073E-4</v>
      </c>
      <c r="Q76" s="200">
        <f t="shared" si="45"/>
        <v>3.6000000000000012E-3</v>
      </c>
      <c r="R76" s="200">
        <f t="shared" si="46"/>
        <v>126.13879994719511</v>
      </c>
      <c r="S76" s="200">
        <f t="shared" si="38"/>
        <v>0.26413370016280707</v>
      </c>
      <c r="T76" s="200">
        <f t="shared" ca="1" si="39"/>
        <v>115.14291376268011</v>
      </c>
      <c r="U76" s="200">
        <f t="shared" si="40"/>
        <v>0.19912578587866675</v>
      </c>
      <c r="V76" s="200">
        <f t="shared" ca="1" si="47"/>
        <v>1.2732287481303424</v>
      </c>
      <c r="W76" s="262">
        <f t="shared" ca="1" si="48"/>
        <v>8.3957871950810734</v>
      </c>
      <c r="X76" s="200">
        <f t="shared" ca="1" si="49"/>
        <v>4.5682940142008102</v>
      </c>
    </row>
    <row r="77" spans="7:24">
      <c r="G77" s="200">
        <f t="shared" si="41"/>
        <v>128.00000000000006</v>
      </c>
      <c r="H77" s="200">
        <f t="shared" ca="1" si="50"/>
        <v>4.8296915711873227</v>
      </c>
      <c r="I77" s="200">
        <f t="shared" si="51"/>
        <v>3.2000000000000015E-2</v>
      </c>
      <c r="J77" s="200">
        <f t="shared" si="35"/>
        <v>0.12800000000000006</v>
      </c>
      <c r="K77" s="200">
        <f t="shared" si="42"/>
        <v>6.2000000000000013E-2</v>
      </c>
      <c r="L77" s="200">
        <f t="shared" si="43"/>
        <v>7.688000000000003E-3</v>
      </c>
      <c r="M77" s="200">
        <f ca="1">IF(【事例3】危険部品判断シート!$O$36=0,2.51*0.56*(O77/K77)^0.25+0.0000000567*$F$9*(($F$10+273+O77)^2+($F$10+273)^2)*(($F$10+273+O77)+($F$10+273)),3.86*(【事例3】危険部品判断シート!$O$36/K77)^0.5+0.0000000567*$F$9*(($F$10+273+O77)^2+($F$10+273)^2)*(($F$10+273+O77)+($F$10+273)))</f>
        <v>20.940390093597472</v>
      </c>
      <c r="N77" s="200">
        <f t="shared" ca="1" si="36"/>
        <v>6.7318681394055977</v>
      </c>
      <c r="O77" s="200">
        <f t="shared" ca="1" si="37"/>
        <v>32.512846811231697</v>
      </c>
      <c r="P77" s="200">
        <f t="shared" si="44"/>
        <v>1.024000000000001E-3</v>
      </c>
      <c r="Q77" s="200">
        <f t="shared" si="45"/>
        <v>3.8440000000000015E-3</v>
      </c>
      <c r="R77" s="200">
        <f t="shared" si="46"/>
        <v>121.06174188438237</v>
      </c>
      <c r="S77" s="200">
        <f t="shared" si="38"/>
        <v>0.23963742958319192</v>
      </c>
      <c r="T77" s="200">
        <f t="shared" ca="1" si="39"/>
        <v>111.5259409331383</v>
      </c>
      <c r="U77" s="200">
        <f t="shared" si="40"/>
        <v>0.19131212312621915</v>
      </c>
      <c r="V77" s="200">
        <f t="shared" ca="1" si="47"/>
        <v>1.1985726310806721</v>
      </c>
      <c r="W77" s="262">
        <f t="shared" ca="1" si="48"/>
        <v>7.9304407704862694</v>
      </c>
      <c r="X77" s="200">
        <f t="shared" ca="1" si="49"/>
        <v>4.8296915711873227</v>
      </c>
    </row>
    <row r="78" spans="7:24">
      <c r="G78" s="200">
        <f t="shared" si="41"/>
        <v>136.00000000000006</v>
      </c>
      <c r="H78" s="200">
        <f t="shared" ca="1" si="50"/>
        <v>5.0973454274467516</v>
      </c>
      <c r="I78" s="200">
        <f t="shared" si="51"/>
        <v>3.4000000000000016E-2</v>
      </c>
      <c r="J78" s="200">
        <f t="shared" si="35"/>
        <v>0.13600000000000007</v>
      </c>
      <c r="K78" s="200">
        <f t="shared" si="42"/>
        <v>6.4000000000000015E-2</v>
      </c>
      <c r="L78" s="200">
        <f t="shared" si="43"/>
        <v>8.1920000000000031E-3</v>
      </c>
      <c r="M78" s="200">
        <f ca="1">IF(【事例3】危険部品判断シート!$O$36=0,2.51*0.56*(O78/K78)^0.25+0.0000000567*$F$9*(($F$10+273+O78)^2+($F$10+273)^2)*(($F$10+273+O78)+($F$10+273)),3.86*(【事例3】危険部品判断シート!$O$36/K78)^0.5+0.0000000567*$F$9*(($F$10+273+O78)^2+($F$10+273)^2)*(($F$10+273+O78)+($F$10+273)))</f>
        <v>20.741151641629028</v>
      </c>
      <c r="N78" s="200">
        <f t="shared" ca="1" si="36"/>
        <v>6.3736975764008834</v>
      </c>
      <c r="O78" s="200">
        <f t="shared" ca="1" si="37"/>
        <v>32.488938196995484</v>
      </c>
      <c r="P78" s="200">
        <f t="shared" si="44"/>
        <v>1.1560000000000012E-3</v>
      </c>
      <c r="Q78" s="200">
        <f t="shared" si="45"/>
        <v>4.0960000000000015E-3</v>
      </c>
      <c r="R78" s="200">
        <f t="shared" si="46"/>
        <v>116.41688965637776</v>
      </c>
      <c r="S78" s="200">
        <f t="shared" si="38"/>
        <v>0.21849295050232201</v>
      </c>
      <c r="T78" s="200">
        <f t="shared" ca="1" si="39"/>
        <v>108.19754102537193</v>
      </c>
      <c r="U78" s="200">
        <f t="shared" si="40"/>
        <v>0.18414230259364817</v>
      </c>
      <c r="V78" s="200">
        <f t="shared" ca="1" si="47"/>
        <v>1.1317588949012247</v>
      </c>
      <c r="W78" s="262">
        <f t="shared" ca="1" si="48"/>
        <v>7.5054564713021081</v>
      </c>
      <c r="X78" s="200">
        <f t="shared" ca="1" si="49"/>
        <v>5.0973454274467516</v>
      </c>
    </row>
    <row r="79" spans="7:24">
      <c r="G79" s="200">
        <f t="shared" si="41"/>
        <v>144.00000000000009</v>
      </c>
      <c r="H79" s="200">
        <f t="shared" ca="1" si="50"/>
        <v>5.3712197096872778</v>
      </c>
      <c r="I79" s="200">
        <f t="shared" si="51"/>
        <v>3.6000000000000018E-2</v>
      </c>
      <c r="J79" s="200">
        <f t="shared" si="35"/>
        <v>0.14400000000000007</v>
      </c>
      <c r="K79" s="200">
        <f t="shared" si="42"/>
        <v>6.6000000000000017E-2</v>
      </c>
      <c r="L79" s="200">
        <f t="shared" si="43"/>
        <v>8.7120000000000045E-3</v>
      </c>
      <c r="M79" s="200">
        <f ca="1">IF(【事例3】危険部品判断シート!$O$36=0,2.51*0.56*(O79/K79)^0.25+0.0000000567*$F$9*(($F$10+273+O79)^2+($F$10+273)^2)*(($F$10+273+O79)+($F$10+273)),3.86*(【事例3】危険部品判断シート!$O$36/K79)^0.5+0.0000000567*$F$9*(($F$10+273+O79)^2+($F$10+273)^2)*(($F$10+273+O79)+($F$10+273)))</f>
        <v>20.551039599354432</v>
      </c>
      <c r="N79" s="200">
        <f t="shared" ca="1" si="36"/>
        <v>6.0444603845506766</v>
      </c>
      <c r="O79" s="200">
        <f t="shared" ca="1" si="37"/>
        <v>32.466124751922536</v>
      </c>
      <c r="P79" s="200">
        <f t="shared" si="44"/>
        <v>1.2960000000000014E-3</v>
      </c>
      <c r="Q79" s="200">
        <f t="shared" si="45"/>
        <v>4.3560000000000022E-3</v>
      </c>
      <c r="R79" s="200">
        <f t="shared" si="46"/>
        <v>112.14638379037939</v>
      </c>
      <c r="S79" s="200">
        <f t="shared" si="38"/>
        <v>0.20010128800212654</v>
      </c>
      <c r="T79" s="200">
        <f t="shared" ca="1" si="39"/>
        <v>105.11886880212566</v>
      </c>
      <c r="U79" s="200">
        <f t="shared" si="40"/>
        <v>0.17753296969025451</v>
      </c>
      <c r="V79" s="200">
        <f t="shared" ca="1" si="47"/>
        <v>1.0716039068767984</v>
      </c>
      <c r="W79" s="262">
        <f t="shared" ca="1" si="48"/>
        <v>7.1160642914274748</v>
      </c>
      <c r="X79" s="200">
        <f t="shared" ca="1" si="49"/>
        <v>5.3712197096872778</v>
      </c>
    </row>
    <row r="80" spans="7:24">
      <c r="G80" s="200">
        <f t="shared" si="41"/>
        <v>152.00000000000009</v>
      </c>
      <c r="H80" s="200">
        <f t="shared" ca="1" si="50"/>
        <v>5.6512801884862807</v>
      </c>
      <c r="I80" s="200">
        <f t="shared" si="51"/>
        <v>3.800000000000002E-2</v>
      </c>
      <c r="J80" s="200">
        <f t="shared" si="35"/>
        <v>0.15200000000000008</v>
      </c>
      <c r="K80" s="200">
        <f t="shared" si="42"/>
        <v>6.8000000000000019E-2</v>
      </c>
      <c r="L80" s="200">
        <f t="shared" si="43"/>
        <v>9.2480000000000045E-3</v>
      </c>
      <c r="M80" s="200">
        <f ca="1">IF(【事例3】危険部品判断シート!$O$36=0,2.51*0.56*(O80/K80)^0.25+0.0000000567*$F$9*(($F$10+273+O80)^2+($F$10+273)^2)*(($F$10+273+O80)+($F$10+273)),3.86*(【事例3】危険部品判断シート!$O$36/K80)^0.5+0.0000000567*$F$9*(($F$10+273+O80)^2+($F$10+273)^2)*(($F$10+273+O80)+($F$10+273)))</f>
        <v>20.369377842006479</v>
      </c>
      <c r="N80" s="200">
        <f t="shared" ca="1" si="36"/>
        <v>5.741057646927807</v>
      </c>
      <c r="O80" s="200">
        <f t="shared" ca="1" si="37"/>
        <v>32.444325341040781</v>
      </c>
      <c r="P80" s="200">
        <f t="shared" si="44"/>
        <v>1.4440000000000015E-3</v>
      </c>
      <c r="Q80" s="200">
        <f t="shared" si="45"/>
        <v>4.6240000000000022E-3</v>
      </c>
      <c r="R80" s="200">
        <f t="shared" si="46"/>
        <v>108.20296589767989</v>
      </c>
      <c r="S80" s="200">
        <f t="shared" si="38"/>
        <v>0.18399406358090273</v>
      </c>
      <c r="T80" s="200">
        <f t="shared" ca="1" si="39"/>
        <v>102.25837717625687</v>
      </c>
      <c r="U80" s="200">
        <f t="shared" si="40"/>
        <v>0.17141559147636184</v>
      </c>
      <c r="V80" s="200">
        <f t="shared" ca="1" si="47"/>
        <v>1.0171514426528112</v>
      </c>
      <c r="W80" s="262">
        <f t="shared" ca="1" si="48"/>
        <v>6.7582090895806184</v>
      </c>
      <c r="X80" s="200">
        <f t="shared" ca="1" si="49"/>
        <v>5.6512801884862807</v>
      </c>
    </row>
    <row r="81" spans="7:24">
      <c r="G81" s="200">
        <f t="shared" si="41"/>
        <v>160.00000000000009</v>
      </c>
      <c r="H81" s="200">
        <f t="shared" ca="1" si="50"/>
        <v>5.9374941564411561</v>
      </c>
      <c r="I81" s="200">
        <f t="shared" si="51"/>
        <v>4.0000000000000022E-2</v>
      </c>
      <c r="J81" s="200">
        <f t="shared" si="35"/>
        <v>0.16000000000000009</v>
      </c>
      <c r="K81" s="200">
        <f t="shared" si="42"/>
        <v>7.0000000000000021E-2</v>
      </c>
      <c r="L81" s="200">
        <f t="shared" si="43"/>
        <v>9.8000000000000049E-3</v>
      </c>
      <c r="M81" s="200">
        <f ca="1">IF(【事例3】危険部品判断シート!$O$36=0,2.51*0.56*(O81/K81)^0.25+0.0000000567*$F$9*(($F$10+273+O81)^2+($F$10+273)^2)*(($F$10+273+O81)+($F$10+273)),3.86*(【事例3】危険部品判断シート!$O$36/K81)^0.5+0.0000000567*$F$9*(($F$10+273+O81)^2+($F$10+273)^2)*(($F$10+273+O81)+($F$10+273)))</f>
        <v>20.195558355242017</v>
      </c>
      <c r="N81" s="200">
        <f t="shared" ca="1" si="36"/>
        <v>5.460799816948902</v>
      </c>
      <c r="O81" s="200">
        <f t="shared" ca="1" si="37"/>
        <v>32.423467002629039</v>
      </c>
      <c r="P81" s="200">
        <f t="shared" si="44"/>
        <v>1.6000000000000018E-3</v>
      </c>
      <c r="Q81" s="200">
        <f t="shared" si="45"/>
        <v>4.9000000000000024E-3</v>
      </c>
      <c r="R81" s="200">
        <f t="shared" si="46"/>
        <v>104.54754281188151</v>
      </c>
      <c r="S81" s="200">
        <f t="shared" si="38"/>
        <v>0.16980023581894735</v>
      </c>
      <c r="T81" s="200">
        <f t="shared" ca="1" si="39"/>
        <v>99.590099070192792</v>
      </c>
      <c r="U81" s="200">
        <f t="shared" si="40"/>
        <v>0.16573313581951751</v>
      </c>
      <c r="V81" s="200">
        <f t="shared" ca="1" si="47"/>
        <v>0.96762049144264661</v>
      </c>
      <c r="W81" s="262">
        <f t="shared" ca="1" si="48"/>
        <v>6.4284203083915488</v>
      </c>
      <c r="X81" s="200">
        <f t="shared" ca="1" si="49"/>
        <v>5.9374941564411561</v>
      </c>
    </row>
    <row r="82" spans="7:24">
      <c r="G82" s="200">
        <f t="shared" si="41"/>
        <v>168.00000000000009</v>
      </c>
      <c r="H82" s="200">
        <f t="shared" ca="1" si="50"/>
        <v>6.2298303186027448</v>
      </c>
      <c r="I82" s="200">
        <f t="shared" si="51"/>
        <v>4.2000000000000023E-2</v>
      </c>
      <c r="J82" s="200">
        <f t="shared" si="35"/>
        <v>0.16800000000000009</v>
      </c>
      <c r="K82" s="200">
        <f t="shared" si="42"/>
        <v>7.2000000000000022E-2</v>
      </c>
      <c r="L82" s="200">
        <f t="shared" si="43"/>
        <v>1.0368000000000006E-2</v>
      </c>
      <c r="M82" s="200">
        <f ca="1">IF(【事例3】危険部品判断シート!$O$36=0,2.51*0.56*(O82/K82)^0.25+0.0000000567*$F$9*(($F$10+273+O82)^2+($F$10+273)^2)*(($F$10+273+O82)+($F$10+273)),3.86*(【事例3】危険部品判断シート!$O$36/K82)^0.5+0.0000000567*$F$9*(($F$10+273+O82)^2+($F$10+273)^2)*(($F$10+273+O82)+($F$10+273)))</f>
        <v>20.029032660116837</v>
      </c>
      <c r="N82" s="200">
        <f t="shared" ca="1" si="36"/>
        <v>5.2013429358508798</v>
      </c>
      <c r="O82" s="200">
        <f t="shared" ca="1" si="37"/>
        <v>32.403483919214025</v>
      </c>
      <c r="P82" s="200">
        <f t="shared" si="44"/>
        <v>1.7640000000000019E-3</v>
      </c>
      <c r="Q82" s="200">
        <f t="shared" si="45"/>
        <v>5.1840000000000028E-3</v>
      </c>
      <c r="R82" s="200">
        <f t="shared" si="46"/>
        <v>101.14741265440861</v>
      </c>
      <c r="S82" s="200">
        <f t="shared" si="38"/>
        <v>0.15722244057309942</v>
      </c>
      <c r="T82" s="200">
        <f t="shared" ca="1" si="39"/>
        <v>97.092404723398246</v>
      </c>
      <c r="U82" s="200">
        <f t="shared" si="40"/>
        <v>0.16043763403361952</v>
      </c>
      <c r="V82" s="200">
        <f t="shared" ca="1" si="47"/>
        <v>0.92236682963381111</v>
      </c>
      <c r="W82" s="262">
        <f t="shared" ca="1" si="48"/>
        <v>6.1237097654846906</v>
      </c>
      <c r="X82" s="200">
        <f t="shared" ca="1" si="49"/>
        <v>6.2298303186027448</v>
      </c>
    </row>
    <row r="83" spans="7:24">
      <c r="G83" s="200">
        <f t="shared" si="41"/>
        <v>176.00000000000011</v>
      </c>
      <c r="H83" s="200">
        <f t="shared" ca="1" si="50"/>
        <v>6.5282586936438598</v>
      </c>
      <c r="I83" s="200">
        <f t="shared" si="51"/>
        <v>4.4000000000000025E-2</v>
      </c>
      <c r="J83" s="200">
        <f t="shared" si="35"/>
        <v>0.1760000000000001</v>
      </c>
      <c r="K83" s="200">
        <f t="shared" si="42"/>
        <v>7.4000000000000024E-2</v>
      </c>
      <c r="L83" s="200">
        <f t="shared" si="43"/>
        <v>1.0952000000000007E-2</v>
      </c>
      <c r="M83" s="200">
        <f ca="1">IF(【事例3】危険部品判断シート!$O$36=0,2.51*0.56*(O83/K83)^0.25+0.0000000567*$F$9*(($F$10+273+O83)^2+($F$10+273)^2)*(($F$10+273+O83)+($F$10+273)),3.86*(【事例3】危険部品判断シート!$O$36/K83)^0.5+0.0000000567*$F$9*(($F$10+273+O83)^2+($F$10+273)^2)*(($F$10+273+O83)+($F$10+273)))</f>
        <v>19.869304521682054</v>
      </c>
      <c r="N83" s="200">
        <f t="shared" ca="1" si="36"/>
        <v>4.9606362220498932</v>
      </c>
      <c r="O83" s="200">
        <f t="shared" ca="1" si="37"/>
        <v>32.384316542601844</v>
      </c>
      <c r="P83" s="200">
        <f t="shared" si="44"/>
        <v>1.9360000000000022E-3</v>
      </c>
      <c r="Q83" s="200">
        <f t="shared" si="45"/>
        <v>5.4760000000000034E-3</v>
      </c>
      <c r="R83" s="200">
        <f t="shared" si="46"/>
        <v>97.974948360133624</v>
      </c>
      <c r="S83" s="200">
        <f t="shared" si="38"/>
        <v>0.1460198588123626</v>
      </c>
      <c r="T83" s="200">
        <f t="shared" ca="1" si="39"/>
        <v>94.747085765879405</v>
      </c>
      <c r="U83" s="200">
        <f t="shared" si="40"/>
        <v>0.1554883590761664</v>
      </c>
      <c r="V83" s="200">
        <f t="shared" ca="1" si="47"/>
        <v>0.88085429633699597</v>
      </c>
      <c r="W83" s="262">
        <f t="shared" ca="1" si="48"/>
        <v>5.8414905183868893</v>
      </c>
      <c r="X83" s="200">
        <f t="shared" ca="1" si="49"/>
        <v>6.5282586936438598</v>
      </c>
    </row>
    <row r="84" spans="7:24">
      <c r="G84" s="200">
        <f t="shared" si="41"/>
        <v>184.00000000000011</v>
      </c>
      <c r="H84" s="200">
        <f t="shared" ca="1" si="50"/>
        <v>6.8327505244472331</v>
      </c>
      <c r="I84" s="200">
        <f t="shared" si="51"/>
        <v>4.6000000000000027E-2</v>
      </c>
      <c r="J84" s="200">
        <f t="shared" si="35"/>
        <v>0.18400000000000011</v>
      </c>
      <c r="K84" s="200">
        <f t="shared" si="42"/>
        <v>7.6000000000000026E-2</v>
      </c>
      <c r="L84" s="200">
        <f t="shared" si="43"/>
        <v>1.1552000000000008E-2</v>
      </c>
      <c r="M84" s="200">
        <f ca="1">IF(【事例3】危険部品判断シート!$O$36=0,2.51*0.56*(O84/K84)^0.25+0.0000000567*$F$9*(($F$10+273+O84)^2+($F$10+273)^2)*(($F$10+273+O84)+($F$10+273)),3.86*(【事例3】危険部品判断シート!$O$36/K84)^0.5+0.0000000567*$F$9*(($F$10+273+O84)^2+($F$10+273)^2)*(($F$10+273+O84)+($F$10+273)))</f>
        <v>19.715923720127044</v>
      </c>
      <c r="N84" s="200">
        <f t="shared" ca="1" si="36"/>
        <v>4.7368787621634461</v>
      </c>
      <c r="O84" s="200">
        <f t="shared" ca="1" si="37"/>
        <v>32.365910846415247</v>
      </c>
      <c r="P84" s="200">
        <f t="shared" si="44"/>
        <v>2.1160000000000024E-3</v>
      </c>
      <c r="Q84" s="200">
        <f t="shared" si="45"/>
        <v>5.7760000000000042E-3</v>
      </c>
      <c r="R84" s="200">
        <f t="shared" si="46"/>
        <v>95.006604077305056</v>
      </c>
      <c r="S84" s="200">
        <f t="shared" si="38"/>
        <v>0.13599561221197157</v>
      </c>
      <c r="T84" s="200">
        <f t="shared" ca="1" si="39"/>
        <v>92.538668598465307</v>
      </c>
      <c r="U84" s="200">
        <f t="shared" si="40"/>
        <v>0.15085044143511225</v>
      </c>
      <c r="V84" s="200">
        <f t="shared" ca="1" si="47"/>
        <v>0.84263302406123208</v>
      </c>
      <c r="W84" s="262">
        <f t="shared" ca="1" si="48"/>
        <v>5.5795117862246784</v>
      </c>
      <c r="X84" s="200">
        <f t="shared" ca="1" si="49"/>
        <v>6.8327505244472331</v>
      </c>
    </row>
    <row r="85" spans="7:24">
      <c r="G85" s="200">
        <f t="shared" si="41"/>
        <v>192.00000000000011</v>
      </c>
      <c r="H85" s="200">
        <f t="shared" ca="1" si="50"/>
        <v>7.1432781969890176</v>
      </c>
      <c r="I85" s="200">
        <f t="shared" si="51"/>
        <v>4.8000000000000029E-2</v>
      </c>
      <c r="J85" s="200">
        <f t="shared" si="35"/>
        <v>0.19200000000000012</v>
      </c>
      <c r="K85" s="200">
        <f t="shared" si="42"/>
        <v>7.8000000000000028E-2</v>
      </c>
      <c r="L85" s="200">
        <f t="shared" si="43"/>
        <v>1.2168000000000009E-2</v>
      </c>
      <c r="M85" s="200">
        <f ca="1">IF(【事例3】危険部品判断シート!$O$36=0,2.51*0.56*(O85/K85)^0.25+0.0000000567*$F$9*(($F$10+273+O85)^2+($F$10+273)^2)*(($F$10+273+O85)+($F$10+273)),3.86*(【事例3】危険部品判断シート!$O$36/K85)^0.5+0.0000000567*$F$9*(($F$10+273+O85)^2+($F$10+273)^2)*(($F$10+273+O85)+($F$10+273)))</f>
        <v>19.568480706193874</v>
      </c>
      <c r="N85" s="200">
        <f t="shared" ca="1" si="36"/>
        <v>4.528483532725696</v>
      </c>
      <c r="O85" s="200">
        <f t="shared" ca="1" si="37"/>
        <v>32.348217684743268</v>
      </c>
      <c r="P85" s="200">
        <f t="shared" si="44"/>
        <v>2.3040000000000027E-3</v>
      </c>
      <c r="Q85" s="200">
        <f t="shared" si="45"/>
        <v>6.0840000000000043E-3</v>
      </c>
      <c r="R85" s="200">
        <f t="shared" si="46"/>
        <v>92.222153805534703</v>
      </c>
      <c r="S85" s="200">
        <f t="shared" si="38"/>
        <v>0.12698735584750337</v>
      </c>
      <c r="T85" s="200">
        <f t="shared" ca="1" si="39"/>
        <v>90.453891738415734</v>
      </c>
      <c r="U85" s="200">
        <f t="shared" si="40"/>
        <v>0.14649380199203793</v>
      </c>
      <c r="V85" s="200">
        <f t="shared" ca="1" si="47"/>
        <v>0.80732273339052851</v>
      </c>
      <c r="W85" s="262">
        <f t="shared" ca="1" si="48"/>
        <v>5.3358062661162249</v>
      </c>
      <c r="X85" s="200">
        <f t="shared" ca="1" si="49"/>
        <v>7.1432781969890176</v>
      </c>
    </row>
    <row r="86" spans="7:24">
      <c r="G86" s="200">
        <f t="shared" si="41"/>
        <v>200.00000000000011</v>
      </c>
      <c r="H86" s="200">
        <f t="shared" ca="1" si="50"/>
        <v>7.4598151665537822</v>
      </c>
      <c r="I86" s="200">
        <f t="shared" si="51"/>
        <v>5.0000000000000031E-2</v>
      </c>
      <c r="J86" s="200">
        <f t="shared" si="35"/>
        <v>0.20000000000000012</v>
      </c>
      <c r="K86" s="200">
        <f t="shared" si="42"/>
        <v>8.0000000000000029E-2</v>
      </c>
      <c r="L86" s="200">
        <f t="shared" si="43"/>
        <v>1.2800000000000009E-2</v>
      </c>
      <c r="M86" s="200">
        <f ca="1">IF(【事例3】危険部品判断シート!$O$36=0,2.51*0.56*(O86/K86)^0.25+0.0000000567*$F$9*(($F$10+273+O86)^2+($F$10+273)^2)*(($F$10+273+O86)+($F$10+273)),3.86*(【事例3】危険部品判断シート!$O$36/K86)^0.5+0.0000000567*$F$9*(($F$10+273+O86)^2+($F$10+273)^2)*(($F$10+273+O86)+($F$10+273)))</f>
        <v>19.426601996233792</v>
      </c>
      <c r="N86" s="200">
        <f t="shared" ca="1" si="36"/>
        <v>4.3340473614554886</v>
      </c>
      <c r="O86" s="200">
        <f t="shared" ca="1" si="37"/>
        <v>32.331192239548059</v>
      </c>
      <c r="P86" s="200">
        <f t="shared" si="44"/>
        <v>2.5000000000000031E-3</v>
      </c>
      <c r="Q86" s="200">
        <f t="shared" si="45"/>
        <v>6.4000000000000046E-3</v>
      </c>
      <c r="R86" s="200">
        <f t="shared" si="46"/>
        <v>89.604099960396326</v>
      </c>
      <c r="S86" s="200">
        <f t="shared" si="38"/>
        <v>0.11886016507326314</v>
      </c>
      <c r="T86" s="200">
        <f t="shared" ca="1" si="39"/>
        <v>88.481302419959135</v>
      </c>
      <c r="U86" s="200">
        <f t="shared" si="40"/>
        <v>0.14239231828545371</v>
      </c>
      <c r="V86" s="200">
        <f t="shared" ca="1" si="47"/>
        <v>0.77459976706604916</v>
      </c>
      <c r="W86" s="262">
        <f t="shared" ca="1" si="48"/>
        <v>5.1086471285215378</v>
      </c>
      <c r="X86" s="200">
        <f t="shared" ca="1" si="49"/>
        <v>7.4598151665537822</v>
      </c>
    </row>
    <row r="88" spans="7:24">
      <c r="K88" s="200" t="s">
        <v>275</v>
      </c>
      <c r="L88" s="265">
        <f>L60+E33</f>
        <v>20</v>
      </c>
    </row>
    <row r="89" spans="7:24">
      <c r="H89" s="200" t="s">
        <v>203</v>
      </c>
      <c r="I89" s="200" t="s">
        <v>277</v>
      </c>
      <c r="J89" s="200" t="s">
        <v>253</v>
      </c>
      <c r="K89" s="200" t="s">
        <v>278</v>
      </c>
      <c r="L89" s="200" t="s">
        <v>279</v>
      </c>
      <c r="M89" s="200" t="s">
        <v>280</v>
      </c>
      <c r="N89" s="200" t="s">
        <v>281</v>
      </c>
      <c r="O89" s="200" t="s">
        <v>282</v>
      </c>
      <c r="P89" s="200" t="s">
        <v>283</v>
      </c>
      <c r="Q89" s="200" t="s">
        <v>284</v>
      </c>
      <c r="R89" s="200" t="s">
        <v>285</v>
      </c>
      <c r="S89" s="200" t="s">
        <v>286</v>
      </c>
      <c r="T89" s="200" t="s">
        <v>287</v>
      </c>
      <c r="U89" s="200" t="s">
        <v>288</v>
      </c>
      <c r="V89" s="200" t="s">
        <v>289</v>
      </c>
      <c r="W89" s="200" t="s">
        <v>290</v>
      </c>
      <c r="X89" s="200" t="s">
        <v>291</v>
      </c>
    </row>
    <row r="90" spans="7:24">
      <c r="G90" s="200">
        <f>J90*1000</f>
        <v>8</v>
      </c>
      <c r="H90" s="200">
        <f ca="1">X90</f>
        <v>2.504190444204899</v>
      </c>
      <c r="I90" s="200">
        <v>2E-3</v>
      </c>
      <c r="J90" s="200">
        <f t="shared" ref="J90:J114" si="52">I90*4</f>
        <v>8.0000000000000002E-3</v>
      </c>
      <c r="K90" s="200">
        <f>I90+$L$88/1000*2</f>
        <v>4.2000000000000003E-2</v>
      </c>
      <c r="L90" s="200">
        <f>K90^2*2</f>
        <v>3.5280000000000003E-3</v>
      </c>
      <c r="M90" s="200">
        <f ca="1">IF(【事例3】危険部品判断シート!$O$36=0,2.51*0.56*(O90/K90)^0.25+0.0000000567*$F$9*(($F$10+273+O90)^2+($F$10+273)^2)*(($F$10+273+O90)+($F$10+273)),3.86*(【事例3】危険部品判断シート!$O$36/K90)^0.5+0.0000000567*$F$9*(($F$10+273+O90)^2+($F$10+273)^2)*(($F$10+273+O90)+($F$10+273)))</f>
        <v>23.660151589237515</v>
      </c>
      <c r="N90" s="200">
        <f t="shared" ref="N90:N114" ca="1" si="53">1/L90/M90+$F$8/$M$3/L90</f>
        <v>13.113706374330976</v>
      </c>
      <c r="O90" s="200">
        <f t="shared" ref="O90:O114" ca="1" si="54">H90*N90</f>
        <v>32.8392181907085</v>
      </c>
      <c r="P90" s="200">
        <f>I90^2</f>
        <v>3.9999999999999998E-6</v>
      </c>
      <c r="Q90" s="200">
        <f>K90^2</f>
        <v>1.7640000000000002E-3</v>
      </c>
      <c r="R90" s="200">
        <f>(PI()^1.5)/((Q90)^0.5)+1/(P90)^0.5</f>
        <v>632.57923801980257</v>
      </c>
      <c r="S90" s="200">
        <f t="shared" ref="S90:S114" si="55">$F$6*(Q90^0.5-P90^0.5)/($L$3*(PI()*Q90*P90)^0.5)</f>
        <v>7.5466771475087784</v>
      </c>
      <c r="T90" s="200">
        <f t="shared" ref="T90:T114" ca="1" si="56">R90*$L$3*Q90*N90/$F$6</f>
        <v>520.94151390045693</v>
      </c>
      <c r="U90" s="200">
        <f t="shared" ref="U90:U114" si="57">TANH(R90*$F$8/$F$6)</f>
        <v>0.76664024133959741</v>
      </c>
      <c r="V90" s="200">
        <f ca="1">S90*(T90+U90)/(1+T90*U90)</f>
        <v>9.8336951105374624</v>
      </c>
      <c r="W90" s="262">
        <f ca="1">N90+V90</f>
        <v>22.947401484868436</v>
      </c>
      <c r="X90" s="200">
        <f ca="1">L90*M90*$Q$3</f>
        <v>2.504190444204899</v>
      </c>
    </row>
    <row r="91" spans="7:24">
      <c r="G91" s="200">
        <f t="shared" ref="G91:G114" si="58">J91*1000</f>
        <v>16</v>
      </c>
      <c r="H91" s="200">
        <f ca="1">X91</f>
        <v>2.7073126819391016</v>
      </c>
      <c r="I91" s="200">
        <f>I90+0.002</f>
        <v>4.0000000000000001E-3</v>
      </c>
      <c r="J91" s="200">
        <f t="shared" si="52"/>
        <v>1.6E-2</v>
      </c>
      <c r="K91" s="200">
        <f t="shared" ref="K91:K114" si="59">I91+$L$88/1000*2</f>
        <v>4.3999999999999997E-2</v>
      </c>
      <c r="L91" s="200">
        <f t="shared" ref="L91:L114" si="60">K91^2*2</f>
        <v>3.8719999999999996E-3</v>
      </c>
      <c r="M91" s="200">
        <f ca="1">IF(【事例3】危険部品判断シート!$O$36=0,2.51*0.56*(O91/K91)^0.25+0.0000000567*$F$9*(($F$10+273+O91)^2+($F$10+273)^2)*(($F$10+273+O91)+($F$10+273)),3.86*(【事例3】危険部品判断シート!$O$36/K91)^0.5+0.0000000567*$F$9*(($F$10+273+O91)^2+($F$10+273)^2)*(($F$10+273+O91)+($F$10+273)))</f>
        <v>23.306755181982631</v>
      </c>
      <c r="N91" s="200">
        <f t="shared" ca="1" si="53"/>
        <v>12.114156905713356</v>
      </c>
      <c r="O91" s="200">
        <f t="shared" ca="1" si="54"/>
        <v>32.796810621837913</v>
      </c>
      <c r="P91" s="200">
        <f t="shared" ref="P91:P114" si="61">I91^2</f>
        <v>1.5999999999999999E-5</v>
      </c>
      <c r="Q91" s="200">
        <f t="shared" ref="Q91:Q114" si="62">K91^2</f>
        <v>1.9359999999999998E-3</v>
      </c>
      <c r="R91" s="200">
        <f t="shared" ref="R91:R114" si="63">(PI()^1.5)/((Q91)^0.5)+1/(P91)^0.5</f>
        <v>376.55290901890248</v>
      </c>
      <c r="S91" s="200">
        <f t="shared" si="55"/>
        <v>3.6018231840382802</v>
      </c>
      <c r="T91" s="200">
        <f t="shared" ca="1" si="56"/>
        <v>314.39421950967193</v>
      </c>
      <c r="U91" s="200">
        <f t="shared" si="57"/>
        <v>0.53881523213205573</v>
      </c>
      <c r="V91" s="200">
        <f t="shared" ref="V91:V114" ca="1" si="64">S91*(T91+U91)/(1+T91*U91)</f>
        <v>6.6568690182465984</v>
      </c>
      <c r="W91" s="262">
        <f t="shared" ref="W91:W114" ca="1" si="65">N91+V91</f>
        <v>18.771025923959954</v>
      </c>
      <c r="X91" s="200">
        <f t="shared" ref="X91:X114" ca="1" si="66">L91*M91*$Q$3</f>
        <v>2.707312681939102</v>
      </c>
    </row>
    <row r="92" spans="7:24">
      <c r="G92" s="200">
        <f t="shared" si="58"/>
        <v>24</v>
      </c>
      <c r="H92" s="200">
        <f t="shared" ref="H92:H114" ca="1" si="67">X92</f>
        <v>2.9171173535307551</v>
      </c>
      <c r="I92" s="200">
        <f t="shared" ref="I92:I114" si="68">I91+0.002</f>
        <v>6.0000000000000001E-3</v>
      </c>
      <c r="J92" s="200">
        <f t="shared" si="52"/>
        <v>2.4E-2</v>
      </c>
      <c r="K92" s="200">
        <f t="shared" si="59"/>
        <v>4.5999999999999999E-2</v>
      </c>
      <c r="L92" s="200">
        <f t="shared" si="60"/>
        <v>4.2319999999999997E-3</v>
      </c>
      <c r="M92" s="200">
        <f ca="1">IF(【事例3】危険部品判断シート!$O$36=0,2.51*0.56*(O92/K92)^0.25+0.0000000567*$F$9*(($F$10+273+O92)^2+($F$10+273)^2)*(($F$10+273+O92)+($F$10+273)),3.86*(【事例3】危険部品判断シート!$O$36/K92)^0.5+0.0000000567*$F$9*(($F$10+273+O92)^2+($F$10+273)^2)*(($F$10+273+O92)+($F$10+273)))</f>
        <v>22.976664725352514</v>
      </c>
      <c r="N92" s="200">
        <f t="shared" ca="1" si="53"/>
        <v>11.22930475436457</v>
      </c>
      <c r="O92" s="200">
        <f t="shared" ca="1" si="54"/>
        <v>32.757199767042302</v>
      </c>
      <c r="P92" s="200">
        <f t="shared" si="61"/>
        <v>3.6000000000000001E-5</v>
      </c>
      <c r="Q92" s="200">
        <f t="shared" si="62"/>
        <v>2.1159999999999998E-3</v>
      </c>
      <c r="R92" s="200">
        <f t="shared" si="63"/>
        <v>287.71727529344292</v>
      </c>
      <c r="S92" s="200">
        <f t="shared" si="55"/>
        <v>2.2968147840244106</v>
      </c>
      <c r="T92" s="200">
        <f t="shared" ca="1" si="56"/>
        <v>243.37976564565452</v>
      </c>
      <c r="U92" s="200">
        <f t="shared" si="57"/>
        <v>0.43036750560140707</v>
      </c>
      <c r="V92" s="200">
        <f t="shared" ca="1" si="64"/>
        <v>5.2957461122886391</v>
      </c>
      <c r="W92" s="262">
        <f t="shared" ca="1" si="65"/>
        <v>16.52505086665321</v>
      </c>
      <c r="X92" s="200">
        <f t="shared" ca="1" si="66"/>
        <v>2.9171173535307551</v>
      </c>
    </row>
    <row r="93" spans="7:24">
      <c r="G93" s="200">
        <f t="shared" si="58"/>
        <v>32</v>
      </c>
      <c r="H93" s="200">
        <f t="shared" ca="1" si="67"/>
        <v>3.1335450077826326</v>
      </c>
      <c r="I93" s="200">
        <f t="shared" si="68"/>
        <v>8.0000000000000002E-3</v>
      </c>
      <c r="J93" s="200">
        <f t="shared" si="52"/>
        <v>3.2000000000000001E-2</v>
      </c>
      <c r="K93" s="200">
        <f t="shared" si="59"/>
        <v>4.8000000000000001E-2</v>
      </c>
      <c r="L93" s="200">
        <f t="shared" si="60"/>
        <v>4.6080000000000001E-3</v>
      </c>
      <c r="M93" s="200">
        <f ca="1">IF(【事例3】危険部品判断シート!$O$36=0,2.51*0.56*(O93/K93)^0.25+0.0000000567*$F$9*(($F$10+273+O93)^2+($F$10+273)^2)*(($F$10+273+O93)+($F$10+273)),3.86*(【事例3】危険部品判断シート!$O$36/K93)^0.5+0.0000000567*$F$9*(($F$10+273+O93)^2+($F$10+273)^2)*(($F$10+273+O93)+($F$10+273)))</f>
        <v>22.667426271575756</v>
      </c>
      <c r="N93" s="200">
        <f t="shared" ca="1" si="53"/>
        <v>10.441876874697442</v>
      </c>
      <c r="O93" s="200">
        <f t="shared" ca="1" si="54"/>
        <v>32.720091152589085</v>
      </c>
      <c r="P93" s="200">
        <f t="shared" si="61"/>
        <v>6.3999999999999997E-5</v>
      </c>
      <c r="Q93" s="200">
        <f t="shared" si="62"/>
        <v>2.3040000000000001E-3</v>
      </c>
      <c r="R93" s="200">
        <f t="shared" si="63"/>
        <v>241.00683326732727</v>
      </c>
      <c r="S93" s="200">
        <f t="shared" si="55"/>
        <v>1.6508356260175454</v>
      </c>
      <c r="T93" s="200">
        <f t="shared" ca="1" si="56"/>
        <v>206.4145926993379</v>
      </c>
      <c r="U93" s="200">
        <f t="shared" si="57"/>
        <v>0.3675702973974575</v>
      </c>
      <c r="V93" s="200">
        <f t="shared" ca="1" si="64"/>
        <v>4.4406796293079323</v>
      </c>
      <c r="W93" s="262">
        <f t="shared" ca="1" si="65"/>
        <v>14.882556504005375</v>
      </c>
      <c r="X93" s="200">
        <f t="shared" ca="1" si="66"/>
        <v>3.1335450077826326</v>
      </c>
    </row>
    <row r="94" spans="7:24">
      <c r="G94" s="200">
        <f t="shared" si="58"/>
        <v>40</v>
      </c>
      <c r="H94" s="200">
        <f t="shared" ca="1" si="67"/>
        <v>3.3565399518995918</v>
      </c>
      <c r="I94" s="200">
        <f t="shared" si="68"/>
        <v>0.01</v>
      </c>
      <c r="J94" s="200">
        <f t="shared" si="52"/>
        <v>0.04</v>
      </c>
      <c r="K94" s="200">
        <f t="shared" si="59"/>
        <v>0.05</v>
      </c>
      <c r="L94" s="200">
        <f t="shared" si="60"/>
        <v>5.000000000000001E-3</v>
      </c>
      <c r="M94" s="200">
        <f ca="1">IF(【事例3】危険部品判断シート!$O$36=0,2.51*0.56*(O94/K94)^0.25+0.0000000567*$F$9*(($F$10+273+O94)^2+($F$10+273)^2)*(($F$10+273+O94)+($F$10+273)),3.86*(【事例3】危険部品判断シート!$O$36/K94)^0.5+0.0000000567*$F$9*(($F$10+273+O94)^2+($F$10+273)^2)*(($F$10+273+O94)+($F$10+273)))</f>
        <v>22.37693301266394</v>
      </c>
      <c r="N94" s="200">
        <f t="shared" ca="1" si="53"/>
        <v>9.7377753370764673</v>
      </c>
      <c r="O94" s="200">
        <f t="shared" ca="1" si="54"/>
        <v>32.685231961519676</v>
      </c>
      <c r="P94" s="200">
        <f t="shared" si="61"/>
        <v>1E-4</v>
      </c>
      <c r="Q94" s="200">
        <f t="shared" si="62"/>
        <v>2.5000000000000005E-3</v>
      </c>
      <c r="R94" s="200">
        <f t="shared" si="63"/>
        <v>211.36655993663419</v>
      </c>
      <c r="S94" s="200">
        <f t="shared" si="55"/>
        <v>1.2678417607814747</v>
      </c>
      <c r="T94" s="200">
        <f t="shared" ca="1" si="56"/>
        <v>183.18336662459501</v>
      </c>
      <c r="U94" s="200">
        <f t="shared" si="57"/>
        <v>0.32585741320471845</v>
      </c>
      <c r="V94" s="200">
        <f t="shared" ca="1" si="64"/>
        <v>3.8334866014113986</v>
      </c>
      <c r="W94" s="262">
        <f t="shared" ca="1" si="65"/>
        <v>13.571261938487865</v>
      </c>
      <c r="X94" s="200">
        <f t="shared" ca="1" si="66"/>
        <v>3.3565399518995918</v>
      </c>
    </row>
    <row r="95" spans="7:24">
      <c r="G95" s="200">
        <f t="shared" si="58"/>
        <v>48</v>
      </c>
      <c r="H95" s="200">
        <f t="shared" ca="1" si="67"/>
        <v>3.5860498713741933</v>
      </c>
      <c r="I95" s="200">
        <f t="shared" si="68"/>
        <v>1.2E-2</v>
      </c>
      <c r="J95" s="200">
        <f t="shared" si="52"/>
        <v>4.8000000000000001E-2</v>
      </c>
      <c r="K95" s="200">
        <f t="shared" si="59"/>
        <v>5.2000000000000005E-2</v>
      </c>
      <c r="L95" s="200">
        <f>K95^2*2</f>
        <v>5.4080000000000013E-3</v>
      </c>
      <c r="M95" s="200">
        <f ca="1">IF(【事例3】危険部品判断シート!$O$36=0,2.51*0.56*(O95/K95)^0.25+0.0000000567*$F$9*(($F$10+273+O95)^2+($F$10+273)^2)*(($F$10+273+O95)+($F$10+273)),3.86*(【事例3】危険部品判断シート!$O$36/K95)^0.5+0.0000000567*$F$9*(($F$10+273+O95)^2+($F$10+273)^2)*(($F$10+273+O95)+($F$10+273)))</f>
        <v>22.103364591803455</v>
      </c>
      <c r="N95" s="200">
        <f t="shared" ca="1" si="53"/>
        <v>9.1053958874542467</v>
      </c>
      <c r="O95" s="200">
        <f t="shared" ca="1" si="54"/>
        <v>32.652403751016408</v>
      </c>
      <c r="P95" s="200">
        <f t="shared" si="61"/>
        <v>1.44E-4</v>
      </c>
      <c r="Q95" s="200">
        <f t="shared" si="62"/>
        <v>2.7040000000000007E-3</v>
      </c>
      <c r="R95" s="200">
        <f t="shared" si="63"/>
        <v>190.41656404163541</v>
      </c>
      <c r="S95" s="200">
        <f t="shared" si="55"/>
        <v>1.0158988467800278</v>
      </c>
      <c r="T95" s="200">
        <f t="shared" ca="1" si="56"/>
        <v>166.90150101172725</v>
      </c>
      <c r="U95" s="200">
        <f t="shared" si="57"/>
        <v>0.2955772729586848</v>
      </c>
      <c r="V95" s="200">
        <f t="shared" ca="1" si="64"/>
        <v>3.3746789040124821</v>
      </c>
      <c r="W95" s="262">
        <f t="shared" ca="1" si="65"/>
        <v>12.480074791466729</v>
      </c>
      <c r="X95" s="200">
        <f t="shared" ca="1" si="66"/>
        <v>3.5860498713741933</v>
      </c>
    </row>
    <row r="96" spans="7:24">
      <c r="G96" s="200">
        <f t="shared" si="58"/>
        <v>56</v>
      </c>
      <c r="H96" s="200">
        <f t="shared" ca="1" si="67"/>
        <v>3.8220255016171469</v>
      </c>
      <c r="I96" s="200">
        <f t="shared" si="68"/>
        <v>1.4E-2</v>
      </c>
      <c r="J96" s="200">
        <f t="shared" si="52"/>
        <v>5.6000000000000001E-2</v>
      </c>
      <c r="K96" s="200">
        <f t="shared" si="59"/>
        <v>5.3999999999999999E-2</v>
      </c>
      <c r="L96" s="200">
        <f t="shared" si="60"/>
        <v>5.8319999999999995E-3</v>
      </c>
      <c r="M96" s="200">
        <f ca="1">IF(【事例3】危険部品判断シート!$O$36=0,2.51*0.56*(O96/K96)^0.25+0.0000000567*$F$9*(($F$10+273+O96)^2+($F$10+273)^2)*(($F$10+273+O96)+($F$10+273)),3.86*(【事例3】危険部品判断シート!$O$36/K96)^0.5+0.0000000567*$F$9*(($F$10+273+O96)^2+($F$10+273)^2)*(($F$10+273+O96)+($F$10+273)))</f>
        <v>21.845138898131843</v>
      </c>
      <c r="N96" s="200">
        <f t="shared" ca="1" si="53"/>
        <v>8.5351122471509644</v>
      </c>
      <c r="O96" s="200">
        <f t="shared" ca="1" si="54"/>
        <v>32.621416667775819</v>
      </c>
      <c r="P96" s="200">
        <f t="shared" si="61"/>
        <v>1.9600000000000002E-4</v>
      </c>
      <c r="Q96" s="200">
        <f t="shared" si="62"/>
        <v>2.9159999999999998E-3</v>
      </c>
      <c r="R96" s="200">
        <f t="shared" si="63"/>
        <v>174.54575655508455</v>
      </c>
      <c r="S96" s="200">
        <f t="shared" si="55"/>
        <v>0.83851968305653102</v>
      </c>
      <c r="T96" s="200">
        <f t="shared" ca="1" si="56"/>
        <v>154.65218118830191</v>
      </c>
      <c r="U96" s="200">
        <f t="shared" si="57"/>
        <v>0.27223228696026064</v>
      </c>
      <c r="V96" s="200">
        <f t="shared" ca="1" si="64"/>
        <v>3.013995376999445</v>
      </c>
      <c r="W96" s="262">
        <f t="shared" ca="1" si="65"/>
        <v>11.549107624150409</v>
      </c>
      <c r="X96" s="200">
        <f t="shared" ca="1" si="66"/>
        <v>3.8220255016171469</v>
      </c>
    </row>
    <row r="97" spans="7:24">
      <c r="G97" s="200">
        <f t="shared" si="58"/>
        <v>64</v>
      </c>
      <c r="H97" s="200">
        <f t="shared" ca="1" si="67"/>
        <v>4.0644203426125332</v>
      </c>
      <c r="I97" s="200">
        <f t="shared" si="68"/>
        <v>1.6E-2</v>
      </c>
      <c r="J97" s="200">
        <f t="shared" si="52"/>
        <v>6.4000000000000001E-2</v>
      </c>
      <c r="K97" s="200">
        <f t="shared" si="59"/>
        <v>5.6000000000000001E-2</v>
      </c>
      <c r="L97" s="200">
        <f t="shared" si="60"/>
        <v>6.2720000000000007E-3</v>
      </c>
      <c r="M97" s="200">
        <f ca="1">IF(【事例3】危険部品判断シート!$O$36=0,2.51*0.56*(O97/K97)^0.25+0.0000000567*$F$9*(($F$10+273+O97)^2+($F$10+273)^2)*(($F$10+273+O97)+($F$10+273)),3.86*(【事例3】危険部品判断シート!$O$36/K97)^0.5+0.0000000567*$F$9*(($F$10+273+O97)^2+($F$10+273)^2)*(($F$10+273+O97)+($F$10+273)))</f>
        <v>21.600873419496878</v>
      </c>
      <c r="N97" s="200">
        <f t="shared" ca="1" si="53"/>
        <v>8.0188814303074842</v>
      </c>
      <c r="O97" s="200">
        <f t="shared" ca="1" si="54"/>
        <v>32.592104810339627</v>
      </c>
      <c r="P97" s="200">
        <f t="shared" si="61"/>
        <v>2.5599999999999999E-4</v>
      </c>
      <c r="Q97" s="200">
        <f t="shared" si="62"/>
        <v>3.1360000000000003E-3</v>
      </c>
      <c r="R97" s="200">
        <f t="shared" si="63"/>
        <v>161.93442851485196</v>
      </c>
      <c r="S97" s="200">
        <f t="shared" si="55"/>
        <v>0.707500982578948</v>
      </c>
      <c r="T97" s="200">
        <f t="shared" ca="1" si="56"/>
        <v>144.97029973480508</v>
      </c>
      <c r="U97" s="200">
        <f t="shared" si="57"/>
        <v>0.25344894105748683</v>
      </c>
      <c r="V97" s="200">
        <f t="shared" ca="1" si="64"/>
        <v>2.7222827627626831</v>
      </c>
      <c r="W97" s="262">
        <f t="shared" ca="1" si="65"/>
        <v>10.741164193070167</v>
      </c>
      <c r="X97" s="200">
        <f t="shared" ca="1" si="66"/>
        <v>4.0644203426125332</v>
      </c>
    </row>
    <row r="98" spans="7:24">
      <c r="G98" s="200">
        <f t="shared" si="58"/>
        <v>72.000000000000014</v>
      </c>
      <c r="H98" s="200">
        <f t="shared" ca="1" si="67"/>
        <v>4.3131904096094029</v>
      </c>
      <c r="I98" s="200">
        <f t="shared" si="68"/>
        <v>1.8000000000000002E-2</v>
      </c>
      <c r="J98" s="200">
        <f t="shared" si="52"/>
        <v>7.2000000000000008E-2</v>
      </c>
      <c r="K98" s="200">
        <f t="shared" si="59"/>
        <v>5.8000000000000003E-2</v>
      </c>
      <c r="L98" s="200">
        <f t="shared" si="60"/>
        <v>6.7280000000000005E-3</v>
      </c>
      <c r="M98" s="200">
        <f ca="1">IF(【事例3】危険部品判断シート!$O$36=0,2.51*0.56*(O98/K98)^0.25+0.0000000567*$F$9*(($F$10+273+O98)^2+($F$10+273)^2)*(($F$10+273+O98)+($F$10+273)),3.86*(【事例3】危険部品判断シート!$O$36/K98)^0.5+0.0000000567*$F$9*(($F$10+273+O98)^2+($F$10+273)^2)*(($F$10+273+O98)+($F$10+273)))</f>
        <v>21.369353991326804</v>
      </c>
      <c r="N98" s="200">
        <f t="shared" ca="1" si="53"/>
        <v>7.5499385342248786</v>
      </c>
      <c r="O98" s="200">
        <f t="shared" ca="1" si="54"/>
        <v>32.56432247895922</v>
      </c>
      <c r="P98" s="200">
        <f t="shared" si="61"/>
        <v>3.2400000000000007E-4</v>
      </c>
      <c r="Q98" s="200">
        <f t="shared" si="62"/>
        <v>3.3640000000000002E-3</v>
      </c>
      <c r="R98" s="200">
        <f t="shared" si="63"/>
        <v>151.56121067334362</v>
      </c>
      <c r="S98" s="200">
        <f t="shared" si="55"/>
        <v>0.60720390842024641</v>
      </c>
      <c r="T98" s="200">
        <f t="shared" ca="1" si="56"/>
        <v>137.0368814483131</v>
      </c>
      <c r="U98" s="200">
        <f t="shared" si="57"/>
        <v>0.23785376338732289</v>
      </c>
      <c r="V98" s="200">
        <f t="shared" ca="1" si="64"/>
        <v>2.4811551085492933</v>
      </c>
      <c r="W98" s="262">
        <f t="shared" ca="1" si="65"/>
        <v>10.031093642774172</v>
      </c>
      <c r="X98" s="200">
        <f t="shared" ca="1" si="66"/>
        <v>4.3131904096094029</v>
      </c>
    </row>
    <row r="99" spans="7:24">
      <c r="G99" s="200">
        <f t="shared" si="58"/>
        <v>80.000000000000014</v>
      </c>
      <c r="H99" s="200">
        <f t="shared" ca="1" si="67"/>
        <v>4.5682940142008102</v>
      </c>
      <c r="I99" s="200">
        <f t="shared" si="68"/>
        <v>2.0000000000000004E-2</v>
      </c>
      <c r="J99" s="200">
        <f t="shared" si="52"/>
        <v>8.0000000000000016E-2</v>
      </c>
      <c r="K99" s="200">
        <f t="shared" si="59"/>
        <v>6.0000000000000005E-2</v>
      </c>
      <c r="L99" s="200">
        <f t="shared" si="60"/>
        <v>7.2000000000000015E-3</v>
      </c>
      <c r="M99" s="200">
        <f ca="1">IF(【事例3】危険部品判断シート!$O$36=0,2.51*0.56*(O99/K99)^0.25+0.0000000567*$F$9*(($F$10+273+O99)^2+($F$10+273)^2)*(($F$10+273+O99)+($F$10+273)),3.86*(【事例3】危険部品判断シート!$O$36/K99)^0.5+0.0000000567*$F$9*(($F$10+273+O99)^2+($F$10+273)^2)*(($F$10+273+O99)+($F$10+273)))</f>
        <v>21.149509325003748</v>
      </c>
      <c r="N99" s="200">
        <f t="shared" ca="1" si="53"/>
        <v>7.1225584469507313</v>
      </c>
      <c r="O99" s="200">
        <f t="shared" ca="1" si="54"/>
        <v>32.537941119000443</v>
      </c>
      <c r="P99" s="200">
        <f t="shared" si="61"/>
        <v>4.0000000000000018E-4</v>
      </c>
      <c r="Q99" s="200">
        <f t="shared" si="62"/>
        <v>3.6000000000000008E-3</v>
      </c>
      <c r="R99" s="200">
        <f t="shared" si="63"/>
        <v>142.8054666138618</v>
      </c>
      <c r="S99" s="200">
        <f t="shared" si="55"/>
        <v>0.52826740032561426</v>
      </c>
      <c r="T99" s="200">
        <f t="shared" ca="1" si="56"/>
        <v>130.35669860536689</v>
      </c>
      <c r="U99" s="200">
        <f t="shared" si="57"/>
        <v>0.22459381808382831</v>
      </c>
      <c r="V99" s="200">
        <f t="shared" ca="1" si="64"/>
        <v>2.27833459939353</v>
      </c>
      <c r="W99" s="262">
        <f t="shared" ca="1" si="65"/>
        <v>9.4008930463442617</v>
      </c>
      <c r="X99" s="200">
        <f t="shared" ca="1" si="66"/>
        <v>4.5682940142008102</v>
      </c>
    </row>
    <row r="100" spans="7:24">
      <c r="G100" s="200">
        <f t="shared" si="58"/>
        <v>88.000000000000028</v>
      </c>
      <c r="H100" s="200">
        <f t="shared" ca="1" si="67"/>
        <v>4.8296915711873218</v>
      </c>
      <c r="I100" s="200">
        <f t="shared" si="68"/>
        <v>2.2000000000000006E-2</v>
      </c>
      <c r="J100" s="200">
        <f t="shared" si="52"/>
        <v>8.8000000000000023E-2</v>
      </c>
      <c r="K100" s="200">
        <f t="shared" si="59"/>
        <v>6.2000000000000006E-2</v>
      </c>
      <c r="L100" s="200">
        <f t="shared" si="60"/>
        <v>7.6880000000000013E-3</v>
      </c>
      <c r="M100" s="200">
        <f ca="1">IF(【事例3】危険部品判断シート!$O$36=0,2.51*0.56*(O100/K100)^0.25+0.0000000567*$F$9*(($F$10+273+O100)^2+($F$10+273)^2)*(($F$10+273+O100)+($F$10+273)),3.86*(【事例3】危険部品判断シート!$O$36/K100)^0.5+0.0000000567*$F$9*(($F$10+273+O100)^2+($F$10+273)^2)*(($F$10+273+O100)+($F$10+273)))</f>
        <v>20.940390093597472</v>
      </c>
      <c r="N100" s="200">
        <f t="shared" ca="1" si="53"/>
        <v>6.7318681394055995</v>
      </c>
      <c r="O100" s="200">
        <f t="shared" ca="1" si="54"/>
        <v>32.512846811231704</v>
      </c>
      <c r="P100" s="200">
        <f t="shared" si="61"/>
        <v>4.8400000000000027E-4</v>
      </c>
      <c r="Q100" s="200">
        <f t="shared" si="62"/>
        <v>3.8440000000000006E-3</v>
      </c>
      <c r="R100" s="200">
        <f t="shared" si="63"/>
        <v>135.26628733892784</v>
      </c>
      <c r="S100" s="200">
        <f t="shared" si="55"/>
        <v>0.46475137858558441</v>
      </c>
      <c r="T100" s="200">
        <f t="shared" ca="1" si="56"/>
        <v>124.61162161712063</v>
      </c>
      <c r="U100" s="200">
        <f t="shared" si="57"/>
        <v>0.21310904434811101</v>
      </c>
      <c r="V100" s="200">
        <f t="shared" ca="1" si="64"/>
        <v>2.1052675577102868</v>
      </c>
      <c r="W100" s="262">
        <f t="shared" ca="1" si="65"/>
        <v>8.8371356971158868</v>
      </c>
      <c r="X100" s="200">
        <f t="shared" ca="1" si="66"/>
        <v>4.8296915711873218</v>
      </c>
    </row>
    <row r="101" spans="7:24">
      <c r="G101" s="200">
        <f t="shared" si="58"/>
        <v>96.000000000000028</v>
      </c>
      <c r="H101" s="200">
        <f t="shared" ca="1" si="67"/>
        <v>5.0973454274467507</v>
      </c>
      <c r="I101" s="200">
        <f t="shared" si="68"/>
        <v>2.4000000000000007E-2</v>
      </c>
      <c r="J101" s="200">
        <f t="shared" si="52"/>
        <v>9.600000000000003E-2</v>
      </c>
      <c r="K101" s="200">
        <f t="shared" si="59"/>
        <v>6.4000000000000001E-2</v>
      </c>
      <c r="L101" s="200">
        <f t="shared" si="60"/>
        <v>8.1919999999999996E-3</v>
      </c>
      <c r="M101" s="200">
        <f ca="1">IF(【事例3】危険部品判断シート!$O$36=0,2.51*0.56*(O101/K101)^0.25+0.0000000567*$F$9*(($F$10+273+O101)^2+($F$10+273)^2)*(($F$10+273+O101)+($F$10+273)),3.86*(【事例3】危険部品判断シート!$O$36/K101)^0.5+0.0000000567*$F$9*(($F$10+273+O101)^2+($F$10+273)^2)*(($F$10+273+O101)+($F$10+273)))</f>
        <v>20.741151641629031</v>
      </c>
      <c r="N101" s="200">
        <f t="shared" ca="1" si="53"/>
        <v>6.3736975764008843</v>
      </c>
      <c r="O101" s="200">
        <f t="shared" ca="1" si="54"/>
        <v>32.488938196995484</v>
      </c>
      <c r="P101" s="200">
        <f t="shared" si="61"/>
        <v>5.7600000000000034E-4</v>
      </c>
      <c r="Q101" s="200">
        <f t="shared" si="62"/>
        <v>4.0959999999999998E-3</v>
      </c>
      <c r="R101" s="200">
        <f t="shared" si="63"/>
        <v>128.67179161716211</v>
      </c>
      <c r="S101" s="200">
        <f t="shared" si="55"/>
        <v>0.41270890650438607</v>
      </c>
      <c r="T101" s="200">
        <f t="shared" ca="1" si="56"/>
        <v>119.58721361993803</v>
      </c>
      <c r="U101" s="200">
        <f t="shared" si="57"/>
        <v>0.20301471547384281</v>
      </c>
      <c r="V101" s="200">
        <f t="shared" ca="1" si="64"/>
        <v>1.9557941398290639</v>
      </c>
      <c r="W101" s="262">
        <f t="shared" ca="1" si="65"/>
        <v>8.3294917162299491</v>
      </c>
      <c r="X101" s="200">
        <f t="shared" ca="1" si="66"/>
        <v>5.0973454274467507</v>
      </c>
    </row>
    <row r="102" spans="7:24">
      <c r="G102" s="200">
        <f t="shared" si="58"/>
        <v>104.00000000000004</v>
      </c>
      <c r="H102" s="200">
        <f t="shared" ca="1" si="67"/>
        <v>5.3712197096872751</v>
      </c>
      <c r="I102" s="200">
        <f t="shared" si="68"/>
        <v>2.6000000000000009E-2</v>
      </c>
      <c r="J102" s="200">
        <f t="shared" si="52"/>
        <v>0.10400000000000004</v>
      </c>
      <c r="K102" s="200">
        <f t="shared" si="59"/>
        <v>6.6000000000000003E-2</v>
      </c>
      <c r="L102" s="200">
        <f t="shared" si="60"/>
        <v>8.712000000000001E-3</v>
      </c>
      <c r="M102" s="200">
        <f ca="1">IF(【事例3】危険部品判断シート!$O$36=0,2.51*0.56*(O102/K102)^0.25+0.0000000567*$F$9*(($F$10+273+O102)^2+($F$10+273)^2)*(($F$10+273+O102)+($F$10+273)),3.86*(【事例3】危険部品判断シート!$O$36/K102)^0.5+0.0000000567*$F$9*(($F$10+273+O102)^2+($F$10+273)^2)*(($F$10+273+O102)+($F$10+273)))</f>
        <v>20.551039599354432</v>
      </c>
      <c r="N102" s="200">
        <f t="shared" ca="1" si="53"/>
        <v>6.0444603845506784</v>
      </c>
      <c r="O102" s="200">
        <f t="shared" ca="1" si="54"/>
        <v>32.466124751922528</v>
      </c>
      <c r="P102" s="200">
        <f t="shared" si="61"/>
        <v>6.7600000000000049E-4</v>
      </c>
      <c r="Q102" s="200">
        <f t="shared" si="62"/>
        <v>4.3560000000000005E-3</v>
      </c>
      <c r="R102" s="200">
        <f t="shared" si="63"/>
        <v>122.8301444741401</v>
      </c>
      <c r="S102" s="200">
        <f t="shared" si="55"/>
        <v>0.36941776246546448</v>
      </c>
      <c r="T102" s="200">
        <f t="shared" ca="1" si="56"/>
        <v>115.1331447838528</v>
      </c>
      <c r="U102" s="200">
        <f t="shared" si="57"/>
        <v>0.19403652667591154</v>
      </c>
      <c r="V102" s="200">
        <f t="shared" ca="1" si="64"/>
        <v>1.8253575165409974</v>
      </c>
      <c r="W102" s="262">
        <f t="shared" ca="1" si="65"/>
        <v>7.8698179010916753</v>
      </c>
      <c r="X102" s="200">
        <f t="shared" ca="1" si="66"/>
        <v>5.3712197096872751</v>
      </c>
    </row>
    <row r="103" spans="7:24">
      <c r="G103" s="200">
        <f t="shared" si="58"/>
        <v>112.00000000000004</v>
      </c>
      <c r="H103" s="200">
        <f t="shared" ca="1" si="67"/>
        <v>5.651280188486278</v>
      </c>
      <c r="I103" s="200">
        <f t="shared" si="68"/>
        <v>2.8000000000000011E-2</v>
      </c>
      <c r="J103" s="200">
        <f t="shared" si="52"/>
        <v>0.11200000000000004</v>
      </c>
      <c r="K103" s="200">
        <f t="shared" si="59"/>
        <v>6.8000000000000005E-2</v>
      </c>
      <c r="L103" s="200">
        <f t="shared" si="60"/>
        <v>9.248000000000001E-3</v>
      </c>
      <c r="M103" s="200">
        <f ca="1">IF(【事例3】危険部品判断シート!$O$36=0,2.51*0.56*(O103/K103)^0.25+0.0000000567*$F$9*(($F$10+273+O103)^2+($F$10+273)^2)*(($F$10+273+O103)+($F$10+273)),3.86*(【事例3】危険部品判断シート!$O$36/K103)^0.5+0.0000000567*$F$9*(($F$10+273+O103)^2+($F$10+273)^2)*(($F$10+273+O103)+($F$10+273)))</f>
        <v>20.369377842006479</v>
      </c>
      <c r="N103" s="200">
        <f t="shared" ca="1" si="53"/>
        <v>5.7410576469278096</v>
      </c>
      <c r="O103" s="200">
        <f t="shared" ca="1" si="54"/>
        <v>32.444325341040781</v>
      </c>
      <c r="P103" s="200">
        <f t="shared" si="61"/>
        <v>7.8400000000000063E-4</v>
      </c>
      <c r="Q103" s="200">
        <f t="shared" si="62"/>
        <v>4.6240000000000005E-3</v>
      </c>
      <c r="R103" s="200">
        <f t="shared" si="63"/>
        <v>117.60146213828142</v>
      </c>
      <c r="S103" s="200">
        <f t="shared" si="55"/>
        <v>0.33294163886068118</v>
      </c>
      <c r="T103" s="200">
        <f t="shared" ca="1" si="56"/>
        <v>111.1405271754527</v>
      </c>
      <c r="U103" s="200">
        <f t="shared" si="57"/>
        <v>0.18597271043767025</v>
      </c>
      <c r="V103" s="200">
        <f t="shared" ca="1" si="64"/>
        <v>1.7105102950359554</v>
      </c>
      <c r="W103" s="262">
        <f t="shared" ca="1" si="65"/>
        <v>7.4515679419637646</v>
      </c>
      <c r="X103" s="200">
        <f t="shared" ca="1" si="66"/>
        <v>5.651280188486278</v>
      </c>
    </row>
    <row r="104" spans="7:24">
      <c r="G104" s="200">
        <f t="shared" si="58"/>
        <v>120.00000000000006</v>
      </c>
      <c r="H104" s="200">
        <f t="shared" ca="1" si="67"/>
        <v>5.9374941564411543</v>
      </c>
      <c r="I104" s="200">
        <f t="shared" si="68"/>
        <v>3.0000000000000013E-2</v>
      </c>
      <c r="J104" s="200">
        <f t="shared" si="52"/>
        <v>0.12000000000000005</v>
      </c>
      <c r="K104" s="200">
        <f t="shared" si="59"/>
        <v>7.0000000000000007E-2</v>
      </c>
      <c r="L104" s="200">
        <f t="shared" si="60"/>
        <v>9.8000000000000014E-3</v>
      </c>
      <c r="M104" s="200">
        <f ca="1">IF(【事例3】危険部品判断シート!$O$36=0,2.51*0.56*(O104/K104)^0.25+0.0000000567*$F$9*(($F$10+273+O104)^2+($F$10+273)^2)*(($F$10+273+O104)+($F$10+273)),3.86*(【事例3】危険部品判断シート!$O$36/K104)^0.5+0.0000000567*$F$9*(($F$10+273+O104)^2+($F$10+273)^2)*(($F$10+273+O104)+($F$10+273)))</f>
        <v>20.195558355242021</v>
      </c>
      <c r="N104" s="200">
        <f t="shared" ca="1" si="53"/>
        <v>5.4607998169489029</v>
      </c>
      <c r="O104" s="200">
        <f t="shared" ca="1" si="54"/>
        <v>32.423467002629039</v>
      </c>
      <c r="P104" s="200">
        <f t="shared" si="61"/>
        <v>9.0000000000000073E-4</v>
      </c>
      <c r="Q104" s="200">
        <f t="shared" si="62"/>
        <v>4.9000000000000007E-3</v>
      </c>
      <c r="R104" s="200">
        <f t="shared" si="63"/>
        <v>112.88087614521487</v>
      </c>
      <c r="S104" s="200">
        <f t="shared" si="55"/>
        <v>0.30186708590035094</v>
      </c>
      <c r="T104" s="200">
        <f t="shared" ca="1" si="56"/>
        <v>107.52828173743085</v>
      </c>
      <c r="U104" s="200">
        <f t="shared" si="57"/>
        <v>0.17867088001114831</v>
      </c>
      <c r="V104" s="200">
        <f t="shared" ca="1" si="64"/>
        <v>1.608594205166554</v>
      </c>
      <c r="W104" s="262">
        <f t="shared" ca="1" si="65"/>
        <v>7.069394022115457</v>
      </c>
      <c r="X104" s="200">
        <f t="shared" ca="1" si="66"/>
        <v>5.9374941564411543</v>
      </c>
    </row>
    <row r="105" spans="7:24">
      <c r="G105" s="200">
        <f t="shared" si="58"/>
        <v>128.00000000000006</v>
      </c>
      <c r="H105" s="200">
        <f t="shared" ca="1" si="67"/>
        <v>6.2298303186027439</v>
      </c>
      <c r="I105" s="200">
        <f t="shared" si="68"/>
        <v>3.2000000000000015E-2</v>
      </c>
      <c r="J105" s="200">
        <f t="shared" si="52"/>
        <v>0.12800000000000006</v>
      </c>
      <c r="K105" s="200">
        <f t="shared" si="59"/>
        <v>7.2000000000000008E-2</v>
      </c>
      <c r="L105" s="200">
        <f t="shared" si="60"/>
        <v>1.0368000000000002E-2</v>
      </c>
      <c r="M105" s="200">
        <f ca="1">IF(【事例3】危険部品判断シート!$O$36=0,2.51*0.56*(O105/K105)^0.25+0.0000000567*$F$9*(($F$10+273+O105)^2+($F$10+273)^2)*(($F$10+273+O105)+($F$10+273)),3.86*(【事例3】危険部品判断シート!$O$36/K105)^0.5+0.0000000567*$F$9*(($F$10+273+O105)^2+($F$10+273)^2)*(($F$10+273+O105)+($F$10+273)))</f>
        <v>20.02903266011684</v>
      </c>
      <c r="N105" s="200">
        <f t="shared" ca="1" si="53"/>
        <v>5.2013429358508807</v>
      </c>
      <c r="O105" s="200">
        <f t="shared" ca="1" si="54"/>
        <v>32.403483919214025</v>
      </c>
      <c r="P105" s="200">
        <f t="shared" si="61"/>
        <v>1.024000000000001E-3</v>
      </c>
      <c r="Q105" s="200">
        <f t="shared" si="62"/>
        <v>5.1840000000000011E-3</v>
      </c>
      <c r="R105" s="200">
        <f t="shared" si="63"/>
        <v>108.58788884488482</v>
      </c>
      <c r="S105" s="200">
        <f t="shared" si="55"/>
        <v>0.27513927100292396</v>
      </c>
      <c r="T105" s="200">
        <f t="shared" ca="1" si="56"/>
        <v>104.23459162331235</v>
      </c>
      <c r="U105" s="200">
        <f t="shared" si="57"/>
        <v>0.17201330852143265</v>
      </c>
      <c r="V105" s="200">
        <f t="shared" ca="1" si="64"/>
        <v>1.5175254266947791</v>
      </c>
      <c r="W105" s="262">
        <f t="shared" ca="1" si="65"/>
        <v>6.7188683625456598</v>
      </c>
      <c r="X105" s="200">
        <f t="shared" ca="1" si="66"/>
        <v>6.2298303186027439</v>
      </c>
    </row>
    <row r="106" spans="7:24">
      <c r="G106" s="200">
        <f t="shared" si="58"/>
        <v>136.00000000000006</v>
      </c>
      <c r="H106" s="200">
        <f t="shared" ca="1" si="67"/>
        <v>6.528258693643858</v>
      </c>
      <c r="I106" s="200">
        <f t="shared" si="68"/>
        <v>3.4000000000000016E-2</v>
      </c>
      <c r="J106" s="200">
        <f t="shared" si="52"/>
        <v>0.13600000000000007</v>
      </c>
      <c r="K106" s="200">
        <f t="shared" si="59"/>
        <v>7.400000000000001E-2</v>
      </c>
      <c r="L106" s="200">
        <f t="shared" si="60"/>
        <v>1.0952000000000003E-2</v>
      </c>
      <c r="M106" s="200">
        <f ca="1">IF(【事例3】危険部品判断シート!$O$36=0,2.51*0.56*(O106/K106)^0.25+0.0000000567*$F$9*(($F$10+273+O106)^2+($F$10+273)^2)*(($F$10+273+O106)+($F$10+273)),3.86*(【事例3】危険部品判断シート!$O$36/K106)^0.5+0.0000000567*$F$9*(($F$10+273+O106)^2+($F$10+273)^2)*(($F$10+273+O106)+($F$10+273)))</f>
        <v>19.869304521682054</v>
      </c>
      <c r="N106" s="200">
        <f t="shared" ca="1" si="53"/>
        <v>4.9606362220498941</v>
      </c>
      <c r="O106" s="200">
        <f t="shared" ca="1" si="54"/>
        <v>32.384316542601844</v>
      </c>
      <c r="P106" s="200">
        <f t="shared" si="61"/>
        <v>1.1560000000000012E-3</v>
      </c>
      <c r="Q106" s="200">
        <f t="shared" si="62"/>
        <v>5.4760000000000017E-3</v>
      </c>
      <c r="R106" s="200">
        <f t="shared" si="63"/>
        <v>104.65944033874325</v>
      </c>
      <c r="S106" s="200">
        <f t="shared" si="55"/>
        <v>0.25195583481348843</v>
      </c>
      <c r="T106" s="200">
        <f t="shared" ca="1" si="56"/>
        <v>101.21135184000538</v>
      </c>
      <c r="U106" s="200">
        <f t="shared" si="57"/>
        <v>0.16590724902676049</v>
      </c>
      <c r="V106" s="200">
        <f t="shared" ca="1" si="64"/>
        <v>1.4356467520125489</v>
      </c>
      <c r="W106" s="262">
        <f t="shared" ca="1" si="65"/>
        <v>6.3962829740624425</v>
      </c>
      <c r="X106" s="200">
        <f t="shared" ca="1" si="66"/>
        <v>6.528258693643858</v>
      </c>
    </row>
    <row r="107" spans="7:24">
      <c r="G107" s="200">
        <f t="shared" si="58"/>
        <v>144.00000000000009</v>
      </c>
      <c r="H107" s="200">
        <f t="shared" ca="1" si="67"/>
        <v>6.8327505244472304</v>
      </c>
      <c r="I107" s="200">
        <f t="shared" si="68"/>
        <v>3.6000000000000018E-2</v>
      </c>
      <c r="J107" s="200">
        <f t="shared" si="52"/>
        <v>0.14400000000000007</v>
      </c>
      <c r="K107" s="200">
        <f t="shared" si="59"/>
        <v>7.6000000000000012E-2</v>
      </c>
      <c r="L107" s="200">
        <f t="shared" si="60"/>
        <v>1.1552000000000003E-2</v>
      </c>
      <c r="M107" s="200">
        <f ca="1">IF(【事例3】危険部品判断シート!$O$36=0,2.51*0.56*(O107/K107)^0.25+0.0000000567*$F$9*(($F$10+273+O107)^2+($F$10+273)^2)*(($F$10+273+O107)+($F$10+273)),3.86*(【事例3】危険部品判断シート!$O$36/K107)^0.5+0.0000000567*$F$9*(($F$10+273+O107)^2+($F$10+273)^2)*(($F$10+273+O107)+($F$10+273)))</f>
        <v>19.715923720127044</v>
      </c>
      <c r="N107" s="200">
        <f t="shared" ca="1" si="53"/>
        <v>4.7368787621634478</v>
      </c>
      <c r="O107" s="200">
        <f t="shared" ca="1" si="54"/>
        <v>32.365910846415247</v>
      </c>
      <c r="P107" s="200">
        <f t="shared" si="61"/>
        <v>1.2960000000000014E-3</v>
      </c>
      <c r="Q107" s="200">
        <f t="shared" si="62"/>
        <v>5.7760000000000016E-3</v>
      </c>
      <c r="R107" s="200">
        <f t="shared" si="63"/>
        <v>101.04525142030025</v>
      </c>
      <c r="S107" s="200">
        <f t="shared" si="55"/>
        <v>0.2316962282129886</v>
      </c>
      <c r="T107" s="200">
        <f t="shared" ca="1" si="56"/>
        <v>98.420453245790924</v>
      </c>
      <c r="U107" s="200">
        <f t="shared" si="57"/>
        <v>0.16027837933062242</v>
      </c>
      <c r="V107" s="200">
        <f t="shared" ca="1" si="64"/>
        <v>1.3616233693704503</v>
      </c>
      <c r="W107" s="262">
        <f t="shared" ca="1" si="65"/>
        <v>6.0985021315338983</v>
      </c>
      <c r="X107" s="200">
        <f t="shared" ca="1" si="66"/>
        <v>6.8327505244472304</v>
      </c>
    </row>
    <row r="108" spans="7:24">
      <c r="G108" s="200">
        <f t="shared" si="58"/>
        <v>152.00000000000009</v>
      </c>
      <c r="H108" s="200">
        <f t="shared" ca="1" si="67"/>
        <v>7.143278196989014</v>
      </c>
      <c r="I108" s="200">
        <f t="shared" si="68"/>
        <v>3.800000000000002E-2</v>
      </c>
      <c r="J108" s="200">
        <f t="shared" si="52"/>
        <v>0.15200000000000008</v>
      </c>
      <c r="K108" s="200">
        <f t="shared" si="59"/>
        <v>7.8000000000000014E-2</v>
      </c>
      <c r="L108" s="200">
        <f t="shared" si="60"/>
        <v>1.2168000000000003E-2</v>
      </c>
      <c r="M108" s="200">
        <f ca="1">IF(【事例3】危険部品判断シート!$O$36=0,2.51*0.56*(O108/K108)^0.25+0.0000000567*$F$9*(($F$10+273+O108)^2+($F$10+273)^2)*(($F$10+273+O108)+($F$10+273)),3.86*(【事例3】危険部品判断シート!$O$36/K108)^0.5+0.0000000567*$F$9*(($F$10+273+O108)^2+($F$10+273)^2)*(($F$10+273+O108)+($F$10+273)))</f>
        <v>19.568480706193874</v>
      </c>
      <c r="N108" s="200">
        <f t="shared" ca="1" si="53"/>
        <v>4.5284835327256978</v>
      </c>
      <c r="O108" s="200">
        <f t="shared" ca="1" si="54"/>
        <v>32.348217684743261</v>
      </c>
      <c r="P108" s="200">
        <f t="shared" si="61"/>
        <v>1.4440000000000015E-3</v>
      </c>
      <c r="Q108" s="200">
        <f t="shared" si="62"/>
        <v>6.0840000000000017E-3</v>
      </c>
      <c r="R108" s="200">
        <f t="shared" si="63"/>
        <v>97.704609945885579</v>
      </c>
      <c r="S108" s="200">
        <f t="shared" si="55"/>
        <v>0.21387344142737411</v>
      </c>
      <c r="T108" s="200">
        <f t="shared" ca="1" si="56"/>
        <v>95.831227592288954</v>
      </c>
      <c r="U108" s="200">
        <f t="shared" si="57"/>
        <v>0.15506624664527685</v>
      </c>
      <c r="V108" s="200">
        <f t="shared" ca="1" si="64"/>
        <v>1.2943678846154216</v>
      </c>
      <c r="W108" s="262">
        <f t="shared" ca="1" si="65"/>
        <v>5.8228514173411199</v>
      </c>
      <c r="X108" s="200">
        <f t="shared" ca="1" si="66"/>
        <v>7.143278196989014</v>
      </c>
    </row>
    <row r="109" spans="7:24">
      <c r="G109" s="200">
        <f t="shared" si="58"/>
        <v>160.00000000000009</v>
      </c>
      <c r="H109" s="200">
        <f t="shared" ca="1" si="67"/>
        <v>7.4598151665537795</v>
      </c>
      <c r="I109" s="200">
        <f t="shared" si="68"/>
        <v>4.0000000000000022E-2</v>
      </c>
      <c r="J109" s="200">
        <f t="shared" si="52"/>
        <v>0.16000000000000009</v>
      </c>
      <c r="K109" s="200">
        <f t="shared" si="59"/>
        <v>8.0000000000000016E-2</v>
      </c>
      <c r="L109" s="200">
        <f t="shared" si="60"/>
        <v>1.2800000000000006E-2</v>
      </c>
      <c r="M109" s="200">
        <f ca="1">IF(【事例3】危険部品判断シート!$O$36=0,2.51*0.56*(O109/K109)^0.25+0.0000000567*$F$9*(($F$10+273+O109)^2+($F$10+273)^2)*(($F$10+273+O109)+($F$10+273)),3.86*(【事例3】危険部品判断シート!$O$36/K109)^0.5+0.0000000567*$F$9*(($F$10+273+O109)^2+($F$10+273)^2)*(($F$10+273+O109)+($F$10+273)))</f>
        <v>19.426601996233792</v>
      </c>
      <c r="N109" s="200">
        <f t="shared" ca="1" si="53"/>
        <v>4.3340473614554904</v>
      </c>
      <c r="O109" s="200">
        <f t="shared" ca="1" si="54"/>
        <v>32.331192239548059</v>
      </c>
      <c r="P109" s="200">
        <f t="shared" si="61"/>
        <v>1.6000000000000018E-3</v>
      </c>
      <c r="Q109" s="200">
        <f t="shared" si="62"/>
        <v>6.4000000000000029E-3</v>
      </c>
      <c r="R109" s="200">
        <f t="shared" si="63"/>
        <v>94.604099960396326</v>
      </c>
      <c r="S109" s="200">
        <f t="shared" si="55"/>
        <v>0.19810027512210523</v>
      </c>
      <c r="T109" s="200">
        <f t="shared" ca="1" si="56"/>
        <v>93.418649174129243</v>
      </c>
      <c r="U109" s="200">
        <f t="shared" si="57"/>
        <v>0.15022102870941192</v>
      </c>
      <c r="V109" s="200">
        <f t="shared" ca="1" si="64"/>
        <v>1.2329854012457921</v>
      </c>
      <c r="W109" s="262">
        <f t="shared" ca="1" si="65"/>
        <v>5.5670327627012828</v>
      </c>
      <c r="X109" s="200">
        <f t="shared" ca="1" si="66"/>
        <v>7.4598151665537795</v>
      </c>
    </row>
    <row r="110" spans="7:24">
      <c r="G110" s="200">
        <f t="shared" si="58"/>
        <v>168.00000000000009</v>
      </c>
      <c r="H110" s="200">
        <f t="shared" ca="1" si="67"/>
        <v>7.7823358904503026</v>
      </c>
      <c r="I110" s="200">
        <f t="shared" si="68"/>
        <v>4.2000000000000023E-2</v>
      </c>
      <c r="J110" s="200">
        <f t="shared" si="52"/>
        <v>0.16800000000000009</v>
      </c>
      <c r="K110" s="200">
        <f t="shared" si="59"/>
        <v>8.2000000000000017E-2</v>
      </c>
      <c r="L110" s="200">
        <f t="shared" si="60"/>
        <v>1.3448000000000005E-2</v>
      </c>
      <c r="M110" s="200">
        <f ca="1">IF(【事例3】危険部品判断シート!$O$36=0,2.51*0.56*(O110/K110)^0.25+0.0000000567*$F$9*(($F$10+273+O110)^2+($F$10+273)^2)*(($F$10+273+O110)+($F$10+273)),3.86*(【事例3】危険部品判断シート!$O$36/K110)^0.5+0.0000000567*$F$9*(($F$10+273+O110)^2+($F$10+273)^2)*(($F$10+273+O110)+($F$10+273)))</f>
        <v>19.289946188901197</v>
      </c>
      <c r="N110" s="200">
        <f t="shared" ca="1" si="53"/>
        <v>4.1523257281045396</v>
      </c>
      <c r="O110" s="200">
        <f t="shared" ca="1" si="54"/>
        <v>32.314793542668141</v>
      </c>
      <c r="P110" s="200">
        <f t="shared" si="61"/>
        <v>1.7640000000000019E-3</v>
      </c>
      <c r="Q110" s="200">
        <f t="shared" si="62"/>
        <v>6.7240000000000025E-3</v>
      </c>
      <c r="R110" s="200">
        <f t="shared" si="63"/>
        <v>91.715962795276326</v>
      </c>
      <c r="S110" s="200">
        <f t="shared" si="55"/>
        <v>0.18406529628070176</v>
      </c>
      <c r="T110" s="200">
        <f t="shared" ca="1" si="56"/>
        <v>91.162042382522515</v>
      </c>
      <c r="U110" s="200">
        <f t="shared" si="57"/>
        <v>0.14570118343383223</v>
      </c>
      <c r="V110" s="200">
        <f t="shared" ca="1" si="64"/>
        <v>1.1767326448754565</v>
      </c>
      <c r="W110" s="262">
        <f t="shared" ca="1" si="65"/>
        <v>5.3290583729799961</v>
      </c>
      <c r="X110" s="200">
        <f t="shared" ca="1" si="66"/>
        <v>7.7823358904503026</v>
      </c>
    </row>
    <row r="111" spans="7:24">
      <c r="G111" s="200">
        <f t="shared" si="58"/>
        <v>176.00000000000011</v>
      </c>
      <c r="H111" s="200">
        <f t="shared" ca="1" si="67"/>
        <v>8.1108157665098108</v>
      </c>
      <c r="I111" s="200">
        <f t="shared" si="68"/>
        <v>4.4000000000000025E-2</v>
      </c>
      <c r="J111" s="200">
        <f t="shared" si="52"/>
        <v>0.1760000000000001</v>
      </c>
      <c r="K111" s="200">
        <f t="shared" si="59"/>
        <v>8.4000000000000019E-2</v>
      </c>
      <c r="L111" s="200">
        <f t="shared" si="60"/>
        <v>1.4112000000000006E-2</v>
      </c>
      <c r="M111" s="200">
        <f ca="1">IF(【事例3】危険部品判断シート!$O$36=0,2.51*0.56*(O111/K111)^0.25+0.0000000567*$F$9*(($F$10+273+O111)^2+($F$10+273)^2)*(($F$10+273+O111)+($F$10+273)),3.86*(【事例3】危険部品判断シート!$O$36/K111)^0.5+0.0000000567*$F$9*(($F$10+273+O111)^2+($F$10+273)^2)*(($F$10+273+O111)+($F$10+273)))</f>
        <v>19.158200506684167</v>
      </c>
      <c r="N111" s="200">
        <f t="shared" ca="1" si="53"/>
        <v>3.982211529716543</v>
      </c>
      <c r="O111" s="200">
        <f t="shared" ca="1" si="54"/>
        <v>32.298984060802091</v>
      </c>
      <c r="P111" s="200">
        <f t="shared" si="61"/>
        <v>1.9360000000000022E-3</v>
      </c>
      <c r="Q111" s="200">
        <f t="shared" si="62"/>
        <v>7.0560000000000032E-3</v>
      </c>
      <c r="R111" s="200">
        <f t="shared" si="63"/>
        <v>89.016891737173992</v>
      </c>
      <c r="S111" s="200">
        <f t="shared" si="55"/>
        <v>0.17151538971610844</v>
      </c>
      <c r="T111" s="200">
        <f t="shared" ca="1" si="56"/>
        <v>89.044135366771556</v>
      </c>
      <c r="U111" s="200">
        <f t="shared" si="57"/>
        <v>0.14147171181078483</v>
      </c>
      <c r="V111" s="200">
        <f t="shared" ca="1" si="64"/>
        <v>1.1249871014848627</v>
      </c>
      <c r="W111" s="262">
        <f t="shared" ca="1" si="65"/>
        <v>5.1071986312014062</v>
      </c>
      <c r="X111" s="200">
        <f t="shared" ca="1" si="66"/>
        <v>8.1108157665098126</v>
      </c>
    </row>
    <row r="112" spans="7:24">
      <c r="G112" s="200">
        <f t="shared" si="58"/>
        <v>184.00000000000011</v>
      </c>
      <c r="H112" s="200">
        <f t="shared" ca="1" si="67"/>
        <v>8.4452310767429601</v>
      </c>
      <c r="I112" s="200">
        <f t="shared" si="68"/>
        <v>4.6000000000000027E-2</v>
      </c>
      <c r="J112" s="200">
        <f t="shared" si="52"/>
        <v>0.18400000000000011</v>
      </c>
      <c r="K112" s="200">
        <f t="shared" si="59"/>
        <v>8.6000000000000021E-2</v>
      </c>
      <c r="L112" s="200">
        <f t="shared" si="60"/>
        <v>1.4792000000000007E-2</v>
      </c>
      <c r="M112" s="200">
        <f ca="1">IF(【事例3】危険部品判断シート!$O$36=0,2.51*0.56*(O112/K112)^0.25+0.0000000567*$F$9*(($F$10+273+O112)^2+($F$10+273)^2)*(($F$10+273+O112)+($F$10+273)),3.86*(【事例3】危険部品判断シート!$O$36/K112)^0.5+0.0000000567*$F$9*(($F$10+273+O112)^2+($F$10+273)^2)*(($F$10+273+O112)+($F$10+273)))</f>
        <v>19.031077782456642</v>
      </c>
      <c r="N112" s="200">
        <f t="shared" ca="1" si="53"/>
        <v>3.8227171098727974</v>
      </c>
      <c r="O112" s="200">
        <f t="shared" ca="1" si="54"/>
        <v>32.283729333894783</v>
      </c>
      <c r="P112" s="200">
        <f t="shared" si="61"/>
        <v>2.1160000000000024E-3</v>
      </c>
      <c r="Q112" s="200">
        <f t="shared" si="62"/>
        <v>7.3960000000000033E-3</v>
      </c>
      <c r="R112" s="200">
        <f t="shared" si="63"/>
        <v>86.487130397941982</v>
      </c>
      <c r="S112" s="200">
        <f t="shared" si="55"/>
        <v>0.16024289190867969</v>
      </c>
      <c r="T112" s="200">
        <f t="shared" ca="1" si="56"/>
        <v>87.05035539197857</v>
      </c>
      <c r="U112" s="200">
        <f t="shared" si="57"/>
        <v>0.1375028527025047</v>
      </c>
      <c r="V112" s="200">
        <f t="shared" ca="1" si="64"/>
        <v>1.0772234127599047</v>
      </c>
      <c r="W112" s="262">
        <f t="shared" ca="1" si="65"/>
        <v>4.8999405226327024</v>
      </c>
      <c r="X112" s="200">
        <f t="shared" ca="1" si="66"/>
        <v>8.4452310767429637</v>
      </c>
    </row>
    <row r="113" spans="7:24">
      <c r="G113" s="200">
        <f t="shared" si="58"/>
        <v>192.00000000000011</v>
      </c>
      <c r="H113" s="200">
        <f t="shared" ca="1" si="67"/>
        <v>8.7855589356121495</v>
      </c>
      <c r="I113" s="200">
        <f t="shared" si="68"/>
        <v>4.8000000000000029E-2</v>
      </c>
      <c r="J113" s="200">
        <f t="shared" si="52"/>
        <v>0.19200000000000012</v>
      </c>
      <c r="K113" s="200">
        <f t="shared" si="59"/>
        <v>8.8000000000000023E-2</v>
      </c>
      <c r="L113" s="200">
        <f t="shared" si="60"/>
        <v>1.5488000000000009E-2</v>
      </c>
      <c r="M113" s="200">
        <f ca="1">IF(【事例3】危険部品判断シート!$O$36=0,2.51*0.56*(O113/K113)^0.25+0.0000000567*$F$9*(($F$10+273+O113)^2+($F$10+273)^2)*(($F$10+273+O113)+($F$10+273)),3.86*(【事例3】危険部品判断シート!$O$36/K113)^0.5+0.0000000567*$F$9*(($F$10+273+O113)^2+($F$10+273)^2)*(($F$10+273+O113)+($F$10+273)))</f>
        <v>18.908313824922836</v>
      </c>
      <c r="N113" s="200">
        <f t="shared" ca="1" si="53"/>
        <v>3.6729589882083395</v>
      </c>
      <c r="O113" s="200">
        <f t="shared" ca="1" si="54"/>
        <v>32.268997658990735</v>
      </c>
      <c r="P113" s="200">
        <f t="shared" si="61"/>
        <v>2.3040000000000027E-3</v>
      </c>
      <c r="Q113" s="200">
        <f t="shared" si="62"/>
        <v>7.7440000000000044E-3</v>
      </c>
      <c r="R113" s="200">
        <f t="shared" si="63"/>
        <v>84.109787842784542</v>
      </c>
      <c r="S113" s="200">
        <f t="shared" si="55"/>
        <v>0.15007596600159487</v>
      </c>
      <c r="T113" s="200">
        <f t="shared" ca="1" si="56"/>
        <v>85.168296133079721</v>
      </c>
      <c r="U113" s="200">
        <f t="shared" si="57"/>
        <v>0.13376908736075438</v>
      </c>
      <c r="V113" s="200">
        <f t="shared" ca="1" si="64"/>
        <v>1.0329951085631928</v>
      </c>
      <c r="W113" s="262">
        <f t="shared" ca="1" si="65"/>
        <v>4.7059540967715323</v>
      </c>
      <c r="X113" s="200">
        <f t="shared" ca="1" si="66"/>
        <v>8.7855589356121513</v>
      </c>
    </row>
    <row r="114" spans="7:24">
      <c r="G114" s="200">
        <f t="shared" si="58"/>
        <v>200.00000000000011</v>
      </c>
      <c r="H114" s="200">
        <f t="shared" ca="1" si="67"/>
        <v>9.1317772424441745</v>
      </c>
      <c r="I114" s="200">
        <f t="shared" si="68"/>
        <v>5.0000000000000031E-2</v>
      </c>
      <c r="J114" s="200">
        <f t="shared" si="52"/>
        <v>0.20000000000000012</v>
      </c>
      <c r="K114" s="200">
        <f t="shared" si="59"/>
        <v>9.0000000000000024E-2</v>
      </c>
      <c r="L114" s="200">
        <f t="shared" si="60"/>
        <v>1.620000000000001E-2</v>
      </c>
      <c r="M114" s="200">
        <f ca="1">IF(【事例3】危険部品判断シート!$O$36=0,2.51*0.56*(O114/K114)^0.25+0.0000000567*$F$9*(($F$10+273+O114)^2+($F$10+273)^2)*(($F$10+273+O114)+($F$10+273)),3.86*(【事例3】危険部品判断シート!$O$36/K114)^0.5+0.0000000567*$F$9*(($F$10+273+O114)^2+($F$10+273)^2)*(($F$10+273+O114)+($F$10+273)))</f>
        <v>18.789665107909812</v>
      </c>
      <c r="N114" s="200">
        <f t="shared" ca="1" si="53"/>
        <v>3.5321448340888351</v>
      </c>
      <c r="O114" s="200">
        <f t="shared" ca="1" si="54"/>
        <v>32.254759812949182</v>
      </c>
      <c r="P114" s="200">
        <f t="shared" si="61"/>
        <v>2.5000000000000031E-3</v>
      </c>
      <c r="Q114" s="200">
        <f t="shared" si="62"/>
        <v>8.1000000000000048E-3</v>
      </c>
      <c r="R114" s="200">
        <f t="shared" si="63"/>
        <v>81.87031107590785</v>
      </c>
      <c r="S114" s="200">
        <f t="shared" si="55"/>
        <v>0.14087130675349704</v>
      </c>
      <c r="T114" s="200">
        <f t="shared" ca="1" si="56"/>
        <v>83.38730935029956</v>
      </c>
      <c r="U114" s="200">
        <f t="shared" si="57"/>
        <v>0.13024836978377824</v>
      </c>
      <c r="V114" s="200">
        <f t="shared" ca="1" si="64"/>
        <v>0.99192031726277574</v>
      </c>
      <c r="W114" s="262">
        <f t="shared" ca="1" si="65"/>
        <v>4.5240651513516106</v>
      </c>
      <c r="X114" s="200">
        <f t="shared" ca="1" si="66"/>
        <v>9.1317772424441745</v>
      </c>
    </row>
  </sheetData>
  <phoneticPr fontId="7"/>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22</vt:i4>
      </vt:variant>
    </vt:vector>
  </HeadingPairs>
  <TitlesOfParts>
    <vt:vector size="22" baseType="lpstr">
      <vt:lpstr>MENU</vt:lpstr>
      <vt:lpstr>筐体温度計算(4.1.3)</vt:lpstr>
      <vt:lpstr>筐体温度計算実験式（4.1.1)</vt:lpstr>
      <vt:lpstr>熱回路網法_筐体熱回路モデル (4.1.4)</vt:lpstr>
      <vt:lpstr>日射の計算（6.4.1)</vt:lpstr>
      <vt:lpstr>熱回路網法_筐体熱回路モデル　日射(6.4.2)</vt:lpstr>
      <vt:lpstr>モータ計算シート（7.4.2)</vt:lpstr>
      <vt:lpstr>PCBの等価熱伝達率</vt:lpstr>
      <vt:lpstr>サーマルビア(8.5.2)</vt:lpstr>
      <vt:lpstr>ジュール発熱計算(8.6.1)</vt:lpstr>
      <vt:lpstr>ヒートシンクの非定常計算(10.8)</vt:lpstr>
      <vt:lpstr>水冷ヒートシンク計算(11.2.3)</vt:lpstr>
      <vt:lpstr>ペルチェモジュール　熱回路モデル(11.3.2)</vt:lpstr>
      <vt:lpstr>【事例1】　密閉機器筐体</vt:lpstr>
      <vt:lpstr>【事例1】　密閉機器基板</vt:lpstr>
      <vt:lpstr>【事例1】危険部品判断シート</vt:lpstr>
      <vt:lpstr>LEEの式 (2)</vt:lpstr>
      <vt:lpstr>【事例2】　自然空冷通風機器</vt:lpstr>
      <vt:lpstr>【事例2】危険部品判断シート</vt:lpstr>
      <vt:lpstr>LEEの式 (3)</vt:lpstr>
      <vt:lpstr>【事例3】危険部品判断シート</vt:lpstr>
      <vt:lpstr>LEEの式 (4)</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国峯尚樹</dc:creator>
  <cp:lastModifiedBy>81803</cp:lastModifiedBy>
  <dcterms:created xsi:type="dcterms:W3CDTF">2007-01-12T04:29:21Z</dcterms:created>
  <dcterms:modified xsi:type="dcterms:W3CDTF">2019-03-14T22:21:21Z</dcterms:modified>
</cp:coreProperties>
</file>